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2A24FB9E-3910-47F1-8552-56DA5B8DC91A}"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FairPlay" sheetId="3" r:id="rId2"/>
    <sheet name="Language" sheetId="18" r:id="rId3"/>
    <sheet name="TimeZone" sheetId="19" r:id="rId4"/>
    <sheet name="Groups" sheetId="26" r:id="rId5"/>
    <sheet name="Matches" sheetId="22" r:id="rId6"/>
    <sheet name="Factors" sheetId="6" r:id="rId7"/>
    <sheet name="GrpA" sheetId="8" r:id="rId8"/>
    <sheet name="GrpB" sheetId="10" r:id="rId9"/>
    <sheet name="GrpC" sheetId="11" r:id="rId10"/>
    <sheet name="GrpD" sheetId="12" r:id="rId11"/>
    <sheet name="GrpE" sheetId="13" r:id="rId12"/>
    <sheet name="GrpF" sheetId="14" r:id="rId13"/>
  </sheets>
  <definedNames>
    <definedName name="FactorDirC2">Factors!$B$6</definedName>
    <definedName name="FactorDirC3">Factors!$B$5</definedName>
    <definedName name="FactorDirC42">Factors!$B$11</definedName>
    <definedName name="FactorDirC43">Factors!$B$10</definedName>
    <definedName name="FactorFairPlay">Factors!$B$13</definedName>
    <definedName name="FactorFor">Factors!$B$8</definedName>
    <definedName name="FactorGD">Factors!$B$7</definedName>
    <definedName name="FactorPenalty">Factors!$B$9</definedName>
    <definedName name="FactorPts">Factors!$B$4</definedName>
    <definedName name="FactorRank">Factors!$B$14</definedName>
    <definedName name="FactorRow">Factors!$B$15</definedName>
    <definedName name="FactorWins">Factors!$B$12</definedName>
    <definedName name="FairPlayPoints1">FairPlay!$C$6:$C$21</definedName>
    <definedName name="FairPlayPoints2">FairPlay!$F$6:$F$21</definedName>
    <definedName name="FairPlayTeams1">FairPlay!$B$6:$B$21</definedName>
    <definedName name="FairPlayTeams2">FairPlay!$E$6:$E$21</definedName>
    <definedName name="GDzero">Factors!$D$7</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2" i="14" l="1"/>
  <c r="Y11" i="14"/>
  <c r="Y12" i="13"/>
  <c r="Y11" i="13"/>
  <c r="Y12" i="12"/>
  <c r="Y11" i="12"/>
  <c r="Y12" i="11"/>
  <c r="Y11" i="11"/>
  <c r="Y12" i="10"/>
  <c r="Y11" i="10"/>
  <c r="Y12" i="8"/>
  <c r="Y11" i="8"/>
  <c r="E9" i="14"/>
  <c r="G9" i="14"/>
  <c r="M9" i="14"/>
  <c r="L9" i="14"/>
  <c r="J9" i="14"/>
  <c r="I9" i="14"/>
  <c r="H9" i="14"/>
  <c r="D9" i="14"/>
  <c r="B9" i="14"/>
  <c r="E8" i="14"/>
  <c r="G8" i="14"/>
  <c r="M8" i="14"/>
  <c r="L8" i="14"/>
  <c r="J8" i="14"/>
  <c r="I8" i="14"/>
  <c r="H8" i="14"/>
  <c r="R33" i="1"/>
  <c r="D8" i="14"/>
  <c r="Q33" i="1"/>
  <c r="B8" i="14"/>
  <c r="P7" i="14"/>
  <c r="E7" i="14"/>
  <c r="G7" i="14"/>
  <c r="M7" i="14"/>
  <c r="I7" i="14"/>
  <c r="H7" i="14"/>
  <c r="R28" i="1"/>
  <c r="D7" i="14"/>
  <c r="Q28" i="1"/>
  <c r="B7" i="14"/>
  <c r="P6" i="14"/>
  <c r="E6" i="14"/>
  <c r="G6" i="14"/>
  <c r="M6" i="14"/>
  <c r="I6" i="14"/>
  <c r="H6" i="14"/>
  <c r="R23" i="1"/>
  <c r="D6" i="14"/>
  <c r="Q23" i="1"/>
  <c r="B6" i="14"/>
  <c r="P5" i="14"/>
  <c r="E5" i="14"/>
  <c r="G5" i="14"/>
  <c r="M5" i="14"/>
  <c r="I5" i="14"/>
  <c r="H5" i="14"/>
  <c r="R18" i="1"/>
  <c r="D5" i="14"/>
  <c r="Q18" i="1"/>
  <c r="B5" i="14"/>
  <c r="P4" i="14"/>
  <c r="E4" i="14"/>
  <c r="G4" i="14"/>
  <c r="M4" i="14"/>
  <c r="I4" i="14"/>
  <c r="H4" i="14"/>
  <c r="R13" i="1"/>
  <c r="D4" i="14"/>
  <c r="Q13" i="1"/>
  <c r="B4" i="14"/>
  <c r="E9" i="13"/>
  <c r="G9" i="13"/>
  <c r="M9" i="13"/>
  <c r="L9" i="13"/>
  <c r="J9" i="13"/>
  <c r="I9" i="13"/>
  <c r="H9" i="13"/>
  <c r="D9" i="13"/>
  <c r="B9" i="13"/>
  <c r="E8" i="13"/>
  <c r="G8" i="13"/>
  <c r="M8" i="13"/>
  <c r="L8" i="13"/>
  <c r="J8" i="13"/>
  <c r="I8" i="13"/>
  <c r="H8" i="13"/>
  <c r="O33" i="1"/>
  <c r="D8" i="13"/>
  <c r="N33" i="1"/>
  <c r="B8" i="13"/>
  <c r="P7" i="13"/>
  <c r="E7" i="13"/>
  <c r="G7" i="13"/>
  <c r="M7" i="13"/>
  <c r="I7" i="13"/>
  <c r="H7" i="13"/>
  <c r="O28" i="1"/>
  <c r="D7" i="13"/>
  <c r="N28" i="1"/>
  <c r="B7" i="13"/>
  <c r="P6" i="13"/>
  <c r="E6" i="13"/>
  <c r="G6" i="13"/>
  <c r="M6" i="13"/>
  <c r="I6" i="13"/>
  <c r="H6" i="13"/>
  <c r="O23" i="1"/>
  <c r="D6" i="13"/>
  <c r="N23" i="1"/>
  <c r="B6" i="13"/>
  <c r="P5" i="13"/>
  <c r="E5" i="13"/>
  <c r="G5" i="13"/>
  <c r="M5" i="13"/>
  <c r="I5" i="13"/>
  <c r="H5" i="13"/>
  <c r="O18" i="1"/>
  <c r="D5" i="13"/>
  <c r="N18" i="1"/>
  <c r="B5" i="13"/>
  <c r="P4" i="13"/>
  <c r="E4" i="13"/>
  <c r="G4" i="13"/>
  <c r="M4" i="13"/>
  <c r="I4" i="13"/>
  <c r="H4" i="13"/>
  <c r="O13" i="1"/>
  <c r="D4" i="13"/>
  <c r="N13" i="1"/>
  <c r="B4" i="13"/>
  <c r="E9" i="12"/>
  <c r="G9" i="12"/>
  <c r="M9" i="12"/>
  <c r="L9" i="12"/>
  <c r="J9" i="12"/>
  <c r="I9" i="12"/>
  <c r="H9" i="12"/>
  <c r="D9" i="12"/>
  <c r="B9" i="12"/>
  <c r="E8" i="12"/>
  <c r="G8" i="12"/>
  <c r="M8" i="12"/>
  <c r="L8" i="12"/>
  <c r="J8" i="12"/>
  <c r="I8" i="12"/>
  <c r="H8" i="12"/>
  <c r="L33" i="1"/>
  <c r="D8" i="12"/>
  <c r="K33" i="1"/>
  <c r="B8" i="12"/>
  <c r="P7" i="12"/>
  <c r="E7" i="12"/>
  <c r="G7" i="12"/>
  <c r="M7" i="12"/>
  <c r="I7" i="12"/>
  <c r="H7" i="12"/>
  <c r="L28" i="1"/>
  <c r="D7" i="12"/>
  <c r="K28" i="1"/>
  <c r="B7" i="12"/>
  <c r="P6" i="12"/>
  <c r="E6" i="12"/>
  <c r="G6" i="12"/>
  <c r="M6" i="12"/>
  <c r="I6" i="12"/>
  <c r="H6" i="12"/>
  <c r="L23" i="1"/>
  <c r="D6" i="12"/>
  <c r="K23" i="1"/>
  <c r="B6" i="12"/>
  <c r="P5" i="12"/>
  <c r="E5" i="12"/>
  <c r="G5" i="12"/>
  <c r="M5" i="12"/>
  <c r="I5" i="12"/>
  <c r="H5" i="12"/>
  <c r="L18" i="1"/>
  <c r="D5" i="12"/>
  <c r="K18" i="1"/>
  <c r="B5" i="12"/>
  <c r="P4" i="12"/>
  <c r="E4" i="12"/>
  <c r="G4" i="12"/>
  <c r="M4" i="12"/>
  <c r="I4" i="12"/>
  <c r="H4" i="12"/>
  <c r="L13" i="1"/>
  <c r="D4" i="12"/>
  <c r="K13" i="1"/>
  <c r="B4" i="12"/>
  <c r="E9" i="11"/>
  <c r="G9" i="11"/>
  <c r="M9" i="11"/>
  <c r="L9" i="11"/>
  <c r="J9" i="11"/>
  <c r="I9" i="11"/>
  <c r="H9" i="11"/>
  <c r="D9" i="11"/>
  <c r="B9" i="11"/>
  <c r="E8" i="11"/>
  <c r="G8" i="11"/>
  <c r="M8" i="11"/>
  <c r="L8" i="11"/>
  <c r="J8" i="11"/>
  <c r="I8" i="11"/>
  <c r="H8" i="11"/>
  <c r="I33" i="1"/>
  <c r="D8" i="11"/>
  <c r="H33" i="1"/>
  <c r="B8" i="11"/>
  <c r="P7" i="11"/>
  <c r="E7" i="11"/>
  <c r="G7" i="11"/>
  <c r="M7" i="11"/>
  <c r="I7" i="11"/>
  <c r="H7" i="11"/>
  <c r="I28" i="1"/>
  <c r="D7" i="11"/>
  <c r="H28" i="1"/>
  <c r="B7" i="11"/>
  <c r="P6" i="11"/>
  <c r="E6" i="11"/>
  <c r="G6" i="11"/>
  <c r="M6" i="11"/>
  <c r="I6" i="11"/>
  <c r="H6" i="11"/>
  <c r="I23" i="1"/>
  <c r="D6" i="11"/>
  <c r="H23" i="1"/>
  <c r="B6" i="11"/>
  <c r="P5" i="11"/>
  <c r="E5" i="11"/>
  <c r="G5" i="11"/>
  <c r="M5" i="11"/>
  <c r="I5" i="11"/>
  <c r="H5" i="11"/>
  <c r="I18" i="1"/>
  <c r="D5" i="11"/>
  <c r="H18" i="1"/>
  <c r="B5" i="11"/>
  <c r="P4" i="11"/>
  <c r="E4" i="11"/>
  <c r="G4" i="11"/>
  <c r="M4" i="11"/>
  <c r="I4" i="11"/>
  <c r="H4" i="11"/>
  <c r="I13" i="1"/>
  <c r="D4" i="11"/>
  <c r="H13" i="1"/>
  <c r="B4" i="11"/>
  <c r="E9" i="10"/>
  <c r="G9" i="10"/>
  <c r="M9" i="10"/>
  <c r="L9" i="10"/>
  <c r="J9" i="10"/>
  <c r="I9" i="10"/>
  <c r="H9" i="10"/>
  <c r="D9" i="10"/>
  <c r="B9" i="10"/>
  <c r="E8" i="10"/>
  <c r="G8" i="10"/>
  <c r="M8" i="10"/>
  <c r="L8" i="10"/>
  <c r="J8" i="10"/>
  <c r="I8" i="10"/>
  <c r="H8" i="10"/>
  <c r="F33" i="1"/>
  <c r="D8" i="10"/>
  <c r="E33" i="1"/>
  <c r="B8" i="10"/>
  <c r="P7" i="10"/>
  <c r="E7" i="10"/>
  <c r="G7" i="10"/>
  <c r="M7" i="10"/>
  <c r="I7" i="10"/>
  <c r="H7" i="10"/>
  <c r="F28" i="1"/>
  <c r="D7" i="10"/>
  <c r="E28" i="1"/>
  <c r="B7" i="10"/>
  <c r="P6" i="10"/>
  <c r="E6" i="10"/>
  <c r="G6" i="10"/>
  <c r="M6" i="10"/>
  <c r="I6" i="10"/>
  <c r="H6" i="10"/>
  <c r="F23" i="1"/>
  <c r="D6" i="10"/>
  <c r="E23" i="1"/>
  <c r="B6" i="10"/>
  <c r="P5" i="10"/>
  <c r="E5" i="10"/>
  <c r="G5" i="10"/>
  <c r="M5" i="10"/>
  <c r="I5" i="10"/>
  <c r="H5" i="10"/>
  <c r="F18" i="1"/>
  <c r="D5" i="10"/>
  <c r="E18" i="1"/>
  <c r="B5" i="10"/>
  <c r="P4" i="10"/>
  <c r="E4" i="10"/>
  <c r="G4" i="10"/>
  <c r="M4" i="10"/>
  <c r="I4" i="10"/>
  <c r="H4" i="10"/>
  <c r="F13" i="1"/>
  <c r="D4" i="10"/>
  <c r="E13" i="1"/>
  <c r="B4" i="10"/>
  <c r="P7" i="8"/>
  <c r="P6" i="8"/>
  <c r="P5" i="8"/>
  <c r="P4" i="8"/>
  <c r="G9" i="8"/>
  <c r="G8" i="8"/>
  <c r="G7" i="8"/>
  <c r="G6" i="8"/>
  <c r="G5" i="8"/>
  <c r="G4" i="8"/>
  <c r="E9" i="8"/>
  <c r="E8" i="8"/>
  <c r="E7" i="8"/>
  <c r="E6" i="8"/>
  <c r="E5" i="8"/>
  <c r="E4" i="8"/>
  <c r="D9" i="8"/>
  <c r="D8" i="8"/>
  <c r="D7" i="8"/>
  <c r="D6" i="8"/>
  <c r="D5" i="8"/>
  <c r="D4" i="8"/>
  <c r="B9" i="8"/>
  <c r="B8" i="8"/>
  <c r="B7" i="8"/>
  <c r="B6" i="8"/>
  <c r="B5" i="8"/>
  <c r="B4" i="8"/>
  <c r="Q7" i="14"/>
  <c r="Q6" i="14"/>
  <c r="Q5" i="14"/>
  <c r="Q4" i="14"/>
  <c r="Q7" i="13"/>
  <c r="Q6" i="13"/>
  <c r="Q5" i="13"/>
  <c r="Q4" i="13"/>
  <c r="Q7" i="12"/>
  <c r="Q6" i="12"/>
  <c r="Q5" i="12"/>
  <c r="Q4" i="12"/>
  <c r="Q7" i="11"/>
  <c r="Q6" i="11"/>
  <c r="Q5" i="11"/>
  <c r="Q4" i="11"/>
  <c r="Q7" i="10"/>
  <c r="Q6" i="10"/>
  <c r="Q5" i="10"/>
  <c r="Q4" i="10"/>
  <c r="L9" i="8"/>
  <c r="J9" i="8"/>
  <c r="L8" i="8"/>
  <c r="J8" i="8"/>
  <c r="S5" i="14"/>
  <c r="T5" i="14"/>
  <c r="R5" i="14"/>
  <c r="AD5" i="14"/>
  <c r="S6" i="14"/>
  <c r="T6" i="14"/>
  <c r="R6" i="14"/>
  <c r="AD6" i="14"/>
  <c r="M10" i="14"/>
  <c r="S7" i="14"/>
  <c r="T7" i="14"/>
  <c r="R7" i="14"/>
  <c r="AD7" i="14"/>
  <c r="S4" i="14"/>
  <c r="T4" i="14"/>
  <c r="R4" i="14"/>
  <c r="AD4" i="14"/>
  <c r="S5" i="13"/>
  <c r="T5" i="13"/>
  <c r="R5" i="13"/>
  <c r="AD5" i="13"/>
  <c r="S6" i="13"/>
  <c r="T6" i="13"/>
  <c r="R6" i="13"/>
  <c r="AD6" i="13"/>
  <c r="M10" i="13"/>
  <c r="S7" i="13"/>
  <c r="T7" i="13"/>
  <c r="R7" i="13"/>
  <c r="AD7" i="13"/>
  <c r="S4" i="13"/>
  <c r="T4" i="13"/>
  <c r="R4" i="13"/>
  <c r="AD4" i="13"/>
  <c r="S5" i="12"/>
  <c r="T5" i="12"/>
  <c r="R5" i="12"/>
  <c r="AD5" i="12"/>
  <c r="S6" i="12"/>
  <c r="T6" i="12"/>
  <c r="R6" i="12"/>
  <c r="AD6" i="12"/>
  <c r="M10" i="12"/>
  <c r="S7" i="12"/>
  <c r="T7" i="12"/>
  <c r="R7" i="12"/>
  <c r="AD7" i="12"/>
  <c r="S4" i="12"/>
  <c r="T4" i="12"/>
  <c r="R4" i="12"/>
  <c r="AD4" i="12"/>
  <c r="S5" i="11"/>
  <c r="T5" i="11"/>
  <c r="R5" i="11"/>
  <c r="AD5" i="11"/>
  <c r="S6" i="11"/>
  <c r="T6" i="11"/>
  <c r="R6" i="11"/>
  <c r="AD6" i="11"/>
  <c r="M10" i="11"/>
  <c r="S7" i="11"/>
  <c r="T7" i="11"/>
  <c r="R7" i="11"/>
  <c r="AD7" i="11"/>
  <c r="S4" i="11"/>
  <c r="T4" i="11"/>
  <c r="R4" i="11"/>
  <c r="AD4" i="11"/>
  <c r="S5" i="10"/>
  <c r="T5" i="10"/>
  <c r="R5" i="10"/>
  <c r="AD5" i="10"/>
  <c r="S6" i="10"/>
  <c r="T6" i="10"/>
  <c r="R6" i="10"/>
  <c r="AD6" i="10"/>
  <c r="M10" i="10"/>
  <c r="S7" i="10"/>
  <c r="T7" i="10"/>
  <c r="R7" i="10"/>
  <c r="AD7" i="10"/>
  <c r="S4" i="10"/>
  <c r="T4" i="10"/>
  <c r="R4" i="10"/>
  <c r="AD4" i="10"/>
  <c r="M4" i="8"/>
  <c r="H4" i="8"/>
  <c r="M5" i="8"/>
  <c r="H5" i="8"/>
  <c r="M6" i="8"/>
  <c r="H6" i="8"/>
  <c r="M7" i="8"/>
  <c r="H7" i="8"/>
  <c r="M8" i="8"/>
  <c r="H8" i="8"/>
  <c r="M9" i="8"/>
  <c r="H9" i="8"/>
  <c r="I4" i="8"/>
  <c r="I5" i="8"/>
  <c r="I6" i="8"/>
  <c r="I7" i="8"/>
  <c r="I8" i="8"/>
  <c r="I9" i="8"/>
  <c r="Q5" i="8"/>
  <c r="S5" i="8"/>
  <c r="T5" i="8"/>
  <c r="R5" i="8"/>
  <c r="AD5" i="8"/>
  <c r="Q6" i="8"/>
  <c r="S6" i="8"/>
  <c r="T6" i="8"/>
  <c r="R6" i="8"/>
  <c r="AD6" i="8"/>
  <c r="Q4" i="8"/>
  <c r="Q7" i="8"/>
  <c r="M10" i="8"/>
  <c r="S7" i="8"/>
  <c r="T7" i="8"/>
  <c r="R7" i="8"/>
  <c r="AD7" i="8"/>
  <c r="S4" i="8"/>
  <c r="T4" i="8"/>
  <c r="R4" i="8"/>
  <c r="AD4" i="8"/>
  <c r="K17" i="14"/>
  <c r="J17" i="14"/>
  <c r="I17" i="14"/>
  <c r="H17" i="14"/>
  <c r="U4" i="14"/>
  <c r="P18" i="14"/>
  <c r="X18" i="14"/>
  <c r="P19" i="14"/>
  <c r="P20" i="14"/>
  <c r="X19" i="14"/>
  <c r="X20" i="14"/>
  <c r="X23" i="14"/>
  <c r="X24" i="14"/>
  <c r="X25" i="14"/>
  <c r="X28" i="14"/>
  <c r="X29" i="14"/>
  <c r="X30" i="14"/>
  <c r="X33" i="14"/>
  <c r="X34" i="14"/>
  <c r="X35" i="14"/>
  <c r="P21" i="14"/>
  <c r="P23" i="14"/>
  <c r="P24" i="14"/>
  <c r="P25" i="14"/>
  <c r="P26" i="14"/>
  <c r="P28" i="14"/>
  <c r="P29" i="14"/>
  <c r="P30" i="14"/>
  <c r="P31" i="14"/>
  <c r="P33" i="14"/>
  <c r="P34" i="14"/>
  <c r="P35" i="14"/>
  <c r="W4" i="14"/>
  <c r="L18" i="14"/>
  <c r="Z18" i="14"/>
  <c r="Z23" i="14"/>
  <c r="Z28" i="14"/>
  <c r="X4" i="14"/>
  <c r="AF16" i="14"/>
  <c r="AD18" i="14"/>
  <c r="AD23" i="14"/>
  <c r="AD28" i="14"/>
  <c r="Y4" i="14"/>
  <c r="AE18" i="14"/>
  <c r="AE23" i="14"/>
  <c r="AE28" i="14"/>
  <c r="Z4" i="14"/>
  <c r="M18" i="14"/>
  <c r="AA4" i="14"/>
  <c r="AB4" i="14"/>
  <c r="AE4" i="14"/>
  <c r="AF4" i="14"/>
  <c r="V4" i="14"/>
  <c r="U5" i="14"/>
  <c r="W5" i="14"/>
  <c r="K19" i="14"/>
  <c r="I21" i="14"/>
  <c r="L19" i="14"/>
  <c r="Z19" i="14"/>
  <c r="Z24" i="14"/>
  <c r="Z33" i="14"/>
  <c r="X5" i="14"/>
  <c r="AD19" i="14"/>
  <c r="AD24" i="14"/>
  <c r="AD33" i="14"/>
  <c r="Y5" i="14"/>
  <c r="AE19" i="14"/>
  <c r="AE24" i="14"/>
  <c r="AE33" i="14"/>
  <c r="Z5" i="14"/>
  <c r="M19" i="14"/>
  <c r="AA5" i="14"/>
  <c r="AB5" i="14"/>
  <c r="AE5" i="14"/>
  <c r="AF5" i="14"/>
  <c r="V5" i="14"/>
  <c r="U6" i="14"/>
  <c r="W6" i="14"/>
  <c r="K20" i="14"/>
  <c r="J21" i="14"/>
  <c r="L20" i="14"/>
  <c r="Z20" i="14"/>
  <c r="Z29" i="14"/>
  <c r="Z34" i="14"/>
  <c r="X6" i="14"/>
  <c r="AD20" i="14"/>
  <c r="AD29" i="14"/>
  <c r="AD34" i="14"/>
  <c r="Y6" i="14"/>
  <c r="AE20" i="14"/>
  <c r="AE29" i="14"/>
  <c r="AE34" i="14"/>
  <c r="Z6" i="14"/>
  <c r="M20" i="14"/>
  <c r="AA6" i="14"/>
  <c r="AB6" i="14"/>
  <c r="AE6" i="14"/>
  <c r="AF6" i="14"/>
  <c r="V6" i="14"/>
  <c r="U7" i="14"/>
  <c r="W7" i="14"/>
  <c r="L21" i="14"/>
  <c r="Z25" i="14"/>
  <c r="Z30" i="14"/>
  <c r="Z35" i="14"/>
  <c r="X7" i="14"/>
  <c r="AD25" i="14"/>
  <c r="AD30" i="14"/>
  <c r="AD35" i="14"/>
  <c r="Y7" i="14"/>
  <c r="AE25" i="14"/>
  <c r="AE30" i="14"/>
  <c r="AE35" i="14"/>
  <c r="Z7" i="14"/>
  <c r="M21" i="14"/>
  <c r="AA7" i="14"/>
  <c r="AB7" i="14"/>
  <c r="AE7" i="14"/>
  <c r="AF7" i="14"/>
  <c r="V7" i="14"/>
  <c r="V14" i="14"/>
  <c r="T14" i="14"/>
  <c r="S14" i="14"/>
  <c r="R14" i="14"/>
  <c r="Q14" i="14"/>
  <c r="P14" i="14"/>
  <c r="V13" i="14"/>
  <c r="T13" i="14"/>
  <c r="S13" i="14"/>
  <c r="R13" i="14"/>
  <c r="Q13" i="14"/>
  <c r="P13" i="14"/>
  <c r="V12" i="14"/>
  <c r="T12" i="14"/>
  <c r="S12" i="14"/>
  <c r="R12" i="14"/>
  <c r="Q12" i="14"/>
  <c r="P12" i="14"/>
  <c r="V11" i="14"/>
  <c r="T11" i="14"/>
  <c r="S11" i="14"/>
  <c r="R11" i="14"/>
  <c r="Q11" i="14"/>
  <c r="P11" i="14"/>
  <c r="K17" i="13"/>
  <c r="J17" i="13"/>
  <c r="I17" i="13"/>
  <c r="H17" i="13"/>
  <c r="U4" i="13"/>
  <c r="P18" i="13"/>
  <c r="X18" i="13"/>
  <c r="P19" i="13"/>
  <c r="P20" i="13"/>
  <c r="X19" i="13"/>
  <c r="X20" i="13"/>
  <c r="X23" i="13"/>
  <c r="X24" i="13"/>
  <c r="X25" i="13"/>
  <c r="X28" i="13"/>
  <c r="X29" i="13"/>
  <c r="X30" i="13"/>
  <c r="X33" i="13"/>
  <c r="X34" i="13"/>
  <c r="X35" i="13"/>
  <c r="P21" i="13"/>
  <c r="P23" i="13"/>
  <c r="P24" i="13"/>
  <c r="P25" i="13"/>
  <c r="P26" i="13"/>
  <c r="P28" i="13"/>
  <c r="P29" i="13"/>
  <c r="P30" i="13"/>
  <c r="P31" i="13"/>
  <c r="P33" i="13"/>
  <c r="P34" i="13"/>
  <c r="P35" i="13"/>
  <c r="W4" i="13"/>
  <c r="L18" i="13"/>
  <c r="Z18" i="13"/>
  <c r="Z23" i="13"/>
  <c r="Z28" i="13"/>
  <c r="X4" i="13"/>
  <c r="AF16" i="13"/>
  <c r="AD18" i="13"/>
  <c r="AD23" i="13"/>
  <c r="AD28" i="13"/>
  <c r="Y4" i="13"/>
  <c r="AE18" i="13"/>
  <c r="AE23" i="13"/>
  <c r="AE28" i="13"/>
  <c r="Z4" i="13"/>
  <c r="M18" i="13"/>
  <c r="AA4" i="13"/>
  <c r="AB4" i="13"/>
  <c r="AE4" i="13"/>
  <c r="AF4" i="13"/>
  <c r="V4" i="13"/>
  <c r="U5" i="13"/>
  <c r="W5" i="13"/>
  <c r="L19" i="13"/>
  <c r="Z19" i="13"/>
  <c r="Z24" i="13"/>
  <c r="Z33" i="13"/>
  <c r="X5" i="13"/>
  <c r="AD19" i="13"/>
  <c r="AD24" i="13"/>
  <c r="AD33" i="13"/>
  <c r="Y5" i="13"/>
  <c r="AE19" i="13"/>
  <c r="AE24" i="13"/>
  <c r="AE33" i="13"/>
  <c r="Z5" i="13"/>
  <c r="M19" i="13"/>
  <c r="AA5" i="13"/>
  <c r="AB5" i="13"/>
  <c r="AE5" i="13"/>
  <c r="AF5" i="13"/>
  <c r="V5" i="13"/>
  <c r="U6" i="13"/>
  <c r="W6" i="13"/>
  <c r="K20" i="13"/>
  <c r="J21" i="13"/>
  <c r="L20" i="13"/>
  <c r="Z20" i="13"/>
  <c r="Z29" i="13"/>
  <c r="Z34" i="13"/>
  <c r="X6" i="13"/>
  <c r="AD20" i="13"/>
  <c r="AD29" i="13"/>
  <c r="AD34" i="13"/>
  <c r="Y6" i="13"/>
  <c r="AE20" i="13"/>
  <c r="AE29" i="13"/>
  <c r="AE34" i="13"/>
  <c r="Z6" i="13"/>
  <c r="M20" i="13"/>
  <c r="AA6" i="13"/>
  <c r="AB6" i="13"/>
  <c r="AE6" i="13"/>
  <c r="AF6" i="13"/>
  <c r="V6" i="13"/>
  <c r="U7" i="13"/>
  <c r="W7" i="13"/>
  <c r="L21" i="13"/>
  <c r="Z25" i="13"/>
  <c r="Z30" i="13"/>
  <c r="Z35" i="13"/>
  <c r="X7" i="13"/>
  <c r="AD25" i="13"/>
  <c r="AD30" i="13"/>
  <c r="AD35" i="13"/>
  <c r="Y7" i="13"/>
  <c r="AE25" i="13"/>
  <c r="AE30" i="13"/>
  <c r="AE35" i="13"/>
  <c r="Z7" i="13"/>
  <c r="M21" i="13"/>
  <c r="AA7" i="13"/>
  <c r="AB7" i="13"/>
  <c r="AE7" i="13"/>
  <c r="AF7" i="13"/>
  <c r="V7" i="13"/>
  <c r="V14" i="13"/>
  <c r="T14" i="13"/>
  <c r="S14" i="13"/>
  <c r="R14" i="13"/>
  <c r="Q14" i="13"/>
  <c r="P14" i="13"/>
  <c r="V13" i="13"/>
  <c r="T13" i="13"/>
  <c r="S13" i="13"/>
  <c r="R13" i="13"/>
  <c r="Q13" i="13"/>
  <c r="P13" i="13"/>
  <c r="V12" i="13"/>
  <c r="T12" i="13"/>
  <c r="S12" i="13"/>
  <c r="R12" i="13"/>
  <c r="Q12" i="13"/>
  <c r="P12" i="13"/>
  <c r="V11" i="13"/>
  <c r="T11" i="13"/>
  <c r="S11" i="13"/>
  <c r="R11" i="13"/>
  <c r="Q11" i="13"/>
  <c r="P11" i="13"/>
  <c r="K17" i="12"/>
  <c r="J17" i="12"/>
  <c r="I17" i="12"/>
  <c r="H17" i="12"/>
  <c r="U4" i="12"/>
  <c r="P18" i="12"/>
  <c r="X18" i="12"/>
  <c r="P19" i="12"/>
  <c r="P20" i="12"/>
  <c r="X19" i="12"/>
  <c r="X20" i="12"/>
  <c r="X23" i="12"/>
  <c r="X24" i="12"/>
  <c r="X25" i="12"/>
  <c r="X28" i="12"/>
  <c r="X29" i="12"/>
  <c r="X30" i="12"/>
  <c r="X33" i="12"/>
  <c r="X34" i="12"/>
  <c r="X35" i="12"/>
  <c r="P21" i="12"/>
  <c r="P23" i="12"/>
  <c r="P24" i="12"/>
  <c r="P25" i="12"/>
  <c r="P26" i="12"/>
  <c r="P28" i="12"/>
  <c r="P29" i="12"/>
  <c r="P30" i="12"/>
  <c r="P31" i="12"/>
  <c r="P33" i="12"/>
  <c r="P34" i="12"/>
  <c r="P35" i="12"/>
  <c r="W4" i="12"/>
  <c r="L18" i="12"/>
  <c r="Z18" i="12"/>
  <c r="Z23" i="12"/>
  <c r="Z28" i="12"/>
  <c r="X4" i="12"/>
  <c r="AF16" i="12"/>
  <c r="AD18" i="12"/>
  <c r="AD23" i="12"/>
  <c r="AD28" i="12"/>
  <c r="Y4" i="12"/>
  <c r="AE18" i="12"/>
  <c r="AE23" i="12"/>
  <c r="AE28" i="12"/>
  <c r="Z4" i="12"/>
  <c r="M18" i="12"/>
  <c r="AA4" i="12"/>
  <c r="AB4" i="12"/>
  <c r="AE4" i="12"/>
  <c r="AF4" i="12"/>
  <c r="V4" i="12"/>
  <c r="U5" i="12"/>
  <c r="W5" i="12"/>
  <c r="K19" i="12"/>
  <c r="I21" i="12"/>
  <c r="L19" i="12"/>
  <c r="Z19" i="12"/>
  <c r="Z24" i="12"/>
  <c r="Z33" i="12"/>
  <c r="X5" i="12"/>
  <c r="AD19" i="12"/>
  <c r="AD24" i="12"/>
  <c r="AD33" i="12"/>
  <c r="Y5" i="12"/>
  <c r="AE19" i="12"/>
  <c r="AE24" i="12"/>
  <c r="AE33" i="12"/>
  <c r="Z5" i="12"/>
  <c r="M19" i="12"/>
  <c r="AA5" i="12"/>
  <c r="AB5" i="12"/>
  <c r="AE5" i="12"/>
  <c r="AF5" i="12"/>
  <c r="V5" i="12"/>
  <c r="U6" i="12"/>
  <c r="W6" i="12"/>
  <c r="K20" i="12"/>
  <c r="J21" i="12"/>
  <c r="L20" i="12"/>
  <c r="Z20" i="12"/>
  <c r="Z29" i="12"/>
  <c r="Z34" i="12"/>
  <c r="X6" i="12"/>
  <c r="AD20" i="12"/>
  <c r="AD29" i="12"/>
  <c r="AD34" i="12"/>
  <c r="Y6" i="12"/>
  <c r="AE20" i="12"/>
  <c r="AE29" i="12"/>
  <c r="AE34" i="12"/>
  <c r="Z6" i="12"/>
  <c r="M20" i="12"/>
  <c r="AA6" i="12"/>
  <c r="AB6" i="12"/>
  <c r="AE6" i="12"/>
  <c r="AF6" i="12"/>
  <c r="V6" i="12"/>
  <c r="U7" i="12"/>
  <c r="W7" i="12"/>
  <c r="L21" i="12"/>
  <c r="Z25" i="12"/>
  <c r="Z30" i="12"/>
  <c r="Z35" i="12"/>
  <c r="X7" i="12"/>
  <c r="AD25" i="12"/>
  <c r="AD30" i="12"/>
  <c r="AD35" i="12"/>
  <c r="Y7" i="12"/>
  <c r="AE25" i="12"/>
  <c r="AE30" i="12"/>
  <c r="AE35" i="12"/>
  <c r="Z7" i="12"/>
  <c r="M21" i="12"/>
  <c r="AA7" i="12"/>
  <c r="AB7" i="12"/>
  <c r="AE7" i="12"/>
  <c r="AF7" i="12"/>
  <c r="V7" i="12"/>
  <c r="V14" i="12"/>
  <c r="T14" i="12"/>
  <c r="S14" i="12"/>
  <c r="R14" i="12"/>
  <c r="Q14" i="12"/>
  <c r="P14" i="12"/>
  <c r="V13" i="12"/>
  <c r="T13" i="12"/>
  <c r="S13" i="12"/>
  <c r="R13" i="12"/>
  <c r="Q13" i="12"/>
  <c r="P13" i="12"/>
  <c r="V12" i="12"/>
  <c r="T12" i="12"/>
  <c r="S12" i="12"/>
  <c r="R12" i="12"/>
  <c r="Q12" i="12"/>
  <c r="P12" i="12"/>
  <c r="V11" i="12"/>
  <c r="T11" i="12"/>
  <c r="S11" i="12"/>
  <c r="R11" i="12"/>
  <c r="Q11" i="12"/>
  <c r="P11" i="12"/>
  <c r="K17" i="11"/>
  <c r="J17" i="11"/>
  <c r="I17" i="11"/>
  <c r="H17" i="11"/>
  <c r="U4" i="11"/>
  <c r="P18" i="11"/>
  <c r="X18" i="11"/>
  <c r="P19" i="11"/>
  <c r="P20" i="11"/>
  <c r="X19" i="11"/>
  <c r="X20" i="11"/>
  <c r="X23" i="11"/>
  <c r="X24" i="11"/>
  <c r="X25" i="11"/>
  <c r="X28" i="11"/>
  <c r="X29" i="11"/>
  <c r="X30" i="11"/>
  <c r="X33" i="11"/>
  <c r="X34" i="11"/>
  <c r="X35" i="11"/>
  <c r="P21" i="11"/>
  <c r="P23" i="11"/>
  <c r="P24" i="11"/>
  <c r="P25" i="11"/>
  <c r="P26" i="11"/>
  <c r="P28" i="11"/>
  <c r="P29" i="11"/>
  <c r="P30" i="11"/>
  <c r="P31" i="11"/>
  <c r="P33" i="11"/>
  <c r="P34" i="11"/>
  <c r="P35" i="11"/>
  <c r="W4" i="11"/>
  <c r="L18" i="11"/>
  <c r="Z18" i="11"/>
  <c r="Z23" i="11"/>
  <c r="Z28" i="11"/>
  <c r="X4" i="11"/>
  <c r="AF16" i="11"/>
  <c r="AD18" i="11"/>
  <c r="AD23" i="11"/>
  <c r="AD28" i="11"/>
  <c r="Y4" i="11"/>
  <c r="AE18" i="11"/>
  <c r="AE23" i="11"/>
  <c r="AE28" i="11"/>
  <c r="Z4" i="11"/>
  <c r="M18" i="11"/>
  <c r="AA4" i="11"/>
  <c r="AB4" i="11"/>
  <c r="AE4" i="11"/>
  <c r="AF4" i="11"/>
  <c r="V4" i="11"/>
  <c r="U5" i="11"/>
  <c r="W5" i="11"/>
  <c r="L19" i="11"/>
  <c r="Z19" i="11"/>
  <c r="Z24" i="11"/>
  <c r="Z33" i="11"/>
  <c r="X5" i="11"/>
  <c r="AD19" i="11"/>
  <c r="AD24" i="11"/>
  <c r="AD33" i="11"/>
  <c r="Y5" i="11"/>
  <c r="AE19" i="11"/>
  <c r="AE24" i="11"/>
  <c r="AE33" i="11"/>
  <c r="Z5" i="11"/>
  <c r="M19" i="11"/>
  <c r="AA5" i="11"/>
  <c r="AB5" i="11"/>
  <c r="AE5" i="11"/>
  <c r="AF5" i="11"/>
  <c r="V5" i="11"/>
  <c r="U6" i="11"/>
  <c r="W6" i="11"/>
  <c r="K20" i="11"/>
  <c r="J21" i="11"/>
  <c r="L20" i="11"/>
  <c r="Z20" i="11"/>
  <c r="Z29" i="11"/>
  <c r="Z34" i="11"/>
  <c r="X6" i="11"/>
  <c r="AD20" i="11"/>
  <c r="AD29" i="11"/>
  <c r="AD34" i="11"/>
  <c r="Y6" i="11"/>
  <c r="AE20" i="11"/>
  <c r="AE29" i="11"/>
  <c r="AE34" i="11"/>
  <c r="Z6" i="11"/>
  <c r="M20" i="11"/>
  <c r="AA6" i="11"/>
  <c r="AB6" i="11"/>
  <c r="AE6" i="11"/>
  <c r="AF6" i="11"/>
  <c r="V6" i="11"/>
  <c r="U7" i="11"/>
  <c r="W7" i="11"/>
  <c r="L21" i="11"/>
  <c r="Z25" i="11"/>
  <c r="Z30" i="11"/>
  <c r="Z35" i="11"/>
  <c r="X7" i="11"/>
  <c r="AD25" i="11"/>
  <c r="AD30" i="11"/>
  <c r="AD35" i="11"/>
  <c r="Y7" i="11"/>
  <c r="AE25" i="11"/>
  <c r="AE30" i="11"/>
  <c r="AE35" i="11"/>
  <c r="Z7" i="11"/>
  <c r="M21" i="11"/>
  <c r="AA7" i="11"/>
  <c r="AB7" i="11"/>
  <c r="AE7" i="11"/>
  <c r="AF7" i="11"/>
  <c r="V7" i="11"/>
  <c r="V14" i="11"/>
  <c r="T14" i="11"/>
  <c r="S14" i="11"/>
  <c r="R14" i="11"/>
  <c r="Q14" i="11"/>
  <c r="P14" i="11"/>
  <c r="V13" i="11"/>
  <c r="T13" i="11"/>
  <c r="S13" i="11"/>
  <c r="R13" i="11"/>
  <c r="Q13" i="11"/>
  <c r="P13" i="11"/>
  <c r="V12" i="11"/>
  <c r="T12" i="11"/>
  <c r="S12" i="11"/>
  <c r="R12" i="11"/>
  <c r="Q12" i="11"/>
  <c r="P12" i="11"/>
  <c r="V11" i="11"/>
  <c r="T11" i="11"/>
  <c r="S11" i="11"/>
  <c r="R11" i="11"/>
  <c r="Q11" i="11"/>
  <c r="P11" i="11"/>
  <c r="K17" i="10"/>
  <c r="J17" i="10"/>
  <c r="I17" i="10"/>
  <c r="H17" i="10"/>
  <c r="U4" i="10"/>
  <c r="P18" i="10"/>
  <c r="X18" i="10"/>
  <c r="P19" i="10"/>
  <c r="P20" i="10"/>
  <c r="X19" i="10"/>
  <c r="X20" i="10"/>
  <c r="P23" i="10"/>
  <c r="P26" i="10"/>
  <c r="Q23" i="10"/>
  <c r="S23" i="10"/>
  <c r="T23" i="10"/>
  <c r="R23" i="10"/>
  <c r="V23" i="10"/>
  <c r="P24" i="10"/>
  <c r="Q24" i="10"/>
  <c r="S24" i="10"/>
  <c r="T24" i="10"/>
  <c r="R24" i="10"/>
  <c r="V24" i="10"/>
  <c r="P25" i="10"/>
  <c r="Q25" i="10"/>
  <c r="S25" i="10"/>
  <c r="T25" i="10"/>
  <c r="R25" i="10"/>
  <c r="V25" i="10"/>
  <c r="W23" i="10"/>
  <c r="X23" i="10"/>
  <c r="W24" i="10"/>
  <c r="X24" i="10"/>
  <c r="W25" i="10"/>
  <c r="X25" i="10"/>
  <c r="X28" i="10"/>
  <c r="X29" i="10"/>
  <c r="X30" i="10"/>
  <c r="X33" i="10"/>
  <c r="X34" i="10"/>
  <c r="X35" i="10"/>
  <c r="P21" i="10"/>
  <c r="P28" i="10"/>
  <c r="P29" i="10"/>
  <c r="P30" i="10"/>
  <c r="P31" i="10"/>
  <c r="P33" i="10"/>
  <c r="P34" i="10"/>
  <c r="P35" i="10"/>
  <c r="W4" i="10"/>
  <c r="L18" i="10"/>
  <c r="Z18" i="10"/>
  <c r="Y23" i="10"/>
  <c r="Z23" i="10"/>
  <c r="Z28" i="10"/>
  <c r="X4" i="10"/>
  <c r="AF16" i="10"/>
  <c r="AD18" i="10"/>
  <c r="AD23" i="10"/>
  <c r="AD28" i="10"/>
  <c r="Y4" i="10"/>
  <c r="AE18" i="10"/>
  <c r="AE23" i="10"/>
  <c r="AE28" i="10"/>
  <c r="Z4" i="10"/>
  <c r="M18" i="10"/>
  <c r="AA4" i="10"/>
  <c r="AB4" i="10"/>
  <c r="AE4" i="10"/>
  <c r="AF4" i="10"/>
  <c r="V4" i="10"/>
  <c r="U5" i="10"/>
  <c r="W5" i="10"/>
  <c r="L19" i="10"/>
  <c r="Z19" i="10"/>
  <c r="Y24" i="10"/>
  <c r="Z24" i="10"/>
  <c r="Z33" i="10"/>
  <c r="X5" i="10"/>
  <c r="AD19" i="10"/>
  <c r="AD24" i="10"/>
  <c r="AD33" i="10"/>
  <c r="Y5" i="10"/>
  <c r="AE19" i="10"/>
  <c r="AE24" i="10"/>
  <c r="AE33" i="10"/>
  <c r="Z5" i="10"/>
  <c r="M19" i="10"/>
  <c r="AA5" i="10"/>
  <c r="AB5" i="10"/>
  <c r="AE5" i="10"/>
  <c r="AF5" i="10"/>
  <c r="V5" i="10"/>
  <c r="U6" i="10"/>
  <c r="W6" i="10"/>
  <c r="K20" i="10"/>
  <c r="J21" i="10"/>
  <c r="L20" i="10"/>
  <c r="Z20" i="10"/>
  <c r="Z29" i="10"/>
  <c r="Z34" i="10"/>
  <c r="X6" i="10"/>
  <c r="AD20" i="10"/>
  <c r="AD29" i="10"/>
  <c r="AD34" i="10"/>
  <c r="Y6" i="10"/>
  <c r="AE20" i="10"/>
  <c r="AE29" i="10"/>
  <c r="AE34" i="10"/>
  <c r="Z6" i="10"/>
  <c r="M20" i="10"/>
  <c r="AA6" i="10"/>
  <c r="AB6" i="10"/>
  <c r="AE6" i="10"/>
  <c r="AF6" i="10"/>
  <c r="V6" i="10"/>
  <c r="U7" i="10"/>
  <c r="W7" i="10"/>
  <c r="L21" i="10"/>
  <c r="Y25" i="10"/>
  <c r="Z25" i="10"/>
  <c r="Z30" i="10"/>
  <c r="Z35" i="10"/>
  <c r="X7" i="10"/>
  <c r="AD25" i="10"/>
  <c r="AD30" i="10"/>
  <c r="AD35" i="10"/>
  <c r="Y7" i="10"/>
  <c r="AE25" i="10"/>
  <c r="AE30" i="10"/>
  <c r="AE35" i="10"/>
  <c r="Z7" i="10"/>
  <c r="M21" i="10"/>
  <c r="AA7" i="10"/>
  <c r="AB7" i="10"/>
  <c r="AE7" i="10"/>
  <c r="AF7" i="10"/>
  <c r="V7" i="10"/>
  <c r="V14" i="10"/>
  <c r="T14" i="10"/>
  <c r="S14" i="10"/>
  <c r="R14" i="10"/>
  <c r="Q14" i="10"/>
  <c r="P14" i="10"/>
  <c r="V13" i="10"/>
  <c r="T13" i="10"/>
  <c r="S13" i="10"/>
  <c r="R13" i="10"/>
  <c r="Q13" i="10"/>
  <c r="P13" i="10"/>
  <c r="V12" i="10"/>
  <c r="T12" i="10"/>
  <c r="S12" i="10"/>
  <c r="R12" i="10"/>
  <c r="Q12" i="10"/>
  <c r="P12" i="10"/>
  <c r="V11" i="10"/>
  <c r="T11" i="10"/>
  <c r="S11" i="10"/>
  <c r="R11" i="10"/>
  <c r="Q11" i="10"/>
  <c r="P11" i="10"/>
  <c r="U4" i="8"/>
  <c r="X18" i="8"/>
  <c r="P23" i="8"/>
  <c r="P26" i="8"/>
  <c r="Q23" i="8"/>
  <c r="S23" i="8"/>
  <c r="T23" i="8"/>
  <c r="R23" i="8"/>
  <c r="V23" i="8"/>
  <c r="P24" i="8"/>
  <c r="Q24" i="8"/>
  <c r="S24" i="8"/>
  <c r="T24" i="8"/>
  <c r="R24" i="8"/>
  <c r="V24" i="8"/>
  <c r="P25" i="8"/>
  <c r="Q25" i="8"/>
  <c r="S25" i="8"/>
  <c r="T25" i="8"/>
  <c r="R25" i="8"/>
  <c r="V25" i="8"/>
  <c r="W23" i="8"/>
  <c r="X23" i="8"/>
  <c r="X28" i="8"/>
  <c r="P18" i="8"/>
  <c r="P28" i="8"/>
  <c r="P19" i="8"/>
  <c r="P20" i="8"/>
  <c r="P21" i="8"/>
  <c r="X19" i="8"/>
  <c r="X20" i="8"/>
  <c r="W24" i="8"/>
  <c r="X24" i="8"/>
  <c r="W25" i="8"/>
  <c r="X25" i="8"/>
  <c r="X29" i="8"/>
  <c r="X30" i="8"/>
  <c r="X33" i="8"/>
  <c r="X34" i="8"/>
  <c r="X35" i="8"/>
  <c r="P29" i="8"/>
  <c r="P30" i="8"/>
  <c r="P31" i="8"/>
  <c r="P33" i="8"/>
  <c r="P34" i="8"/>
  <c r="P35" i="8"/>
  <c r="W4" i="8"/>
  <c r="K18" i="8"/>
  <c r="H21" i="8"/>
  <c r="I18" i="8"/>
  <c r="H19" i="8"/>
  <c r="L18" i="8"/>
  <c r="Z18" i="8"/>
  <c r="Y23" i="8"/>
  <c r="Z23" i="8"/>
  <c r="Z28" i="8"/>
  <c r="X4" i="8"/>
  <c r="AF16" i="8"/>
  <c r="AD18" i="8"/>
  <c r="AD23" i="8"/>
  <c r="AD28" i="8"/>
  <c r="Y4" i="8"/>
  <c r="AE18" i="8"/>
  <c r="AE23" i="8"/>
  <c r="AE28" i="8"/>
  <c r="Z4" i="8"/>
  <c r="M18" i="8"/>
  <c r="AA4" i="8"/>
  <c r="AE4" i="8"/>
  <c r="AB4" i="8"/>
  <c r="AF4" i="8"/>
  <c r="V4" i="8"/>
  <c r="U5" i="8"/>
  <c r="W5" i="8"/>
  <c r="J19" i="8"/>
  <c r="I20" i="8"/>
  <c r="L19" i="8"/>
  <c r="Z19" i="8"/>
  <c r="Y24" i="8"/>
  <c r="Z24" i="8"/>
  <c r="Z33" i="8"/>
  <c r="X5" i="8"/>
  <c r="AD19" i="8"/>
  <c r="AD24" i="8"/>
  <c r="AD33" i="8"/>
  <c r="Y5" i="8"/>
  <c r="AE19" i="8"/>
  <c r="AE24" i="8"/>
  <c r="AE33" i="8"/>
  <c r="Z5" i="8"/>
  <c r="M19" i="8"/>
  <c r="AA5" i="8"/>
  <c r="AE5" i="8"/>
  <c r="AB5" i="8"/>
  <c r="AF5" i="8"/>
  <c r="V5" i="8"/>
  <c r="U6" i="8"/>
  <c r="W6" i="8"/>
  <c r="K20" i="8"/>
  <c r="J21" i="8"/>
  <c r="L20" i="8"/>
  <c r="Z20" i="8"/>
  <c r="Z29" i="8"/>
  <c r="Z34" i="8"/>
  <c r="X6" i="8"/>
  <c r="AD20" i="8"/>
  <c r="AD29" i="8"/>
  <c r="AD34" i="8"/>
  <c r="Y6" i="8"/>
  <c r="AE20" i="8"/>
  <c r="AE29" i="8"/>
  <c r="AE34" i="8"/>
  <c r="Z6" i="8"/>
  <c r="M20" i="8"/>
  <c r="AA6" i="8"/>
  <c r="AE6" i="8"/>
  <c r="AB6" i="8"/>
  <c r="AF6" i="8"/>
  <c r="V6" i="8"/>
  <c r="U7" i="8"/>
  <c r="W7" i="8"/>
  <c r="L21" i="8"/>
  <c r="Y25" i="8"/>
  <c r="Z25" i="8"/>
  <c r="Z30" i="8"/>
  <c r="Z35" i="8"/>
  <c r="X7" i="8"/>
  <c r="AD25" i="8"/>
  <c r="AD30" i="8"/>
  <c r="AD35" i="8"/>
  <c r="Y7" i="8"/>
  <c r="AE25" i="8"/>
  <c r="AE30" i="8"/>
  <c r="AE35" i="8"/>
  <c r="Z7" i="8"/>
  <c r="M21" i="8"/>
  <c r="AA7" i="8"/>
  <c r="AE7" i="8"/>
  <c r="AB7" i="8"/>
  <c r="AF7" i="8"/>
  <c r="V7" i="8"/>
  <c r="V14" i="8"/>
  <c r="T14" i="8"/>
  <c r="S14" i="8"/>
  <c r="V13" i="8"/>
  <c r="T13" i="8"/>
  <c r="S13" i="8"/>
  <c r="V12" i="8"/>
  <c r="T12" i="8"/>
  <c r="S12" i="8"/>
  <c r="V11" i="8"/>
  <c r="T11" i="8"/>
  <c r="S11" i="8"/>
  <c r="C3" i="18"/>
  <c r="C4" i="18"/>
  <c r="C5" i="18"/>
  <c r="C6" i="18"/>
  <c r="C7" i="18"/>
  <c r="E35" i="18"/>
  <c r="D32" i="26"/>
  <c r="I14" i="22"/>
  <c r="E11" i="18"/>
  <c r="D34" i="26"/>
  <c r="I15" i="22"/>
  <c r="I26" i="22"/>
  <c r="E17" i="18"/>
  <c r="D33" i="26"/>
  <c r="I27" i="22"/>
  <c r="E8" i="18"/>
  <c r="D35" i="26"/>
  <c r="I38" i="22"/>
  <c r="I39" i="22"/>
  <c r="Q40" i="1"/>
  <c r="J14" i="22"/>
  <c r="J15" i="22"/>
  <c r="J26" i="22"/>
  <c r="J27" i="22"/>
  <c r="J38" i="22"/>
  <c r="J39" i="22"/>
  <c r="R40" i="1"/>
  <c r="E18" i="18"/>
  <c r="D7" i="26"/>
  <c r="B6" i="3"/>
  <c r="E6" i="18"/>
  <c r="D8" i="26"/>
  <c r="B7" i="3"/>
  <c r="E23" i="18"/>
  <c r="D9" i="26"/>
  <c r="B8" i="3"/>
  <c r="E13" i="18"/>
  <c r="D10" i="26"/>
  <c r="B9" i="3"/>
  <c r="E124" i="18"/>
  <c r="C11" i="3"/>
  <c r="C17" i="3"/>
  <c r="E93" i="18"/>
  <c r="B11" i="3"/>
  <c r="E19" i="18"/>
  <c r="D12" i="26"/>
  <c r="B12" i="3"/>
  <c r="E24" i="18"/>
  <c r="D13" i="26"/>
  <c r="B13" i="3"/>
  <c r="E5" i="18"/>
  <c r="D14" i="26"/>
  <c r="B14" i="3"/>
  <c r="E16" i="18"/>
  <c r="D15" i="26"/>
  <c r="B15" i="3"/>
  <c r="B17" i="3"/>
  <c r="E15" i="18"/>
  <c r="D17" i="26"/>
  <c r="B18" i="3"/>
  <c r="E10" i="18"/>
  <c r="D18" i="26"/>
  <c r="B19" i="3"/>
  <c r="E20" i="18"/>
  <c r="D19" i="26"/>
  <c r="B20" i="3"/>
  <c r="E34" i="18"/>
  <c r="D20" i="26"/>
  <c r="B21" i="3"/>
  <c r="F11" i="3"/>
  <c r="F17" i="3"/>
  <c r="E7" i="18"/>
  <c r="D22" i="26"/>
  <c r="E6" i="3"/>
  <c r="E14" i="18"/>
  <c r="D23" i="26"/>
  <c r="E7" i="3"/>
  <c r="E33" i="18"/>
  <c r="D24" i="26"/>
  <c r="E8" i="3"/>
  <c r="E22" i="18"/>
  <c r="D25" i="26"/>
  <c r="E9" i="3"/>
  <c r="E11" i="3"/>
  <c r="E9" i="18"/>
  <c r="D27" i="26"/>
  <c r="E12" i="3"/>
  <c r="E21" i="18"/>
  <c r="D28" i="26"/>
  <c r="E13" i="3"/>
  <c r="E12" i="18"/>
  <c r="D29" i="26"/>
  <c r="E14" i="3"/>
  <c r="E26" i="18"/>
  <c r="D30" i="26"/>
  <c r="E15" i="3"/>
  <c r="E17" i="3"/>
  <c r="E18" i="3"/>
  <c r="E19" i="3"/>
  <c r="E20" i="3"/>
  <c r="E21" i="3"/>
  <c r="E25" i="18"/>
  <c r="E27" i="18"/>
  <c r="E28" i="18"/>
  <c r="E29" i="18"/>
  <c r="E30" i="18"/>
  <c r="E31" i="18"/>
  <c r="E32" i="18"/>
  <c r="E36" i="18"/>
  <c r="E37" i="18"/>
  <c r="E38" i="18"/>
  <c r="E39" i="18"/>
  <c r="E40" i="18"/>
  <c r="E41" i="18"/>
  <c r="E42" i="18"/>
  <c r="E43" i="18"/>
  <c r="E44" i="18"/>
  <c r="E45" i="18"/>
  <c r="E46" i="18"/>
  <c r="E47" i="18"/>
  <c r="E48" i="18"/>
  <c r="E49" i="18"/>
  <c r="E50" i="18"/>
  <c r="E51" i="18"/>
  <c r="E52" i="18"/>
  <c r="E53" i="18"/>
  <c r="E54" i="18"/>
  <c r="E55" i="18"/>
  <c r="E56" i="18"/>
  <c r="E57" i="18"/>
  <c r="E58" i="18"/>
  <c r="E59" i="18"/>
  <c r="Q49" i="1"/>
  <c r="I12" i="22"/>
  <c r="I13" i="22"/>
  <c r="I24" i="22"/>
  <c r="I25" i="22"/>
  <c r="I36" i="22"/>
  <c r="I37" i="22"/>
  <c r="N40" i="1"/>
  <c r="J12" i="22"/>
  <c r="J13" i="22"/>
  <c r="J24" i="22"/>
  <c r="J25" i="22"/>
  <c r="J36" i="22"/>
  <c r="J37" i="22"/>
  <c r="O40" i="1"/>
  <c r="N49" i="1"/>
  <c r="I10" i="22"/>
  <c r="I11" i="22"/>
  <c r="I22" i="22"/>
  <c r="I23" i="22"/>
  <c r="I34" i="22"/>
  <c r="I35" i="22"/>
  <c r="K40" i="1"/>
  <c r="J10" i="22"/>
  <c r="J11" i="22"/>
  <c r="J22" i="22"/>
  <c r="J23" i="22"/>
  <c r="J34" i="22"/>
  <c r="J35" i="22"/>
  <c r="L40" i="1"/>
  <c r="K49" i="1"/>
  <c r="I8" i="22"/>
  <c r="I9" i="22"/>
  <c r="I20" i="22"/>
  <c r="I21" i="22"/>
  <c r="I32" i="22"/>
  <c r="I33" i="22"/>
  <c r="H40" i="1"/>
  <c r="J8" i="22"/>
  <c r="J9" i="22"/>
  <c r="J20" i="22"/>
  <c r="J21" i="22"/>
  <c r="J32" i="22"/>
  <c r="J33" i="22"/>
  <c r="I40" i="1"/>
  <c r="H49" i="1"/>
  <c r="I6" i="22"/>
  <c r="I7" i="22"/>
  <c r="I18" i="22"/>
  <c r="I19" i="22"/>
  <c r="I30" i="22"/>
  <c r="I31" i="22"/>
  <c r="E40" i="1"/>
  <c r="J6" i="22"/>
  <c r="J7" i="22"/>
  <c r="J18" i="22"/>
  <c r="J19" i="22"/>
  <c r="J30" i="22"/>
  <c r="J31" i="22"/>
  <c r="F40" i="1"/>
  <c r="E49" i="1"/>
  <c r="I4" i="22"/>
  <c r="B13" i="1"/>
  <c r="I5" i="22"/>
  <c r="B18" i="1"/>
  <c r="I16" i="22"/>
  <c r="B23" i="1"/>
  <c r="I17" i="22"/>
  <c r="B28" i="1"/>
  <c r="I28" i="22"/>
  <c r="B33" i="1"/>
  <c r="I29" i="22"/>
  <c r="B40" i="1"/>
  <c r="J4" i="22"/>
  <c r="C13" i="1"/>
  <c r="J5" i="22"/>
  <c r="C18" i="1"/>
  <c r="J16" i="22"/>
  <c r="C23" i="1"/>
  <c r="J17" i="22"/>
  <c r="C28" i="1"/>
  <c r="J28" i="22"/>
  <c r="C33" i="1"/>
  <c r="J29" i="22"/>
  <c r="C40" i="1"/>
  <c r="P14" i="8"/>
  <c r="B49" i="1"/>
  <c r="Q48" i="1"/>
  <c r="N48" i="1"/>
  <c r="K48" i="1"/>
  <c r="H48" i="1"/>
  <c r="E48" i="1"/>
  <c r="P13" i="8"/>
  <c r="B48" i="1"/>
  <c r="Q47" i="1"/>
  <c r="N47" i="1"/>
  <c r="K47" i="1"/>
  <c r="H47" i="1"/>
  <c r="E47" i="1"/>
  <c r="P12" i="8"/>
  <c r="B47" i="1"/>
  <c r="Q46" i="1"/>
  <c r="N46" i="1"/>
  <c r="K46" i="1"/>
  <c r="H46" i="1"/>
  <c r="E46" i="1"/>
  <c r="P11" i="8"/>
  <c r="B46" i="1"/>
  <c r="C8"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C9" i="18"/>
  <c r="O1" i="18"/>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K5" i="19"/>
  <c r="T14" i="1"/>
  <c r="T33" i="1"/>
  <c r="T11" i="1"/>
  <c r="K27" i="1"/>
  <c r="H27" i="1"/>
  <c r="E39" i="1"/>
  <c r="E32" i="1"/>
  <c r="K22" i="1"/>
  <c r="B39" i="1"/>
  <c r="E22" i="1"/>
  <c r="B22" i="1"/>
  <c r="Q27" i="1"/>
  <c r="Q22" i="1"/>
  <c r="N27" i="1"/>
  <c r="N22" i="1"/>
  <c r="B32" i="1"/>
  <c r="G4" i="19"/>
  <c r="B1" i="22"/>
  <c r="T31" i="1"/>
  <c r="I2" i="1"/>
  <c r="G1" i="19"/>
  <c r="E45" i="1"/>
  <c r="B2" i="3"/>
  <c r="B3" i="3"/>
  <c r="B2" i="26"/>
  <c r="E1" i="1"/>
  <c r="A1" i="19"/>
  <c r="H56" i="22"/>
  <c r="H48" i="22"/>
  <c r="B9" i="1"/>
  <c r="E5" i="3"/>
  <c r="H20" i="22"/>
  <c r="E19" i="10"/>
  <c r="E18" i="12"/>
  <c r="T16" i="1"/>
  <c r="H9" i="1"/>
  <c r="Q45" i="1"/>
  <c r="C2" i="1"/>
  <c r="F2" i="1"/>
  <c r="H19" i="22"/>
  <c r="E26" i="1"/>
  <c r="H18" i="22"/>
  <c r="K9" i="1"/>
  <c r="N9" i="1"/>
  <c r="H24" i="22"/>
  <c r="H23" i="22"/>
  <c r="H58" i="22"/>
  <c r="H21" i="1"/>
  <c r="H35" i="22"/>
  <c r="K38" i="1"/>
  <c r="H46" i="22"/>
  <c r="H15" i="22"/>
  <c r="Q16" i="1"/>
  <c r="H43" i="22"/>
  <c r="H52" i="22"/>
  <c r="H50" i="22"/>
  <c r="H11" i="22"/>
  <c r="K16" i="1"/>
  <c r="H9" i="22"/>
  <c r="H16" i="1"/>
  <c r="H47" i="22"/>
  <c r="H33" i="22"/>
  <c r="H38" i="1"/>
  <c r="H51" i="22"/>
  <c r="H45" i="1"/>
  <c r="N45" i="1"/>
  <c r="K45" i="1"/>
  <c r="B45" i="1"/>
  <c r="H55" i="22"/>
  <c r="H21" i="22"/>
  <c r="L2" i="1"/>
  <c r="O2" i="1"/>
  <c r="R2"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B5" i="3"/>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E20" i="8"/>
  <c r="J17" i="8"/>
  <c r="F5" i="3"/>
  <c r="C5" i="3"/>
  <c r="E19" i="14"/>
  <c r="P36" i="12"/>
  <c r="E21" i="10"/>
  <c r="P36" i="14"/>
  <c r="E20" i="11"/>
  <c r="E21" i="14"/>
  <c r="E21" i="13"/>
  <c r="P36" i="10"/>
  <c r="E18" i="10"/>
  <c r="P36" i="11"/>
  <c r="E18" i="11"/>
  <c r="E19" i="13"/>
  <c r="E20" i="10"/>
  <c r="E20" i="12"/>
  <c r="P36" i="8"/>
  <c r="E21" i="8"/>
  <c r="K17" i="8"/>
  <c r="H17" i="8"/>
  <c r="E18" i="8"/>
  <c r="I17" i="8"/>
  <c r="E19" i="8"/>
  <c r="E38" i="1"/>
  <c r="B38" i="1"/>
  <c r="B31" i="1"/>
  <c r="H26" i="1"/>
  <c r="Q21" i="1"/>
  <c r="N26" i="1"/>
  <c r="Q26" i="1"/>
  <c r="K21" i="1"/>
  <c r="E31" i="1"/>
  <c r="N21" i="1"/>
  <c r="B26" i="1"/>
  <c r="K26" i="1"/>
  <c r="E21" i="1"/>
  <c r="E18" i="13"/>
  <c r="P36" i="13"/>
  <c r="E20" i="13"/>
  <c r="Q34" i="14"/>
  <c r="E20" i="14"/>
  <c r="T29" i="13"/>
  <c r="E18" i="14"/>
  <c r="H20" i="12"/>
  <c r="T23" i="12"/>
  <c r="S23" i="12"/>
  <c r="J18" i="12"/>
  <c r="AC4" i="12"/>
  <c r="I21" i="13"/>
  <c r="J18" i="13"/>
  <c r="H20" i="13"/>
  <c r="K19" i="13"/>
  <c r="K18" i="13"/>
  <c r="I20" i="13"/>
  <c r="H21" i="13"/>
  <c r="H19" i="13"/>
  <c r="AC7" i="13"/>
  <c r="J19" i="13"/>
  <c r="I18" i="13"/>
  <c r="AC4" i="13"/>
  <c r="AC6" i="13"/>
  <c r="AC5" i="13"/>
  <c r="H20" i="11"/>
  <c r="J18" i="11"/>
  <c r="T19" i="14"/>
  <c r="I20" i="14"/>
  <c r="S33" i="14"/>
  <c r="Q19" i="14"/>
  <c r="Q33" i="14"/>
  <c r="K18" i="14"/>
  <c r="H20" i="14"/>
  <c r="I18" i="14"/>
  <c r="H21" i="14"/>
  <c r="J18" i="14"/>
  <c r="T24" i="14"/>
  <c r="H19" i="14"/>
  <c r="S24" i="14"/>
  <c r="AC5" i="14"/>
  <c r="J19" i="14"/>
  <c r="AC4" i="14"/>
  <c r="S19" i="14"/>
  <c r="T33" i="14"/>
  <c r="Q24" i="14"/>
  <c r="I21" i="10"/>
  <c r="K19" i="10"/>
  <c r="AC5" i="10"/>
  <c r="K18" i="10"/>
  <c r="S30" i="10"/>
  <c r="I18" i="10"/>
  <c r="Q30" i="10"/>
  <c r="S19" i="10"/>
  <c r="T35" i="10"/>
  <c r="J18" i="10"/>
  <c r="T19" i="10"/>
  <c r="S35" i="10"/>
  <c r="H20" i="10"/>
  <c r="Q19" i="10"/>
  <c r="Q35" i="10"/>
  <c r="T33" i="10"/>
  <c r="J19" i="10"/>
  <c r="S33" i="10"/>
  <c r="H21" i="10"/>
  <c r="Q33" i="10"/>
  <c r="T30" i="10"/>
  <c r="I20" i="10"/>
  <c r="H19" i="10"/>
  <c r="Q23" i="12"/>
  <c r="I20" i="11"/>
  <c r="S29" i="10"/>
  <c r="T29" i="10"/>
  <c r="Q29" i="10"/>
  <c r="E21" i="11"/>
  <c r="S20" i="11"/>
  <c r="H21" i="11"/>
  <c r="I21" i="11"/>
  <c r="AC7" i="11"/>
  <c r="T19" i="13"/>
  <c r="S19" i="13"/>
  <c r="Q19" i="13"/>
  <c r="T28" i="10"/>
  <c r="S28" i="10"/>
  <c r="Q28" i="10"/>
  <c r="T30" i="14"/>
  <c r="S30" i="14"/>
  <c r="Q30" i="14"/>
  <c r="T34" i="13"/>
  <c r="S34" i="13"/>
  <c r="Q34" i="13"/>
  <c r="Q29" i="12"/>
  <c r="E19" i="12"/>
  <c r="H19" i="12"/>
  <c r="J19" i="12"/>
  <c r="I18" i="12"/>
  <c r="T18" i="13"/>
  <c r="S18" i="13"/>
  <c r="Q18" i="13"/>
  <c r="T20" i="11"/>
  <c r="T28" i="14"/>
  <c r="S28" i="14"/>
  <c r="Q28" i="14"/>
  <c r="S34" i="10"/>
  <c r="T34" i="10"/>
  <c r="Q34" i="10"/>
  <c r="T28" i="13"/>
  <c r="S28" i="13"/>
  <c r="Q28" i="13"/>
  <c r="T29" i="14"/>
  <c r="S29" i="14"/>
  <c r="Q29" i="14"/>
  <c r="S33" i="13"/>
  <c r="T33" i="13"/>
  <c r="Q33" i="13"/>
  <c r="T25" i="13"/>
  <c r="S25" i="13"/>
  <c r="Q25" i="13"/>
  <c r="T18" i="14"/>
  <c r="S18" i="14"/>
  <c r="Q18" i="14"/>
  <c r="I20" i="12"/>
  <c r="S34" i="12"/>
  <c r="T34" i="12"/>
  <c r="Q34" i="12"/>
  <c r="T23" i="13"/>
  <c r="S23" i="13"/>
  <c r="Q23" i="13"/>
  <c r="T34" i="14"/>
  <c r="S24" i="13"/>
  <c r="T24" i="13"/>
  <c r="Q24" i="13"/>
  <c r="T23" i="11"/>
  <c r="S23" i="11"/>
  <c r="Q23" i="11"/>
  <c r="S30" i="13"/>
  <c r="T30" i="13"/>
  <c r="Q30" i="13"/>
  <c r="T20" i="13"/>
  <c r="S20" i="13"/>
  <c r="Q20" i="13"/>
  <c r="Q18" i="11"/>
  <c r="T35" i="13"/>
  <c r="S35" i="13"/>
  <c r="Q35" i="13"/>
  <c r="S25" i="14"/>
  <c r="T25" i="14"/>
  <c r="Q25" i="14"/>
  <c r="T20" i="10"/>
  <c r="S20" i="10"/>
  <c r="Q20" i="10"/>
  <c r="Q29" i="11"/>
  <c r="E19" i="11"/>
  <c r="J19" i="11"/>
  <c r="H19" i="11"/>
  <c r="K19" i="11"/>
  <c r="T18" i="10"/>
  <c r="S18" i="10"/>
  <c r="Q18" i="10"/>
  <c r="T23" i="14"/>
  <c r="S23" i="14"/>
  <c r="Q23" i="14"/>
  <c r="T20" i="14"/>
  <c r="S20" i="14"/>
  <c r="Q20" i="14"/>
  <c r="I18" i="11"/>
  <c r="T35" i="14"/>
  <c r="S35" i="14"/>
  <c r="Q35" i="14"/>
  <c r="E21" i="12"/>
  <c r="S20" i="12"/>
  <c r="H21" i="12"/>
  <c r="K18" i="12"/>
  <c r="K18" i="11"/>
  <c r="S34" i="11"/>
  <c r="T34" i="11"/>
  <c r="Q34" i="11"/>
  <c r="J18" i="8"/>
  <c r="AA28" i="8"/>
  <c r="T28" i="8"/>
  <c r="AB28" i="8"/>
  <c r="S28" i="8"/>
  <c r="Q28" i="8"/>
  <c r="T18" i="8"/>
  <c r="AA18" i="8"/>
  <c r="S18" i="8"/>
  <c r="Q18" i="8"/>
  <c r="I21" i="8"/>
  <c r="AB35" i="8"/>
  <c r="S33" i="8"/>
  <c r="Q35" i="8"/>
  <c r="S19" i="8"/>
  <c r="Q30" i="8"/>
  <c r="T34" i="8"/>
  <c r="T29" i="8"/>
  <c r="H20" i="8"/>
  <c r="AB20" i="8"/>
  <c r="AC29" i="8"/>
  <c r="T20" i="8"/>
  <c r="Q29" i="8"/>
  <c r="K19" i="8"/>
  <c r="AC24" i="8"/>
  <c r="T33" i="8"/>
  <c r="AC30" i="8"/>
  <c r="S20" i="8"/>
  <c r="T19" i="8"/>
  <c r="AA24" i="8"/>
  <c r="AA33" i="8"/>
  <c r="AC20" i="8"/>
  <c r="T35" i="8"/>
  <c r="S29" i="8"/>
  <c r="AB25" i="8"/>
  <c r="S34" i="8"/>
  <c r="T30" i="8"/>
  <c r="S35" i="8"/>
  <c r="S30" i="8"/>
  <c r="AC7" i="12"/>
  <c r="AC6" i="11"/>
  <c r="AC5" i="11"/>
  <c r="AC4" i="11"/>
  <c r="AC7" i="14"/>
  <c r="AC5" i="12"/>
  <c r="AC6" i="14"/>
  <c r="AC6" i="12"/>
  <c r="AC6" i="10"/>
  <c r="AC7" i="10"/>
  <c r="AC4" i="10"/>
  <c r="AC7" i="8"/>
  <c r="AC4" i="8"/>
  <c r="S34" i="14"/>
  <c r="R34" i="14"/>
  <c r="V34" i="14"/>
  <c r="S29" i="13"/>
  <c r="R29" i="13"/>
  <c r="Q29" i="13"/>
  <c r="Q20" i="11"/>
  <c r="S18" i="11"/>
  <c r="T18" i="11"/>
  <c r="Q20" i="12"/>
  <c r="S29" i="11"/>
  <c r="R24" i="14"/>
  <c r="V24" i="14"/>
  <c r="R19" i="14"/>
  <c r="V19" i="14"/>
  <c r="R34" i="10"/>
  <c r="V34" i="10"/>
  <c r="R28" i="14"/>
  <c r="V28" i="14"/>
  <c r="R23" i="11"/>
  <c r="V23" i="11"/>
  <c r="R30" i="14"/>
  <c r="V30" i="14"/>
  <c r="R18" i="14"/>
  <c r="V18" i="14"/>
  <c r="R18" i="13"/>
  <c r="V18" i="13"/>
  <c r="R30" i="13"/>
  <c r="V30" i="13"/>
  <c r="R29" i="14"/>
  <c r="V29" i="14"/>
  <c r="R18" i="10"/>
  <c r="V18" i="10"/>
  <c r="R35" i="13"/>
  <c r="V35" i="13"/>
  <c r="R25" i="13"/>
  <c r="V25" i="13"/>
  <c r="R34" i="13"/>
  <c r="V34" i="13"/>
  <c r="R20" i="11"/>
  <c r="R23" i="12"/>
  <c r="V23" i="12"/>
  <c r="R33" i="13"/>
  <c r="V33" i="13"/>
  <c r="R34" i="11"/>
  <c r="V34" i="11"/>
  <c r="AB25" i="12"/>
  <c r="AB30" i="12"/>
  <c r="AA24" i="11"/>
  <c r="AA19" i="11"/>
  <c r="T29" i="11"/>
  <c r="R19" i="13"/>
  <c r="V19" i="13"/>
  <c r="AB30" i="11"/>
  <c r="AB25" i="11"/>
  <c r="AA34" i="10"/>
  <c r="AC20" i="10"/>
  <c r="R33" i="10"/>
  <c r="V33" i="10"/>
  <c r="AA29" i="10"/>
  <c r="AB20" i="10"/>
  <c r="AB23" i="10"/>
  <c r="AB28" i="10"/>
  <c r="AC19" i="14"/>
  <c r="AA33" i="14"/>
  <c r="AC34" i="14"/>
  <c r="AC29" i="14"/>
  <c r="AB28" i="12"/>
  <c r="AB23" i="12"/>
  <c r="R20" i="14"/>
  <c r="V20" i="14"/>
  <c r="S19" i="11"/>
  <c r="T19" i="11"/>
  <c r="Q19" i="11"/>
  <c r="AC19" i="12"/>
  <c r="AA33" i="12"/>
  <c r="S33" i="12"/>
  <c r="T33" i="12"/>
  <c r="Q33" i="12"/>
  <c r="R35" i="10"/>
  <c r="V35" i="10"/>
  <c r="AB25" i="14"/>
  <c r="AB30" i="14"/>
  <c r="AB18" i="11"/>
  <c r="AA28" i="11"/>
  <c r="AB23" i="13"/>
  <c r="AB28" i="13"/>
  <c r="AB18" i="12"/>
  <c r="AA28" i="12"/>
  <c r="R34" i="12"/>
  <c r="V34" i="12"/>
  <c r="AB33" i="12"/>
  <c r="AC24" i="12"/>
  <c r="T24" i="12"/>
  <c r="S24" i="12"/>
  <c r="Q24" i="12"/>
  <c r="AC35" i="10"/>
  <c r="AC30" i="10"/>
  <c r="AA33" i="10"/>
  <c r="AC19" i="10"/>
  <c r="AC25" i="10"/>
  <c r="AB35" i="10"/>
  <c r="AB18" i="14"/>
  <c r="AA28" i="14"/>
  <c r="AA18" i="14"/>
  <c r="AA23" i="14"/>
  <c r="R33" i="14"/>
  <c r="V33" i="14"/>
  <c r="AB20" i="11"/>
  <c r="AA29" i="11"/>
  <c r="AA24" i="13"/>
  <c r="AA19" i="13"/>
  <c r="AB33" i="13"/>
  <c r="AC24" i="13"/>
  <c r="AB28" i="11"/>
  <c r="AB23" i="11"/>
  <c r="AA33" i="11"/>
  <c r="AC19" i="11"/>
  <c r="AC34" i="11"/>
  <c r="AC29" i="11"/>
  <c r="AC20" i="12"/>
  <c r="AA34" i="12"/>
  <c r="Q28" i="11"/>
  <c r="AA19" i="12"/>
  <c r="AA24" i="12"/>
  <c r="AC34" i="10"/>
  <c r="AC29" i="10"/>
  <c r="AA28" i="10"/>
  <c r="AB18" i="10"/>
  <c r="AA24" i="14"/>
  <c r="AA19" i="14"/>
  <c r="AB20" i="14"/>
  <c r="AA29" i="14"/>
  <c r="AC20" i="14"/>
  <c r="AA34" i="14"/>
  <c r="AB25" i="13"/>
  <c r="AB30" i="13"/>
  <c r="AC35" i="13"/>
  <c r="AC30" i="13"/>
  <c r="S35" i="12"/>
  <c r="T35" i="12"/>
  <c r="Q35" i="12"/>
  <c r="R35" i="14"/>
  <c r="V35" i="14"/>
  <c r="R23" i="14"/>
  <c r="V23" i="14"/>
  <c r="S33" i="11"/>
  <c r="T33" i="11"/>
  <c r="Q33" i="11"/>
  <c r="R25" i="14"/>
  <c r="V25" i="14"/>
  <c r="R23" i="13"/>
  <c r="V23" i="13"/>
  <c r="T28" i="11"/>
  <c r="AA18" i="12"/>
  <c r="AA23" i="12"/>
  <c r="S19" i="12"/>
  <c r="T19" i="12"/>
  <c r="Q19" i="12"/>
  <c r="T30" i="11"/>
  <c r="S30" i="11"/>
  <c r="Q30" i="11"/>
  <c r="R29" i="10"/>
  <c r="V29" i="10"/>
  <c r="AA23" i="10"/>
  <c r="AA18" i="10"/>
  <c r="AB33" i="14"/>
  <c r="AC24" i="14"/>
  <c r="AC25" i="14"/>
  <c r="AB35" i="14"/>
  <c r="AC29" i="13"/>
  <c r="AC34" i="13"/>
  <c r="AC20" i="13"/>
  <c r="AA34" i="13"/>
  <c r="AA29" i="13"/>
  <c r="AB20" i="13"/>
  <c r="T30" i="12"/>
  <c r="S30" i="12"/>
  <c r="Q30" i="12"/>
  <c r="R20" i="10"/>
  <c r="V20" i="10"/>
  <c r="S28" i="11"/>
  <c r="R28" i="13"/>
  <c r="V28" i="13"/>
  <c r="R28" i="10"/>
  <c r="V28" i="10"/>
  <c r="AC25" i="11"/>
  <c r="AB35" i="11"/>
  <c r="T25" i="11"/>
  <c r="S25" i="11"/>
  <c r="Q25" i="11"/>
  <c r="AA34" i="11"/>
  <c r="AC20" i="11"/>
  <c r="AB25" i="10"/>
  <c r="AB30" i="10"/>
  <c r="AB28" i="14"/>
  <c r="AB23" i="14"/>
  <c r="AA18" i="13"/>
  <c r="AA23" i="13"/>
  <c r="AB18" i="13"/>
  <c r="AA28" i="13"/>
  <c r="AC35" i="12"/>
  <c r="AC30" i="12"/>
  <c r="T18" i="12"/>
  <c r="S18" i="12"/>
  <c r="Q18" i="12"/>
  <c r="T24" i="11"/>
  <c r="S24" i="11"/>
  <c r="Q24" i="11"/>
  <c r="S28" i="12"/>
  <c r="T28" i="12"/>
  <c r="Q28" i="12"/>
  <c r="AC35" i="11"/>
  <c r="AC30" i="11"/>
  <c r="T29" i="12"/>
  <c r="AC35" i="14"/>
  <c r="AC30" i="14"/>
  <c r="AA33" i="13"/>
  <c r="AC19" i="13"/>
  <c r="AC29" i="12"/>
  <c r="AC34" i="12"/>
  <c r="T20" i="12"/>
  <c r="R20" i="12"/>
  <c r="AB35" i="12"/>
  <c r="AC25" i="12"/>
  <c r="T25" i="12"/>
  <c r="S25" i="12"/>
  <c r="Q25" i="12"/>
  <c r="AA23" i="11"/>
  <c r="AA18" i="11"/>
  <c r="AB33" i="11"/>
  <c r="AC24" i="11"/>
  <c r="R20" i="13"/>
  <c r="V20" i="13"/>
  <c r="R24" i="13"/>
  <c r="V24" i="13"/>
  <c r="T35" i="11"/>
  <c r="S35" i="11"/>
  <c r="Q35" i="11"/>
  <c r="S29" i="12"/>
  <c r="AA24" i="10"/>
  <c r="AA19" i="10"/>
  <c r="R19" i="10"/>
  <c r="V19" i="10"/>
  <c r="R30" i="10"/>
  <c r="V30" i="10"/>
  <c r="AB33" i="10"/>
  <c r="AC24" i="10"/>
  <c r="AC25" i="13"/>
  <c r="AB35" i="13"/>
  <c r="AB20" i="12"/>
  <c r="AA29" i="12"/>
  <c r="R29" i="8"/>
  <c r="V29" i="8"/>
  <c r="AA34" i="8"/>
  <c r="AC35" i="8"/>
  <c r="AB18" i="8"/>
  <c r="R18" i="8"/>
  <c r="V18" i="8"/>
  <c r="AA29" i="8"/>
  <c r="AA19" i="8"/>
  <c r="AB23" i="8"/>
  <c r="AC34" i="8"/>
  <c r="AA23" i="8"/>
  <c r="R20" i="8"/>
  <c r="R35" i="8"/>
  <c r="V35" i="8"/>
  <c r="R28" i="8"/>
  <c r="V28" i="8"/>
  <c r="AC25" i="8"/>
  <c r="AB33" i="8"/>
  <c r="AC19" i="8"/>
  <c r="AB30" i="8"/>
  <c r="R19" i="8"/>
  <c r="R33" i="8"/>
  <c r="R34" i="8"/>
  <c r="R30" i="8"/>
  <c r="V30" i="8"/>
  <c r="Q20" i="8"/>
  <c r="Q34" i="8"/>
  <c r="AC6" i="8"/>
  <c r="AC5" i="8"/>
  <c r="Q19" i="8"/>
  <c r="Q33" i="8"/>
  <c r="V29" i="13"/>
  <c r="W28" i="13"/>
  <c r="V20" i="11"/>
  <c r="R18" i="11"/>
  <c r="V18" i="11"/>
  <c r="V20" i="12"/>
  <c r="R29" i="11"/>
  <c r="V29" i="11"/>
  <c r="R35" i="11"/>
  <c r="V35" i="11"/>
  <c r="R28" i="11"/>
  <c r="V28" i="11"/>
  <c r="R35" i="12"/>
  <c r="V35" i="12"/>
  <c r="R33" i="12"/>
  <c r="V33" i="12"/>
  <c r="R29" i="12"/>
  <c r="V29" i="12"/>
  <c r="R28" i="12"/>
  <c r="V28" i="12"/>
  <c r="W29" i="14"/>
  <c r="Y28" i="14"/>
  <c r="W28" i="14"/>
  <c r="W33" i="13"/>
  <c r="Y29" i="14"/>
  <c r="R24" i="12"/>
  <c r="V24" i="12"/>
  <c r="R24" i="11"/>
  <c r="V24" i="11"/>
  <c r="Y25" i="14"/>
  <c r="W25" i="14"/>
  <c r="W20" i="10"/>
  <c r="Y20" i="10"/>
  <c r="Y29" i="10"/>
  <c r="W29" i="10"/>
  <c r="W23" i="14"/>
  <c r="Y23" i="14"/>
  <c r="W20" i="13"/>
  <c r="Y20" i="13"/>
  <c r="Y30" i="10"/>
  <c r="W30" i="10"/>
  <c r="W28" i="10"/>
  <c r="Y28" i="10"/>
  <c r="Y20" i="14"/>
  <c r="W20" i="14"/>
  <c r="W35" i="14"/>
  <c r="Y35" i="14"/>
  <c r="W24" i="13"/>
  <c r="Y24" i="13"/>
  <c r="W19" i="13"/>
  <c r="Y19" i="13"/>
  <c r="R25" i="12"/>
  <c r="V25" i="12"/>
  <c r="R33" i="11"/>
  <c r="V33" i="11"/>
  <c r="W19" i="14"/>
  <c r="Y19" i="14"/>
  <c r="Y30" i="14"/>
  <c r="W30" i="14"/>
  <c r="Y33" i="14"/>
  <c r="W33" i="14"/>
  <c r="R25" i="11"/>
  <c r="V25" i="11"/>
  <c r="R30" i="11"/>
  <c r="V30" i="11"/>
  <c r="Y18" i="13"/>
  <c r="Y25" i="13"/>
  <c r="W25" i="13"/>
  <c r="Y18" i="14"/>
  <c r="W18" i="14"/>
  <c r="W18" i="13"/>
  <c r="W35" i="10"/>
  <c r="Y35" i="10"/>
  <c r="Y34" i="14"/>
  <c r="W34" i="14"/>
  <c r="W35" i="13"/>
  <c r="Y35" i="13"/>
  <c r="Y24" i="14"/>
  <c r="W24" i="14"/>
  <c r="R19" i="11"/>
  <c r="V19" i="11"/>
  <c r="Y33" i="13"/>
  <c r="R18" i="12"/>
  <c r="V18" i="12"/>
  <c r="R30" i="12"/>
  <c r="V30" i="12"/>
  <c r="R19" i="12"/>
  <c r="V19" i="12"/>
  <c r="Y23" i="13"/>
  <c r="W23" i="13"/>
  <c r="Y18" i="10"/>
  <c r="W18" i="10"/>
  <c r="Y19" i="10"/>
  <c r="W19" i="10"/>
  <c r="Y34" i="13"/>
  <c r="W34" i="13"/>
  <c r="Y33" i="10"/>
  <c r="W33" i="10"/>
  <c r="Y34" i="10"/>
  <c r="W34" i="10"/>
  <c r="V33" i="8"/>
  <c r="V19" i="8"/>
  <c r="V34" i="8"/>
  <c r="V20" i="8"/>
  <c r="Y30" i="8"/>
  <c r="W28" i="8"/>
  <c r="Y28" i="8"/>
  <c r="Y29" i="8"/>
  <c r="W30" i="8"/>
  <c r="W29" i="8"/>
  <c r="Y29" i="13"/>
  <c r="Y30" i="13"/>
  <c r="Y28" i="13"/>
  <c r="W30" i="13"/>
  <c r="W29" i="13"/>
  <c r="Y33" i="12"/>
  <c r="W35" i="12"/>
  <c r="W33" i="12"/>
  <c r="Y35" i="12"/>
  <c r="W34" i="12"/>
  <c r="W34" i="11"/>
  <c r="W24" i="11"/>
  <c r="W23" i="11"/>
  <c r="Y23" i="11"/>
  <c r="Y24" i="11"/>
  <c r="Y34" i="12"/>
  <c r="Y30" i="12"/>
  <c r="W30" i="12"/>
  <c r="Y28" i="12"/>
  <c r="W28" i="12"/>
  <c r="W29" i="12"/>
  <c r="Y29" i="12"/>
  <c r="W19" i="12"/>
  <c r="Y19" i="12"/>
  <c r="Y18" i="12"/>
  <c r="W18" i="12"/>
  <c r="W20" i="12"/>
  <c r="Y20" i="12"/>
  <c r="W19" i="11"/>
  <c r="Y19" i="11"/>
  <c r="Y18" i="11"/>
  <c r="W18" i="11"/>
  <c r="Y20" i="11"/>
  <c r="W20" i="11"/>
  <c r="Y24" i="12"/>
  <c r="W24" i="12"/>
  <c r="W23" i="12"/>
  <c r="Y23" i="12"/>
  <c r="Y28" i="11"/>
  <c r="W28" i="11"/>
  <c r="Y25" i="12"/>
  <c r="W25" i="12"/>
  <c r="Y30" i="11"/>
  <c r="W30" i="11"/>
  <c r="W33" i="11"/>
  <c r="Y33" i="11"/>
  <c r="Y34" i="11"/>
  <c r="Y35" i="11"/>
  <c r="W35" i="11"/>
  <c r="Y29" i="11"/>
  <c r="Y25" i="11"/>
  <c r="W25" i="11"/>
  <c r="W29" i="11"/>
  <c r="Y19" i="8"/>
  <c r="W20" i="8"/>
  <c r="W18" i="8"/>
  <c r="Y20" i="8"/>
  <c r="Y18" i="8"/>
  <c r="W19" i="8"/>
  <c r="Y35" i="8"/>
  <c r="W33" i="8"/>
  <c r="Y34" i="8"/>
  <c r="W35" i="8"/>
  <c r="W34" i="8"/>
  <c r="Y33" i="8"/>
  <c r="U14" i="11"/>
  <c r="U13" i="11"/>
  <c r="U14" i="10"/>
  <c r="U13" i="10"/>
  <c r="U11" i="13"/>
  <c r="U12" i="13"/>
  <c r="U11" i="12"/>
  <c r="U12" i="12"/>
  <c r="U12" i="11"/>
  <c r="U11" i="11"/>
  <c r="U12" i="10"/>
  <c r="U11" i="10"/>
  <c r="U14" i="13"/>
  <c r="U13" i="13"/>
  <c r="U14" i="12"/>
  <c r="U13" i="12"/>
  <c r="F6" i="1"/>
  <c r="F4" i="1"/>
  <c r="E3" i="1"/>
  <c r="K3" i="1"/>
  <c r="H3" i="1"/>
  <c r="K4" i="1"/>
  <c r="E5" i="1"/>
  <c r="K5" i="1"/>
  <c r="H4" i="1"/>
  <c r="H6" i="1"/>
  <c r="N4" i="1"/>
  <c r="N6" i="1"/>
  <c r="N5" i="1"/>
  <c r="H5" i="1"/>
  <c r="E6" i="1"/>
  <c r="E4" i="1"/>
  <c r="N3" i="1"/>
  <c r="K6" i="1"/>
  <c r="I3" i="1"/>
  <c r="F3" i="1"/>
  <c r="L4" i="1"/>
  <c r="L5" i="1"/>
  <c r="I6" i="1"/>
  <c r="O5" i="1"/>
  <c r="O3" i="1"/>
  <c r="L6" i="1"/>
  <c r="F5" i="1"/>
  <c r="O6" i="1"/>
  <c r="I4" i="1"/>
  <c r="O4" i="1"/>
  <c r="I5" i="1"/>
  <c r="L3" i="1"/>
  <c r="U14" i="14"/>
  <c r="U14" i="8"/>
  <c r="U11" i="8"/>
  <c r="U12" i="8"/>
  <c r="U11" i="14"/>
  <c r="U12" i="14"/>
  <c r="U13" i="14"/>
  <c r="R13" i="8"/>
  <c r="U13" i="8"/>
  <c r="Q13" i="8"/>
  <c r="R14" i="8"/>
  <c r="Q14" i="8"/>
  <c r="R12" i="8"/>
  <c r="Q12" i="8"/>
  <c r="R11" i="8"/>
  <c r="Q11" i="8"/>
  <c r="C3" i="1"/>
  <c r="R3" i="1"/>
  <c r="C6" i="1"/>
  <c r="B3" i="1"/>
  <c r="Q6" i="1"/>
  <c r="Q5" i="1"/>
  <c r="Q4" i="1"/>
  <c r="Q3" i="1"/>
  <c r="B5" i="1"/>
  <c r="C5" i="1"/>
  <c r="R4" i="1"/>
  <c r="R6" i="1"/>
  <c r="R5" i="1"/>
  <c r="B4" i="1"/>
  <c r="C4" i="1"/>
  <c r="B6" i="1"/>
</calcChain>
</file>

<file path=xl/sharedStrings.xml><?xml version="1.0" encoding="utf-8"?>
<sst xmlns="http://schemas.openxmlformats.org/spreadsheetml/2006/main" count="1626" uniqueCount="900">
  <si>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</si>
  <si>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</si>
  <si>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</si>
  <si>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</si>
  <si>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</si>
  <si>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</si>
  <si>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</si>
  <si>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</si>
  <si>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</si>
  <si>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</si>
  <si>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</si>
  <si>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</si>
  <si>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</si>
  <si>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</si>
  <si>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</si>
  <si>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</si>
  <si>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</si>
  <si>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</si>
  <si>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</si>
  <si>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</si>
  <si>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</si>
  <si>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</si>
  <si>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</si>
  <si>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</si>
  <si>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</si>
  <si>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</si>
  <si>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</si>
  <si>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</si>
  <si>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</si>
  <si>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</si>
  <si>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</si>
  <si>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</si>
  <si>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1.</t>
  </si>
  <si>
    <t>2.</t>
  </si>
  <si>
    <t>3.</t>
  </si>
  <si>
    <t>4.</t>
  </si>
  <si>
    <t>-</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</si>
  <si>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</si>
  <si>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</si>
  <si>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</si>
  <si>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</si>
  <si>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</si>
  <si>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</si>
  <si>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</si>
  <si>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</si>
  <si>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</si>
  <si>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</si>
  <si>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</si>
  <si>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</si>
  <si>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</si>
  <si>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</si>
  <si>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</si>
  <si>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</si>
  <si>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</si>
  <si>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</si>
  <si>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</si>
  <si>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</si>
  <si>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</si>
  <si>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</si>
  <si>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</si>
  <si>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</si>
  <si>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</si>
  <si>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</si>
  <si>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</si>
  <si>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</si>
  <si>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</si>
  <si>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</si>
  <si>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</si>
  <si>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</si>
  <si>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</si>
  <si>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</si>
  <si>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</si>
  <si>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</si>
  <si>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</si>
  <si>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</si>
  <si>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</si>
  <si>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</si>
  <si>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</si>
  <si>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</si>
  <si>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</si>
  <si>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</si>
  <si>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</si>
  <si>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</si>
  <si>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</si>
  <si>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</si>
  <si>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</si>
  <si>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</si>
  <si>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</si>
  <si>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</si>
  <si>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</si>
  <si>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</si>
  <si>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</si>
  <si>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</si>
  <si>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</si>
  <si>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</si>
  <si>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</si>
  <si>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</si>
  <si>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</si>
  <si>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</si>
  <si>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</si>
  <si>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</si>
  <si>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</si>
  <si>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</si>
  <si>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</si>
  <si>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</si>
  <si>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</si>
  <si>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</si>
  <si>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</si>
  <si>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</si>
  <si>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</si>
  <si>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</si>
  <si>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</si>
  <si>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</si>
  <si>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</si>
  <si>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</si>
  <si>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</si>
  <si>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</si>
  <si>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</si>
  <si>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</si>
  <si>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</si>
  <si>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</si>
  <si>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</si>
  <si>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</si>
  <si>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</si>
  <si>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</si>
  <si>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</si>
  <si>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</si>
  <si>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</si>
  <si>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</si>
  <si>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</si>
  <si>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</si>
  <si>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</si>
  <si>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</si>
  <si>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</si>
  <si>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</si>
  <si>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</si>
  <si>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</si>
  <si>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</si>
  <si>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</si>
  <si>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</si>
  <si>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</si>
  <si>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</si>
  <si>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</si>
  <si>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</si>
  <si>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</si>
  <si>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</si>
  <si>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</si>
  <si>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</si>
  <si>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</si>
  <si>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</si>
  <si>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</si>
  <si>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</si>
  <si>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</si>
  <si>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</si>
  <si>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</si>
  <si>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</si>
  <si>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</si>
  <si>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</si>
  <si>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</si>
  <si>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</si>
  <si>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</si>
  <si>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</si>
  <si>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</si>
  <si>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</si>
  <si>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</si>
  <si>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</si>
  <si>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</si>
  <si>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valid</t>
  </si>
  <si>
    <t>A1</t>
  </si>
  <si>
    <t>A2</t>
  </si>
  <si>
    <t>A3</t>
  </si>
  <si>
    <t>A4</t>
  </si>
  <si>
    <t>B1</t>
  </si>
  <si>
    <t>B2</t>
  </si>
  <si>
    <t>B3</t>
  </si>
  <si>
    <t>B4</t>
  </si>
  <si>
    <t>C1</t>
  </si>
  <si>
    <t>C2</t>
  </si>
  <si>
    <t>C3</t>
  </si>
  <si>
    <t>C4</t>
  </si>
  <si>
    <t>D1</t>
  </si>
  <si>
    <t>D2</t>
  </si>
  <si>
    <t>D3</t>
  </si>
  <si>
    <t>D4</t>
  </si>
  <si>
    <t>E1</t>
  </si>
  <si>
    <t>E2</t>
  </si>
  <si>
    <t>E3</t>
  </si>
  <si>
    <t>E4</t>
  </si>
  <si>
    <t>Sum:</t>
  </si>
  <si>
    <t>GD</t>
  </si>
  <si>
    <t>Points</t>
  </si>
  <si>
    <t>Coefficient</t>
  </si>
  <si>
    <t>Dir. Comp. (3)</t>
  </si>
  <si>
    <t>Dir. Comp. (2)</t>
  </si>
  <si>
    <t>Match</t>
  </si>
  <si>
    <t>Score</t>
  </si>
  <si>
    <t>Pts/GD/For</t>
  </si>
  <si>
    <t>Goal difference</t>
  </si>
  <si>
    <t>Goals scored</t>
  </si>
  <si>
    <t>direct Comp. 3</t>
  </si>
  <si>
    <t>direct Comp. 2</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</si>
  <si>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</si>
  <si>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</si>
  <si>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</si>
  <si>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</si>
  <si>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</si>
  <si>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</si>
  <si>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</si>
  <si>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</si>
  <si>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</si>
  <si>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</si>
  <si>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</si>
  <si>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</si>
  <si>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</si>
  <si>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</si>
  <si>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</si>
  <si>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</si>
  <si>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</si>
  <si>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</si>
  <si>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</si>
  <si>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</si>
  <si>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</si>
  <si>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</si>
  <si>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</si>
  <si>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</si>
  <si>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</si>
  <si>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</si>
  <si>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</si>
  <si>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</si>
  <si>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</si>
  <si>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</si>
  <si>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</si>
  <si>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</si>
  <si>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</si>
  <si>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</si>
  <si>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</si>
  <si>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</si>
  <si>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</si>
  <si>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</si>
  <si>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</si>
  <si>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</si>
  <si>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</si>
  <si>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</si>
  <si>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</si>
  <si>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</si>
  <si>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</si>
  <si>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</si>
  <si>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</si>
  <si>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</si>
  <si>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</si>
  <si>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</si>
  <si>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</si>
  <si>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</si>
  <si>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</si>
  <si>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</si>
  <si>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</si>
  <si>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</si>
  <si>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</si>
  <si>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</si>
  <si>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</si>
  <si>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</si>
  <si>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</si>
  <si>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</si>
  <si>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</si>
  <si>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</si>
  <si>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</si>
  <si>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</si>
  <si>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</si>
  <si>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</si>
  <si>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</si>
  <si>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</si>
  <si>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</si>
  <si>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</si>
  <si>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</si>
  <si>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</si>
  <si>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</si>
  <si>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</si>
  <si>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</si>
  <si>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</si>
  <si>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</si>
  <si>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</si>
  <si>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</si>
  <si>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</si>
  <si>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</si>
  <si>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</si>
  <si>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</si>
  <si>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</si>
  <si>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</si>
  <si>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</si>
  <si>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</si>
  <si>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</si>
  <si>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</si>
  <si>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</si>
  <si>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</si>
  <si>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</si>
  <si>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</si>
  <si>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</si>
  <si>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</si>
  <si>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</si>
  <si>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</si>
  <si>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</si>
  <si>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</si>
  <si>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</si>
  <si>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</si>
  <si>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</si>
  <si>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</si>
  <si>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</si>
  <si>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</si>
  <si>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</si>
  <si>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</si>
  <si>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</si>
  <si>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</si>
  <si>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Sorted list</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</si>
  <si>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</si>
  <si>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</si>
  <si>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</si>
  <si>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</si>
  <si>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</si>
  <si>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</si>
  <si>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</si>
  <si>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</si>
  <si>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</si>
  <si>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</si>
  <si>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</si>
  <si>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</si>
  <si>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</si>
  <si>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</si>
  <si>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</si>
  <si>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</si>
  <si>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</si>
  <si>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</si>
  <si>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</si>
  <si>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</si>
  <si>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</si>
  <si>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</si>
  <si>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</si>
  <si>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</si>
  <si>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</si>
  <si>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</si>
  <si>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</si>
  <si>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</si>
  <si>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</si>
  <si>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</si>
  <si>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</si>
  <si>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</si>
  <si>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</si>
  <si>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</si>
  <si>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</si>
  <si>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</si>
  <si>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</si>
  <si>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</si>
  <si>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</si>
  <si>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</si>
  <si>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</si>
  <si>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</si>
  <si>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</si>
  <si>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</si>
  <si>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</si>
  <si>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</si>
  <si>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</si>
  <si>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</si>
  <si>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</si>
  <si>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</si>
  <si>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</si>
  <si>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</si>
  <si>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</si>
  <si>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</si>
  <si>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</si>
  <si>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</si>
  <si>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</si>
  <si>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</si>
  <si>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</si>
  <si>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</si>
  <si>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</si>
  <si>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</si>
  <si>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</si>
  <si>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</si>
  <si>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</si>
  <si>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</si>
  <si>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</si>
  <si>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</si>
  <si>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</si>
  <si>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</si>
  <si>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</si>
  <si>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</si>
  <si>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</si>
  <si>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</si>
  <si>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</si>
  <si>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</si>
  <si>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</si>
  <si>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</si>
  <si>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</si>
  <si>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</si>
  <si>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</si>
  <si>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</si>
  <si>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</si>
  <si>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</si>
  <si>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</si>
  <si>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</si>
  <si>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</si>
  <si>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</si>
  <si>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</si>
  <si>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</si>
  <si>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</si>
  <si>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</si>
  <si>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</si>
  <si>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</si>
  <si>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</si>
  <si>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</si>
  <si>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</si>
  <si>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</si>
  <si>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</si>
  <si>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</si>
  <si>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</si>
  <si>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</si>
  <si>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</si>
  <si>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</si>
  <si>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</si>
  <si>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</si>
  <si>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</si>
  <si>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</si>
  <si>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</si>
  <si>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</si>
  <si>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</si>
  <si>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</si>
  <si>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</si>
  <si>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</si>
  <si>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</si>
  <si>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</si>
  <si>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</si>
  <si>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</si>
  <si>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</si>
  <si>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</si>
  <si>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</si>
  <si>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</si>
  <si>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</si>
  <si>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</si>
  <si>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</si>
  <si>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</si>
  <si>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</si>
  <si>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</si>
  <si>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</si>
  <si>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</si>
  <si>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</si>
  <si>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</si>
  <si>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</si>
  <si>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</si>
  <si>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</si>
  <si>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</si>
  <si>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</si>
  <si>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</si>
  <si>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</si>
  <si>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</si>
  <si>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</si>
  <si>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</si>
  <si>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</si>
  <si>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</si>
  <si>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</si>
  <si>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</si>
  <si>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</si>
  <si>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</si>
  <si>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Results of direct encounters</t>
  </si>
  <si>
    <t>DC(2)</t>
  </si>
  <si>
    <t>Direct Comparison of 2</t>
  </si>
  <si>
    <t>Direct Comparison of 3</t>
  </si>
  <si>
    <t>Direct Comparison of 4</t>
  </si>
  <si>
    <t>DC(3)</t>
  </si>
  <si>
    <t>Penalty shootout</t>
  </si>
  <si>
    <t>DC(4.3)</t>
  </si>
  <si>
    <t>DC(4.3.2)</t>
  </si>
  <si>
    <t>DC(3.2)</t>
  </si>
  <si>
    <t>DC(4.2)</t>
  </si>
  <si>
    <t>direct Comp. 4.2</t>
  </si>
  <si>
    <t>Dir. Comp. (4.2)</t>
  </si>
  <si>
    <t>direct Comp. 4.3</t>
  </si>
  <si>
    <t>Dir. Comp. (4.3)</t>
  </si>
  <si>
    <t>Dir. Comp. (4.3.2)</t>
  </si>
  <si>
    <t>Goal difference zero</t>
  </si>
  <si>
    <t>Elfmeterschießen:</t>
  </si>
  <si>
    <t>Penalty shoot-out:</t>
  </si>
  <si>
    <t>Tiro de penalti:</t>
  </si>
  <si>
    <t>Tiro di rigore:</t>
  </si>
  <si>
    <t>Tirs au but :</t>
  </si>
  <si>
    <t>Gruppendritte</t>
  </si>
  <si>
    <t>TD</t>
  </si>
  <si>
    <t>:</t>
  </si>
  <si>
    <t>Gruppenkombination:</t>
  </si>
  <si>
    <t>Finnland</t>
  </si>
  <si>
    <t>Penalty</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</si>
  <si>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</si>
  <si>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</si>
  <si>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</si>
  <si>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</si>
  <si>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</si>
  <si>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</si>
  <si>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</si>
  <si>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</si>
  <si>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</si>
  <si>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</si>
  <si>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</si>
  <si>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</si>
  <si>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</si>
  <si>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</si>
  <si>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</si>
  <si>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</si>
  <si>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</si>
  <si>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</si>
  <si>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</si>
  <si>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</si>
  <si>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</si>
  <si>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</si>
  <si>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</si>
  <si>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</si>
  <si>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</si>
  <si>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</si>
  <si>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</si>
  <si>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</si>
  <si>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</si>
  <si>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</si>
  <si>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</si>
  <si>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</si>
  <si>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</si>
  <si>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</si>
  <si>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</si>
  <si>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</si>
  <si>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</si>
  <si>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</si>
  <si>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</si>
  <si>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</si>
  <si>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</si>
  <si>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</si>
  <si>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</si>
  <si>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</si>
  <si>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</si>
  <si>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</si>
  <si>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</si>
  <si>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</si>
  <si>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</si>
  <si>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</si>
  <si>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</si>
  <si>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</si>
  <si>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</si>
  <si>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</si>
  <si>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</si>
  <si>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</si>
  <si>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</si>
  <si>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</si>
  <si>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</si>
  <si>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</si>
  <si>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</si>
  <si>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</si>
  <si>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</si>
  <si>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</si>
  <si>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</si>
  <si>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</si>
  <si>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</si>
  <si>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</si>
  <si>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</si>
  <si>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</si>
  <si>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</si>
  <si>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</si>
  <si>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</si>
  <si>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</si>
  <si>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</si>
  <si>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</si>
  <si>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</si>
  <si>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</si>
  <si>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</si>
  <si>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</si>
  <si>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</si>
  <si>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</si>
  <si>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</si>
  <si>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Ranking</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</si>
  <si>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</si>
  <si>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</si>
  <si>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</si>
  <si>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</si>
  <si>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</si>
  <si>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</si>
  <si>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</si>
  <si>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</si>
  <si>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</si>
  <si>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</si>
  <si>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</si>
  <si>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</si>
  <si>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</si>
  <si>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</si>
  <si>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</si>
  <si>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</si>
  <si>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</si>
  <si>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</si>
  <si>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</si>
  <si>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</si>
  <si>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</si>
  <si>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</si>
  <si>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</si>
  <si>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</si>
  <si>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</si>
  <si>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</si>
  <si>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</si>
  <si>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</si>
  <si>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</si>
  <si>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</si>
  <si>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</si>
  <si>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</si>
  <si>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</si>
  <si>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</si>
  <si>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</si>
  <si>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</si>
  <si>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</si>
  <si>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</si>
  <si>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</si>
  <si>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</si>
  <si>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</si>
  <si>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</si>
  <si>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</si>
  <si>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</si>
  <si>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</si>
  <si>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</si>
  <si>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</si>
  <si>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</si>
  <si>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</si>
  <si>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</si>
  <si>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</si>
  <si>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</si>
  <si>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</si>
  <si>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</si>
  <si>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</si>
  <si>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</si>
  <si>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</si>
  <si>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</si>
  <si>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</si>
  <si>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</si>
  <si>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</si>
  <si>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</si>
  <si>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</si>
  <si>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</si>
  <si>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</si>
  <si>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</si>
  <si>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</si>
  <si>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</si>
  <si>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</si>
  <si>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</si>
  <si>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</si>
  <si>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</si>
  <si>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</si>
  <si>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</si>
  <si>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</si>
  <si>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</si>
  <si>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</si>
  <si>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</si>
  <si>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Row</t>
  </si>
  <si>
    <t>EET/CEST</t>
  </si>
  <si>
    <t>Factors</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</si>
  <si>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</si>
  <si>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</si>
  <si>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</si>
  <si>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</si>
  <si>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</si>
  <si>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</si>
  <si>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</si>
  <si>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</si>
  <si>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</si>
  <si>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</si>
  <si>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</si>
  <si>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</si>
  <si>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</si>
  <si>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</si>
  <si>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</si>
  <si>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</si>
  <si>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</si>
  <si>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</si>
  <si>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</si>
  <si>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</si>
  <si>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</si>
  <si>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</si>
  <si>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</si>
  <si>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</si>
  <si>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</si>
  <si>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</si>
  <si>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</si>
  <si>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</si>
  <si>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</si>
  <si>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</si>
  <si>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</si>
  <si>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</si>
  <si>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</si>
  <si>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</si>
  <si>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</si>
  <si>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</si>
  <si>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</si>
  <si>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</si>
  <si>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</si>
  <si>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</si>
  <si>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</si>
  <si>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</si>
  <si>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</si>
  <si>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</si>
  <si>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</si>
  <si>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</si>
  <si>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</si>
  <si>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</si>
  <si>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</si>
  <si>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</si>
  <si>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</si>
  <si>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</si>
  <si>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</si>
  <si>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</si>
  <si>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</si>
  <si>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</si>
  <si>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Rank Col. V</t>
  </si>
  <si>
    <t>Siege</t>
  </si>
  <si>
    <t>gagné</t>
  </si>
  <si>
    <t>vinto</t>
  </si>
  <si>
    <t>ganó</t>
  </si>
  <si>
    <t>wins</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</si>
  <si>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</si>
  <si>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</si>
  <si>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</si>
  <si>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</si>
  <si>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</si>
  <si>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</si>
  <si>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</si>
  <si>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</si>
  <si>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</si>
  <si>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</si>
  <si>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</si>
  <si>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</si>
  <si>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</si>
  <si>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</si>
  <si>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</si>
  <si>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</si>
  <si>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Penalty (?)</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</si>
  <si>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</si>
  <si>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</si>
  <si>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</si>
  <si>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</si>
  <si>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</si>
  <si>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</si>
  <si>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</si>
  <si>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</si>
  <si>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</si>
  <si>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</si>
  <si>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</si>
  <si>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</si>
  <si>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</si>
  <si>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</si>
  <si>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</si>
  <si>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</si>
  <si>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</si>
  <si>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</si>
  <si>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</si>
  <si>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</si>
  <si>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</si>
  <si>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</si>
  <si>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</si>
  <si>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</si>
  <si>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match count &gt; 0</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</si>
  <si>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</si>
  <si>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</si>
  <si>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</si>
  <si>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</si>
  <si>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</si>
  <si>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</si>
  <si>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</si>
  <si>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</si>
  <si>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</si>
  <si>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</si>
  <si>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</si>
  <si>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</si>
  <si>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</si>
  <si>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</si>
  <si>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</si>
  <si>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</si>
  <si>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</si>
  <si>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</si>
  <si>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</si>
  <si>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</si>
  <si>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</si>
  <si>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</si>
  <si>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</si>
  <si>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</si>
  <si>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</si>
  <si>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</si>
  <si>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</si>
  <si>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</si>
  <si>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</si>
  <si>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</si>
  <si>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</si>
  <si>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</si>
  <si>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</si>
  <si>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</si>
  <si>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</si>
  <si>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</si>
  <si>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</si>
  <si>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</si>
  <si>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</si>
  <si>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</si>
  <si>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</si>
  <si>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</si>
  <si>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</si>
  <si>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</si>
  <si>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</si>
  <si>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</si>
  <si>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</si>
  <si>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</si>
  <si>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</si>
  <si>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</si>
  <si>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</si>
  <si>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</si>
  <si>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</si>
  <si>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</si>
  <si>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</si>
  <si>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</si>
  <si>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</si>
  <si>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</si>
  <si>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</si>
  <si>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</si>
  <si>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</si>
  <si>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</si>
  <si>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</si>
  <si>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</si>
  <si>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</si>
  <si>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</si>
  <si>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</si>
  <si>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</si>
  <si>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</si>
  <si>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</si>
  <si>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</si>
  <si>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</si>
  <si>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</si>
  <si>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</si>
  <si>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</si>
  <si>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</si>
  <si>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</si>
  <si>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</si>
  <si>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</si>
  <si>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</si>
  <si>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</si>
  <si>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</si>
  <si>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</si>
  <si>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</si>
  <si>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</si>
  <si>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</si>
  <si>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</si>
  <si>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</si>
  <si>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</si>
  <si>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</si>
  <si>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</si>
  <si>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</si>
  <si>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</si>
  <si>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</si>
  <si>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</si>
  <si>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</si>
  <si>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</si>
  <si>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</si>
  <si>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</si>
  <si>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</si>
  <si>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</si>
  <si>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</si>
  <si>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</si>
  <si>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</si>
  <si>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</si>
  <si>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</si>
  <si>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</si>
  <si>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</si>
  <si>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</si>
  <si>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</si>
  <si>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</si>
  <si>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</si>
  <si>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</si>
  <si>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</si>
  <si>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</si>
  <si>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</si>
  <si>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</si>
  <si>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</si>
  <si>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</si>
  <si>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</si>
  <si>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</si>
  <si>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</si>
  <si>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</si>
  <si>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</si>
  <si>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</si>
  <si>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</si>
  <si>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</si>
  <si>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</si>
  <si>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</si>
  <si>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</si>
  <si>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</si>
  <si>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</si>
  <si>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</si>
  <si>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</si>
  <si>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Category</t>
  </si>
  <si>
    <t>For</t>
  </si>
  <si>
    <t>Against</t>
  </si>
  <si>
    <t>Penalties shoot</t>
  </si>
  <si>
    <t>Dir. Comp.(2)</t>
  </si>
  <si>
    <t>Hermann Baum</t>
  </si>
  <si>
    <t>https://hermann-baum.de/excel/UEFA_EURO/de/</t>
  </si>
  <si>
    <t>hb/tut-7
2025-01-18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</si>
</sst>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7]ddd/\,\ d/mm/yy"/>
    <numFmt numFmtId="165" formatCode="ddd\,\ dd/mm/yyyy\ \ \ \ \ \ hh:mm"/>
    <numFmt numFmtId="166" formatCode="ddd\,\ dd/mm/yyyy\ \ \ \ \ \ \ \ \ hh:mm"/>
    <numFmt numFmtId="167" formatCode=";;;"/>
    <numFmt numFmtId="168" formatCode="#,##0.0000000"/>
  </numFmts>
  <fonts count="75"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11"/>
      <color theme="7" tint="-0.249977111117893"/>
      <name val="Calibri"/>
      <family val="2"/>
      <scheme val="minor"/>
    </font>
    <font>
      <sz val="10"/>
      <color theme="5" tint="-0.249977111117893"/>
      <name val="Calibri"/>
      <family val="2"/>
      <scheme val="minor"/>
    </font>
    <font>
      <b/>
      <sz val="18"/>
      <color theme="8"/>
      <name val="Calibri"/>
      <family val="2"/>
      <scheme val="minor"/>
    </font>
    <font>
      <b/>
      <sz val="12"/>
      <color theme="7"/>
      <name val="Calibri"/>
      <family val="2"/>
      <scheme val="minor"/>
    </font>
    <font>
      <b/>
      <sz val="8"/>
      <color theme="7"/>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scheme val="minor"/>
    </font>
    <font>
      <b/>
      <sz val="9"/>
      <name val="Calibri"/>
      <family val="2"/>
    </font>
    <font>
      <b/>
      <sz val="14"/>
      <color theme="0"/>
      <name val="Calibri"/>
      <family val="2"/>
      <scheme val="minor"/>
    </font>
    <font>
      <b/>
      <sz val="11"/>
      <color theme="0"/>
      <name val="Calibri"/>
      <family val="2"/>
      <scheme val="minor"/>
    </font>
    <font>
      <sz val="11"/>
      <color theme="0" tint="-0.249977111117893"/>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b/>
      <sz val="10"/>
      <color theme="5" tint="-0.249977111117893"/>
      <name val="Calibri"/>
      <family val="2"/>
      <scheme val="minor"/>
    </font>
    <font>
      <sz val="10"/>
      <color theme="8"/>
      <name val="Calibri"/>
      <family val="2"/>
      <scheme val="minor"/>
    </font>
    <font>
      <sz val="11"/>
      <color theme="4" tint="-0.249977111117893"/>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0"/>
      <color rgb="FFDE500A"/>
      <name val="Calibri"/>
      <family val="2"/>
      <scheme val="minor"/>
    </font>
    <font>
      <b/>
      <sz val="22"/>
      <color rgb="FF0D98C9"/>
      <name val="Calibri"/>
      <family val="2"/>
      <scheme val="minor"/>
    </font>
    <font>
      <b/>
      <sz val="22"/>
      <color rgb="FFDE500A"/>
      <name val="Calibri"/>
      <family val="2"/>
      <scheme val="minor"/>
    </font>
    <font>
      <b/>
      <sz val="22"/>
      <color rgb="FFED7D31"/>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48">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bottom style="thin">
        <color theme="2" tint="-0.499984740745262"/>
      </bottom>
      <diagonal/>
    </border>
    <border>
      <left/>
      <right style="thick">
        <color theme="7"/>
      </right>
      <top/>
      <bottom style="thick">
        <color theme="7"/>
      </bottom>
      <diagonal/>
    </border>
    <border>
      <left/>
      <right/>
      <top/>
      <bottom style="thick">
        <color theme="7"/>
      </bottom>
      <diagonal/>
    </border>
    <border>
      <left style="thick">
        <color theme="7"/>
      </left>
      <right/>
      <top/>
      <bottom style="thick">
        <color theme="7"/>
      </bottom>
      <diagonal/>
    </border>
    <border>
      <left/>
      <right style="thick">
        <color theme="7"/>
      </right>
      <top/>
      <bottom/>
      <diagonal/>
    </border>
    <border>
      <left style="thick">
        <color theme="7"/>
      </left>
      <right/>
      <top/>
      <bottom/>
      <diagonal/>
    </border>
    <border>
      <left/>
      <right style="thick">
        <color theme="7"/>
      </right>
      <top style="thick">
        <color theme="7"/>
      </top>
      <bottom/>
      <diagonal/>
    </border>
    <border>
      <left/>
      <right/>
      <top style="thick">
        <color theme="7"/>
      </top>
      <bottom/>
      <diagonal/>
    </border>
    <border>
      <left style="thick">
        <color theme="7"/>
      </left>
      <right/>
      <top style="thick">
        <color theme="7"/>
      </top>
      <bottom/>
      <diagonal/>
    </border>
    <border>
      <left style="thin">
        <color theme="7"/>
      </left>
      <right style="thin">
        <color theme="7"/>
      </right>
      <top style="thin">
        <color theme="7"/>
      </top>
      <bottom style="thin">
        <color theme="7"/>
      </bottom>
      <diagonal/>
    </border>
    <border>
      <left/>
      <right/>
      <top/>
      <bottom style="thin">
        <color indexed="64"/>
      </bottom>
      <diagonal/>
    </border>
    <border>
      <left style="thin">
        <color theme="2" tint="-0.499984740745262"/>
      </left>
      <right style="thin">
        <color theme="2" tint="-0.499984740745262"/>
      </right>
      <top style="thin">
        <color theme="2" tint="-0.499984740745262"/>
      </top>
      <bottom style="thick">
        <color theme="2"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style="thick">
        <color theme="7"/>
      </left>
      <right style="thick">
        <color theme="7"/>
      </right>
      <top style="thick">
        <color theme="7"/>
      </top>
      <bottom/>
      <diagonal/>
    </border>
    <border>
      <left style="thick">
        <color theme="7"/>
      </left>
      <right style="thick">
        <color theme="7"/>
      </right>
      <top/>
      <bottom/>
      <diagonal/>
    </border>
    <border>
      <left style="thick">
        <color theme="7"/>
      </left>
      <right style="thick">
        <color theme="7"/>
      </right>
      <top/>
      <bottom style="thick">
        <color theme="7"/>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right style="medium">
        <color theme="7"/>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7"/>
      </left>
      <right/>
      <top style="thin">
        <color indexed="64"/>
      </top>
      <bottom style="thin">
        <color theme="7"/>
      </bottom>
      <diagonal/>
    </border>
    <border>
      <left/>
      <right/>
      <top style="thin">
        <color indexed="64"/>
      </top>
      <bottom style="thin">
        <color theme="7"/>
      </bottom>
      <diagonal/>
    </border>
    <border>
      <left/>
      <right style="thin">
        <color theme="7"/>
      </right>
      <top style="thin">
        <color indexed="64"/>
      </top>
      <bottom style="thin">
        <color theme="7"/>
      </bottom>
      <diagonal/>
    </border>
    <border>
      <left style="thin">
        <color theme="7"/>
      </left>
      <right/>
      <top style="thin">
        <color theme="7"/>
      </top>
      <bottom style="thin">
        <color theme="7"/>
      </bottom>
      <diagonal/>
    </border>
    <border>
      <left/>
      <right/>
      <top style="thin">
        <color theme="7"/>
      </top>
      <bottom style="thin">
        <color theme="7"/>
      </bottom>
      <diagonal/>
    </border>
    <border>
      <left/>
      <right style="thin">
        <color theme="7"/>
      </right>
      <top style="thin">
        <color theme="7"/>
      </top>
      <bottom style="thin">
        <color theme="7"/>
      </bottom>
      <diagonal/>
    </border>
    <border>
      <left style="medium">
        <color theme="7"/>
      </left>
      <right/>
      <top style="medium">
        <color theme="7"/>
      </top>
      <bottom/>
      <diagonal/>
    </border>
    <border>
      <left/>
      <right/>
      <top style="medium">
        <color theme="7"/>
      </top>
      <bottom/>
      <diagonal/>
    </border>
    <border>
      <left/>
      <right style="medium">
        <color theme="7"/>
      </right>
      <top style="medium">
        <color theme="7"/>
      </top>
      <bottom/>
      <diagonal/>
    </border>
    <border>
      <left style="medium">
        <color theme="7"/>
      </left>
      <right/>
      <top/>
      <bottom/>
      <diagonal/>
    </border>
    <border>
      <left style="medium">
        <color theme="7"/>
      </left>
      <right/>
      <top/>
      <bottom style="medium">
        <color theme="7"/>
      </bottom>
      <diagonal/>
    </border>
    <border>
      <left/>
      <right/>
      <top/>
      <bottom style="medium">
        <color theme="7"/>
      </bottom>
      <diagonal/>
    </border>
    <border>
      <left/>
      <right style="medium">
        <color theme="7"/>
      </right>
      <top/>
      <bottom style="medium">
        <color theme="7"/>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30" fillId="0" borderId="0" applyNumberFormat="0" applyFill="0" applyBorder="0" applyAlignment="0" applyProtection="0"/>
  </cellStyleXfs>
  <cellXfs count="489">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0" fillId="0" borderId="0" xfId="0" applyAlignment="1">
      <alignment horizontal="center"/>
    </xf>
    <xf numFmtId="0" fontId="0" fillId="0" borderId="0" xfId="0" applyBorder="1"/>
    <xf numFmtId="0" fontId="6" fillId="0" borderId="19" xfId="0" applyFont="1" applyBorder="1"/>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22" fillId="0" borderId="0" xfId="0" applyFont="1"/>
    <xf numFmtId="0" fontId="0" fillId="0" borderId="0" xfId="0" applyAlignment="1">
      <alignment horizontal="left"/>
    </xf>
    <xf numFmtId="0" fontId="0" fillId="0" borderId="21" xfId="0" applyBorder="1" applyAlignment="1">
      <alignment horizontal="center"/>
    </xf>
    <xf numFmtId="0" fontId="0" fillId="0" borderId="21" xfId="0" applyBorder="1"/>
    <xf numFmtId="0" fontId="0" fillId="0" borderId="22" xfId="0"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0" fontId="0" fillId="0" borderId="26" xfId="0" applyBorder="1"/>
    <xf numFmtId="0" fontId="0" fillId="0" borderId="27" xfId="0" applyBorder="1" applyAlignment="1">
      <alignment horizontal="center"/>
    </xf>
    <xf numFmtId="0" fontId="0" fillId="0" borderId="0" xfId="0" applyAlignment="1">
      <alignment horizontal="right"/>
    </xf>
    <xf numFmtId="0" fontId="0" fillId="2" borderId="28" xfId="0" applyFill="1" applyBorder="1"/>
    <xf numFmtId="0" fontId="0" fillId="0" borderId="29" xfId="0" applyBorder="1"/>
    <xf numFmtId="0" fontId="0" fillId="0" borderId="29" xfId="0" applyBorder="1" applyAlignment="1">
      <alignment horizontal="center"/>
    </xf>
    <xf numFmtId="0" fontId="25" fillId="0" borderId="0" xfId="0" applyFont="1" applyAlignment="1">
      <alignment horizontal="center"/>
    </xf>
    <xf numFmtId="0" fontId="26" fillId="0" borderId="0" xfId="0" applyFont="1"/>
    <xf numFmtId="0" fontId="0" fillId="0" borderId="0" xfId="0" applyFill="1" applyBorder="1" applyAlignment="1">
      <alignment horizontal="right"/>
    </xf>
    <xf numFmtId="0" fontId="0" fillId="0" borderId="0" xfId="0" applyFill="1" applyBorder="1" applyAlignment="1">
      <alignment horizontal="center"/>
    </xf>
    <xf numFmtId="0" fontId="0" fillId="0" borderId="0" xfId="0" applyFill="1" applyBorder="1"/>
    <xf numFmtId="0" fontId="0" fillId="0" borderId="17" xfId="0" applyBorder="1" applyAlignment="1">
      <alignment horizontal="right" indent="1"/>
    </xf>
    <xf numFmtId="0" fontId="0" fillId="0" borderId="19" xfId="0" applyBorder="1" applyAlignment="1">
      <alignment horizontal="right" indent="1"/>
    </xf>
    <xf numFmtId="0" fontId="20" fillId="0" borderId="30" xfId="0" applyFont="1" applyBorder="1" applyAlignment="1">
      <alignment horizontal="center"/>
    </xf>
    <xf numFmtId="0" fontId="0" fillId="0" borderId="0" xfId="0" applyAlignment="1">
      <alignment horizontal="right" indent="1"/>
    </xf>
    <xf numFmtId="0" fontId="23" fillId="0" borderId="0" xfId="0" applyFont="1" applyAlignment="1">
      <alignment horizontal="center"/>
    </xf>
    <xf numFmtId="0" fontId="0" fillId="0" borderId="23" xfId="0" applyBorder="1" applyAlignment="1">
      <alignment horizontal="center"/>
    </xf>
    <xf numFmtId="0" fontId="23" fillId="0" borderId="0" xfId="0" applyFont="1" applyAlignment="1">
      <alignment horizontal="right"/>
    </xf>
    <xf numFmtId="0" fontId="0" fillId="0" borderId="0" xfId="0" applyAlignment="1" applyProtection="1">
      <alignment horizontal="center"/>
      <protection locked="0"/>
    </xf>
    <xf numFmtId="0" fontId="0" fillId="8" borderId="0" xfId="0" applyFill="1" applyAlignment="1">
      <alignment horizontal="center"/>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1" borderId="5" xfId="0" applyFont="1" applyFill="1" applyBorder="1" applyAlignment="1" applyProtection="1">
      <alignment horizontal="center" vertical="center"/>
    </xf>
    <xf numFmtId="0" fontId="7" fillId="11" borderId="6" xfId="0" applyFont="1" applyFill="1" applyBorder="1" applyAlignment="1" applyProtection="1">
      <alignment horizontal="center" vertical="center"/>
    </xf>
    <xf numFmtId="0" fontId="23" fillId="0" borderId="0" xfId="0" quotePrefix="1" applyFont="1" applyAlignment="1">
      <alignment horizontal="center"/>
    </xf>
    <xf numFmtId="0" fontId="0" fillId="0" borderId="0" xfId="0" applyAlignment="1">
      <alignment horizontal="right" vertical="center"/>
    </xf>
    <xf numFmtId="0" fontId="0" fillId="0" borderId="0" xfId="0" applyAlignment="1">
      <alignment horizontal="left" vertical="center" indent="1"/>
    </xf>
    <xf numFmtId="0" fontId="32" fillId="0" borderId="0" xfId="0" applyFont="1" applyFill="1" applyBorder="1"/>
    <xf numFmtId="0" fontId="2" fillId="5" borderId="41"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49" xfId="0" applyFill="1" applyBorder="1" applyAlignment="1">
      <alignment horizontal="left" indent="1"/>
    </xf>
    <xf numFmtId="0" fontId="0" fillId="7" borderId="0" xfId="0" applyFill="1" applyBorder="1" applyAlignment="1">
      <alignment horizontal="right" indent="2"/>
    </xf>
    <xf numFmtId="0" fontId="0" fillId="7" borderId="50" xfId="0" applyFill="1" applyBorder="1" applyAlignment="1">
      <alignment horizontal="left" indent="1"/>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0" xfId="0" applyBorder="1" applyAlignment="1">
      <alignment horizontal="left"/>
    </xf>
    <xf numFmtId="0" fontId="0" fillId="3" borderId="0" xfId="0" applyFill="1" applyBorder="1" applyAlignment="1">
      <alignment horizontal="left"/>
    </xf>
    <xf numFmtId="0" fontId="0" fillId="3" borderId="20" xfId="0" applyFill="1" applyBorder="1"/>
    <xf numFmtId="0" fontId="23" fillId="0" borderId="0" xfId="0" applyFont="1" applyBorder="1" applyAlignment="1">
      <alignment horizontal="center"/>
    </xf>
    <xf numFmtId="0" fontId="20" fillId="0" borderId="0" xfId="0" applyFont="1" applyBorder="1" applyAlignment="1"/>
    <xf numFmtId="0" fontId="20" fillId="0" borderId="0" xfId="0" applyFont="1" applyAlignment="1">
      <alignment horizontal="center"/>
    </xf>
    <xf numFmtId="0" fontId="20" fillId="0" borderId="0" xfId="0" applyFont="1" applyBorder="1" applyAlignment="1">
      <alignment horizontal="center"/>
    </xf>
    <xf numFmtId="0" fontId="0" fillId="0" borderId="0" xfId="0" applyFont="1" applyBorder="1" applyAlignment="1">
      <alignment horizontal="center"/>
    </xf>
    <xf numFmtId="0" fontId="4" fillId="0" borderId="0" xfId="0" applyFont="1" applyAlignment="1" applyProtection="1"/>
    <xf numFmtId="0" fontId="31" fillId="0" borderId="0" xfId="0" applyFont="1" applyAlignment="1">
      <alignment horizontal="center"/>
    </xf>
    <xf numFmtId="0" fontId="34"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11" fillId="0" borderId="0" xfId="0" applyFont="1" applyAlignment="1">
      <alignment vertical="top"/>
    </xf>
    <xf numFmtId="0" fontId="37" fillId="5" borderId="19" xfId="0" applyFont="1" applyFill="1" applyBorder="1" applyAlignment="1" applyProtection="1">
      <alignment horizontal="center"/>
      <protection locked="0"/>
    </xf>
    <xf numFmtId="0" fontId="37" fillId="5" borderId="17" xfId="0" applyFont="1" applyFill="1" applyBorder="1" applyAlignment="1" applyProtection="1">
      <alignment horizontal="center"/>
      <protection locked="0"/>
    </xf>
    <xf numFmtId="0" fontId="0" fillId="0" borderId="58" xfId="0" applyFill="1" applyBorder="1" applyAlignment="1">
      <alignment horizontal="left" indent="1"/>
    </xf>
    <xf numFmtId="165" fontId="0" fillId="0" borderId="0" xfId="0" applyNumberFormat="1" applyBorder="1" applyAlignment="1">
      <alignment horizontal="right" indent="2"/>
    </xf>
    <xf numFmtId="0" fontId="3" fillId="7" borderId="59" xfId="0" applyFont="1" applyFill="1" applyBorder="1"/>
    <xf numFmtId="0" fontId="38" fillId="0" borderId="0" xfId="0" applyFont="1" applyFill="1" applyBorder="1"/>
    <xf numFmtId="0" fontId="0" fillId="5" borderId="44" xfId="0" applyFill="1" applyBorder="1" applyAlignment="1" applyProtection="1">
      <alignment horizontal="left" indent="1"/>
      <protection locked="0"/>
    </xf>
    <xf numFmtId="0" fontId="0" fillId="5" borderId="46" xfId="0" applyFill="1" applyBorder="1" applyAlignment="1" applyProtection="1">
      <alignment horizontal="left" indent="1"/>
      <protection locked="0"/>
    </xf>
    <xf numFmtId="0" fontId="0" fillId="0" borderId="0" xfId="0" applyAlignment="1">
      <alignment horizontal="left" indent="1"/>
    </xf>
    <xf numFmtId="0" fontId="31" fillId="0" borderId="32" xfId="0" applyFont="1" applyFill="1" applyBorder="1" applyAlignment="1">
      <alignment horizontal="left" indent="1"/>
    </xf>
    <xf numFmtId="0" fontId="0" fillId="0" borderId="33" xfId="0" applyBorder="1" applyAlignment="1">
      <alignment horizontal="left" indent="1"/>
    </xf>
    <xf numFmtId="0" fontId="0" fillId="0" borderId="54" xfId="0" applyBorder="1" applyAlignment="1">
      <alignment horizontal="left" indent="1"/>
    </xf>
    <xf numFmtId="0" fontId="31" fillId="0" borderId="34" xfId="0" applyFont="1" applyFill="1" applyBorder="1" applyAlignment="1">
      <alignment horizontal="left" indent="1"/>
    </xf>
    <xf numFmtId="0" fontId="0" fillId="0" borderId="0" xfId="0" applyBorder="1" applyAlignment="1">
      <alignment horizontal="left" indent="1"/>
    </xf>
    <xf numFmtId="0" fontId="0" fillId="0" borderId="55" xfId="0" applyBorder="1" applyAlignment="1">
      <alignment horizontal="left" indent="1"/>
    </xf>
    <xf numFmtId="0" fontId="0" fillId="5" borderId="44" xfId="0" applyFill="1" applyBorder="1" applyAlignment="1" applyProtection="1">
      <alignment horizontal="left" vertical="center" wrapText="1" indent="1"/>
      <protection locked="0"/>
    </xf>
    <xf numFmtId="0" fontId="0" fillId="5" borderId="43"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40" fillId="0" borderId="0" xfId="0" applyFont="1" applyAlignment="1" applyProtection="1">
      <alignment horizontal="right"/>
    </xf>
    <xf numFmtId="0" fontId="41" fillId="0" borderId="0" xfId="0" applyFont="1" applyAlignment="1" applyProtection="1">
      <alignment horizontal="right"/>
    </xf>
    <xf numFmtId="0" fontId="0" fillId="3" borderId="27" xfId="0" applyFill="1" applyBorder="1"/>
    <xf numFmtId="0" fontId="0" fillId="0" borderId="25" xfId="0" applyBorder="1" applyAlignment="1">
      <alignment horizontal="center"/>
    </xf>
    <xf numFmtId="0" fontId="3" fillId="7" borderId="0" xfId="0" applyFont="1" applyFill="1" applyBorder="1" applyAlignment="1">
      <alignment horizontal="center"/>
    </xf>
    <xf numFmtId="0" fontId="0" fillId="0" borderId="0" xfId="0" quotePrefix="1" applyAlignment="1">
      <alignment horizontal="center"/>
    </xf>
    <xf numFmtId="0" fontId="42"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69" xfId="0" applyFont="1" applyBorder="1" applyAlignment="1">
      <alignment horizontal="center"/>
    </xf>
    <xf numFmtId="0" fontId="20" fillId="0" borderId="70" xfId="0" applyFont="1" applyBorder="1" applyAlignment="1">
      <alignment horizontal="center" wrapText="1"/>
    </xf>
    <xf numFmtId="0" fontId="0" fillId="0" borderId="71" xfId="0" applyBorder="1"/>
    <xf numFmtId="0" fontId="0" fillId="7" borderId="72" xfId="0" applyFill="1" applyBorder="1" applyAlignment="1">
      <alignment horizontal="center" vertical="center"/>
    </xf>
    <xf numFmtId="0" fontId="0" fillId="0" borderId="73" xfId="0" applyFill="1" applyBorder="1" applyAlignment="1">
      <alignment horizontal="center" vertical="center"/>
    </xf>
    <xf numFmtId="0" fontId="0" fillId="7" borderId="75" xfId="0" applyFill="1" applyBorder="1" applyAlignment="1">
      <alignment horizontal="center" vertical="center"/>
    </xf>
    <xf numFmtId="0" fontId="0" fillId="0" borderId="0" xfId="0" applyAlignment="1" applyProtection="1">
      <alignment vertical="center"/>
    </xf>
    <xf numFmtId="0" fontId="0" fillId="5" borderId="78" xfId="0" applyFill="1" applyBorder="1" applyAlignment="1" applyProtection="1">
      <alignment horizontal="left" vertical="center" wrapText="1" indent="1"/>
      <protection locked="0"/>
    </xf>
    <xf numFmtId="0" fontId="0" fillId="0" borderId="48" xfId="0" applyFill="1" applyBorder="1" applyAlignment="1">
      <alignment horizontal="left" indent="1"/>
    </xf>
    <xf numFmtId="0" fontId="0" fillId="0" borderId="76" xfId="0" applyFill="1" applyBorder="1" applyAlignment="1">
      <alignment horizontal="left" indent="1"/>
    </xf>
    <xf numFmtId="0" fontId="20" fillId="0" borderId="81" xfId="0" applyFont="1" applyBorder="1" applyAlignment="1">
      <alignment horizontal="center" wrapText="1"/>
    </xf>
    <xf numFmtId="0" fontId="27" fillId="0" borderId="0" xfId="0" applyFont="1" applyAlignment="1">
      <alignment vertical="top" wrapText="1"/>
    </xf>
    <xf numFmtId="0" fontId="44" fillId="0" borderId="0" xfId="0" applyFont="1" applyFill="1" applyAlignment="1">
      <alignment horizontal="center" vertical="center"/>
    </xf>
    <xf numFmtId="0" fontId="0" fillId="5" borderId="45" xfId="0" applyFill="1" applyBorder="1" applyAlignment="1" applyProtection="1">
      <alignment horizontal="left" vertical="top" wrapText="1" indent="1"/>
      <protection locked="0"/>
    </xf>
    <xf numFmtId="0" fontId="0" fillId="5" borderId="46"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9" fillId="4" borderId="65" xfId="0" applyFont="1" applyFill="1" applyBorder="1" applyAlignment="1" applyProtection="1">
      <alignment horizontal="center"/>
    </xf>
    <xf numFmtId="0" fontId="0" fillId="13" borderId="66" xfId="0" applyFill="1" applyBorder="1" applyAlignment="1" applyProtection="1">
      <alignment horizontal="center"/>
    </xf>
    <xf numFmtId="0" fontId="0" fillId="13" borderId="67" xfId="0" applyFill="1" applyBorder="1" applyAlignment="1" applyProtection="1">
      <alignment horizontal="center"/>
    </xf>
    <xf numFmtId="0" fontId="29" fillId="4" borderId="66" xfId="0" applyFont="1" applyFill="1" applyBorder="1" applyAlignment="1" applyProtection="1">
      <alignment horizontal="center"/>
    </xf>
    <xf numFmtId="0" fontId="0" fillId="13" borderId="68" xfId="0" applyFill="1" applyBorder="1" applyAlignment="1" applyProtection="1">
      <alignment horizontal="center"/>
    </xf>
    <xf numFmtId="0" fontId="0" fillId="9" borderId="36" xfId="0" applyFill="1" applyBorder="1" applyAlignment="1" applyProtection="1">
      <alignment horizontal="left" indent="1"/>
      <protection locked="0"/>
    </xf>
    <xf numFmtId="0" fontId="0" fillId="2" borderId="35" xfId="0" applyFill="1" applyBorder="1" applyAlignment="1" applyProtection="1">
      <alignment horizontal="left" indent="1"/>
      <protection locked="0"/>
    </xf>
    <xf numFmtId="0" fontId="0" fillId="6" borderId="36" xfId="0" applyFill="1" applyBorder="1" applyAlignment="1" applyProtection="1">
      <alignment horizontal="left" indent="1"/>
      <protection locked="0"/>
    </xf>
    <xf numFmtId="0" fontId="0" fillId="10" borderId="36" xfId="0" applyFill="1" applyBorder="1" applyAlignment="1" applyProtection="1">
      <alignment horizontal="left" indent="1"/>
      <protection locked="0"/>
    </xf>
    <xf numFmtId="0" fontId="0" fillId="2" borderId="39" xfId="0" applyFill="1" applyBorder="1" applyAlignment="1" applyProtection="1">
      <alignment horizontal="left" indent="1"/>
      <protection locked="0"/>
    </xf>
    <xf numFmtId="0" fontId="0" fillId="6" borderId="40" xfId="0" applyFill="1" applyBorder="1" applyAlignment="1" applyProtection="1">
      <alignment horizontal="left" indent="1"/>
      <protection locked="0"/>
    </xf>
    <xf numFmtId="0" fontId="0" fillId="9" borderId="40" xfId="0" applyFill="1" applyBorder="1" applyAlignment="1" applyProtection="1">
      <alignment horizontal="left" indent="1"/>
      <protection locked="0"/>
    </xf>
    <xf numFmtId="0" fontId="0" fillId="10" borderId="40" xfId="0" applyFill="1" applyBorder="1" applyAlignment="1" applyProtection="1">
      <alignment horizontal="left" indent="1"/>
      <protection locked="0"/>
    </xf>
    <xf numFmtId="0" fontId="0" fillId="2" borderId="35" xfId="0" applyFont="1" applyFill="1" applyBorder="1" applyAlignment="1" applyProtection="1">
      <alignment horizontal="left" vertical="center" indent="1"/>
      <protection locked="0"/>
    </xf>
    <xf numFmtId="0" fontId="0" fillId="6" borderId="36" xfId="0" applyFont="1" applyFill="1" applyBorder="1" applyAlignment="1" applyProtection="1">
      <alignment horizontal="left" vertical="center" indent="1"/>
      <protection locked="0"/>
    </xf>
    <xf numFmtId="0" fontId="0" fillId="9" borderId="36" xfId="0" applyFont="1" applyFill="1" applyBorder="1" applyAlignment="1" applyProtection="1">
      <alignment horizontal="left" vertical="center" indent="1"/>
      <protection locked="0"/>
    </xf>
    <xf numFmtId="0" fontId="0" fillId="10" borderId="36" xfId="0" applyFont="1" applyFill="1" applyBorder="1" applyAlignment="1" applyProtection="1">
      <alignment horizontal="left" vertical="center" indent="1"/>
      <protection locked="0"/>
    </xf>
    <xf numFmtId="0" fontId="0" fillId="2" borderId="35" xfId="0" applyFill="1" applyBorder="1" applyAlignment="1" applyProtection="1">
      <alignment horizontal="left" vertical="center" wrapText="1" indent="1"/>
      <protection locked="0"/>
    </xf>
    <xf numFmtId="0" fontId="0" fillId="6" borderId="36" xfId="0" applyFill="1" applyBorder="1" applyAlignment="1" applyProtection="1">
      <alignment horizontal="left" vertical="center" wrapText="1" indent="1"/>
      <protection locked="0"/>
    </xf>
    <xf numFmtId="0" fontId="0" fillId="9" borderId="36" xfId="0" applyFill="1" applyBorder="1" applyAlignment="1" applyProtection="1">
      <alignment horizontal="left" vertical="center" wrapText="1" indent="1"/>
      <protection locked="0"/>
    </xf>
    <xf numFmtId="0" fontId="0" fillId="10" borderId="36" xfId="0" applyFill="1" applyBorder="1" applyAlignment="1" applyProtection="1">
      <alignment horizontal="left" vertical="center" wrapText="1" indent="1"/>
      <protection locked="0"/>
    </xf>
    <xf numFmtId="0" fontId="0" fillId="2" borderId="35" xfId="0" applyFill="1" applyBorder="1" applyAlignment="1" applyProtection="1">
      <alignment horizontal="left" vertical="center" indent="1"/>
      <protection locked="0"/>
    </xf>
    <xf numFmtId="0" fontId="0" fillId="6" borderId="36" xfId="0" applyFill="1" applyBorder="1" applyAlignment="1" applyProtection="1">
      <alignment horizontal="left" vertical="center" indent="1"/>
      <protection locked="0"/>
    </xf>
    <xf numFmtId="0" fontId="0" fillId="9" borderId="36" xfId="0" applyFill="1" applyBorder="1" applyAlignment="1" applyProtection="1">
      <alignment horizontal="left" vertical="center" indent="1"/>
      <protection locked="0"/>
    </xf>
    <xf numFmtId="0" fontId="0" fillId="10" borderId="36" xfId="0" applyFill="1" applyBorder="1" applyAlignment="1" applyProtection="1">
      <alignment horizontal="left" vertical="center" indent="1"/>
      <protection locked="0"/>
    </xf>
    <xf numFmtId="0" fontId="0" fillId="9" borderId="77" xfId="0" applyFill="1" applyBorder="1" applyAlignment="1" applyProtection="1">
      <alignment horizontal="left" vertical="center" indent="1"/>
      <protection locked="0"/>
    </xf>
    <xf numFmtId="0" fontId="0" fillId="2" borderId="34" xfId="0" applyFill="1" applyBorder="1" applyAlignment="1" applyProtection="1">
      <alignment horizontal="left" vertical="center" indent="1"/>
      <protection locked="0"/>
    </xf>
    <xf numFmtId="0" fontId="0" fillId="6" borderId="56" xfId="0" applyFill="1" applyBorder="1" applyAlignment="1" applyProtection="1">
      <alignment horizontal="left" vertical="center" indent="1"/>
      <protection locked="0"/>
    </xf>
    <xf numFmtId="0" fontId="0" fillId="9" borderId="56" xfId="0" applyFill="1" applyBorder="1" applyAlignment="1" applyProtection="1">
      <alignment horizontal="left" vertical="center" indent="1"/>
      <protection locked="0"/>
    </xf>
    <xf numFmtId="0" fontId="0" fillId="10" borderId="56" xfId="0" applyFill="1" applyBorder="1" applyAlignment="1" applyProtection="1">
      <alignment horizontal="left" vertical="center" indent="1"/>
      <protection locked="0"/>
    </xf>
    <xf numFmtId="0" fontId="0" fillId="2" borderId="37" xfId="0" applyFill="1" applyBorder="1" applyAlignment="1" applyProtection="1">
      <alignment horizontal="left" vertical="top" wrapText="1" indent="1"/>
      <protection locked="0"/>
    </xf>
    <xf numFmtId="0" fontId="0" fillId="6" borderId="38" xfId="0" applyFill="1" applyBorder="1" applyAlignment="1" applyProtection="1">
      <alignment horizontal="left" vertical="top" wrapText="1" indent="1"/>
      <protection locked="0"/>
    </xf>
    <xf numFmtId="0" fontId="0" fillId="9" borderId="38" xfId="0" applyFill="1" applyBorder="1" applyAlignment="1" applyProtection="1">
      <alignment horizontal="left" vertical="top" wrapText="1" indent="1"/>
      <protection locked="0"/>
    </xf>
    <xf numFmtId="0" fontId="0" fillId="10" borderId="38" xfId="0" applyFill="1" applyBorder="1" applyAlignment="1" applyProtection="1">
      <alignment horizontal="left" vertical="top" wrapText="1" indent="1"/>
      <protection locked="0"/>
    </xf>
    <xf numFmtId="0" fontId="0" fillId="2" borderId="39" xfId="0" applyFill="1" applyBorder="1" applyAlignment="1" applyProtection="1">
      <alignment horizontal="left" vertical="center" indent="1"/>
      <protection locked="0"/>
    </xf>
    <xf numFmtId="0" fontId="0" fillId="6" borderId="40" xfId="0" applyFill="1" applyBorder="1" applyAlignment="1" applyProtection="1">
      <alignment horizontal="left" vertical="center" indent="1"/>
      <protection locked="0"/>
    </xf>
    <xf numFmtId="0" fontId="0" fillId="9" borderId="40" xfId="0" applyFill="1" applyBorder="1" applyAlignment="1" applyProtection="1">
      <alignment horizontal="left" vertical="center" indent="1"/>
      <protection locked="0"/>
    </xf>
    <xf numFmtId="0" fontId="0" fillId="10" borderId="40" xfId="0" applyFill="1" applyBorder="1" applyAlignment="1" applyProtection="1">
      <alignment horizontal="left" vertical="center" indent="1"/>
      <protection locked="0"/>
    </xf>
    <xf numFmtId="0" fontId="0" fillId="9" borderId="82"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23" fillId="0" borderId="0" xfId="0" applyFont="1" applyAlignment="1">
      <alignment horizontal="left"/>
    </xf>
    <xf numFmtId="0" fontId="0" fillId="2" borderId="35"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24" fillId="0" borderId="0" xfId="0" applyFont="1" applyAlignment="1">
      <alignment horizontal="right"/>
    </xf>
    <xf numFmtId="0" fontId="24" fillId="0" borderId="0" xfId="0" applyFont="1" applyAlignment="1">
      <alignment horizontal="left" indent="1"/>
    </xf>
    <xf numFmtId="0" fontId="0" fillId="9" borderId="85" xfId="0" applyFill="1" applyBorder="1" applyAlignment="1" applyProtection="1">
      <alignment horizontal="left" vertical="top" wrapText="1" indent="1"/>
      <protection locked="0"/>
    </xf>
    <xf numFmtId="0" fontId="3" fillId="4" borderId="86" xfId="0" applyFont="1" applyFill="1" applyBorder="1" applyAlignment="1" applyProtection="1">
      <alignment horizontal="center" vertical="center" wrapText="1"/>
    </xf>
    <xf numFmtId="0" fontId="0" fillId="13" borderId="65" xfId="0" applyFill="1" applyBorder="1" applyAlignment="1" applyProtection="1">
      <alignment horizontal="center"/>
    </xf>
    <xf numFmtId="0" fontId="3" fillId="0" borderId="69" xfId="0" applyFont="1" applyBorder="1" applyAlignment="1">
      <alignment horizontal="center" vertical="center" wrapText="1"/>
    </xf>
    <xf numFmtId="0" fontId="0" fillId="7" borderId="50" xfId="0" applyNumberFormat="1" applyFill="1" applyBorder="1" applyAlignment="1">
      <alignment horizontal="center" vertical="center"/>
    </xf>
    <xf numFmtId="0" fontId="0" fillId="0" borderId="48" xfId="0" applyFill="1" applyBorder="1" applyAlignment="1" applyProtection="1">
      <alignment horizontal="left" indent="1"/>
    </xf>
    <xf numFmtId="0" fontId="0" fillId="7" borderId="50" xfId="0" applyFill="1" applyBorder="1" applyAlignment="1" applyProtection="1">
      <alignment horizontal="left" indent="1"/>
    </xf>
    <xf numFmtId="0" fontId="31" fillId="0" borderId="89" xfId="0" applyFont="1" applyFill="1" applyBorder="1" applyAlignment="1">
      <alignment horizontal="left" indent="1"/>
    </xf>
    <xf numFmtId="0" fontId="0" fillId="0" borderId="90" xfId="0" applyBorder="1" applyAlignment="1">
      <alignment horizontal="left" indent="1"/>
    </xf>
    <xf numFmtId="0" fontId="0" fillId="0" borderId="91" xfId="0" applyBorder="1" applyAlignment="1">
      <alignment horizontal="left" indent="1"/>
    </xf>
    <xf numFmtId="0" fontId="0" fillId="0" borderId="31" xfId="0" applyFill="1" applyBorder="1" applyAlignment="1" applyProtection="1">
      <alignment horizontal="left" indent="1"/>
    </xf>
    <xf numFmtId="0" fontId="0" fillId="2" borderId="79" xfId="0" applyFill="1" applyBorder="1" applyAlignment="1" applyProtection="1">
      <alignment horizontal="center"/>
      <protection locked="0"/>
    </xf>
    <xf numFmtId="0" fontId="0" fillId="2" borderId="48" xfId="0" applyFill="1" applyBorder="1" applyAlignment="1" applyProtection="1">
      <alignment horizontal="center"/>
      <protection locked="0"/>
    </xf>
    <xf numFmtId="0" fontId="0" fillId="2" borderId="80" xfId="0" applyFill="1" applyBorder="1" applyAlignment="1" applyProtection="1">
      <alignment horizontal="center"/>
      <protection locked="0"/>
    </xf>
    <xf numFmtId="0" fontId="0" fillId="2" borderId="57" xfId="0" applyFill="1" applyBorder="1" applyAlignment="1" applyProtection="1">
      <alignment horizontal="center"/>
      <protection locked="0"/>
    </xf>
    <xf numFmtId="0" fontId="0" fillId="0" borderId="61" xfId="0" applyFill="1" applyBorder="1" applyAlignment="1">
      <alignment horizontal="right" indent="2"/>
    </xf>
    <xf numFmtId="0" fontId="0" fillId="0" borderId="62" xfId="0" applyFill="1" applyBorder="1" applyAlignment="1">
      <alignment horizontal="right" indent="2"/>
    </xf>
    <xf numFmtId="165" fontId="0" fillId="0" borderId="92" xfId="0" applyNumberFormat="1" applyBorder="1" applyAlignment="1">
      <alignment horizontal="right" indent="2"/>
    </xf>
    <xf numFmtId="0" fontId="0" fillId="0" borderId="57" xfId="0" applyFill="1" applyBorder="1" applyAlignment="1" applyProtection="1">
      <alignment horizontal="left" indent="1"/>
    </xf>
    <xf numFmtId="0" fontId="0" fillId="0" borderId="93" xfId="0" applyBorder="1" applyProtection="1"/>
    <xf numFmtId="0" fontId="0" fillId="0" borderId="94" xfId="0" applyBorder="1" applyProtection="1"/>
    <xf numFmtId="0" fontId="0" fillId="0" borderId="0" xfId="0" applyAlignment="1">
      <alignment horizontal="center"/>
    </xf>
    <xf numFmtId="0" fontId="0" fillId="13" borderId="95" xfId="0" applyFill="1" applyBorder="1" applyAlignment="1" applyProtection="1">
      <alignment horizontal="center"/>
    </xf>
    <xf numFmtId="0" fontId="0" fillId="5" borderId="44" xfId="0" applyFill="1" applyBorder="1" applyAlignment="1" applyProtection="1">
      <alignment horizontal="left" indent="1"/>
    </xf>
    <xf numFmtId="0" fontId="0" fillId="0" borderId="0" xfId="0" applyBorder="1" applyProtection="1">
      <protection locked="0"/>
    </xf>
    <xf numFmtId="0" fontId="0" fillId="13" borderId="105" xfId="0" applyFill="1" applyBorder="1" applyAlignment="1" applyProtection="1">
      <alignment horizontal="center"/>
    </xf>
    <xf numFmtId="0" fontId="29" fillId="4" borderId="96" xfId="0" applyFont="1" applyFill="1" applyBorder="1" applyAlignment="1" applyProtection="1"/>
    <xf numFmtId="0" fontId="29" fillId="4" borderId="47" xfId="0" applyFont="1" applyFill="1" applyBorder="1" applyAlignment="1" applyProtection="1">
      <alignment horizontal="left" indent="1"/>
    </xf>
    <xf numFmtId="0" fontId="3" fillId="0" borderId="26" xfId="0" applyFont="1" applyBorder="1" applyAlignment="1">
      <alignment horizontal="center"/>
    </xf>
    <xf numFmtId="0" fontId="3" fillId="0" borderId="0" xfId="0" applyFont="1" applyBorder="1" applyAlignment="1">
      <alignment horizontal="center"/>
    </xf>
    <xf numFmtId="0" fontId="3" fillId="0" borderId="21" xfId="0" applyFont="1" applyBorder="1" applyAlignment="1">
      <alignment horizontal="center"/>
    </xf>
    <xf numFmtId="167" fontId="0" fillId="0" borderId="0" xfId="0" applyNumberFormat="1" applyAlignment="1">
      <alignment horizontal="right"/>
    </xf>
    <xf numFmtId="0" fontId="0" fillId="2" borderId="106" xfId="0" applyFill="1" applyBorder="1"/>
    <xf numFmtId="0" fontId="0" fillId="2" borderId="107" xfId="0" applyFill="1" applyBorder="1" applyAlignment="1">
      <alignment horizontal="center"/>
    </xf>
    <xf numFmtId="0" fontId="0" fillId="2" borderId="108" xfId="0" applyFill="1" applyBorder="1"/>
    <xf numFmtId="0" fontId="0" fillId="2" borderId="109" xfId="0" applyFill="1" applyBorder="1"/>
    <xf numFmtId="0" fontId="0" fillId="2" borderId="110" xfId="0" applyFill="1" applyBorder="1" applyAlignment="1">
      <alignment horizontal="center"/>
    </xf>
    <xf numFmtId="0" fontId="0" fillId="2" borderId="111" xfId="0" applyFill="1" applyBorder="1"/>
    <xf numFmtId="0" fontId="0" fillId="2" borderId="108" xfId="0" applyFill="1" applyBorder="1" applyAlignment="1">
      <alignment horizontal="left"/>
    </xf>
    <xf numFmtId="0" fontId="0" fillId="2" borderId="111" xfId="0" applyFill="1" applyBorder="1" applyAlignment="1">
      <alignment horizontal="left"/>
    </xf>
    <xf numFmtId="0" fontId="0" fillId="0" borderId="112" xfId="0" applyBorder="1" applyAlignment="1">
      <alignment horizontal="center"/>
    </xf>
    <xf numFmtId="0" fontId="0" fillId="0" borderId="113" xfId="0" applyBorder="1" applyAlignment="1">
      <alignment horizontal="center"/>
    </xf>
    <xf numFmtId="0" fontId="0" fillId="0" borderId="114" xfId="0" applyBorder="1" applyAlignment="1">
      <alignment horizontal="center"/>
    </xf>
    <xf numFmtId="0" fontId="0" fillId="0" borderId="115" xfId="0" applyBorder="1" applyAlignment="1">
      <alignment horizontal="center"/>
    </xf>
    <xf numFmtId="0" fontId="0" fillId="0" borderId="116" xfId="0" applyBorder="1" applyAlignment="1">
      <alignment horizontal="center"/>
    </xf>
    <xf numFmtId="0" fontId="0" fillId="0" borderId="117" xfId="0" applyBorder="1" applyAlignment="1">
      <alignment horizontal="center"/>
    </xf>
    <xf numFmtId="0" fontId="0" fillId="0" borderId="118" xfId="0" applyBorder="1" applyAlignment="1">
      <alignment horizontal="center"/>
    </xf>
    <xf numFmtId="0" fontId="47" fillId="0" borderId="19" xfId="0" applyFont="1" applyBorder="1"/>
    <xf numFmtId="0" fontId="47" fillId="0" borderId="17" xfId="0" applyFont="1" applyBorder="1"/>
    <xf numFmtId="0" fontId="0" fillId="5" borderId="0" xfId="0" applyFill="1" applyAlignment="1">
      <alignment horizontal="center"/>
    </xf>
    <xf numFmtId="0" fontId="0" fillId="5" borderId="0" xfId="0" applyFill="1"/>
    <xf numFmtId="0" fontId="0" fillId="5" borderId="0" xfId="0" applyFill="1" applyBorder="1" applyAlignment="1">
      <alignment horizontal="center"/>
    </xf>
    <xf numFmtId="0" fontId="0" fillId="5" borderId="115" xfId="0" applyFill="1" applyBorder="1" applyAlignment="1">
      <alignment horizontal="center"/>
    </xf>
    <xf numFmtId="0" fontId="0" fillId="5" borderId="60" xfId="0" applyFill="1" applyBorder="1" applyAlignment="1">
      <alignment horizontal="center"/>
    </xf>
    <xf numFmtId="0" fontId="0" fillId="5" borderId="0" xfId="0" applyFill="1" applyBorder="1"/>
    <xf numFmtId="3" fontId="0" fillId="0" borderId="0" xfId="0" applyNumberFormat="1"/>
    <xf numFmtId="0" fontId="0" fillId="0" borderId="0" xfId="0" applyAlignment="1">
      <alignment horizontal="center"/>
    </xf>
    <xf numFmtId="0" fontId="20" fillId="0" borderId="29" xfId="0" applyFont="1" applyBorder="1" applyAlignment="1">
      <alignment horizontal="center"/>
    </xf>
    <xf numFmtId="0" fontId="0" fillId="0" borderId="0" xfId="0" applyBorder="1" applyAlignment="1">
      <alignment horizontal="center"/>
    </xf>
    <xf numFmtId="0" fontId="0" fillId="0" borderId="60" xfId="0" applyBorder="1" applyAlignment="1">
      <alignment horizontal="center"/>
    </xf>
    <xf numFmtId="0" fontId="0" fillId="6" borderId="119" xfId="0" applyFill="1" applyBorder="1"/>
    <xf numFmtId="3" fontId="0" fillId="0" borderId="0" xfId="0" applyNumberFormat="1" applyFont="1" applyBorder="1" applyAlignment="1">
      <alignment horizontal="center"/>
    </xf>
    <xf numFmtId="0" fontId="0" fillId="0" borderId="0" xfId="0" applyAlignment="1">
      <alignment horizontal="center"/>
    </xf>
    <xf numFmtId="0" fontId="20" fillId="0" borderId="29" xfId="0" applyFont="1" applyBorder="1" applyAlignment="1">
      <alignment horizontal="center"/>
    </xf>
    <xf numFmtId="0" fontId="39" fillId="0" borderId="0" xfId="0" applyFont="1" applyBorder="1" applyAlignment="1" applyProtection="1">
      <alignment vertical="center"/>
    </xf>
    <xf numFmtId="0" fontId="0" fillId="0" borderId="0" xfId="0" applyFont="1" applyAlignment="1">
      <alignment horizontal="center"/>
    </xf>
    <xf numFmtId="0" fontId="0" fillId="5" borderId="46" xfId="0" applyFill="1" applyBorder="1" applyAlignment="1" applyProtection="1">
      <alignment horizontal="left" indent="1"/>
    </xf>
    <xf numFmtId="0" fontId="6" fillId="0" borderId="0" xfId="0" applyFont="1" applyFill="1" applyBorder="1" applyProtection="1"/>
    <xf numFmtId="0" fontId="37" fillId="0" borderId="0" xfId="0" applyFont="1" applyFill="1" applyBorder="1" applyAlignment="1" applyProtection="1">
      <alignment horizontal="center"/>
    </xf>
    <xf numFmtId="0" fontId="39"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20" fillId="0" borderId="29" xfId="0" applyFont="1" applyBorder="1" applyAlignment="1">
      <alignment horizontal="center"/>
    </xf>
    <xf numFmtId="0" fontId="0" fillId="5" borderId="44" xfId="0" applyFill="1" applyBorder="1" applyAlignment="1" applyProtection="1">
      <alignment horizontal="left" vertical="center" indent="1"/>
      <protection locked="0"/>
    </xf>
    <xf numFmtId="0" fontId="49" fillId="14" borderId="128" xfId="0" applyFont="1" applyFill="1" applyBorder="1" applyAlignment="1" applyProtection="1">
      <alignment horizontal="center" vertical="center"/>
      <protection locked="0"/>
    </xf>
    <xf numFmtId="0" fontId="49" fillId="14" borderId="8" xfId="0" applyFont="1" applyFill="1" applyBorder="1" applyAlignment="1" applyProtection="1">
      <alignment horizontal="center" vertical="center"/>
      <protection locked="0"/>
    </xf>
    <xf numFmtId="0" fontId="49" fillId="14" borderId="7" xfId="0" applyFont="1" applyFill="1" applyBorder="1" applyAlignment="1" applyProtection="1">
      <alignment horizontal="center" vertical="center"/>
      <protection locked="0"/>
    </xf>
    <xf numFmtId="0" fontId="49" fillId="14" borderId="16" xfId="0" applyFont="1" applyFill="1" applyBorder="1" applyAlignment="1" applyProtection="1">
      <alignment horizontal="center" vertical="center"/>
      <protection locked="0"/>
    </xf>
    <xf numFmtId="0" fontId="43" fillId="0" borderId="0" xfId="0" applyFont="1" applyFill="1" applyAlignment="1" applyProtection="1">
      <alignment horizontal="center" vertical="center"/>
    </xf>
    <xf numFmtId="49" fontId="9" fillId="11" borderId="130" xfId="0" applyNumberFormat="1" applyFont="1" applyFill="1" applyBorder="1" applyAlignment="1" applyProtection="1">
      <alignment horizontal="left"/>
      <protection locked="0"/>
    </xf>
    <xf numFmtId="49" fontId="9" fillId="11" borderId="5" xfId="0" applyNumberFormat="1" applyFont="1" applyFill="1" applyBorder="1" applyAlignment="1" applyProtection="1">
      <alignment horizontal="left"/>
      <protection locked="0"/>
    </xf>
    <xf numFmtId="0" fontId="54" fillId="0" borderId="0" xfId="0" applyFont="1" applyAlignment="1"/>
    <xf numFmtId="0" fontId="51" fillId="0" borderId="0" xfId="0" applyFont="1" applyFill="1" applyBorder="1" applyAlignment="1">
      <alignment vertical="center" wrapText="1"/>
    </xf>
    <xf numFmtId="0" fontId="50" fillId="0" borderId="0" xfId="0" applyFont="1" applyFill="1" applyBorder="1" applyAlignment="1" applyProtection="1">
      <alignment vertical="center" wrapText="1"/>
    </xf>
    <xf numFmtId="0" fontId="53" fillId="0" borderId="0" xfId="0" applyFont="1" applyFill="1" applyBorder="1" applyAlignment="1" applyProtection="1"/>
    <xf numFmtId="0" fontId="55" fillId="0" borderId="0" xfId="0" applyFont="1" applyFill="1" applyBorder="1" applyAlignment="1" applyProtection="1">
      <alignment vertical="center" wrapText="1"/>
    </xf>
    <xf numFmtId="0" fontId="41" fillId="0" borderId="0" xfId="0" applyFont="1" applyFill="1" applyBorder="1" applyAlignment="1">
      <alignment vertical="center" wrapText="1"/>
    </xf>
    <xf numFmtId="0" fontId="15" fillId="0" borderId="144" xfId="0" applyFont="1" applyFill="1" applyBorder="1" applyAlignment="1" applyProtection="1">
      <alignment horizontal="center"/>
    </xf>
    <xf numFmtId="0" fontId="15" fillId="12" borderId="9" xfId="0" applyFont="1" applyFill="1" applyBorder="1" applyAlignment="1" applyProtection="1">
      <alignment horizontal="center"/>
    </xf>
    <xf numFmtId="0" fontId="56" fillId="12" borderId="9" xfId="0" applyFont="1" applyFill="1" applyBorder="1" applyAlignment="1" applyProtection="1">
      <alignment horizontal="center"/>
    </xf>
    <xf numFmtId="0" fontId="15" fillId="12" borderId="10" xfId="0" applyFont="1" applyFill="1" applyBorder="1" applyAlignment="1" applyProtection="1">
      <alignment horizontal="center"/>
    </xf>
    <xf numFmtId="0" fontId="56" fillId="12" borderId="137"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131" xfId="0" applyFont="1" applyFill="1" applyBorder="1" applyAlignment="1" applyProtection="1">
      <alignment horizontal="left" indent="1"/>
    </xf>
    <xf numFmtId="0" fontId="14" fillId="0" borderId="132" xfId="0" applyFont="1" applyFill="1" applyBorder="1" applyAlignment="1" applyProtection="1">
      <alignment horizontal="left"/>
    </xf>
    <xf numFmtId="0" fontId="35" fillId="16" borderId="18" xfId="0" applyFont="1" applyFill="1" applyBorder="1"/>
    <xf numFmtId="0" fontId="35" fillId="17" borderId="18" xfId="0" applyFont="1" applyFill="1" applyBorder="1" applyAlignment="1">
      <alignment horizontal="center" vertical="center"/>
    </xf>
    <xf numFmtId="0" fontId="60" fillId="0" borderId="0" xfId="0" applyFont="1" applyAlignment="1" applyProtection="1">
      <alignment horizontal="right" vertical="center" wrapText="1" indent="1"/>
    </xf>
    <xf numFmtId="0" fontId="0" fillId="18" borderId="38" xfId="0" applyFill="1" applyBorder="1" applyAlignment="1" applyProtection="1">
      <alignment horizontal="left" indent="1"/>
      <protection locked="0"/>
    </xf>
    <xf numFmtId="0" fontId="0" fillId="18" borderId="36" xfId="0" applyFill="1" applyBorder="1" applyAlignment="1" applyProtection="1">
      <alignment horizontal="left" indent="1"/>
      <protection locked="0"/>
    </xf>
    <xf numFmtId="0" fontId="0" fillId="18" borderId="40" xfId="0" applyFill="1" applyBorder="1" applyAlignment="1" applyProtection="1">
      <alignment horizontal="left" indent="1"/>
      <protection locked="0"/>
    </xf>
    <xf numFmtId="165" fontId="0" fillId="18" borderId="48" xfId="0" applyNumberFormat="1" applyFill="1" applyBorder="1" applyAlignment="1" applyProtection="1">
      <alignment horizontal="right" indent="2"/>
      <protection locked="0"/>
    </xf>
    <xf numFmtId="165" fontId="0" fillId="18" borderId="57" xfId="0" applyNumberFormat="1" applyFill="1" applyBorder="1" applyAlignment="1" applyProtection="1">
      <alignment horizontal="right" indent="2"/>
      <protection locked="0"/>
    </xf>
    <xf numFmtId="0" fontId="0" fillId="18" borderId="57" xfId="0" applyNumberFormat="1" applyFill="1" applyBorder="1" applyAlignment="1" applyProtection="1">
      <alignment horizontal="center" vertical="center"/>
      <protection locked="0"/>
    </xf>
    <xf numFmtId="0" fontId="0" fillId="18" borderId="87" xfId="0" applyNumberFormat="1" applyFill="1" applyBorder="1" applyAlignment="1" applyProtection="1">
      <alignment horizontal="center" vertical="center"/>
      <protection locked="0"/>
    </xf>
    <xf numFmtId="0" fontId="0" fillId="18" borderId="88" xfId="0" applyNumberFormat="1" applyFill="1" applyBorder="1" applyAlignment="1" applyProtection="1">
      <alignment horizontal="center" vertical="center"/>
      <protection locked="0"/>
    </xf>
    <xf numFmtId="0" fontId="0" fillId="18" borderId="48" xfId="0" applyNumberFormat="1" applyFill="1" applyBorder="1" applyAlignment="1" applyProtection="1">
      <alignment horizontal="center" vertical="center"/>
      <protection locked="0"/>
    </xf>
    <xf numFmtId="0" fontId="0" fillId="18" borderId="74" xfId="0" applyFill="1" applyBorder="1" applyAlignment="1" applyProtection="1">
      <alignment horizontal="left" indent="3"/>
      <protection locked="0"/>
    </xf>
    <xf numFmtId="0" fontId="0" fillId="18" borderId="74" xfId="0" applyFill="1" applyBorder="1" applyAlignment="1" applyProtection="1">
      <alignment horizontal="left" indent="1"/>
      <protection locked="0"/>
    </xf>
    <xf numFmtId="0" fontId="0" fillId="0" borderId="0" xfId="0" applyBorder="1" applyAlignment="1">
      <alignment horizontal="center"/>
    </xf>
    <xf numFmtId="0" fontId="0" fillId="0" borderId="0" xfId="0" applyAlignment="1">
      <alignment horizontal="center"/>
    </xf>
    <xf numFmtId="0" fontId="20" fillId="0" borderId="29" xfId="0" applyFont="1" applyBorder="1" applyAlignment="1">
      <alignment horizontal="center"/>
    </xf>
    <xf numFmtId="0" fontId="0" fillId="0" borderId="60"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52" fillId="5" borderId="123" xfId="0" applyFont="1" applyFill="1" applyBorder="1" applyAlignment="1" applyProtection="1">
      <alignment vertical="center" wrapText="1"/>
    </xf>
    <xf numFmtId="0" fontId="52" fillId="5" borderId="0" xfId="0" applyFont="1" applyFill="1" applyBorder="1" applyAlignment="1" applyProtection="1">
      <alignment vertical="center" wrapText="1"/>
    </xf>
    <xf numFmtId="0" fontId="52" fillId="5" borderId="124" xfId="0" applyFont="1" applyFill="1" applyBorder="1" applyAlignment="1" applyProtection="1">
      <alignment vertical="center" wrapText="1"/>
    </xf>
    <xf numFmtId="0" fontId="52" fillId="5" borderId="125" xfId="0" applyFont="1" applyFill="1" applyBorder="1" applyAlignment="1" applyProtection="1">
      <alignment vertical="center" wrapText="1"/>
    </xf>
    <xf numFmtId="0" fontId="52" fillId="5" borderId="126" xfId="0" applyFont="1" applyFill="1" applyBorder="1" applyAlignment="1" applyProtection="1">
      <alignment vertical="center" wrapText="1"/>
    </xf>
    <xf numFmtId="0" fontId="52" fillId="5" borderId="127" xfId="0" applyFont="1" applyFill="1" applyBorder="1" applyAlignment="1" applyProtection="1">
      <alignment vertical="center" wrapText="1"/>
    </xf>
    <xf numFmtId="0" fontId="52" fillId="0" borderId="0" xfId="0" applyFont="1" applyFill="1" applyBorder="1" applyAlignment="1" applyProtection="1">
      <alignment vertical="center" wrapText="1"/>
    </xf>
    <xf numFmtId="0" fontId="0" fillId="5" borderId="123" xfId="0" applyFill="1" applyBorder="1" applyProtection="1"/>
    <xf numFmtId="0" fontId="0" fillId="5" borderId="0" xfId="0" applyFill="1" applyBorder="1" applyProtection="1"/>
    <xf numFmtId="0" fontId="0" fillId="5" borderId="124" xfId="0" applyFill="1" applyBorder="1" applyProtection="1"/>
    <xf numFmtId="0" fontId="73" fillId="0" borderId="0" xfId="0" applyFont="1" applyAlignment="1">
      <alignment horizontal="right" indent="2"/>
    </xf>
    <xf numFmtId="0" fontId="73" fillId="0" borderId="0" xfId="0" applyFont="1" applyAlignment="1" applyProtection="1">
      <alignment horizontal="left" indent="2"/>
    </xf>
    <xf numFmtId="0" fontId="0" fillId="0" borderId="0" xfId="0" applyBorder="1" applyAlignment="1"/>
    <xf numFmtId="0" fontId="0" fillId="0" borderId="60" xfId="0" applyBorder="1" applyAlignment="1"/>
    <xf numFmtId="0" fontId="0" fillId="0" borderId="0"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0" fillId="0" borderId="0" xfId="0" quotePrefix="1" applyBorder="1" applyAlignment="1">
      <alignment horizontal="center"/>
    </xf>
    <xf numFmtId="0" fontId="0" fillId="0" borderId="0" xfId="0" applyFill="1" applyAlignment="1">
      <alignment vertical="center"/>
    </xf>
    <xf numFmtId="0" fontId="33" fillId="0" borderId="0" xfId="0" applyFont="1" applyFill="1" applyBorder="1" applyAlignment="1">
      <alignment horizontal="center"/>
    </xf>
    <xf numFmtId="0" fontId="0" fillId="0" borderId="0" xfId="0" applyNumberFormat="1" applyFill="1" applyBorder="1" applyAlignment="1">
      <alignment horizontal="center"/>
    </xf>
    <xf numFmtId="0" fontId="61" fillId="0" borderId="0" xfId="0" applyFont="1" applyBorder="1" applyAlignment="1" applyProtection="1">
      <alignment vertical="center"/>
    </xf>
    <xf numFmtId="0" fontId="66" fillId="0" borderId="0" xfId="0" applyFont="1" applyBorder="1" applyAlignment="1" applyProtection="1">
      <alignment vertical="center"/>
    </xf>
    <xf numFmtId="0" fontId="66" fillId="0" borderId="0" xfId="0" applyFont="1" applyAlignment="1" applyProtection="1"/>
    <xf numFmtId="0" fontId="64" fillId="0" borderId="0" xfId="0" applyFont="1" applyFill="1" applyBorder="1" applyAlignment="1" applyProtection="1">
      <alignment vertical="center"/>
    </xf>
    <xf numFmtId="0" fontId="63" fillId="0" borderId="0" xfId="0" applyFont="1" applyFill="1" applyBorder="1" applyAlignment="1" applyProtection="1">
      <alignment vertical="center"/>
    </xf>
    <xf numFmtId="0" fontId="58" fillId="11" borderId="5" xfId="0" applyFont="1" applyFill="1" applyBorder="1" applyAlignment="1" applyProtection="1">
      <alignment vertical="center"/>
    </xf>
    <xf numFmtId="0" fontId="58" fillId="11" borderId="6" xfId="0" applyFont="1" applyFill="1" applyBorder="1" applyAlignment="1" applyProtection="1">
      <alignment vertical="center"/>
    </xf>
    <xf numFmtId="0" fontId="0" fillId="0" borderId="0" xfId="0" quotePrefix="1" applyFill="1" applyBorder="1" applyAlignment="1">
      <alignment horizontal="left" indent="1"/>
    </xf>
    <xf numFmtId="0" fontId="12" fillId="19" borderId="138" xfId="0" applyFont="1" applyFill="1" applyBorder="1" applyAlignment="1" applyProtection="1">
      <alignment horizontal="center" vertical="center"/>
    </xf>
    <xf numFmtId="0" fontId="12" fillId="19" borderId="139" xfId="0" applyFont="1" applyFill="1" applyBorder="1" applyAlignment="1" applyProtection="1">
      <alignment horizontal="left" vertical="center"/>
    </xf>
    <xf numFmtId="0" fontId="12" fillId="19" borderId="140" xfId="0" applyFont="1" applyFill="1" applyBorder="1" applyAlignment="1" applyProtection="1">
      <alignment horizontal="center" vertical="center"/>
    </xf>
    <xf numFmtId="0" fontId="12" fillId="19" borderId="141" xfId="0" applyFont="1" applyFill="1" applyBorder="1" applyAlignment="1" applyProtection="1">
      <alignment horizontal="left" vertical="center"/>
    </xf>
    <xf numFmtId="0" fontId="12" fillId="20" borderId="140" xfId="0" applyFont="1" applyFill="1" applyBorder="1" applyAlignment="1" applyProtection="1">
      <alignment horizontal="center" vertical="center"/>
    </xf>
    <xf numFmtId="0" fontId="12" fillId="20" borderId="141" xfId="0" applyFont="1" applyFill="1" applyBorder="1" applyAlignment="1" applyProtection="1">
      <alignment horizontal="left" vertical="center"/>
    </xf>
    <xf numFmtId="0" fontId="12" fillId="20" borderId="142" xfId="0" applyFont="1" applyFill="1" applyBorder="1" applyAlignment="1" applyProtection="1">
      <alignment horizontal="center" vertical="center"/>
    </xf>
    <xf numFmtId="0" fontId="12" fillId="20" borderId="143" xfId="0" applyFont="1" applyFill="1" applyBorder="1" applyAlignment="1" applyProtection="1">
      <alignment horizontal="left" vertical="top"/>
    </xf>
    <xf numFmtId="0" fontId="20" fillId="0" borderId="29" xfId="0" applyFont="1" applyBorder="1" applyAlignment="1">
      <alignment horizontal="center"/>
    </xf>
    <xf numFmtId="168" fontId="0" fillId="0" borderId="0" xfId="0" applyNumberFormat="1"/>
    <xf numFmtId="168" fontId="0" fillId="0" borderId="25" xfId="0" applyNumberFormat="1" applyBorder="1"/>
    <xf numFmtId="168" fontId="0" fillId="0" borderId="23" xfId="0" applyNumberFormat="1" applyBorder="1"/>
    <xf numFmtId="168" fontId="0" fillId="0" borderId="20" xfId="0" applyNumberFormat="1" applyBorder="1"/>
    <xf numFmtId="0" fontId="0" fillId="0" borderId="0" xfId="0" applyBorder="1" applyAlignment="1">
      <alignment horizontal="center"/>
    </xf>
    <xf numFmtId="0" fontId="20" fillId="0" borderId="29" xfId="0" applyFont="1" applyBorder="1" applyAlignment="1">
      <alignment horizontal="center"/>
    </xf>
    <xf numFmtId="0" fontId="62" fillId="0" borderId="14" xfId="0" applyFont="1" applyBorder="1" applyAlignment="1" applyProtection="1"/>
    <xf numFmtId="0" fontId="48" fillId="0" borderId="0" xfId="0" applyFont="1" applyBorder="1" applyAlignment="1"/>
    <xf numFmtId="0" fontId="69" fillId="0" borderId="0" xfId="0" applyFont="1" applyAlignment="1">
      <alignment horizontal="center"/>
    </xf>
    <xf numFmtId="0" fontId="18" fillId="0" borderId="0" xfId="0" applyFont="1" applyBorder="1" applyAlignment="1">
      <alignment horizontal="center" vertical="top"/>
    </xf>
    <xf numFmtId="0" fontId="1" fillId="5" borderId="41"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1" borderId="145" xfId="0" applyFill="1" applyBorder="1" applyAlignment="1" applyProtection="1">
      <alignment horizontal="left" indent="1"/>
      <protection locked="0"/>
    </xf>
    <xf numFmtId="0" fontId="0" fillId="21" borderId="146" xfId="0" applyFill="1" applyBorder="1" applyAlignment="1" applyProtection="1">
      <alignment horizontal="left" indent="1"/>
      <protection locked="0"/>
    </xf>
    <xf numFmtId="0" fontId="0" fillId="21" borderId="145" xfId="0" applyFill="1" applyBorder="1" applyAlignment="1" applyProtection="1">
      <alignment horizontal="left" vertical="center" wrapText="1" indent="1"/>
      <protection locked="0"/>
    </xf>
    <xf numFmtId="0" fontId="0" fillId="21" borderId="145" xfId="0" applyFont="1" applyFill="1" applyBorder="1" applyAlignment="1" applyProtection="1">
      <alignment horizontal="left" vertical="center" indent="1"/>
      <protection locked="0"/>
    </xf>
    <xf numFmtId="0" fontId="0" fillId="2" borderId="35" xfId="0" applyFill="1" applyBorder="1" applyAlignment="1" applyProtection="1">
      <alignment horizontal="left" wrapText="1" indent="1"/>
      <protection locked="0"/>
    </xf>
    <xf numFmtId="0" fontId="0" fillId="6" borderId="36" xfId="0" applyFill="1" applyBorder="1" applyAlignment="1" applyProtection="1">
      <alignment horizontal="left" wrapText="1" indent="1"/>
      <protection locked="0"/>
    </xf>
    <xf numFmtId="0" fontId="0" fillId="9" borderId="36" xfId="0" applyFill="1" applyBorder="1" applyAlignment="1" applyProtection="1">
      <alignment horizontal="left" wrapText="1" indent="1"/>
      <protection locked="0"/>
    </xf>
    <xf numFmtId="0" fontId="0" fillId="10" borderId="36" xfId="0" applyFill="1" applyBorder="1" applyAlignment="1" applyProtection="1">
      <alignment horizontal="left" wrapText="1" indent="1"/>
      <protection locked="0"/>
    </xf>
    <xf numFmtId="0" fontId="0" fillId="21" borderId="145" xfId="0" applyFill="1" applyBorder="1" applyAlignment="1" applyProtection="1">
      <alignment horizontal="left" wrapText="1" indent="1"/>
      <protection locked="0"/>
    </xf>
    <xf numFmtId="0" fontId="0" fillId="5" borderId="44" xfId="0" applyFill="1" applyBorder="1" applyAlignment="1" applyProtection="1">
      <alignment horizontal="left" wrapText="1" indent="1"/>
      <protection locked="0"/>
    </xf>
    <xf numFmtId="0" fontId="0" fillId="21" borderId="147" xfId="0" applyFill="1" applyBorder="1" applyAlignment="1" applyProtection="1">
      <alignment horizontal="left" vertical="center" indent="1"/>
      <protection locked="0"/>
    </xf>
    <xf numFmtId="0" fontId="0" fillId="21" borderId="0" xfId="0" applyFill="1" applyBorder="1" applyAlignment="1" applyProtection="1">
      <alignment horizontal="left" vertical="center" indent="1"/>
      <protection locked="0"/>
    </xf>
    <xf numFmtId="0" fontId="0" fillId="21" borderId="147" xfId="0" applyFill="1" applyBorder="1" applyAlignment="1" applyProtection="1">
      <alignment horizontal="left" vertical="top" wrapText="1" indent="1"/>
      <protection locked="0"/>
    </xf>
    <xf numFmtId="0" fontId="0" fillId="21" borderId="146" xfId="0" applyFill="1" applyBorder="1" applyAlignment="1" applyProtection="1">
      <alignment horizontal="left" vertical="center" indent="1"/>
      <protection locked="0"/>
    </xf>
    <xf numFmtId="0" fontId="0" fillId="0" borderId="93" xfId="0" applyBorder="1"/>
    <xf numFmtId="0" fontId="20" fillId="0" borderId="29" xfId="0" applyFont="1" applyBorder="1" applyAlignment="1">
      <alignment horizontal="center"/>
    </xf>
    <xf numFmtId="0" fontId="20" fillId="0" borderId="29" xfId="0" applyFont="1" applyBorder="1" applyAlignment="1">
      <alignment horizontal="center"/>
    </xf>
    <xf numFmtId="0" fontId="24" fillId="0" borderId="0" xfId="0" applyFont="1" applyAlignment="1">
      <alignment horizontal="center"/>
    </xf>
    <xf numFmtId="0" fontId="6" fillId="0" borderId="0" xfId="0" applyFont="1" applyAlignment="1" applyProtection="1"/>
    <xf numFmtId="0" fontId="6" fillId="0" borderId="0" xfId="0" applyFont="1" applyAlignment="1"/>
    <xf numFmtId="0" fontId="60" fillId="0" borderId="0" xfId="0" applyFont="1" applyAlignment="1" applyProtection="1">
      <alignment horizontal="right" vertical="top" wrapText="1"/>
    </xf>
    <xf numFmtId="0" fontId="30" fillId="0" borderId="0" xfId="1" applyAlignment="1" applyProtection="1">
      <alignment horizontal="right"/>
      <protection locked="0"/>
    </xf>
    <xf numFmtId="0" fontId="65" fillId="0" borderId="0" xfId="0" applyFont="1" applyAlignment="1" applyProtection="1">
      <alignment horizontal="right"/>
      <protection locked="0"/>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166" fontId="6" fillId="11" borderId="5" xfId="0" applyNumberFormat="1" applyFont="1" applyFill="1" applyBorder="1" applyAlignment="1" applyProtection="1">
      <alignment horizontal="center"/>
    </xf>
    <xf numFmtId="166" fontId="6" fillId="11" borderId="6" xfId="0" applyNumberFormat="1" applyFont="1" applyFill="1" applyBorder="1" applyAlignment="1" applyProtection="1">
      <alignment horizontal="center"/>
    </xf>
    <xf numFmtId="0" fontId="36" fillId="15" borderId="9" xfId="0" applyFont="1" applyFill="1" applyBorder="1" applyAlignment="1" applyProtection="1">
      <alignment horizontal="center"/>
    </xf>
    <xf numFmtId="0" fontId="36" fillId="15" borderId="10" xfId="0" applyFont="1" applyFill="1" applyBorder="1" applyAlignment="1" applyProtection="1">
      <alignment horizontal="center"/>
    </xf>
    <xf numFmtId="0" fontId="58" fillId="11" borderId="3" xfId="0" applyFont="1" applyFill="1" applyBorder="1" applyAlignment="1" applyProtection="1">
      <alignment horizontal="center" vertical="center"/>
    </xf>
    <xf numFmtId="0" fontId="58" fillId="11" borderId="4" xfId="0" applyFont="1" applyFill="1" applyBorder="1" applyAlignment="1" applyProtection="1">
      <alignment horizontal="center" vertical="center"/>
    </xf>
    <xf numFmtId="0" fontId="66" fillId="0" borderId="0" xfId="0" applyFont="1" applyBorder="1" applyAlignment="1" applyProtection="1">
      <alignment horizontal="center" vertical="center"/>
    </xf>
    <xf numFmtId="166" fontId="6" fillId="11" borderId="0" xfId="0" applyNumberFormat="1" applyFont="1" applyFill="1" applyBorder="1" applyAlignment="1" applyProtection="1">
      <alignment horizontal="center"/>
    </xf>
    <xf numFmtId="0" fontId="58" fillId="11" borderId="129" xfId="0" applyFont="1" applyFill="1" applyBorder="1" applyAlignment="1" applyProtection="1">
      <alignment horizontal="center" vertical="center"/>
    </xf>
    <xf numFmtId="0" fontId="8" fillId="17" borderId="13" xfId="0" applyFont="1" applyFill="1" applyBorder="1" applyAlignment="1" applyProtection="1">
      <alignment horizontal="center" vertical="center"/>
    </xf>
    <xf numFmtId="0" fontId="28" fillId="0" borderId="0" xfId="0" applyFont="1" applyFill="1" applyBorder="1" applyAlignment="1" applyProtection="1">
      <alignment horizontal="center" vertical="center"/>
    </xf>
    <xf numFmtId="0" fontId="35" fillId="15" borderId="1" xfId="0" applyFont="1" applyFill="1" applyBorder="1" applyAlignment="1" applyProtection="1">
      <alignment horizontal="center"/>
    </xf>
    <xf numFmtId="0" fontId="35" fillId="15" borderId="2" xfId="0" applyFont="1" applyFill="1" applyBorder="1" applyAlignment="1" applyProtection="1">
      <alignment horizontal="center"/>
    </xf>
    <xf numFmtId="0" fontId="0" fillId="12" borderId="3" xfId="0" applyFill="1" applyBorder="1" applyAlignment="1" applyProtection="1">
      <alignment horizontal="center"/>
    </xf>
    <xf numFmtId="0" fontId="0" fillId="12" borderId="4" xfId="0" applyFill="1" applyBorder="1" applyAlignment="1" applyProtection="1">
      <alignment horizontal="center"/>
    </xf>
    <xf numFmtId="0" fontId="71" fillId="5" borderId="120" xfId="0" applyFont="1" applyFill="1" applyBorder="1" applyAlignment="1" applyProtection="1">
      <alignment horizontal="center"/>
    </xf>
    <xf numFmtId="0" fontId="71" fillId="5" borderId="121" xfId="0" applyFont="1" applyFill="1" applyBorder="1" applyAlignment="1" applyProtection="1">
      <alignment horizontal="center"/>
    </xf>
    <xf numFmtId="0" fontId="71" fillId="5" borderId="122" xfId="0" applyFont="1" applyFill="1" applyBorder="1" applyAlignment="1" applyProtection="1">
      <alignment horizontal="center"/>
    </xf>
    <xf numFmtId="0" fontId="71" fillId="5" borderId="123" xfId="0" applyFont="1" applyFill="1" applyBorder="1" applyAlignment="1" applyProtection="1">
      <alignment horizontal="center"/>
    </xf>
    <xf numFmtId="0" fontId="71" fillId="5" borderId="0" xfId="0" applyFont="1" applyFill="1" applyBorder="1" applyAlignment="1" applyProtection="1">
      <alignment horizontal="center"/>
    </xf>
    <xf numFmtId="0" fontId="71" fillId="5" borderId="124" xfId="0" applyFont="1" applyFill="1" applyBorder="1" applyAlignment="1" applyProtection="1">
      <alignment horizontal="center"/>
    </xf>
    <xf numFmtId="0" fontId="72" fillId="5" borderId="123" xfId="0" applyFont="1" applyFill="1" applyBorder="1" applyAlignment="1" applyProtection="1">
      <alignment horizontal="left" vertical="top" indent="2"/>
    </xf>
    <xf numFmtId="0" fontId="72" fillId="5" borderId="0" xfId="0" applyFont="1" applyFill="1" applyBorder="1" applyAlignment="1" applyProtection="1">
      <alignment horizontal="left" vertical="top" indent="2"/>
    </xf>
    <xf numFmtId="0" fontId="72" fillId="5" borderId="124" xfId="0" applyFont="1" applyFill="1" applyBorder="1" applyAlignment="1" applyProtection="1">
      <alignment horizontal="left" vertical="top" indent="2"/>
    </xf>
    <xf numFmtId="0" fontId="14" fillId="20" borderId="9" xfId="0" applyFont="1" applyFill="1" applyBorder="1" applyAlignment="1" applyProtection="1">
      <alignment horizontal="left" indent="1"/>
    </xf>
    <xf numFmtId="0" fontId="14" fillId="20" borderId="10" xfId="0" applyFont="1" applyFill="1" applyBorder="1" applyAlignment="1" applyProtection="1">
      <alignment horizontal="left" indent="1"/>
    </xf>
    <xf numFmtId="0" fontId="8" fillId="16" borderId="11" xfId="0" applyFont="1" applyFill="1" applyBorder="1" applyAlignment="1" applyProtection="1">
      <alignment horizontal="center" vertical="center"/>
    </xf>
    <xf numFmtId="0" fontId="8" fillId="16" borderId="12" xfId="0" applyFont="1" applyFill="1" applyBorder="1" applyAlignment="1" applyProtection="1">
      <alignment horizontal="center" vertical="center"/>
    </xf>
    <xf numFmtId="0" fontId="59" fillId="0" borderId="0" xfId="0" applyFont="1" applyAlignment="1" applyProtection="1">
      <alignment horizontal="center"/>
    </xf>
    <xf numFmtId="0" fontId="58" fillId="11" borderId="5" xfId="0" applyFont="1" applyFill="1" applyBorder="1" applyAlignment="1" applyProtection="1">
      <alignment horizontal="center" vertical="center"/>
    </xf>
    <xf numFmtId="0" fontId="58" fillId="11" borderId="6" xfId="0" applyFont="1" applyFill="1" applyBorder="1" applyAlignment="1" applyProtection="1">
      <alignment horizontal="center" vertical="center"/>
    </xf>
    <xf numFmtId="0" fontId="21" fillId="0" borderId="0" xfId="0" applyFont="1" applyAlignment="1" applyProtection="1"/>
    <xf numFmtId="0" fontId="21" fillId="0" borderId="0" xfId="0" applyFont="1" applyAlignment="1"/>
    <xf numFmtId="0" fontId="45" fillId="17" borderId="1" xfId="0" applyFont="1" applyFill="1" applyBorder="1" applyAlignment="1" applyProtection="1">
      <alignment horizontal="center" vertical="center"/>
    </xf>
    <xf numFmtId="0" fontId="45" fillId="17" borderId="13" xfId="0" applyFont="1" applyFill="1" applyBorder="1" applyAlignment="1" applyProtection="1">
      <alignment horizontal="center" vertical="center"/>
    </xf>
    <xf numFmtId="0" fontId="45" fillId="17" borderId="2" xfId="0" applyFont="1" applyFill="1" applyBorder="1" applyAlignment="1" applyProtection="1">
      <alignment horizontal="center" vertical="center"/>
    </xf>
    <xf numFmtId="0" fontId="0" fillId="12" borderId="5" xfId="0" applyFill="1" applyBorder="1" applyAlignment="1" applyProtection="1">
      <alignment horizontal="center"/>
    </xf>
    <xf numFmtId="0" fontId="0" fillId="12" borderId="0" xfId="0" applyFill="1" applyBorder="1" applyAlignment="1" applyProtection="1">
      <alignment horizontal="center"/>
    </xf>
    <xf numFmtId="0" fontId="0" fillId="12" borderId="6" xfId="0" applyFill="1" applyBorder="1" applyAlignment="1" applyProtection="1">
      <alignment horizontal="center"/>
    </xf>
    <xf numFmtId="0" fontId="6" fillId="0" borderId="133" xfId="0" applyFont="1" applyFill="1" applyBorder="1" applyAlignment="1" applyProtection="1">
      <alignment horizontal="center"/>
    </xf>
    <xf numFmtId="0" fontId="6" fillId="0" borderId="134" xfId="0" applyFont="1" applyFill="1" applyBorder="1" applyAlignment="1" applyProtection="1">
      <alignment horizontal="center"/>
    </xf>
    <xf numFmtId="0" fontId="14" fillId="0" borderId="135" xfId="0" applyFont="1" applyFill="1" applyBorder="1" applyAlignment="1" applyProtection="1">
      <alignment horizontal="center" vertical="top"/>
    </xf>
    <xf numFmtId="0" fontId="14" fillId="0" borderId="136" xfId="0" applyFont="1" applyFill="1" applyBorder="1" applyAlignment="1" applyProtection="1">
      <alignment horizontal="center" vertical="top"/>
    </xf>
    <xf numFmtId="0" fontId="55" fillId="5" borderId="123" xfId="0" applyFont="1" applyFill="1" applyBorder="1" applyAlignment="1" applyProtection="1">
      <alignment horizontal="left" vertical="justify" wrapText="1" indent="1"/>
    </xf>
    <xf numFmtId="0" fontId="55" fillId="5" borderId="0" xfId="0" applyFont="1" applyFill="1" applyBorder="1" applyAlignment="1" applyProtection="1">
      <alignment horizontal="left" vertical="justify" wrapText="1" indent="1"/>
    </xf>
    <xf numFmtId="0" fontId="55" fillId="5" borderId="124" xfId="0" applyFont="1" applyFill="1" applyBorder="1" applyAlignment="1" applyProtection="1">
      <alignment horizontal="left" vertical="justify" wrapText="1" indent="1"/>
    </xf>
    <xf numFmtId="0" fontId="55" fillId="5" borderId="123" xfId="0" applyFont="1" applyFill="1" applyBorder="1" applyAlignment="1" applyProtection="1">
      <alignment horizontal="left" vertical="top" wrapText="1" indent="1"/>
    </xf>
    <xf numFmtId="0" fontId="55" fillId="5" borderId="0" xfId="0" applyFont="1" applyFill="1" applyBorder="1" applyAlignment="1" applyProtection="1">
      <alignment horizontal="left" vertical="top" wrapText="1" indent="1"/>
    </xf>
    <xf numFmtId="0" fontId="55" fillId="5" borderId="124" xfId="0" applyFont="1" applyFill="1" applyBorder="1" applyAlignment="1" applyProtection="1">
      <alignment horizontal="left" vertical="top" wrapText="1" indent="1"/>
    </xf>
    <xf numFmtId="0" fontId="55" fillId="5" borderId="125" xfId="0" applyFont="1" applyFill="1" applyBorder="1" applyAlignment="1" applyProtection="1">
      <alignment horizontal="left" vertical="top" wrapText="1" indent="1"/>
    </xf>
    <xf numFmtId="0" fontId="55" fillId="5" borderId="126" xfId="0" applyFont="1" applyFill="1" applyBorder="1" applyAlignment="1" applyProtection="1">
      <alignment horizontal="left" vertical="top" wrapText="1" indent="1"/>
    </xf>
    <xf numFmtId="0" fontId="55" fillId="5" borderId="127" xfId="0" applyFont="1" applyFill="1" applyBorder="1" applyAlignment="1" applyProtection="1">
      <alignment horizontal="left" vertical="top" wrapText="1" indent="1"/>
    </xf>
    <xf numFmtId="0" fontId="74" fillId="5" borderId="120" xfId="0" applyFont="1" applyFill="1" applyBorder="1" applyAlignment="1" applyProtection="1">
      <alignment horizontal="center" vertical="center" wrapText="1"/>
    </xf>
    <xf numFmtId="0" fontId="74" fillId="5" borderId="121" xfId="0" applyFont="1" applyFill="1" applyBorder="1" applyAlignment="1" applyProtection="1">
      <alignment horizontal="center" vertical="center" wrapText="1"/>
    </xf>
    <xf numFmtId="0" fontId="74" fillId="5" borderId="122" xfId="0" applyFont="1" applyFill="1" applyBorder="1" applyAlignment="1" applyProtection="1">
      <alignment horizontal="center" vertical="center" wrapText="1"/>
    </xf>
    <xf numFmtId="0" fontId="74" fillId="5" borderId="123" xfId="0" applyFont="1" applyFill="1" applyBorder="1" applyAlignment="1" applyProtection="1">
      <alignment horizontal="center" vertical="center" wrapText="1"/>
    </xf>
    <xf numFmtId="0" fontId="74" fillId="5" borderId="0" xfId="0" applyFont="1" applyFill="1" applyBorder="1" applyAlignment="1" applyProtection="1">
      <alignment horizontal="center" vertical="center" wrapText="1"/>
    </xf>
    <xf numFmtId="0" fontId="74" fillId="5" borderId="124" xfId="0" applyFont="1" applyFill="1" applyBorder="1" applyAlignment="1" applyProtection="1">
      <alignment horizontal="center" vertical="center" wrapText="1"/>
    </xf>
    <xf numFmtId="0" fontId="57" fillId="0" borderId="5" xfId="0" applyFont="1" applyFill="1" applyBorder="1" applyAlignment="1" applyProtection="1">
      <alignment horizontal="left" indent="1"/>
    </xf>
    <xf numFmtId="0" fontId="57" fillId="0" borderId="6" xfId="0" applyFont="1" applyFill="1" applyBorder="1" applyAlignment="1" applyProtection="1">
      <alignment horizontal="left" indent="1"/>
    </xf>
    <xf numFmtId="0" fontId="67" fillId="0" borderId="0" xfId="0" applyFont="1" applyAlignment="1">
      <alignment horizontal="center" vertical="center"/>
    </xf>
    <xf numFmtId="0" fontId="60" fillId="0" borderId="0" xfId="0" applyFont="1" applyAlignment="1">
      <alignment vertical="center"/>
    </xf>
    <xf numFmtId="0" fontId="65" fillId="0" borderId="0" xfId="0" applyFont="1" applyAlignment="1">
      <alignment horizontal="center" vertical="center" wrapText="1"/>
    </xf>
    <xf numFmtId="0" fontId="60" fillId="0" borderId="0" xfId="0" applyFont="1" applyBorder="1" applyAlignment="1">
      <alignment horizontal="right" vertical="center" wrapText="1" indent="1"/>
    </xf>
    <xf numFmtId="0" fontId="60" fillId="0" borderId="42" xfId="0" applyFont="1" applyBorder="1" applyAlignment="1">
      <alignment horizontal="right" vertical="center" wrapText="1" indent="1"/>
    </xf>
    <xf numFmtId="0" fontId="0" fillId="13" borderId="101" xfId="0" applyFont="1" applyFill="1" applyBorder="1" applyAlignment="1">
      <alignment horizontal="center" vertical="center" wrapText="1"/>
    </xf>
    <xf numFmtId="0" fontId="0" fillId="13" borderId="104" xfId="0" applyFont="1" applyFill="1" applyBorder="1" applyAlignment="1">
      <alignment horizontal="center" vertical="center"/>
    </xf>
    <xf numFmtId="0" fontId="0" fillId="13" borderId="100" xfId="0" applyFill="1" applyBorder="1" applyAlignment="1">
      <alignment horizontal="center" vertical="center" wrapText="1"/>
    </xf>
    <xf numFmtId="0" fontId="0" fillId="13" borderId="103" xfId="0" applyFill="1" applyBorder="1" applyAlignment="1">
      <alignment horizontal="center" vertical="center"/>
    </xf>
    <xf numFmtId="0" fontId="69" fillId="0" borderId="0" xfId="0" applyFont="1" applyAlignment="1">
      <alignment horizontal="center"/>
    </xf>
    <xf numFmtId="0" fontId="18" fillId="0" borderId="0" xfId="0" applyFont="1" applyBorder="1" applyAlignment="1">
      <alignment horizontal="center" vertical="top"/>
    </xf>
    <xf numFmtId="0" fontId="3" fillId="13" borderId="63" xfId="0" applyFont="1" applyFill="1" applyBorder="1" applyAlignment="1" applyProtection="1">
      <alignment horizontal="center" vertical="center" wrapText="1"/>
    </xf>
    <xf numFmtId="0" fontId="3" fillId="13" borderId="99" xfId="0" applyFont="1" applyFill="1" applyBorder="1" applyAlignment="1" applyProtection="1">
      <alignment horizontal="center" vertical="center"/>
    </xf>
    <xf numFmtId="0" fontId="0" fillId="0" borderId="64" xfId="0" applyBorder="1" applyAlignment="1" applyProtection="1">
      <alignment horizontal="center"/>
      <protection locked="0"/>
    </xf>
    <xf numFmtId="0" fontId="0" fillId="13" borderId="97" xfId="0" applyFill="1" applyBorder="1" applyAlignment="1">
      <alignment horizontal="center" vertical="center" wrapText="1"/>
    </xf>
    <xf numFmtId="0" fontId="0" fillId="13" borderId="102" xfId="0" applyFill="1" applyBorder="1" applyAlignment="1">
      <alignment horizontal="center" vertical="center"/>
    </xf>
    <xf numFmtId="0" fontId="0" fillId="13" borderId="100" xfId="0" applyFont="1" applyFill="1" applyBorder="1" applyAlignment="1">
      <alignment horizontal="center" vertical="center" wrapText="1"/>
    </xf>
    <xf numFmtId="0" fontId="0" fillId="13" borderId="103" xfId="0" applyFont="1" applyFill="1" applyBorder="1" applyAlignment="1">
      <alignment horizontal="center" vertical="center"/>
    </xf>
    <xf numFmtId="0" fontId="60" fillId="0" borderId="0" xfId="0" applyFont="1" applyAlignment="1" applyProtection="1">
      <alignment horizontal="right" vertical="center" wrapText="1" indent="1"/>
    </xf>
    <xf numFmtId="0" fontId="2" fillId="5" borderId="83" xfId="0" applyFont="1" applyFill="1" applyBorder="1" applyAlignment="1" applyProtection="1">
      <alignment horizontal="center" vertical="center"/>
      <protection locked="0"/>
    </xf>
    <xf numFmtId="0" fontId="2" fillId="5" borderId="84" xfId="0" applyFont="1" applyFill="1" applyBorder="1" applyAlignment="1" applyProtection="1">
      <alignment horizontal="center" vertical="center"/>
      <protection locked="0"/>
    </xf>
    <xf numFmtId="0" fontId="69" fillId="0" borderId="0" xfId="0" applyFont="1" applyAlignment="1" applyProtection="1">
      <alignment horizontal="center"/>
    </xf>
    <xf numFmtId="0" fontId="60" fillId="0" borderId="0" xfId="0" applyFont="1" applyBorder="1" applyAlignment="1" applyProtection="1">
      <alignment horizontal="left" vertical="center" wrapText="1"/>
    </xf>
    <xf numFmtId="0" fontId="3" fillId="13" borderId="64" xfId="0" applyFont="1" applyFill="1" applyBorder="1" applyAlignment="1" applyProtection="1">
      <alignment horizontal="center" vertical="center"/>
    </xf>
    <xf numFmtId="0" fontId="3" fillId="13" borderId="97" xfId="0" applyFont="1" applyFill="1" applyBorder="1" applyAlignment="1" applyProtection="1">
      <alignment horizontal="center" vertical="center" wrapText="1"/>
    </xf>
    <xf numFmtId="0" fontId="3" fillId="13" borderId="98" xfId="0" applyFont="1" applyFill="1" applyBorder="1" applyAlignment="1" applyProtection="1">
      <alignment horizontal="center" vertical="center"/>
    </xf>
    <xf numFmtId="0" fontId="3" fillId="13" borderId="54" xfId="0" applyFont="1" applyFill="1" applyBorder="1" applyAlignment="1" applyProtection="1">
      <alignment horizontal="center" vertical="center" wrapText="1"/>
    </xf>
    <xf numFmtId="0" fontId="3" fillId="13" borderId="55" xfId="0" applyFont="1" applyFill="1" applyBorder="1" applyAlignment="1" applyProtection="1">
      <alignment horizontal="center" vertical="center"/>
    </xf>
    <xf numFmtId="0" fontId="68" fillId="0" borderId="0" xfId="0" applyFont="1" applyAlignment="1">
      <alignment horizontal="center"/>
    </xf>
    <xf numFmtId="0" fontId="20" fillId="0" borderId="69" xfId="0" applyFont="1" applyBorder="1" applyAlignment="1">
      <alignment horizontal="center" wrapText="1"/>
    </xf>
    <xf numFmtId="0" fontId="70" fillId="0" borderId="0" xfId="0" applyFont="1" applyAlignment="1">
      <alignment horizontal="center"/>
    </xf>
    <xf numFmtId="0" fontId="46" fillId="0" borderId="0" xfId="0" applyFont="1" applyAlignment="1">
      <alignment horizontal="center" vertical="center"/>
    </xf>
    <xf numFmtId="0" fontId="27" fillId="0" borderId="0" xfId="0" applyFont="1" applyBorder="1" applyAlignment="1">
      <alignment horizontal="center"/>
    </xf>
    <xf numFmtId="0" fontId="0" fillId="0" borderId="22" xfId="0" applyBorder="1" applyAlignment="1">
      <alignment horizontal="right"/>
    </xf>
    <xf numFmtId="0" fontId="0" fillId="0" borderId="21" xfId="0" applyBorder="1" applyAlignment="1">
      <alignment horizontal="right"/>
    </xf>
    <xf numFmtId="0" fontId="20" fillId="0" borderId="29" xfId="0" applyFont="1" applyBorder="1" applyAlignment="1">
      <alignment horizontal="center"/>
    </xf>
    <xf numFmtId="0" fontId="0" fillId="0" borderId="27" xfId="0" applyBorder="1" applyAlignment="1">
      <alignment horizontal="right"/>
    </xf>
    <xf numFmtId="0" fontId="0" fillId="0" borderId="26" xfId="0" applyBorder="1" applyAlignment="1">
      <alignment horizontal="right"/>
    </xf>
    <xf numFmtId="0" fontId="0" fillId="0" borderId="24" xfId="0" applyBorder="1" applyAlignment="1">
      <alignment horizontal="right"/>
    </xf>
    <xf numFmtId="0" fontId="0" fillId="0" borderId="0" xfId="0" applyBorder="1" applyAlignment="1">
      <alignment horizontal="right"/>
    </xf>
    <xf numFmtId="0" fontId="46" fillId="0" borderId="0" xfId="0" quotePrefix="1" applyFont="1" applyAlignment="1">
      <alignment horizontal="center"/>
    </xf>
  </cellXfs>
  <cellStyles count="2">
    <cellStyle name="Link" xfId="1" builtinId="8"/>
    <cellStyle name="Standard" xfId="0" builtinId="0"/>
  </cellStyles>
  <dxfs count="57">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color auto="1"/>
      </font>
    </dxf>
    <dxf>
      <font>
        <b/>
        <i val="0"/>
        <color auto="1"/>
      </font>
    </dxf>
    <dxf>
      <font>
        <b/>
        <i val="0"/>
        <color auto="1"/>
      </font>
    </dxf>
    <dxf>
      <font>
        <b/>
        <i val="0"/>
        <color auto="1"/>
      </font>
    </dxf>
    <dxf>
      <font>
        <b/>
        <i val="0"/>
        <color auto="1"/>
      </font>
    </dxf>
    <dxf>
      <font>
        <b/>
        <i val="0"/>
        <color auto="1"/>
      </font>
    </dxf>
    <dxf>
      <font>
        <b/>
        <i val="0"/>
        <color auto="1"/>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
      <font>
        <b val="0"/>
        <i val="0"/>
        <color rgb="FFC02000"/>
      </font>
    </dxf>
    <dxf>
      <fill>
        <patternFill>
          <bgColor rgb="FFF0FDCE"/>
        </patternFill>
      </fill>
    </dxf>
    <dxf>
      <fill>
        <patternFill>
          <bgColor rgb="FFF0FDCE"/>
        </patternFill>
      </fill>
    </dxf>
    <dxf>
      <fill>
        <patternFill>
          <bgColor rgb="FFF0FDCE"/>
        </patternFill>
      </fill>
    </dxf>
    <dxf>
      <fill>
        <patternFill>
          <bgColor rgb="FFF0FDCE"/>
        </patternFill>
      </fill>
    </dxf>
    <dxf>
      <fill>
        <patternFill>
          <bgColor rgb="FFF0FDCE"/>
        </patternFill>
      </fill>
    </dxf>
    <dxf>
      <fill>
        <patternFill>
          <bgColor rgb="FFF0FDCE"/>
        </patternFill>
      </fill>
    </dxf>
    <dxf>
      <font>
        <b/>
        <i val="0"/>
        <color theme="1"/>
      </font>
      <fill>
        <patternFill patternType="solid">
          <bgColor rgb="FFFFFF00"/>
        </patternFill>
      </fill>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hermann-baum.de/excel/UEFA_EURO/d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84"/>
      <c r="E1" s="416" t="str">
        <f>Language!$E$84</f>
        <v>EURO 2020/2021</v>
      </c>
      <c r="F1" s="416"/>
      <c r="G1" s="416"/>
      <c r="H1" s="416"/>
      <c r="I1" s="416"/>
      <c r="J1" s="416"/>
      <c r="K1" s="416"/>
      <c r="L1" s="416"/>
      <c r="M1" s="416"/>
      <c r="N1" s="416"/>
      <c r="O1" s="416"/>
      <c r="P1" s="416"/>
      <c r="Q1" s="416"/>
      <c r="R1" s="416"/>
      <c r="S1" s="416"/>
      <c r="T1" s="416"/>
      <c r="U1" s="416"/>
      <c r="V1" s="84"/>
      <c r="W1" s="84"/>
      <c r="X1" s="383" t="s">
        <v>899</v>
      </c>
      <c r="Y1" s="26"/>
    </row>
    <row r="2" spans="1:25" ht="14.25" customHeight="1" x14ac:dyDescent="0.9">
      <c r="B2" s="23"/>
      <c r="C2" s="86" t="str">
        <f>Language!$E$100</f>
        <v xml:space="preserve">  Pkt      Tore</v>
      </c>
      <c r="D2" s="22"/>
      <c r="E2" s="23"/>
      <c r="F2" s="86" t="str">
        <f>Language!$E$100</f>
        <v xml:space="preserve">  Pkt      Tore</v>
      </c>
      <c r="G2" s="22"/>
      <c r="H2" s="23"/>
      <c r="I2" s="86" t="str">
        <f>Language!$E$100</f>
        <v xml:space="preserve">  Pkt      Tore</v>
      </c>
      <c r="J2" s="22"/>
      <c r="K2" s="24"/>
      <c r="L2" s="86" t="str">
        <f>Language!$E$100</f>
        <v xml:space="preserve">  Pkt      Tore</v>
      </c>
      <c r="M2" s="22"/>
      <c r="N2" s="23"/>
      <c r="O2" s="86" t="str">
        <f>Language!$E$100</f>
        <v xml:space="preserve">  Pkt      Tore</v>
      </c>
      <c r="P2" s="22"/>
      <c r="Q2" s="23"/>
      <c r="R2" s="86" t="str">
        <f>Language!$E$100</f>
        <v xml:space="preserve">  Pkt      Tore</v>
      </c>
      <c r="S2" s="22"/>
      <c r="T2" s="280"/>
      <c r="U2" s="279"/>
      <c r="V2" s="279"/>
      <c r="W2" s="279"/>
      <c r="X2" s="279"/>
    </row>
    <row r="3" spans="1:25" ht="15.95" customHeight="1" x14ac:dyDescent="0.25">
      <c r="A3" s="5"/>
      <c r="B3" s="342" t="str">
        <f>GrpA!P11</f>
        <v>Italien</v>
      </c>
      <c r="C3" s="343" t="str">
        <f>"   "&amp;GrpA!$Q11&amp;"        "&amp;GrpA!$S11&amp;Language!$E$143&amp;GrpA!$T11</f>
        <v xml:space="preserve">   9        5 : 0</v>
      </c>
      <c r="D3" s="107"/>
      <c r="E3" s="342" t="str">
        <f>GrpB!P11</f>
        <v>Belgien</v>
      </c>
      <c r="F3" s="343" t="str">
        <f>"   "&amp;GrpB!$Q11&amp;"        "&amp;GrpB!$S11&amp;Language!$E$143&amp;GrpB!$T11</f>
        <v xml:space="preserve">   9        7 : 1</v>
      </c>
      <c r="G3" s="107"/>
      <c r="H3" s="342" t="str">
        <f>GrpC!$P11</f>
        <v>Niederlande</v>
      </c>
      <c r="I3" s="343" t="str">
        <f>"   "&amp;GrpC!$Q11&amp;"        "&amp;GrpC!$S11&amp;Language!$E$143&amp;GrpC!$T11</f>
        <v xml:space="preserve">   9        8 : 2</v>
      </c>
      <c r="J3" s="109"/>
      <c r="K3" s="342" t="str">
        <f>GrpD!$P11</f>
        <v>England</v>
      </c>
      <c r="L3" s="343" t="str">
        <f>"   "&amp;GrpD!$Q11&amp;"        "&amp;GrpD!$S11&amp;Language!$E$143&amp;GrpD!$T11</f>
        <v xml:space="preserve">   7        2 : 0</v>
      </c>
      <c r="M3" s="109"/>
      <c r="N3" s="342" t="str">
        <f>GrpE!$P11</f>
        <v>Schweden</v>
      </c>
      <c r="O3" s="343" t="str">
        <f>"   "&amp;GrpE!$Q11&amp;"        "&amp;GrpE!$S11&amp;Language!$E$143&amp;GrpE!$T11</f>
        <v xml:space="preserve">   7        4 : 2</v>
      </c>
      <c r="P3" s="107"/>
      <c r="Q3" s="342" t="str">
        <f>GrpF!$P11</f>
        <v>Frankreich</v>
      </c>
      <c r="R3" s="343" t="str">
        <f>"   "&amp;GrpF!$Q11&amp;"        "&amp;GrpF!$S11&amp;Language!$E$143&amp;GrpF!$T11</f>
        <v xml:space="preserve">   5        4 : 3</v>
      </c>
      <c r="S3" s="109"/>
      <c r="T3" s="279"/>
      <c r="U3" s="279"/>
      <c r="V3" s="279"/>
      <c r="W3" s="279"/>
      <c r="X3" s="279"/>
      <c r="Y3" s="5"/>
    </row>
    <row r="4" spans="1:25" ht="15.95" customHeight="1" x14ac:dyDescent="0.25">
      <c r="A4" s="5"/>
      <c r="B4" s="344" t="str">
        <f>GrpA!P12</f>
        <v>Schweiz</v>
      </c>
      <c r="C4" s="345" t="str">
        <f>"   "&amp;GrpA!$Q12&amp;"        "&amp;GrpA!$S12&amp;Language!$E$143&amp;GrpA!$T12</f>
        <v xml:space="preserve">   4        4 : 3</v>
      </c>
      <c r="D4" s="107"/>
      <c r="E4" s="344" t="str">
        <f>GrpB!P12</f>
        <v>Dänemark</v>
      </c>
      <c r="F4" s="345" t="str">
        <f>"   "&amp;GrpB!$Q12&amp;"        "&amp;GrpB!$S12&amp;Language!$E$143&amp;GrpB!$T12</f>
        <v xml:space="preserve">   3        5 : 4</v>
      </c>
      <c r="G4" s="107"/>
      <c r="H4" s="344" t="str">
        <f>GrpC!P12</f>
        <v>Österreich</v>
      </c>
      <c r="I4" s="345" t="str">
        <f>"   "&amp;GrpC!$Q12&amp;"        "&amp;GrpC!$S12&amp;Language!$E$143&amp;GrpC!$T12</f>
        <v xml:space="preserve">   6        4 : 3</v>
      </c>
      <c r="J4" s="109"/>
      <c r="K4" s="344" t="str">
        <f>GrpD!$P12</f>
        <v>Kroatien</v>
      </c>
      <c r="L4" s="345" t="str">
        <f>"   "&amp;GrpD!$Q12&amp;"        "&amp;GrpD!$S12&amp;Language!$E$143&amp;GrpD!$T12</f>
        <v xml:space="preserve">   4        4 : 3</v>
      </c>
      <c r="M4" s="109"/>
      <c r="N4" s="344" t="str">
        <f>GrpE!$P12</f>
        <v>Spanien</v>
      </c>
      <c r="O4" s="345" t="str">
        <f>"   "&amp;GrpE!$Q12&amp;"        "&amp;GrpE!$S12&amp;Language!$E$143&amp;GrpE!$T12</f>
        <v xml:space="preserve">   5        6 : 1</v>
      </c>
      <c r="P4" s="107"/>
      <c r="Q4" s="344" t="str">
        <f>GrpF!$P12</f>
        <v>Deutschland</v>
      </c>
      <c r="R4" s="345" t="str">
        <f>"   "&amp;GrpF!$Q12&amp;"        "&amp;GrpF!$S12&amp;Language!$E$143&amp;GrpF!$T12</f>
        <v xml:space="preserve">   4        6 : 5</v>
      </c>
      <c r="S4" s="109"/>
      <c r="T4" s="279"/>
      <c r="U4" s="279"/>
      <c r="V4" s="279"/>
      <c r="W4" s="279"/>
      <c r="X4" s="279"/>
      <c r="Y4" s="5"/>
    </row>
    <row r="5" spans="1:25" ht="15.95" customHeight="1" x14ac:dyDescent="0.25">
      <c r="A5" s="5"/>
      <c r="B5" s="346" t="str">
        <f>GrpA!P13</f>
        <v>Wales</v>
      </c>
      <c r="C5" s="347" t="str">
        <f>"   "&amp;GrpA!$Q13&amp;"        "&amp;GrpA!$S13&amp;Language!$E$143&amp;GrpA!$T13</f>
        <v xml:space="preserve">   4        3 : 2</v>
      </c>
      <c r="D5" s="107"/>
      <c r="E5" s="346" t="str">
        <f>GrpB!P13</f>
        <v>Finnland</v>
      </c>
      <c r="F5" s="347" t="str">
        <f>"   "&amp;GrpB!$Q13&amp;"        "&amp;GrpB!$S13&amp;Language!$E$143&amp;GrpB!$T13</f>
        <v xml:space="preserve">   3        1 : 3</v>
      </c>
      <c r="G5" s="107"/>
      <c r="H5" s="346" t="str">
        <f>GrpC!P13</f>
        <v>Ukraine</v>
      </c>
      <c r="I5" s="347" t="str">
        <f>"   "&amp;GrpC!$Q13&amp;"        "&amp;GrpC!$S13&amp;Language!$E$143&amp;GrpC!$T13</f>
        <v xml:space="preserve">   3        4 : 5</v>
      </c>
      <c r="J5" s="109"/>
      <c r="K5" s="346" t="str">
        <f>GrpD!$P13</f>
        <v>Tschechien</v>
      </c>
      <c r="L5" s="347" t="str">
        <f>"   "&amp;GrpD!$Q13&amp;"        "&amp;GrpD!$S13&amp;Language!$E$143&amp;GrpD!$T13</f>
        <v xml:space="preserve">   4        3 : 2</v>
      </c>
      <c r="M5" s="109"/>
      <c r="N5" s="346" t="str">
        <f>GrpE!$P13</f>
        <v>Slowakei</v>
      </c>
      <c r="O5" s="347" t="str">
        <f>"   "&amp;GrpE!$Q13&amp;"        "&amp;GrpE!$S13&amp;Language!$E$143&amp;GrpE!$T13</f>
        <v xml:space="preserve">   3        2 : 7</v>
      </c>
      <c r="P5" s="107"/>
      <c r="Q5" s="346" t="str">
        <f>GrpF!$P13</f>
        <v>Portugal</v>
      </c>
      <c r="R5" s="347" t="str">
        <f>"   "&amp;GrpF!$Q13&amp;"        "&amp;GrpF!$S13&amp;Language!$E$143&amp;GrpF!$T13</f>
        <v xml:space="preserve">   4        7 : 6</v>
      </c>
      <c r="S5" s="109"/>
      <c r="T5" s="279"/>
      <c r="U5" s="279"/>
      <c r="V5" s="279"/>
      <c r="W5" s="279"/>
      <c r="X5" s="279"/>
      <c r="Y5" s="5"/>
    </row>
    <row r="6" spans="1:25" s="88" customFormat="1" ht="15.95" customHeight="1" x14ac:dyDescent="0.25">
      <c r="A6" s="87"/>
      <c r="B6" s="348" t="str">
        <f>GrpA!P14</f>
        <v>Türkei</v>
      </c>
      <c r="C6" s="349" t="str">
        <f>"   "&amp;GrpA!$Q14&amp;"        "&amp;GrpA!$S14&amp;Language!$E$143&amp;GrpA!$T14</f>
        <v xml:space="preserve">   0        1 : 8</v>
      </c>
      <c r="D6" s="108"/>
      <c r="E6" s="348" t="str">
        <f>GrpB!P14</f>
        <v>Russland</v>
      </c>
      <c r="F6" s="349" t="str">
        <f>"   "&amp;GrpB!$Q14&amp;"        "&amp;GrpB!$S14&amp;Language!$E$143&amp;GrpB!$T14</f>
        <v xml:space="preserve">   3        2 : 7</v>
      </c>
      <c r="G6" s="108"/>
      <c r="H6" s="348" t="str">
        <f>GrpC!P14</f>
        <v>Nordmazedonien</v>
      </c>
      <c r="I6" s="349" t="str">
        <f>"   "&amp;GrpC!$Q14&amp;"        "&amp;GrpC!$S14&amp;Language!$E$143&amp;GrpC!$T14</f>
        <v xml:space="preserve">   0        2 : 8</v>
      </c>
      <c r="J6" s="110"/>
      <c r="K6" s="348" t="str">
        <f>GrpD!$P14</f>
        <v>Schottland</v>
      </c>
      <c r="L6" s="349" t="str">
        <f>"   "&amp;GrpD!$Q14&amp;"        "&amp;GrpD!$S14&amp;Language!$E$143&amp;GrpD!$T14</f>
        <v xml:space="preserve">   1        1 : 5</v>
      </c>
      <c r="M6" s="110"/>
      <c r="N6" s="348" t="str">
        <f>GrpE!$P14</f>
        <v>Polen</v>
      </c>
      <c r="O6" s="349" t="str">
        <f>"   "&amp;GrpE!$Q14&amp;"        "&amp;GrpE!$S14&amp;Language!$E$143&amp;GrpE!$T14</f>
        <v xml:space="preserve">   1        4 : 6</v>
      </c>
      <c r="P6" s="108"/>
      <c r="Q6" s="348" t="str">
        <f>GrpF!$P14</f>
        <v>Ungarn</v>
      </c>
      <c r="R6" s="349" t="str">
        <f>"   "&amp;GrpF!$Q14&amp;"        "&amp;GrpF!$S14&amp;Language!$E$143&amp;GrpF!$T14</f>
        <v xml:space="preserve">   2        3 : 6</v>
      </c>
      <c r="S6" s="110"/>
      <c r="T6" s="279"/>
      <c r="U6" s="279"/>
      <c r="V6" s="279"/>
      <c r="W6" s="279"/>
      <c r="X6" s="279"/>
      <c r="Y6" s="87"/>
    </row>
    <row r="7" spans="1:25" ht="13.5" customHeight="1" x14ac:dyDescent="0.25">
      <c r="A7" s="5"/>
      <c r="B7" s="334"/>
      <c r="C7" s="334"/>
      <c r="D7" s="334"/>
      <c r="E7" s="334"/>
      <c r="F7" s="334"/>
      <c r="G7" s="334"/>
      <c r="H7" s="334"/>
      <c r="I7" s="334"/>
      <c r="J7" s="334"/>
      <c r="K7" s="334"/>
      <c r="L7" s="334"/>
      <c r="M7" s="334"/>
      <c r="N7" s="334"/>
      <c r="O7" s="334"/>
      <c r="P7" s="334"/>
      <c r="Q7" s="334"/>
      <c r="R7" s="334"/>
      <c r="S7" s="257"/>
      <c r="T7" s="262"/>
      <c r="U7" s="262"/>
      <c r="V7" s="262"/>
      <c r="W7" s="262"/>
      <c r="X7" s="262"/>
      <c r="Y7" s="5"/>
    </row>
    <row r="8" spans="1:25" ht="11.25" customHeight="1" x14ac:dyDescent="0.25">
      <c r="B8" s="334"/>
      <c r="C8" s="334"/>
      <c r="D8" s="334"/>
      <c r="E8" s="334"/>
      <c r="F8" s="334"/>
      <c r="G8" s="334"/>
      <c r="H8" s="334"/>
      <c r="I8" s="334"/>
      <c r="J8" s="334"/>
      <c r="K8" s="334"/>
      <c r="L8" s="334"/>
      <c r="M8" s="334"/>
      <c r="N8" s="334"/>
      <c r="O8" s="334"/>
      <c r="P8" s="334"/>
      <c r="Q8" s="334"/>
      <c r="R8" s="334"/>
      <c r="S8" s="128"/>
      <c r="T8" s="398"/>
      <c r="U8" s="398"/>
      <c r="V8" s="264"/>
      <c r="W8" s="398"/>
      <c r="X8" s="398"/>
    </row>
    <row r="9" spans="1:25" ht="19.5" customHeight="1" x14ac:dyDescent="0.35">
      <c r="B9" s="399" t="str">
        <f>Language!$E$93&amp;" A"</f>
        <v>Gruppe A</v>
      </c>
      <c r="C9" s="400"/>
      <c r="D9" s="6"/>
      <c r="E9" s="399" t="str">
        <f>Language!$E$93&amp;" B"</f>
        <v>Gruppe B</v>
      </c>
      <c r="F9" s="400"/>
      <c r="H9" s="399" t="str">
        <f>Language!$E$93&amp;" C"</f>
        <v>Gruppe C</v>
      </c>
      <c r="I9" s="400"/>
      <c r="K9" s="399" t="str">
        <f>Language!$E$93&amp;" D"</f>
        <v>Gruppe D</v>
      </c>
      <c r="L9" s="400"/>
      <c r="N9" s="399" t="str">
        <f>Language!$E$93&amp;" E"</f>
        <v>Gruppe E</v>
      </c>
      <c r="O9" s="400"/>
      <c r="Q9" s="399" t="str">
        <f>Language!$E$93&amp;" F"</f>
        <v>Gruppe F</v>
      </c>
      <c r="R9" s="400"/>
      <c r="T9" s="281"/>
      <c r="U9" s="278"/>
      <c r="V9" s="278"/>
      <c r="W9" s="278"/>
      <c r="X9" s="278"/>
    </row>
    <row r="10" spans="1:25" ht="9.9499999999999993" customHeight="1" thickBot="1" x14ac:dyDescent="0.35">
      <c r="B10" s="60"/>
      <c r="C10" s="60"/>
      <c r="D10" s="61"/>
      <c r="E10" s="60"/>
      <c r="F10" s="60"/>
      <c r="G10" s="18"/>
      <c r="H10" s="60"/>
      <c r="I10" s="60"/>
      <c r="J10" s="18"/>
      <c r="K10" s="60"/>
      <c r="L10" s="60"/>
      <c r="M10" s="18"/>
      <c r="N10" s="60"/>
      <c r="O10" s="60"/>
      <c r="P10" s="18"/>
      <c r="Q10" s="60"/>
      <c r="R10" s="60"/>
      <c r="T10" s="60"/>
      <c r="U10" s="60"/>
      <c r="V10" s="18"/>
      <c r="W10" s="60"/>
      <c r="X10" s="60"/>
    </row>
    <row r="11" spans="1:25" ht="15" customHeight="1" x14ac:dyDescent="0.25">
      <c r="A11" s="117">
        <v>1</v>
      </c>
      <c r="B11" s="401" t="str">
        <f>VLOOKUP(A11,Matches!$B$4:$K$58,7,0)</f>
        <v>London</v>
      </c>
      <c r="C11" s="402"/>
      <c r="D11" s="117">
        <v>3</v>
      </c>
      <c r="E11" s="401" t="str">
        <f>VLOOKUP(D11,Matches!$B$4:$K$58,7,0)</f>
        <v>Kopenhagen</v>
      </c>
      <c r="F11" s="402"/>
      <c r="G11" s="117">
        <v>5</v>
      </c>
      <c r="H11" s="401" t="str">
        <f>VLOOKUP(G11,Matches!$B$4:$K$58,7,0)</f>
        <v>Bukarest</v>
      </c>
      <c r="I11" s="402"/>
      <c r="J11" s="117">
        <v>7</v>
      </c>
      <c r="K11" s="401" t="str">
        <f>VLOOKUP(J11,Matches!$B$4:$K$58,7,0)</f>
        <v>London</v>
      </c>
      <c r="L11" s="402"/>
      <c r="M11" s="117">
        <v>9</v>
      </c>
      <c r="N11" s="401" t="str">
        <f>VLOOKUP(M11,Matches!$B$4:$K$58,7,0)</f>
        <v>Sankt Petersburg</v>
      </c>
      <c r="O11" s="402"/>
      <c r="P11" s="117">
        <v>11</v>
      </c>
      <c r="Q11" s="401" t="str">
        <f>VLOOKUP(P11,Matches!$B$4:$K$58,7,0)</f>
        <v>Budapest</v>
      </c>
      <c r="R11" s="402"/>
      <c r="S11" s="117"/>
      <c r="T11" s="403" t="str">
        <f>Language!$E$145</f>
        <v>Qualifikation zum Achtelfinale</v>
      </c>
      <c r="U11" s="404"/>
      <c r="V11" s="404"/>
      <c r="W11" s="404"/>
      <c r="X11" s="405"/>
    </row>
    <row r="12" spans="1:25" ht="15" customHeight="1" x14ac:dyDescent="0.25">
      <c r="B12" s="388">
        <f>VLOOKUP(A11,Matches!$B$4:$K$58,5,0)</f>
        <v>44358.875</v>
      </c>
      <c r="C12" s="389"/>
      <c r="E12" s="388">
        <f>VLOOKUP(D11,Matches!$B$4:$K$58,5,0)</f>
        <v>44359.75</v>
      </c>
      <c r="F12" s="389"/>
      <c r="H12" s="388">
        <f>VLOOKUP(G11,Matches!$B$4:$K$58,5,0)</f>
        <v>44360.75</v>
      </c>
      <c r="I12" s="389"/>
      <c r="K12" s="388">
        <f>VLOOKUP(J11,Matches!$B$4:$K$58,5,0)</f>
        <v>44360.625</v>
      </c>
      <c r="L12" s="389"/>
      <c r="N12" s="388">
        <f>VLOOKUP(M11,Matches!$B$4:$K$58,5,0)</f>
        <v>44361.75</v>
      </c>
      <c r="O12" s="389"/>
      <c r="Q12" s="388">
        <f>VLOOKUP(P11,Matches!$B$4:$K$58,5,0)</f>
        <v>44362.75</v>
      </c>
      <c r="R12" s="389"/>
      <c r="T12" s="406"/>
      <c r="U12" s="407"/>
      <c r="V12" s="407"/>
      <c r="W12" s="407"/>
      <c r="X12" s="408"/>
    </row>
    <row r="13" spans="1:25" x14ac:dyDescent="0.25">
      <c r="B13" s="62" t="str">
        <f>VLOOKUP(A11,Matches!$B$4:$K$58,8,0)</f>
        <v>Türkei</v>
      </c>
      <c r="C13" s="63" t="str">
        <f>VLOOKUP(A11,Matches!$B$4:$K$58,9,0)</f>
        <v>Italien</v>
      </c>
      <c r="E13" s="62" t="str">
        <f>VLOOKUP(D11,Matches!$B$4:$K$58,8,0)</f>
        <v>Dänemark</v>
      </c>
      <c r="F13" s="63" t="str">
        <f>VLOOKUP(D11,Matches!$B$4:$K$58,9,0)</f>
        <v>Finnland</v>
      </c>
      <c r="H13" s="62" t="str">
        <f>VLOOKUP(G11,Matches!$B$4:$K$58,8,0)</f>
        <v>Niederlande</v>
      </c>
      <c r="I13" s="63" t="str">
        <f>VLOOKUP(G11,Matches!$B$4:$K$58,9,0)</f>
        <v>Ukraine</v>
      </c>
      <c r="K13" s="62" t="str">
        <f>VLOOKUP(J11,Matches!$B$4:$K$58,8,0)</f>
        <v>England</v>
      </c>
      <c r="L13" s="63" t="str">
        <f>VLOOKUP(J11,Matches!$B$4:$K$58,9,0)</f>
        <v>Kroatien</v>
      </c>
      <c r="N13" s="62" t="str">
        <f>VLOOKUP(M11,Matches!$B$4:$K$58,8,0)</f>
        <v>Spanien</v>
      </c>
      <c r="O13" s="63" t="str">
        <f>VLOOKUP(M11,Matches!$B$4:$K$58,9,0)</f>
        <v>Schweden</v>
      </c>
      <c r="Q13" s="62" t="str">
        <f>VLOOKUP(P11,Matches!$B$4:$K$58,8,0)</f>
        <v>Ungarn</v>
      </c>
      <c r="R13" s="63" t="str">
        <f>VLOOKUP(P11,Matches!$B$4:$K$58,9,0)</f>
        <v>Portugal</v>
      </c>
      <c r="T13" s="320"/>
      <c r="U13" s="321"/>
      <c r="V13" s="321"/>
      <c r="W13" s="321"/>
      <c r="X13" s="322"/>
    </row>
    <row r="14" spans="1:25" ht="15.75" thickBot="1" x14ac:dyDescent="0.3">
      <c r="B14" s="1">
        <v>0</v>
      </c>
      <c r="C14" s="2">
        <v>3</v>
      </c>
      <c r="E14" s="1">
        <v>0</v>
      </c>
      <c r="F14" s="2">
        <v>1</v>
      </c>
      <c r="H14" s="1">
        <v>3</v>
      </c>
      <c r="I14" s="2">
        <v>2</v>
      </c>
      <c r="K14" s="1">
        <v>1</v>
      </c>
      <c r="L14" s="2">
        <v>0</v>
      </c>
      <c r="N14" s="1">
        <v>0</v>
      </c>
      <c r="O14" s="2">
        <v>0</v>
      </c>
      <c r="Q14" s="1">
        <v>0</v>
      </c>
      <c r="R14" s="2">
        <v>3</v>
      </c>
      <c r="T14" s="409" t="str">
        <f>Language!$E$146</f>
        <v>Kriterien für die Platzierung innerhalb der Gruppen:</v>
      </c>
      <c r="U14" s="410"/>
      <c r="V14" s="410"/>
      <c r="W14" s="410"/>
      <c r="X14" s="411"/>
    </row>
    <row r="15" spans="1:25" ht="9.9499999999999993" customHeight="1" thickBot="1" x14ac:dyDescent="0.3">
      <c r="B15" s="25"/>
      <c r="C15" s="25"/>
      <c r="D15" s="18"/>
      <c r="E15" s="25"/>
      <c r="F15" s="25"/>
      <c r="G15" s="18"/>
      <c r="H15" s="25"/>
      <c r="I15" s="25"/>
      <c r="J15" s="18"/>
      <c r="K15" s="25"/>
      <c r="L15" s="25"/>
      <c r="M15" s="18"/>
      <c r="N15" s="25"/>
      <c r="O15" s="25"/>
      <c r="P15" s="18"/>
      <c r="Q15" s="25"/>
      <c r="R15" s="25"/>
      <c r="T15" s="409"/>
      <c r="U15" s="410"/>
      <c r="V15" s="410"/>
      <c r="W15" s="410"/>
      <c r="X15" s="411"/>
    </row>
    <row r="16" spans="1:25" ht="15" customHeight="1" x14ac:dyDescent="0.25">
      <c r="A16" s="117">
        <v>2</v>
      </c>
      <c r="B16" s="401" t="str">
        <f>VLOOKUP(A16,Matches!$B$4:$K$58,7,0)</f>
        <v>Baku</v>
      </c>
      <c r="C16" s="402"/>
      <c r="D16" s="117">
        <v>4</v>
      </c>
      <c r="E16" s="401" t="str">
        <f>VLOOKUP(D16,Matches!$B$4:$K$58,7,0)</f>
        <v>Sankt Petersburg</v>
      </c>
      <c r="F16" s="402"/>
      <c r="G16" s="117">
        <v>6</v>
      </c>
      <c r="H16" s="401" t="str">
        <f>VLOOKUP(G16,Matches!$B$4:$K$58,7,0)</f>
        <v>Amsterdam</v>
      </c>
      <c r="I16" s="402"/>
      <c r="J16" s="117">
        <v>8</v>
      </c>
      <c r="K16" s="401" t="str">
        <f>VLOOKUP(J16,Matches!$B$4:$K$58,7,0)</f>
        <v>Glasgow</v>
      </c>
      <c r="L16" s="402"/>
      <c r="M16" s="117">
        <v>10</v>
      </c>
      <c r="N16" s="401" t="str">
        <f>VLOOKUP(M16,Matches!$B$4:$K$58,7,0)</f>
        <v>Sevilla</v>
      </c>
      <c r="O16" s="402"/>
      <c r="P16" s="117">
        <v>12</v>
      </c>
      <c r="Q16" s="401" t="str">
        <f>VLOOKUP(P16,Matches!$B$4:$K$58,7,0)</f>
        <v>München</v>
      </c>
      <c r="R16" s="402"/>
      <c r="S16" s="117"/>
      <c r="T16" s="431"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432"/>
      <c r="V16" s="432"/>
      <c r="W16" s="432"/>
      <c r="X16" s="433"/>
    </row>
    <row r="17" spans="1:24" x14ac:dyDescent="0.25">
      <c r="B17" s="388">
        <f>VLOOKUP(A16,Matches!$B$4:$K$58,5,0)</f>
        <v>44359.625</v>
      </c>
      <c r="C17" s="389"/>
      <c r="E17" s="388">
        <f>VLOOKUP(D16,Matches!$B$4:$K$58,5,0)</f>
        <v>44359.875</v>
      </c>
      <c r="F17" s="389"/>
      <c r="H17" s="388">
        <f>VLOOKUP(G16,Matches!$B$4:$K$58,5,0)</f>
        <v>44360.875</v>
      </c>
      <c r="I17" s="389"/>
      <c r="K17" s="388">
        <f>VLOOKUP(J16,Matches!$B$4:$K$58,5,0)</f>
        <v>44361.625</v>
      </c>
      <c r="L17" s="389"/>
      <c r="N17" s="388">
        <f>VLOOKUP(M16,Matches!$B$4:$K$58,5,0)</f>
        <v>44361.875</v>
      </c>
      <c r="O17" s="389"/>
      <c r="Q17" s="388">
        <f>VLOOKUP(P16,Matches!$B$4:$K$58,5,0)</f>
        <v>44362.875</v>
      </c>
      <c r="R17" s="389"/>
      <c r="T17" s="431"/>
      <c r="U17" s="432"/>
      <c r="V17" s="432"/>
      <c r="W17" s="432"/>
      <c r="X17" s="433"/>
    </row>
    <row r="18" spans="1:24" x14ac:dyDescent="0.25">
      <c r="B18" s="62" t="str">
        <f>VLOOKUP(A16,Matches!$B$4:$K$58,8,0)</f>
        <v>Wales</v>
      </c>
      <c r="C18" s="63" t="str">
        <f>VLOOKUP(A16,Matches!$B$4:$K$58,9,0)</f>
        <v>Schweiz</v>
      </c>
      <c r="E18" s="62" t="str">
        <f>VLOOKUP(D16,Matches!$B$4:$K$58,8,0)</f>
        <v>Belgien</v>
      </c>
      <c r="F18" s="63" t="str">
        <f>VLOOKUP(D16,Matches!$B$4:$K$58,9,0)</f>
        <v>Russland</v>
      </c>
      <c r="H18" s="62" t="str">
        <f>VLOOKUP(G16,Matches!$B$4:$K$58,8,0)</f>
        <v>Österreich</v>
      </c>
      <c r="I18" s="63" t="str">
        <f>VLOOKUP(G16,Matches!$B$4:$K$58,9,0)</f>
        <v>Nordmazedonien</v>
      </c>
      <c r="K18" s="62" t="str">
        <f>VLOOKUP(J16,Matches!$B$4:$K$58,8,0)</f>
        <v>Schottland</v>
      </c>
      <c r="L18" s="63" t="str">
        <f>VLOOKUP(J16,Matches!$B$4:$K$58,9,0)</f>
        <v>Tschechien</v>
      </c>
      <c r="N18" s="62" t="str">
        <f>VLOOKUP(M16,Matches!$B$4:$K$58,8,0)</f>
        <v>Polen</v>
      </c>
      <c r="O18" s="63" t="str">
        <f>VLOOKUP(M16,Matches!$B$4:$K$58,9,0)</f>
        <v>Slowakei</v>
      </c>
      <c r="Q18" s="62" t="str">
        <f>VLOOKUP(P16,Matches!$B$4:$K$58,8,0)</f>
        <v>Frankreich</v>
      </c>
      <c r="R18" s="63" t="str">
        <f>VLOOKUP(P16,Matches!$B$4:$K$58,9,0)</f>
        <v>Deutschland</v>
      </c>
      <c r="T18" s="431"/>
      <c r="U18" s="432"/>
      <c r="V18" s="432"/>
      <c r="W18" s="432"/>
      <c r="X18" s="433"/>
    </row>
    <row r="19" spans="1:24" ht="15.75" thickBot="1" x14ac:dyDescent="0.3">
      <c r="B19" s="1">
        <v>1</v>
      </c>
      <c r="C19" s="2">
        <v>1</v>
      </c>
      <c r="E19" s="1">
        <v>3</v>
      </c>
      <c r="F19" s="2">
        <v>0</v>
      </c>
      <c r="H19" s="1">
        <v>3</v>
      </c>
      <c r="I19" s="2">
        <v>1</v>
      </c>
      <c r="K19" s="1">
        <v>0</v>
      </c>
      <c r="L19" s="2">
        <v>2</v>
      </c>
      <c r="N19" s="1">
        <v>1</v>
      </c>
      <c r="O19" s="2">
        <v>2</v>
      </c>
      <c r="Q19" s="1">
        <v>1</v>
      </c>
      <c r="R19" s="2">
        <v>0</v>
      </c>
      <c r="T19" s="431"/>
      <c r="U19" s="432"/>
      <c r="V19" s="432"/>
      <c r="W19" s="432"/>
      <c r="X19" s="433"/>
    </row>
    <row r="20" spans="1:24" ht="9.9499999999999993" customHeight="1" thickBot="1" x14ac:dyDescent="0.3">
      <c r="B20" s="25"/>
      <c r="C20" s="25"/>
      <c r="D20" s="18"/>
      <c r="E20" s="25"/>
      <c r="F20" s="25"/>
      <c r="G20" s="18"/>
      <c r="H20" s="25"/>
      <c r="I20" s="25"/>
      <c r="J20" s="18"/>
      <c r="K20" s="25"/>
      <c r="L20" s="25"/>
      <c r="M20" s="18"/>
      <c r="N20" s="25"/>
      <c r="O20" s="25"/>
      <c r="P20" s="18"/>
      <c r="Q20" s="25"/>
      <c r="R20" s="25"/>
      <c r="T20" s="431"/>
      <c r="U20" s="432"/>
      <c r="V20" s="432"/>
      <c r="W20" s="432"/>
      <c r="X20" s="433"/>
    </row>
    <row r="21" spans="1:24" x14ac:dyDescent="0.25">
      <c r="A21" s="117">
        <v>13</v>
      </c>
      <c r="B21" s="401" t="str">
        <f>VLOOKUP(A21,Matches!$B$4:$K$58,7,0)</f>
        <v>Baku</v>
      </c>
      <c r="C21" s="402"/>
      <c r="D21" s="117">
        <v>15</v>
      </c>
      <c r="E21" s="401" t="str">
        <f>VLOOKUP(D21,Matches!$B$4:$K$58,7,0)</f>
        <v>Kopenhagen</v>
      </c>
      <c r="F21" s="402"/>
      <c r="G21" s="117">
        <v>17</v>
      </c>
      <c r="H21" s="401" t="str">
        <f>VLOOKUP(G21,Matches!$B$4:$K$58,7,0)</f>
        <v>Amsterdam</v>
      </c>
      <c r="I21" s="402"/>
      <c r="J21" s="117">
        <v>19</v>
      </c>
      <c r="K21" s="401" t="str">
        <f>VLOOKUP(J21,Matches!$B$4:$K$58,7,0)</f>
        <v>London</v>
      </c>
      <c r="L21" s="402"/>
      <c r="M21" s="117">
        <v>21</v>
      </c>
      <c r="N21" s="401" t="str">
        <f>VLOOKUP(M21,Matches!$B$4:$K$58,7,0)</f>
        <v>Sevilla</v>
      </c>
      <c r="O21" s="402"/>
      <c r="P21" s="117">
        <v>23</v>
      </c>
      <c r="Q21" s="401" t="str">
        <f>VLOOKUP(P21,Matches!$B$4:$K$58,7,0)</f>
        <v>Budapest</v>
      </c>
      <c r="R21" s="402"/>
      <c r="S21" s="117"/>
      <c r="T21" s="431"/>
      <c r="U21" s="432"/>
      <c r="V21" s="432"/>
      <c r="W21" s="432"/>
      <c r="X21" s="433"/>
    </row>
    <row r="22" spans="1:24" x14ac:dyDescent="0.25">
      <c r="B22" s="388">
        <f>VLOOKUP(A21,Matches!$B$4:$K$58,5,0)</f>
        <v>44363.75</v>
      </c>
      <c r="C22" s="389"/>
      <c r="E22" s="388">
        <f>VLOOKUP(D21,Matches!$B$4:$K$58,5,0)</f>
        <v>44364.75</v>
      </c>
      <c r="F22" s="389"/>
      <c r="H22" s="388">
        <f>VLOOKUP(G21,Matches!$B$4:$K$58,5,0)</f>
        <v>44364.875</v>
      </c>
      <c r="I22" s="389"/>
      <c r="K22" s="388">
        <f>VLOOKUP(J21,Matches!$B$4:$K$58,5,0)</f>
        <v>44365.875</v>
      </c>
      <c r="L22" s="389"/>
      <c r="N22" s="388">
        <f>VLOOKUP(M21,Matches!$B$4:$K$58,5,0)</f>
        <v>44366.875</v>
      </c>
      <c r="O22" s="389"/>
      <c r="Q22" s="388">
        <f>VLOOKUP(P21,Matches!$B$4:$K$58,5,0)</f>
        <v>44366.625</v>
      </c>
      <c r="R22" s="389"/>
      <c r="T22" s="431"/>
      <c r="U22" s="432"/>
      <c r="V22" s="432"/>
      <c r="W22" s="432"/>
      <c r="X22" s="433"/>
    </row>
    <row r="23" spans="1:24" x14ac:dyDescent="0.25">
      <c r="B23" s="62" t="str">
        <f>VLOOKUP(A21,Matches!$B$4:$K$58,8,0)</f>
        <v>Türkei</v>
      </c>
      <c r="C23" s="63" t="str">
        <f>VLOOKUP(A21,Matches!$B$4:$K$58,9,0)</f>
        <v>Wales</v>
      </c>
      <c r="E23" s="62" t="str">
        <f>VLOOKUP(D21,Matches!$B$4:$K$58,8,0)</f>
        <v>Dänemark</v>
      </c>
      <c r="F23" s="63" t="str">
        <f>VLOOKUP(D21,Matches!$B$4:$K$58,9,0)</f>
        <v>Belgien</v>
      </c>
      <c r="H23" s="62" t="str">
        <f>VLOOKUP(G21,Matches!$B$4:$K$58,8,0)</f>
        <v>Niederlande</v>
      </c>
      <c r="I23" s="63" t="str">
        <f>VLOOKUP(G21,Matches!$B$4:$K$58,9,0)</f>
        <v>Österreich</v>
      </c>
      <c r="K23" s="62" t="str">
        <f>VLOOKUP(J21,Matches!$B$4:$K$58,8,0)</f>
        <v>England</v>
      </c>
      <c r="L23" s="63" t="str">
        <f>VLOOKUP(J21,Matches!$B$4:$K$58,9,0)</f>
        <v>Schottland</v>
      </c>
      <c r="N23" s="62" t="str">
        <f>VLOOKUP(M21,Matches!$B$4:$K$58,8,0)</f>
        <v>Spanien</v>
      </c>
      <c r="O23" s="63" t="str">
        <f>VLOOKUP(M21,Matches!$B$4:$K$58,9,0)</f>
        <v>Polen</v>
      </c>
      <c r="Q23" s="62" t="str">
        <f>VLOOKUP(P21,Matches!$B$4:$K$58,8,0)</f>
        <v>Ungarn</v>
      </c>
      <c r="R23" s="63" t="str">
        <f>VLOOKUP(P21,Matches!$B$4:$K$58,9,0)</f>
        <v>Frankreich</v>
      </c>
      <c r="T23" s="431"/>
      <c r="U23" s="432"/>
      <c r="V23" s="432"/>
      <c r="W23" s="432"/>
      <c r="X23" s="433"/>
    </row>
    <row r="24" spans="1:24" ht="15.75" thickBot="1" x14ac:dyDescent="0.3">
      <c r="B24" s="1">
        <v>0</v>
      </c>
      <c r="C24" s="2">
        <v>2</v>
      </c>
      <c r="E24" s="1">
        <v>1</v>
      </c>
      <c r="F24" s="2">
        <v>2</v>
      </c>
      <c r="H24" s="1">
        <v>2</v>
      </c>
      <c r="I24" s="2">
        <v>0</v>
      </c>
      <c r="K24" s="1">
        <v>0</v>
      </c>
      <c r="L24" s="2">
        <v>0</v>
      </c>
      <c r="N24" s="1">
        <v>1</v>
      </c>
      <c r="O24" s="2">
        <v>1</v>
      </c>
      <c r="Q24" s="1">
        <v>1</v>
      </c>
      <c r="R24" s="2">
        <v>1</v>
      </c>
      <c r="T24" s="431"/>
      <c r="U24" s="432"/>
      <c r="V24" s="432"/>
      <c r="W24" s="432"/>
      <c r="X24" s="433"/>
    </row>
    <row r="25" spans="1:24" ht="9.9499999999999993" customHeight="1" thickBot="1" x14ac:dyDescent="0.3">
      <c r="B25" s="25"/>
      <c r="C25" s="25"/>
      <c r="D25" s="18"/>
      <c r="E25" s="25"/>
      <c r="F25" s="25"/>
      <c r="G25" s="18"/>
      <c r="H25" s="25"/>
      <c r="I25" s="25"/>
      <c r="J25" s="18"/>
      <c r="K25" s="25"/>
      <c r="L25" s="25"/>
      <c r="M25" s="18"/>
      <c r="N25" s="25"/>
      <c r="O25" s="25"/>
      <c r="P25" s="18"/>
      <c r="Q25" s="25"/>
      <c r="R25" s="25"/>
      <c r="T25" s="431"/>
      <c r="U25" s="432"/>
      <c r="V25" s="432"/>
      <c r="W25" s="432"/>
      <c r="X25" s="433"/>
    </row>
    <row r="26" spans="1:24" x14ac:dyDescent="0.25">
      <c r="A26" s="117">
        <v>14</v>
      </c>
      <c r="B26" s="401" t="str">
        <f>VLOOKUP(A26,Matches!$B$4:$K$58,7,0)</f>
        <v>London</v>
      </c>
      <c r="C26" s="402"/>
      <c r="D26" s="117">
        <v>16</v>
      </c>
      <c r="E26" s="401" t="str">
        <f>VLOOKUP(D26,Matches!$B$4:$K$58,7,0)</f>
        <v>Sankt Petersburg</v>
      </c>
      <c r="F26" s="402"/>
      <c r="G26" s="117">
        <v>18</v>
      </c>
      <c r="H26" s="401" t="str">
        <f>VLOOKUP(G26,Matches!$B$4:$K$58,7,0)</f>
        <v>Bukarest</v>
      </c>
      <c r="I26" s="402"/>
      <c r="J26" s="117">
        <v>20</v>
      </c>
      <c r="K26" s="401" t="str">
        <f>VLOOKUP(J26,Matches!$B$4:$K$58,7,0)</f>
        <v>Glasgow</v>
      </c>
      <c r="L26" s="402"/>
      <c r="M26" s="117">
        <v>22</v>
      </c>
      <c r="N26" s="401" t="str">
        <f>VLOOKUP(M26,Matches!$B$4:$K$58,7,0)</f>
        <v>Sankt Petersburg</v>
      </c>
      <c r="O26" s="402"/>
      <c r="P26" s="117">
        <v>24</v>
      </c>
      <c r="Q26" s="401" t="str">
        <f>VLOOKUP(P26,Matches!$B$4:$K$58,7,0)</f>
        <v>München</v>
      </c>
      <c r="R26" s="402"/>
      <c r="S26" s="117"/>
      <c r="T26" s="431"/>
      <c r="U26" s="432"/>
      <c r="V26" s="432"/>
      <c r="W26" s="432"/>
      <c r="X26" s="433"/>
    </row>
    <row r="27" spans="1:24" x14ac:dyDescent="0.25">
      <c r="B27" s="388">
        <f>VLOOKUP(A26,Matches!$B$4:$K$58,5,0)</f>
        <v>44363.875</v>
      </c>
      <c r="C27" s="389"/>
      <c r="E27" s="388">
        <f>VLOOKUP(D26,Matches!$B$4:$K$58,5,0)</f>
        <v>44363.625</v>
      </c>
      <c r="F27" s="389"/>
      <c r="H27" s="388">
        <f>VLOOKUP(G26,Matches!$B$4:$K$58,5,0)</f>
        <v>44364.625</v>
      </c>
      <c r="I27" s="389"/>
      <c r="K27" s="388">
        <f>VLOOKUP(J26,Matches!$B$4:$K$58,5,0)</f>
        <v>44365.75</v>
      </c>
      <c r="L27" s="389"/>
      <c r="N27" s="388">
        <f>VLOOKUP(M26,Matches!$B$4:$K$58,5,0)</f>
        <v>44365.625</v>
      </c>
      <c r="O27" s="389"/>
      <c r="Q27" s="388">
        <f>VLOOKUP(P26,Matches!$B$4:$K$58,5,0)</f>
        <v>44366.75</v>
      </c>
      <c r="R27" s="389"/>
      <c r="T27" s="431"/>
      <c r="U27" s="432"/>
      <c r="V27" s="432"/>
      <c r="W27" s="432"/>
      <c r="X27" s="433"/>
    </row>
    <row r="28" spans="1:24" x14ac:dyDescent="0.25">
      <c r="B28" s="62" t="str">
        <f>VLOOKUP(A26,Matches!$B$4:$K$58,8,0)</f>
        <v>Italien</v>
      </c>
      <c r="C28" s="63" t="str">
        <f>VLOOKUP(A26,Matches!$B$4:$K$58,9,0)</f>
        <v>Schweiz</v>
      </c>
      <c r="E28" s="62" t="str">
        <f>VLOOKUP(D26,Matches!$B$4:$K$58,8,0)</f>
        <v>Finnland</v>
      </c>
      <c r="F28" s="63" t="str">
        <f>VLOOKUP(D26,Matches!$B$4:$K$58,9,0)</f>
        <v>Russland</v>
      </c>
      <c r="H28" s="62" t="str">
        <f>VLOOKUP(G26,Matches!$B$4:$K$58,8,0)</f>
        <v>Ukraine</v>
      </c>
      <c r="I28" s="63" t="str">
        <f>VLOOKUP(G26,Matches!$B$4:$K$58,9,0)</f>
        <v>Nordmazedonien</v>
      </c>
      <c r="K28" s="62" t="str">
        <f>VLOOKUP(J26,Matches!$B$4:$K$58,8,0)</f>
        <v>Kroatien</v>
      </c>
      <c r="L28" s="63" t="str">
        <f>VLOOKUP(J26,Matches!$B$4:$K$58,9,0)</f>
        <v>Tschechien</v>
      </c>
      <c r="N28" s="62" t="str">
        <f>VLOOKUP(M26,Matches!$B$4:$K$58,8,0)</f>
        <v>Schweden</v>
      </c>
      <c r="O28" s="63" t="str">
        <f>VLOOKUP(M26,Matches!$B$4:$K$58,9,0)</f>
        <v>Slowakei</v>
      </c>
      <c r="Q28" s="62" t="str">
        <f>VLOOKUP(P26,Matches!$B$4:$K$58,8,0)</f>
        <v>Portugal</v>
      </c>
      <c r="R28" s="63" t="str">
        <f>VLOOKUP(P26,Matches!$B$4:$K$58,9,0)</f>
        <v>Deutschland</v>
      </c>
      <c r="T28" s="313"/>
      <c r="U28" s="314"/>
      <c r="V28" s="314"/>
      <c r="W28" s="314"/>
      <c r="X28" s="315"/>
    </row>
    <row r="29" spans="1:24" ht="15.75" thickBot="1" x14ac:dyDescent="0.3">
      <c r="B29" s="1">
        <v>1</v>
      </c>
      <c r="C29" s="2">
        <v>0</v>
      </c>
      <c r="E29" s="1">
        <v>0</v>
      </c>
      <c r="F29" s="2">
        <v>1</v>
      </c>
      <c r="H29" s="1">
        <v>2</v>
      </c>
      <c r="I29" s="2">
        <v>1</v>
      </c>
      <c r="K29" s="1">
        <v>1</v>
      </c>
      <c r="L29" s="2">
        <v>1</v>
      </c>
      <c r="N29" s="1">
        <v>1</v>
      </c>
      <c r="O29" s="2">
        <v>0</v>
      </c>
      <c r="Q29" s="1">
        <v>2</v>
      </c>
      <c r="R29" s="2">
        <v>4</v>
      </c>
      <c r="T29" s="316"/>
      <c r="U29" s="317"/>
      <c r="V29" s="317"/>
      <c r="W29" s="317"/>
      <c r="X29" s="318"/>
    </row>
    <row r="30" spans="1:24" ht="9.9499999999999993" customHeight="1" thickBot="1" x14ac:dyDescent="0.3">
      <c r="B30" s="25"/>
      <c r="C30" s="25"/>
      <c r="D30" s="18"/>
      <c r="E30" s="25"/>
      <c r="F30" s="25"/>
      <c r="G30" s="18"/>
      <c r="H30" s="25"/>
      <c r="I30" s="25"/>
      <c r="J30" s="18"/>
      <c r="K30" s="25"/>
      <c r="L30" s="25"/>
      <c r="M30" s="18"/>
      <c r="N30" s="25"/>
      <c r="O30" s="25"/>
      <c r="P30" s="18"/>
      <c r="Q30" s="25"/>
      <c r="R30" s="25"/>
      <c r="T30" s="319"/>
      <c r="U30" s="319"/>
      <c r="V30" s="319"/>
      <c r="W30" s="319"/>
      <c r="X30" s="319"/>
    </row>
    <row r="31" spans="1:24" x14ac:dyDescent="0.25">
      <c r="A31" s="117">
        <v>25</v>
      </c>
      <c r="B31" s="401" t="str">
        <f>VLOOKUP(A31,Matches!$B$4:$K$58,7,0)</f>
        <v>Baku</v>
      </c>
      <c r="C31" s="402"/>
      <c r="D31" s="117">
        <v>27</v>
      </c>
      <c r="E31" s="401" t="str">
        <f>VLOOKUP(D31,Matches!$B$4:$K$58,7,0)</f>
        <v>Kopenhagen</v>
      </c>
      <c r="F31" s="402"/>
      <c r="G31" s="117">
        <v>29</v>
      </c>
      <c r="H31" s="401" t="str">
        <f>VLOOKUP(G31,Matches!$B$4:$K$58,7,0)</f>
        <v>Bukarest</v>
      </c>
      <c r="I31" s="402"/>
      <c r="J31" s="117">
        <v>31</v>
      </c>
      <c r="K31" s="401" t="str">
        <f>VLOOKUP(J31,Matches!$B$4:$K$58,7,0)</f>
        <v>London</v>
      </c>
      <c r="L31" s="402"/>
      <c r="M31" s="117">
        <v>33</v>
      </c>
      <c r="N31" s="401" t="str">
        <f>VLOOKUP(M31,Matches!$B$4:$K$58,7,0)</f>
        <v>Sankt Petersburg</v>
      </c>
      <c r="O31" s="402"/>
      <c r="P31" s="117">
        <v>35</v>
      </c>
      <c r="Q31" s="401" t="str">
        <f>VLOOKUP(P31,Matches!$B$4:$K$58,7,0)</f>
        <v>München</v>
      </c>
      <c r="R31" s="402"/>
      <c r="S31" s="117"/>
      <c r="T31" s="440" t="str">
        <f>Language!$E$132</f>
        <v>Der rote Punkt   •</v>
      </c>
      <c r="U31" s="441"/>
      <c r="V31" s="441"/>
      <c r="W31" s="441"/>
      <c r="X31" s="442"/>
    </row>
    <row r="32" spans="1:24" x14ac:dyDescent="0.25">
      <c r="B32" s="388">
        <f>VLOOKUP(A31,Matches!$B$4:$K$58,5,0)</f>
        <v>44367.75</v>
      </c>
      <c r="C32" s="389"/>
      <c r="E32" s="388">
        <f>VLOOKUP(D31,Matches!$B$4:$K$58,5,0)</f>
        <v>44368.875</v>
      </c>
      <c r="F32" s="389"/>
      <c r="H32" s="388">
        <f>VLOOKUP(G31,Matches!$B$4:$K$58,5,0)</f>
        <v>44368.75</v>
      </c>
      <c r="I32" s="389"/>
      <c r="K32" s="388">
        <f>VLOOKUP(J31,Matches!$B$4:$K$58,5,0)</f>
        <v>44369.875</v>
      </c>
      <c r="L32" s="389"/>
      <c r="N32" s="388">
        <f>VLOOKUP(M31,Matches!$B$4:$K$58,5,0)</f>
        <v>44370.75</v>
      </c>
      <c r="O32" s="389"/>
      <c r="Q32" s="388">
        <f>VLOOKUP(P31,Matches!$B$4:$K$58,5,0)</f>
        <v>44370.875</v>
      </c>
      <c r="R32" s="389"/>
      <c r="T32" s="443"/>
      <c r="U32" s="444"/>
      <c r="V32" s="444"/>
      <c r="W32" s="444"/>
      <c r="X32" s="445"/>
    </row>
    <row r="33" spans="1:25" ht="15" customHeight="1" x14ac:dyDescent="0.25">
      <c r="B33" s="62" t="str">
        <f>VLOOKUP(A31,Matches!$B$4:$K$58,8,0)</f>
        <v>Schweiz</v>
      </c>
      <c r="C33" s="63" t="str">
        <f>VLOOKUP(A31,Matches!$B$4:$K$58,9,0)</f>
        <v>Türkei</v>
      </c>
      <c r="E33" s="62" t="str">
        <f>VLOOKUP(D31,Matches!$B$4:$K$58,8,0)</f>
        <v>Russland</v>
      </c>
      <c r="F33" s="63" t="str">
        <f>VLOOKUP(D31,Matches!$B$4:$K$58,9,0)</f>
        <v>Dänemark</v>
      </c>
      <c r="H33" s="62" t="str">
        <f>VLOOKUP(G31,Matches!$B$4:$K$58,8,0)</f>
        <v>Nordmazedonien</v>
      </c>
      <c r="I33" s="63" t="str">
        <f>VLOOKUP(G31,Matches!$B$4:$K$58,9,0)</f>
        <v>Niederlande</v>
      </c>
      <c r="K33" s="62" t="str">
        <f>VLOOKUP(J31,Matches!$B$4:$K$58,8,0)</f>
        <v>Tschechien</v>
      </c>
      <c r="L33" s="63" t="str">
        <f>VLOOKUP(J31,Matches!$B$4:$K$58,9,0)</f>
        <v>England</v>
      </c>
      <c r="N33" s="62" t="str">
        <f>VLOOKUP(M31,Matches!$B$4:$K$58,8,0)</f>
        <v>Slowakei</v>
      </c>
      <c r="O33" s="63" t="str">
        <f>VLOOKUP(M31,Matches!$B$4:$K$58,9,0)</f>
        <v>Spanien</v>
      </c>
      <c r="Q33" s="62" t="str">
        <f>VLOOKUP(P31,Matches!$B$4:$K$58,8,0)</f>
        <v>Deutschland</v>
      </c>
      <c r="R33" s="63" t="str">
        <f>VLOOKUP(P31,Matches!$B$4:$K$58,9,0)</f>
        <v>Ungarn</v>
      </c>
      <c r="T33" s="434" t="str">
        <f>Language!$E$159</f>
        <v>Wenn über dem Gruppennamen ein roter Punkt erscheint, ist die Rangreihenfolge innerhalb der Gruppe nicht geklärt. Die Fair-Play-Wertung oder die Schlussrangliste der European Qualifiers entscheiden dann. In diesem Fall Fair-Play eintragen!</v>
      </c>
      <c r="U33" s="435"/>
      <c r="V33" s="435"/>
      <c r="W33" s="435"/>
      <c r="X33" s="436"/>
    </row>
    <row r="34" spans="1:25" ht="15.75" thickBot="1" x14ac:dyDescent="0.3">
      <c r="B34" s="1">
        <v>3</v>
      </c>
      <c r="C34" s="2">
        <v>1</v>
      </c>
      <c r="E34" s="1">
        <v>1</v>
      </c>
      <c r="F34" s="2">
        <v>4</v>
      </c>
      <c r="H34" s="1">
        <v>0</v>
      </c>
      <c r="I34" s="2">
        <v>3</v>
      </c>
      <c r="K34" s="1">
        <v>0</v>
      </c>
      <c r="L34" s="2">
        <v>1</v>
      </c>
      <c r="N34" s="1">
        <v>0</v>
      </c>
      <c r="O34" s="2">
        <v>5</v>
      </c>
      <c r="Q34" s="1">
        <v>2</v>
      </c>
      <c r="R34" s="2">
        <v>2</v>
      </c>
      <c r="T34" s="434"/>
      <c r="U34" s="435"/>
      <c r="V34" s="435"/>
      <c r="W34" s="435"/>
      <c r="X34" s="436"/>
    </row>
    <row r="35" spans="1:25" ht="9.9499999999999993" customHeight="1" x14ac:dyDescent="0.25">
      <c r="B35" s="417" t="str">
        <f>Language!$E$125</f>
        <v>Elfmeterschießen:</v>
      </c>
      <c r="C35" s="418"/>
      <c r="E35" s="392" t="str">
        <f>Language!$E$125</f>
        <v>Elfmeterschießen:</v>
      </c>
      <c r="F35" s="393"/>
      <c r="H35" s="417" t="str">
        <f>Language!$E$125</f>
        <v>Elfmeterschießen:</v>
      </c>
      <c r="I35" s="418"/>
      <c r="K35" s="417" t="str">
        <f>Language!$E$125</f>
        <v>Elfmeterschießen:</v>
      </c>
      <c r="L35" s="418"/>
      <c r="N35" s="417" t="str">
        <f>Language!$E$125</f>
        <v>Elfmeterschießen:</v>
      </c>
      <c r="O35" s="418"/>
      <c r="Q35" s="417" t="str">
        <f>Language!$E$125</f>
        <v>Elfmeterschießen:</v>
      </c>
      <c r="R35" s="418"/>
      <c r="T35" s="434"/>
      <c r="U35" s="435"/>
      <c r="V35" s="435"/>
      <c r="W35" s="435"/>
      <c r="X35" s="436"/>
    </row>
    <row r="36" spans="1:25" ht="15.75" thickBot="1" x14ac:dyDescent="0.3">
      <c r="B36" s="271"/>
      <c r="C36" s="272"/>
      <c r="E36" s="271"/>
      <c r="F36" s="272"/>
      <c r="H36" s="271"/>
      <c r="I36" s="272"/>
      <c r="K36" s="271"/>
      <c r="L36" s="272"/>
      <c r="N36" s="271"/>
      <c r="O36" s="272"/>
      <c r="Q36" s="271"/>
      <c r="R36" s="272"/>
      <c r="T36" s="437"/>
      <c r="U36" s="438"/>
      <c r="V36" s="438"/>
      <c r="W36" s="438"/>
      <c r="X36" s="439"/>
    </row>
    <row r="37" spans="1:25" ht="9.9499999999999993" customHeight="1" thickBot="1" x14ac:dyDescent="0.3">
      <c r="B37" s="394" t="str">
        <f>IF(AND(B34&lt;&gt;"",C34&lt;&gt;"",B34=C34,B36&lt;&gt;"",C36&lt;&gt;"",B36=C36),Language!$E$138,"")</f>
        <v/>
      </c>
      <c r="C37" s="394"/>
      <c r="D37" s="18"/>
      <c r="E37" s="394" t="str">
        <f>IF(AND(E34&lt;&gt;"",F34&lt;&gt;"",E34=F34,E36&lt;&gt;"",F36&lt;&gt;"",E36=F36),Language!$E$138,"")</f>
        <v/>
      </c>
      <c r="F37" s="394"/>
      <c r="G37" s="18"/>
      <c r="H37" s="394" t="str">
        <f>IF(AND(H34&lt;&gt;"",I34&lt;&gt;"",H34=I34,H36&lt;&gt;"",I36&lt;&gt;"",H36=I36),Language!$E$138,"")</f>
        <v/>
      </c>
      <c r="I37" s="394"/>
      <c r="J37" s="18"/>
      <c r="K37" s="394" t="str">
        <f>IF(AND(K34&lt;&gt;"",L34&lt;&gt;"",K34=L34,K36&lt;&gt;"",L36&lt;&gt;"",K36=L36),Language!$E$138,"")</f>
        <v/>
      </c>
      <c r="L37" s="394"/>
      <c r="M37" s="18"/>
      <c r="N37" s="394" t="str">
        <f>IF(AND(N34&lt;&gt;"",O34&lt;&gt;"",N34=O34,N36&lt;&gt;"",O36&lt;&gt;"",N36=O36),Language!$E$138,"")</f>
        <v/>
      </c>
      <c r="O37" s="394"/>
      <c r="P37" s="18"/>
      <c r="Q37" s="394" t="str">
        <f>IF(AND(Q34&lt;&gt;"",R34&lt;&gt;"",Q34=R34,Q36&lt;&gt;"",R36&lt;&gt;"",Q36=R36),Language!$E$138,"")</f>
        <v/>
      </c>
      <c r="R37" s="394"/>
      <c r="T37" s="282"/>
      <c r="U37" s="283"/>
      <c r="V37" s="283"/>
      <c r="W37" s="283"/>
      <c r="X37" s="283"/>
    </row>
    <row r="38" spans="1:25" x14ac:dyDescent="0.25">
      <c r="A38" s="117">
        <v>26</v>
      </c>
      <c r="B38" s="401" t="str">
        <f>VLOOKUP(A38,Matches!$B$4:$K$58,7,0)</f>
        <v>London</v>
      </c>
      <c r="C38" s="402"/>
      <c r="D38" s="117">
        <v>28</v>
      </c>
      <c r="E38" s="401" t="str">
        <f>VLOOKUP(D38,Matches!$B$4:$K$58,7,0)</f>
        <v>Sankt Petersburg</v>
      </c>
      <c r="F38" s="402"/>
      <c r="G38" s="117">
        <v>30</v>
      </c>
      <c r="H38" s="401" t="str">
        <f>VLOOKUP(G38,Matches!$B$4:$K$58,7,0)</f>
        <v>Amsterdam</v>
      </c>
      <c r="I38" s="402"/>
      <c r="J38" s="117">
        <v>32</v>
      </c>
      <c r="K38" s="401" t="str">
        <f>VLOOKUP(J38,Matches!$B$4:$K$58,7,0)</f>
        <v>Glasgow</v>
      </c>
      <c r="L38" s="402"/>
      <c r="M38" s="117">
        <v>34</v>
      </c>
      <c r="N38" s="401" t="str">
        <f>VLOOKUP(M38,Matches!$B$4:$K$58,7,0)</f>
        <v>Sevilla</v>
      </c>
      <c r="O38" s="402"/>
      <c r="P38" s="117">
        <v>36</v>
      </c>
      <c r="Q38" s="401" t="str">
        <f>VLOOKUP(P38,Matches!$B$4:$K$58,7,0)</f>
        <v>Budapest</v>
      </c>
      <c r="R38" s="402"/>
      <c r="S38" s="117"/>
      <c r="T38" s="283"/>
      <c r="U38" s="283"/>
      <c r="V38" s="283"/>
      <c r="W38" s="283"/>
      <c r="X38" s="283"/>
    </row>
    <row r="39" spans="1:25" x14ac:dyDescent="0.25">
      <c r="B39" s="388">
        <f>VLOOKUP(A38,Matches!$B$4:$K$58,5,0)</f>
        <v>44367.75</v>
      </c>
      <c r="C39" s="389"/>
      <c r="E39" s="388">
        <f>VLOOKUP(D38,Matches!$B$4:$K$58,5,0)</f>
        <v>44368.875</v>
      </c>
      <c r="F39" s="389"/>
      <c r="H39" s="388">
        <f>VLOOKUP(G38,Matches!$B$4:$K$58,5,0)</f>
        <v>44368.75</v>
      </c>
      <c r="I39" s="389"/>
      <c r="K39" s="388">
        <f>VLOOKUP(J38,Matches!$B$4:$K$58,5,0)</f>
        <v>44369.875</v>
      </c>
      <c r="L39" s="389"/>
      <c r="N39" s="388">
        <f>VLOOKUP(M38,Matches!$B$4:$K$58,5,0)</f>
        <v>44370.75</v>
      </c>
      <c r="O39" s="389"/>
      <c r="Q39" s="388">
        <f>VLOOKUP(P38,Matches!$B$4:$K$58,5,0)</f>
        <v>44370.875</v>
      </c>
      <c r="R39" s="389"/>
      <c r="T39" s="283"/>
      <c r="U39" s="283"/>
      <c r="V39" s="283"/>
      <c r="W39" s="283"/>
      <c r="X39" s="283"/>
    </row>
    <row r="40" spans="1:25" x14ac:dyDescent="0.25">
      <c r="B40" s="62" t="str">
        <f>VLOOKUP(A38,Matches!$B$4:$K$58,8,0)</f>
        <v>Italien</v>
      </c>
      <c r="C40" s="63" t="str">
        <f>VLOOKUP(A38,Matches!$B$4:$K$58,9,0)</f>
        <v>Wales</v>
      </c>
      <c r="E40" s="62" t="str">
        <f>VLOOKUP(D38,Matches!$B$4:$K$58,8,0)</f>
        <v>Finnland</v>
      </c>
      <c r="F40" s="63" t="str">
        <f>VLOOKUP(D38,Matches!$B$4:$K$58,9,0)</f>
        <v>Belgien</v>
      </c>
      <c r="H40" s="62" t="str">
        <f>VLOOKUP(G38,Matches!$B$4:$K$58,8,0)</f>
        <v>Ukraine</v>
      </c>
      <c r="I40" s="63" t="str">
        <f>VLOOKUP(G38,Matches!$B$4:$K$58,9,0)</f>
        <v>Österreich</v>
      </c>
      <c r="K40" s="62" t="str">
        <f>VLOOKUP(J38,Matches!$B$4:$K$58,8,0)</f>
        <v>Kroatien</v>
      </c>
      <c r="L40" s="63" t="str">
        <f>VLOOKUP(J38,Matches!$B$4:$K$58,9,0)</f>
        <v>Schottland</v>
      </c>
      <c r="N40" s="62" t="str">
        <f>VLOOKUP(M38,Matches!$B$4:$K$58,8,0)</f>
        <v>Schweden</v>
      </c>
      <c r="O40" s="63" t="str">
        <f>VLOOKUP(M38,Matches!$B$4:$K$58,9,0)</f>
        <v>Polen</v>
      </c>
      <c r="Q40" s="62" t="str">
        <f>VLOOKUP(P38,Matches!$B$4:$K$58,8,0)</f>
        <v>Portugal</v>
      </c>
      <c r="R40" s="63" t="str">
        <f>VLOOKUP(P38,Matches!$B$4:$K$58,9,0)</f>
        <v>Frankreich</v>
      </c>
      <c r="T40" s="283"/>
      <c r="U40" s="283"/>
      <c r="V40" s="283"/>
      <c r="W40" s="283"/>
      <c r="X40" s="283"/>
    </row>
    <row r="41" spans="1:25" ht="15.75" thickBot="1" x14ac:dyDescent="0.3">
      <c r="B41" s="1">
        <v>1</v>
      </c>
      <c r="C41" s="2">
        <v>0</v>
      </c>
      <c r="E41" s="1">
        <v>0</v>
      </c>
      <c r="F41" s="2">
        <v>2</v>
      </c>
      <c r="H41" s="1">
        <v>0</v>
      </c>
      <c r="I41" s="2">
        <v>1</v>
      </c>
      <c r="K41" s="1">
        <v>3</v>
      </c>
      <c r="L41" s="2">
        <v>1</v>
      </c>
      <c r="N41" s="1">
        <v>3</v>
      </c>
      <c r="O41" s="2">
        <v>2</v>
      </c>
      <c r="Q41" s="1">
        <v>2</v>
      </c>
      <c r="R41" s="2">
        <v>2</v>
      </c>
      <c r="T41" s="283"/>
      <c r="U41" s="283"/>
      <c r="V41" s="283"/>
      <c r="W41" s="283"/>
      <c r="X41" s="283"/>
    </row>
    <row r="42" spans="1:25" ht="9.9499999999999993" customHeight="1" x14ac:dyDescent="0.25">
      <c r="B42" s="392" t="str">
        <f>Language!$E$125</f>
        <v>Elfmeterschießen:</v>
      </c>
      <c r="C42" s="393"/>
      <c r="E42" s="392" t="str">
        <f>Language!$E$125</f>
        <v>Elfmeterschießen:</v>
      </c>
      <c r="F42" s="393"/>
      <c r="H42" s="392" t="str">
        <f>Language!$E$125</f>
        <v>Elfmeterschießen:</v>
      </c>
      <c r="I42" s="393"/>
      <c r="K42" s="392" t="str">
        <f>Language!$E$125</f>
        <v>Elfmeterschießen:</v>
      </c>
      <c r="L42" s="393"/>
      <c r="N42" s="392" t="str">
        <f>Language!$E$125</f>
        <v>Elfmeterschießen:</v>
      </c>
      <c r="O42" s="393"/>
      <c r="Q42" s="392" t="str">
        <f>Language!$E$125</f>
        <v>Elfmeterschießen:</v>
      </c>
      <c r="R42" s="393"/>
      <c r="T42" s="25"/>
      <c r="U42" s="25"/>
      <c r="V42" s="18"/>
      <c r="W42" s="25"/>
      <c r="X42" s="25"/>
    </row>
    <row r="43" spans="1:25" ht="15.75" thickBot="1" x14ac:dyDescent="0.3">
      <c r="B43" s="271"/>
      <c r="C43" s="272"/>
      <c r="E43" s="271"/>
      <c r="F43" s="272"/>
      <c r="H43" s="271"/>
      <c r="I43" s="272"/>
      <c r="K43" s="271"/>
      <c r="L43" s="272"/>
      <c r="N43" s="271"/>
      <c r="O43" s="272"/>
      <c r="Q43" s="271"/>
      <c r="R43" s="272"/>
      <c r="T43" s="25"/>
      <c r="U43" s="25"/>
      <c r="V43" s="18"/>
      <c r="W43" s="25"/>
      <c r="X43" s="25"/>
    </row>
    <row r="44" spans="1:25" ht="13.5" customHeight="1" thickBot="1" x14ac:dyDescent="0.3">
      <c r="B44" s="394" t="str">
        <f>IF(AND(B41&lt;&gt;"",C41&lt;&gt;"",B41=C41,B43&lt;&gt;"",C43&lt;&gt;"",B43=C43),Language!$E$138,"")</f>
        <v/>
      </c>
      <c r="C44" s="394"/>
      <c r="E44" s="394" t="str">
        <f>IF(AND(E41&lt;&gt;"",F41&lt;&gt;"",E41=F41,E43&lt;&gt;"",F43&lt;&gt;"",E43=F43),Language!$E$138,"")</f>
        <v/>
      </c>
      <c r="F44" s="394"/>
      <c r="H44" s="394" t="str">
        <f>IF(AND(H41&lt;&gt;"",I41&lt;&gt;"",H41=I41,H43&lt;&gt;"",I43&lt;&gt;"",H43=I43),Language!$E$138,"")</f>
        <v/>
      </c>
      <c r="I44" s="394"/>
      <c r="K44" s="394" t="str">
        <f>IF(AND(K41&lt;&gt;"",L41&lt;&gt;"",K41=L41,K43&lt;&gt;"",L43&lt;&gt;"",K43=L43),Language!$E$138,"")</f>
        <v/>
      </c>
      <c r="L44" s="394"/>
      <c r="N44" s="394" t="str">
        <f>IF(AND(N41&lt;&gt;"",O41&lt;&gt;"",N41=O41,N43&lt;&gt;"",O43&lt;&gt;"",N43=O43),Language!$E$138,"")</f>
        <v/>
      </c>
      <c r="O44" s="394"/>
      <c r="Q44" s="394" t="str">
        <f>IF(AND(Q41&lt;&gt;"",R41&lt;&gt;"",Q41=R41,Q43&lt;&gt;"",R43&lt;&gt;"",Q43=R43),Language!$E$138,"")</f>
        <v/>
      </c>
      <c r="R44" s="394"/>
      <c r="T44" s="357"/>
      <c r="U44" s="357"/>
      <c r="V44" s="18"/>
      <c r="W44" s="18"/>
      <c r="X44" s="18"/>
    </row>
    <row r="45" spans="1:25" x14ac:dyDescent="0.25">
      <c r="B45" s="390" t="str">
        <f>Language!$E$106</f>
        <v>Schlusstabelle</v>
      </c>
      <c r="C45" s="391"/>
      <c r="E45" s="390" t="str">
        <f>Language!$E$106</f>
        <v>Schlusstabelle</v>
      </c>
      <c r="F45" s="391"/>
      <c r="H45" s="390" t="str">
        <f>Language!$E$106</f>
        <v>Schlusstabelle</v>
      </c>
      <c r="I45" s="391"/>
      <c r="K45" s="390" t="str">
        <f>Language!$E$106</f>
        <v>Schlusstabelle</v>
      </c>
      <c r="L45" s="391"/>
      <c r="N45" s="390" t="str">
        <f>Language!$E$106</f>
        <v>Schlusstabelle</v>
      </c>
      <c r="O45" s="391"/>
      <c r="Q45" s="390" t="str">
        <f>Language!$E$106</f>
        <v>Schlusstabelle</v>
      </c>
      <c r="R45" s="391"/>
      <c r="T45" s="390"/>
      <c r="U45" s="391"/>
      <c r="V45" s="285"/>
      <c r="W45" s="427"/>
      <c r="X45" s="428"/>
      <c r="Y45" s="284"/>
    </row>
    <row r="46" spans="1:25" ht="15.75" thickBot="1" x14ac:dyDescent="0.3">
      <c r="A46" s="111" t="s">
        <v>2</v>
      </c>
      <c r="B46" s="386" t="str">
        <f>IF(GrpA!$M$10=6,GrpA!$P11,"")</f>
        <v>Italien</v>
      </c>
      <c r="C46" s="387"/>
      <c r="D46" s="111" t="s">
        <v>3</v>
      </c>
      <c r="E46" s="386" t="str">
        <f>IF(GrpB!$M$10=6,GrpB!$P11,"")</f>
        <v>Belgien</v>
      </c>
      <c r="F46" s="387"/>
      <c r="G46" s="111" t="s">
        <v>4</v>
      </c>
      <c r="H46" s="386" t="str">
        <f>IF(GrpC!$M$10=6,GrpC!$P11,"")</f>
        <v>Niederlande</v>
      </c>
      <c r="I46" s="387"/>
      <c r="J46" s="111" t="s">
        <v>5</v>
      </c>
      <c r="K46" s="386" t="str">
        <f>IF(GrpD!$M$10=6,GrpD!$P11,"")</f>
        <v>England</v>
      </c>
      <c r="L46" s="387"/>
      <c r="M46" s="111" t="s">
        <v>6</v>
      </c>
      <c r="N46" s="386" t="str">
        <f>IF(GrpE!$M$10=6,GrpE!$P11,"")</f>
        <v>Schweden</v>
      </c>
      <c r="O46" s="387"/>
      <c r="P46" s="111" t="s">
        <v>7</v>
      </c>
      <c r="Q46" s="386" t="str">
        <f>IF(GrpF!$M$10=6,GrpF!$P11,"")</f>
        <v>Frankreich</v>
      </c>
      <c r="R46" s="387"/>
      <c r="S46" s="111"/>
      <c r="T46" s="289"/>
      <c r="U46" s="290"/>
      <c r="V46" s="286"/>
      <c r="W46" s="429"/>
      <c r="X46" s="430"/>
      <c r="Y46" s="263"/>
    </row>
    <row r="47" spans="1:25" x14ac:dyDescent="0.25">
      <c r="A47" s="111" t="s">
        <v>8</v>
      </c>
      <c r="B47" s="386" t="str">
        <f>IF(GrpA!$M$10=6,GrpA!$P12,"")</f>
        <v>Schweiz</v>
      </c>
      <c r="C47" s="387"/>
      <c r="D47" s="111" t="s">
        <v>9</v>
      </c>
      <c r="E47" s="386" t="str">
        <f>IF(GrpB!$M$10=6,GrpB!$P12,"")</f>
        <v>Dänemark</v>
      </c>
      <c r="F47" s="387"/>
      <c r="G47" s="111" t="s">
        <v>10</v>
      </c>
      <c r="H47" s="386" t="str">
        <f>IF(GrpC!$M$10=6,GrpC!$P12,"")</f>
        <v>Österreich</v>
      </c>
      <c r="I47" s="387"/>
      <c r="J47" s="111" t="s">
        <v>11</v>
      </c>
      <c r="K47" s="386" t="str">
        <f>IF(GrpD!$M$10=6,GrpD!$P12,"")</f>
        <v>Kroatien</v>
      </c>
      <c r="L47" s="387"/>
      <c r="M47" s="111" t="s">
        <v>12</v>
      </c>
      <c r="N47" s="386" t="str">
        <f>IF(GrpE!$M$10=6,GrpE!$P12,"")</f>
        <v>Spanien</v>
      </c>
      <c r="O47" s="387"/>
      <c r="P47" s="111" t="s">
        <v>13</v>
      </c>
      <c r="Q47" s="386" t="str">
        <f>IF(GrpF!$M$10=6,GrpF!$P12,"")</f>
        <v>Deutschland</v>
      </c>
      <c r="R47" s="387"/>
      <c r="S47" s="111"/>
      <c r="T47" s="289"/>
      <c r="U47" s="290"/>
      <c r="V47" s="286"/>
      <c r="W47" s="446"/>
      <c r="X47" s="447"/>
      <c r="Y47" s="287"/>
    </row>
    <row r="48" spans="1:25" x14ac:dyDescent="0.25">
      <c r="A48" s="112" t="s">
        <v>14</v>
      </c>
      <c r="B48" s="412" t="str">
        <f>IF(GrpA!$M$10=6,GrpA!$P13,"")</f>
        <v>Wales</v>
      </c>
      <c r="C48" s="413"/>
      <c r="D48" s="112" t="s">
        <v>15</v>
      </c>
      <c r="E48" s="412" t="str">
        <f>IF(GrpB!$M$10=6,GrpB!$P13,"")</f>
        <v>Finnland</v>
      </c>
      <c r="F48" s="413"/>
      <c r="G48" s="112" t="s">
        <v>16</v>
      </c>
      <c r="H48" s="412" t="str">
        <f>IF(GrpC!$M$10=6,GrpC!$P13,"")</f>
        <v>Ukraine</v>
      </c>
      <c r="I48" s="413"/>
      <c r="J48" s="112" t="s">
        <v>17</v>
      </c>
      <c r="K48" s="412" t="str">
        <f>IF(GrpD!$M$10=6,GrpD!$P13,"")</f>
        <v>Tschechien</v>
      </c>
      <c r="L48" s="413"/>
      <c r="M48" s="112" t="s">
        <v>18</v>
      </c>
      <c r="N48" s="412" t="str">
        <f>IF(GrpE!$M$10=6,GrpE!$P13,"")</f>
        <v>Slowakei</v>
      </c>
      <c r="O48" s="413"/>
      <c r="P48" s="112" t="s">
        <v>19</v>
      </c>
      <c r="Q48" s="412" t="str">
        <f>IF(GrpF!$M$10=6,GrpF!$P13,"")</f>
        <v>Portugal</v>
      </c>
      <c r="R48" s="413"/>
      <c r="S48" s="112"/>
      <c r="T48" s="289"/>
      <c r="U48" s="290"/>
      <c r="V48" s="286"/>
      <c r="W48" s="291"/>
      <c r="X48" s="292"/>
      <c r="Y48" s="288"/>
    </row>
    <row r="49" spans="1:26" x14ac:dyDescent="0.25">
      <c r="A49" s="112" t="s">
        <v>20</v>
      </c>
      <c r="B49" s="412" t="str">
        <f>IF(GrpA!$M$10=6,GrpA!$P14,"")</f>
        <v>Türkei</v>
      </c>
      <c r="C49" s="413"/>
      <c r="D49" s="112" t="s">
        <v>21</v>
      </c>
      <c r="E49" s="412" t="str">
        <f>IF(GrpB!$M$10=6,GrpB!$P14,"")</f>
        <v>Russland</v>
      </c>
      <c r="F49" s="413"/>
      <c r="G49" s="112" t="s">
        <v>22</v>
      </c>
      <c r="H49" s="412" t="str">
        <f>IF(GrpC!$M$10=6,GrpC!$P14,"")</f>
        <v>Nordmazedonien</v>
      </c>
      <c r="I49" s="413"/>
      <c r="J49" s="112" t="s">
        <v>23</v>
      </c>
      <c r="K49" s="412" t="str">
        <f>IF(GrpD!$M$10=6,GrpD!$P14,"")</f>
        <v>Schottland</v>
      </c>
      <c r="L49" s="413"/>
      <c r="M49" s="112" t="s">
        <v>24</v>
      </c>
      <c r="N49" s="412" t="str">
        <f>IF(GrpE!$M$10=6,GrpE!$P14,"")</f>
        <v>Polen</v>
      </c>
      <c r="O49" s="413"/>
      <c r="P49" s="112" t="s">
        <v>25</v>
      </c>
      <c r="Q49" s="412" t="str">
        <f>IF(GrpF!$M$10=6,GrpF!$P14,"")</f>
        <v>Ungarn</v>
      </c>
      <c r="R49" s="413"/>
      <c r="S49" s="112"/>
      <c r="T49" s="289"/>
      <c r="U49" s="290"/>
      <c r="V49" s="286"/>
      <c r="W49" s="291"/>
      <c r="X49" s="292"/>
      <c r="Y49" s="288"/>
    </row>
    <row r="50" spans="1:26" ht="35.25" customHeight="1" x14ac:dyDescent="0.25"/>
    <row r="51" spans="1:26" ht="16.5" thickBot="1" x14ac:dyDescent="0.3">
      <c r="B51" s="414"/>
      <c r="C51" s="415"/>
      <c r="E51" s="414"/>
      <c r="F51" s="415"/>
      <c r="H51" s="414"/>
      <c r="I51" s="415"/>
      <c r="K51" s="414"/>
      <c r="L51" s="415"/>
      <c r="N51" s="414"/>
      <c r="O51" s="415"/>
      <c r="Q51" s="414"/>
      <c r="R51" s="415"/>
      <c r="T51" s="414"/>
      <c r="U51" s="415"/>
      <c r="W51" s="414"/>
      <c r="X51" s="415"/>
    </row>
    <row r="52" spans="1:26" x14ac:dyDescent="0.25">
      <c r="A52" s="117">
        <v>41</v>
      </c>
      <c r="B52" s="401"/>
      <c r="C52" s="402"/>
      <c r="D52" s="117">
        <v>42</v>
      </c>
      <c r="E52" s="401"/>
      <c r="F52" s="402"/>
      <c r="G52" s="117">
        <v>40</v>
      </c>
      <c r="H52" s="401"/>
      <c r="I52" s="402"/>
      <c r="J52" s="117">
        <v>38</v>
      </c>
      <c r="K52" s="401"/>
      <c r="L52" s="402"/>
      <c r="M52" s="117">
        <v>39</v>
      </c>
      <c r="N52" s="401"/>
      <c r="O52" s="402"/>
      <c r="P52" s="117">
        <v>37</v>
      </c>
      <c r="Q52" s="401"/>
      <c r="R52" s="402"/>
      <c r="S52" s="117">
        <v>43</v>
      </c>
      <c r="T52" s="401"/>
      <c r="U52" s="402"/>
      <c r="V52" s="117">
        <v>44</v>
      </c>
      <c r="W52" s="401"/>
      <c r="X52" s="402"/>
    </row>
    <row r="53" spans="1:26" x14ac:dyDescent="0.25">
      <c r="B53" s="388"/>
      <c r="C53" s="389"/>
      <c r="E53" s="388"/>
      <c r="F53" s="389"/>
      <c r="H53" s="388"/>
      <c r="I53" s="389"/>
      <c r="K53" s="388"/>
      <c r="L53" s="389"/>
      <c r="N53" s="388"/>
      <c r="O53" s="389"/>
      <c r="Q53" s="388"/>
      <c r="R53" s="389"/>
      <c r="T53" s="388"/>
      <c r="U53" s="389"/>
      <c r="V53" s="7"/>
      <c r="W53" s="388"/>
      <c r="X53" s="389"/>
    </row>
    <row r="54" spans="1:26" x14ac:dyDescent="0.25">
      <c r="B54" s="62"/>
      <c r="C54" s="63"/>
      <c r="E54" s="62"/>
      <c r="F54" s="63"/>
      <c r="H54" s="62"/>
      <c r="I54" s="63"/>
      <c r="K54" s="62"/>
      <c r="L54" s="63"/>
      <c r="N54" s="62"/>
      <c r="O54" s="63"/>
      <c r="Q54" s="62"/>
      <c r="R54" s="63"/>
      <c r="T54" s="62"/>
      <c r="U54" s="63"/>
      <c r="W54" s="62"/>
      <c r="X54" s="63"/>
    </row>
    <row r="55" spans="1:26" ht="15.75" thickBot="1" x14ac:dyDescent="0.3">
      <c r="B55" s="1"/>
      <c r="C55" s="2"/>
      <c r="D55" s="276"/>
      <c r="E55" s="1"/>
      <c r="F55" s="2"/>
      <c r="G55" s="276"/>
      <c r="H55" s="1"/>
      <c r="I55" s="2"/>
      <c r="J55" s="276"/>
      <c r="K55" s="1"/>
      <c r="L55" s="2"/>
      <c r="M55" s="276"/>
      <c r="N55" s="1"/>
      <c r="O55" s="2"/>
      <c r="P55" s="276"/>
      <c r="Q55" s="1"/>
      <c r="R55" s="2"/>
      <c r="S55" s="276"/>
      <c r="T55" s="1"/>
      <c r="U55" s="2"/>
      <c r="V55" s="276"/>
      <c r="W55" s="1"/>
      <c r="X55" s="2"/>
      <c r="Y55" s="277"/>
      <c r="Z55" s="18"/>
    </row>
    <row r="56" spans="1:26" ht="9.9499999999999993" customHeight="1" x14ac:dyDescent="0.25">
      <c r="B56" s="339"/>
      <c r="C56" s="340"/>
      <c r="E56" s="339"/>
      <c r="F56" s="340"/>
      <c r="H56" s="339"/>
      <c r="I56" s="340"/>
      <c r="K56" s="339"/>
      <c r="L56" s="340"/>
      <c r="N56" s="339"/>
      <c r="O56" s="340"/>
      <c r="Q56" s="339"/>
      <c r="R56" s="340"/>
      <c r="T56" s="339"/>
      <c r="U56" s="340"/>
      <c r="W56" s="339"/>
      <c r="X56" s="340"/>
    </row>
    <row r="57" spans="1:26" ht="15.75" thickBot="1" x14ac:dyDescent="0.3">
      <c r="B57" s="271"/>
      <c r="C57" s="272"/>
      <c r="E57" s="271"/>
      <c r="F57" s="272"/>
      <c r="H57" s="271"/>
      <c r="I57" s="272"/>
      <c r="K57" s="271"/>
      <c r="L57" s="272"/>
      <c r="N57" s="271"/>
      <c r="O57" s="272"/>
      <c r="Q57" s="271"/>
      <c r="R57" s="272"/>
      <c r="T57" s="271"/>
      <c r="U57" s="272"/>
      <c r="W57" s="271"/>
      <c r="X57" s="272"/>
    </row>
    <row r="58" spans="1:26" s="10" customFormat="1" ht="12" x14ac:dyDescent="0.2">
      <c r="B58" s="21"/>
      <c r="C58" s="11"/>
      <c r="E58" s="21"/>
      <c r="F58" s="11"/>
      <c r="G58" s="266"/>
      <c r="H58" s="21"/>
      <c r="I58" s="11"/>
      <c r="J58" s="11"/>
      <c r="K58" s="21"/>
      <c r="L58" s="11"/>
      <c r="M58" s="11"/>
      <c r="N58" s="21"/>
      <c r="O58" s="11"/>
      <c r="P58" s="11"/>
      <c r="Q58" s="21"/>
      <c r="R58" s="11"/>
      <c r="S58" s="11"/>
      <c r="T58" s="21"/>
      <c r="U58" s="11"/>
      <c r="V58" s="11"/>
      <c r="W58" s="21"/>
      <c r="X58" s="11"/>
    </row>
    <row r="59" spans="1:26" s="10" customFormat="1" ht="12" x14ac:dyDescent="0.2">
      <c r="B59" s="335"/>
      <c r="C59" s="335"/>
      <c r="D59" s="266"/>
      <c r="E59" s="335"/>
      <c r="F59" s="335"/>
      <c r="G59" s="11"/>
      <c r="H59" s="335"/>
      <c r="I59" s="335"/>
      <c r="J59" s="11"/>
      <c r="K59" s="335"/>
      <c r="L59" s="335"/>
      <c r="M59" s="11"/>
      <c r="N59" s="335"/>
      <c r="O59" s="335"/>
      <c r="P59" s="11"/>
      <c r="Q59" s="335"/>
      <c r="R59" s="335"/>
      <c r="S59" s="11"/>
      <c r="T59" s="335"/>
      <c r="U59" s="335"/>
      <c r="V59" s="11"/>
      <c r="W59" s="335"/>
      <c r="X59" s="335"/>
    </row>
    <row r="60" spans="1:26" x14ac:dyDescent="0.25">
      <c r="B60" s="13"/>
      <c r="C60" s="12"/>
      <c r="E60" s="12"/>
      <c r="F60" s="13"/>
      <c r="H60" s="13"/>
      <c r="L60" s="13"/>
      <c r="N60" s="13"/>
      <c r="R60" s="13"/>
      <c r="T60" s="13"/>
      <c r="X60" s="13"/>
    </row>
    <row r="61" spans="1:26" ht="15.75" customHeight="1" x14ac:dyDescent="0.25">
      <c r="B61" s="13"/>
      <c r="C61" s="397"/>
      <c r="D61" s="397"/>
      <c r="E61" s="397"/>
      <c r="F61" s="13"/>
      <c r="H61" s="13"/>
      <c r="I61" s="397"/>
      <c r="J61" s="397"/>
      <c r="K61" s="397"/>
      <c r="L61" s="13"/>
      <c r="N61" s="13"/>
      <c r="O61" s="397"/>
      <c r="P61" s="397"/>
      <c r="Q61" s="397"/>
      <c r="R61" s="13"/>
      <c r="T61" s="13"/>
      <c r="U61" s="397"/>
      <c r="V61" s="397"/>
      <c r="W61" s="397"/>
      <c r="X61" s="13"/>
    </row>
    <row r="62" spans="1:26" ht="15.75" customHeight="1" x14ac:dyDescent="0.25">
      <c r="B62" s="117">
        <v>45</v>
      </c>
      <c r="C62" s="424"/>
      <c r="D62" s="425"/>
      <c r="E62" s="426"/>
      <c r="H62" s="117">
        <v>46</v>
      </c>
      <c r="I62" s="424"/>
      <c r="J62" s="425"/>
      <c r="K62" s="426"/>
      <c r="N62" s="117">
        <v>47</v>
      </c>
      <c r="O62" s="424"/>
      <c r="P62" s="425"/>
      <c r="Q62" s="426"/>
      <c r="T62" s="117">
        <v>48</v>
      </c>
      <c r="U62" s="424"/>
      <c r="V62" s="425"/>
      <c r="W62" s="426"/>
    </row>
    <row r="63" spans="1:26" x14ac:dyDescent="0.25">
      <c r="C63" s="388"/>
      <c r="D63" s="395"/>
      <c r="E63" s="389"/>
      <c r="I63" s="388"/>
      <c r="J63" s="395"/>
      <c r="K63" s="389"/>
      <c r="O63" s="388"/>
      <c r="P63" s="395"/>
      <c r="Q63" s="389"/>
      <c r="U63" s="388"/>
      <c r="V63" s="395"/>
      <c r="W63" s="389"/>
    </row>
    <row r="64" spans="1:26" x14ac:dyDescent="0.25">
      <c r="C64" s="8"/>
      <c r="D64" s="13"/>
      <c r="E64" s="9"/>
      <c r="I64" s="8"/>
      <c r="J64" s="13"/>
      <c r="K64" s="9"/>
      <c r="O64" s="8"/>
      <c r="P64" s="13"/>
      <c r="Q64" s="9"/>
      <c r="U64" s="8"/>
      <c r="V64" s="13"/>
      <c r="W64" s="9"/>
    </row>
    <row r="65" spans="3:24" ht="15.75" thickBot="1" x14ac:dyDescent="0.3">
      <c r="C65" s="1"/>
      <c r="D65" s="14"/>
      <c r="E65" s="3"/>
      <c r="F65" s="277"/>
      <c r="I65" s="1"/>
      <c r="J65" s="14"/>
      <c r="K65" s="3"/>
      <c r="L65" s="277"/>
      <c r="O65" s="1"/>
      <c r="P65" s="14"/>
      <c r="Q65" s="3"/>
      <c r="R65" s="277"/>
      <c r="U65" s="1"/>
      <c r="V65" s="14"/>
      <c r="W65" s="3"/>
      <c r="X65" s="277"/>
    </row>
    <row r="66" spans="3:24" ht="9.9499999999999993" customHeight="1" x14ac:dyDescent="0.25">
      <c r="C66" s="392"/>
      <c r="D66" s="396"/>
      <c r="E66" s="393"/>
      <c r="I66" s="392"/>
      <c r="J66" s="396"/>
      <c r="K66" s="393"/>
      <c r="O66" s="392"/>
      <c r="P66" s="396"/>
      <c r="Q66" s="393"/>
      <c r="U66" s="392"/>
      <c r="V66" s="396"/>
      <c r="W66" s="393"/>
    </row>
    <row r="67" spans="3:24" ht="15.75" thickBot="1" x14ac:dyDescent="0.3">
      <c r="C67" s="273"/>
      <c r="D67" s="14"/>
      <c r="E67" s="274"/>
      <c r="I67" s="273"/>
      <c r="J67" s="14"/>
      <c r="K67" s="274"/>
      <c r="O67" s="273"/>
      <c r="P67" s="14"/>
      <c r="Q67" s="274"/>
      <c r="U67" s="273"/>
      <c r="V67" s="14"/>
      <c r="W67" s="274"/>
    </row>
    <row r="68" spans="3:24" s="10" customFormat="1" x14ac:dyDescent="0.25">
      <c r="C68" s="11"/>
      <c r="D68" s="15"/>
      <c r="E68" s="11"/>
      <c r="F68" s="267"/>
      <c r="G68" s="16"/>
      <c r="H68" s="16"/>
      <c r="I68" s="11"/>
      <c r="J68" s="15"/>
      <c r="K68" s="11"/>
      <c r="L68" s="16"/>
      <c r="M68" s="16"/>
      <c r="N68" s="16"/>
      <c r="O68" s="11"/>
      <c r="P68" s="4"/>
      <c r="Q68" s="11"/>
      <c r="R68" s="16"/>
      <c r="S68" s="16"/>
      <c r="T68" s="16"/>
      <c r="U68" s="11"/>
      <c r="V68" s="15"/>
      <c r="W68" s="11"/>
    </row>
    <row r="69" spans="3:24" ht="12" customHeight="1" x14ac:dyDescent="0.25">
      <c r="C69" s="336"/>
      <c r="D69" s="336"/>
      <c r="E69" s="336"/>
      <c r="F69" s="268"/>
      <c r="I69" s="336"/>
      <c r="J69" s="336"/>
      <c r="K69" s="336"/>
      <c r="O69" s="336"/>
      <c r="P69" s="336"/>
      <c r="Q69" s="336"/>
      <c r="U69" s="336"/>
      <c r="V69" s="336"/>
      <c r="W69" s="336"/>
    </row>
    <row r="70" spans="3:24" x14ac:dyDescent="0.25"/>
    <row r="71" spans="3:24" ht="15.75" x14ac:dyDescent="0.25">
      <c r="F71" s="397"/>
      <c r="G71" s="397"/>
      <c r="H71" s="397"/>
      <c r="R71" s="397"/>
      <c r="S71" s="397"/>
      <c r="T71" s="397"/>
    </row>
    <row r="72" spans="3:24" x14ac:dyDescent="0.25">
      <c r="E72" s="117">
        <v>49</v>
      </c>
      <c r="F72" s="424"/>
      <c r="G72" s="425"/>
      <c r="H72" s="426"/>
      <c r="Q72" s="117">
        <v>50</v>
      </c>
      <c r="R72" s="424"/>
      <c r="S72" s="425"/>
      <c r="T72" s="426"/>
    </row>
    <row r="73" spans="3:24" ht="15.75" x14ac:dyDescent="0.25">
      <c r="F73" s="388"/>
      <c r="G73" s="395"/>
      <c r="H73" s="389"/>
      <c r="L73" s="31"/>
      <c r="M73" s="31"/>
      <c r="R73" s="388"/>
      <c r="S73" s="395"/>
      <c r="T73" s="389"/>
    </row>
    <row r="74" spans="3:24" x14ac:dyDescent="0.25">
      <c r="F74" s="8"/>
      <c r="G74" s="13"/>
      <c r="H74" s="9"/>
      <c r="L74" s="32"/>
      <c r="M74" s="32"/>
      <c r="R74" s="8"/>
      <c r="S74" s="13"/>
      <c r="T74" s="9"/>
    </row>
    <row r="75" spans="3:24" ht="15.75" thickBot="1" x14ac:dyDescent="0.3">
      <c r="F75" s="1"/>
      <c r="G75" s="14"/>
      <c r="H75" s="3"/>
      <c r="I75" s="277"/>
      <c r="L75" s="19"/>
      <c r="M75" s="18"/>
      <c r="R75" s="1"/>
      <c r="S75" s="14"/>
      <c r="T75" s="3"/>
      <c r="U75" s="277"/>
    </row>
    <row r="76" spans="3:24" ht="9.9499999999999993" customHeight="1" x14ac:dyDescent="0.25">
      <c r="F76" s="392"/>
      <c r="G76" s="396"/>
      <c r="H76" s="393"/>
      <c r="L76" s="19"/>
      <c r="M76" s="18"/>
      <c r="R76" s="392"/>
      <c r="S76" s="396"/>
      <c r="T76" s="393"/>
    </row>
    <row r="77" spans="3:24" ht="15.75" thickBot="1" x14ac:dyDescent="0.3">
      <c r="F77" s="273"/>
      <c r="G77" s="14"/>
      <c r="H77" s="274"/>
      <c r="L77" s="19"/>
      <c r="M77" s="18"/>
      <c r="R77" s="273"/>
      <c r="S77" s="14"/>
      <c r="T77" s="274"/>
    </row>
    <row r="78" spans="3:24" x14ac:dyDescent="0.25">
      <c r="F78" s="11"/>
      <c r="G78" s="15"/>
      <c r="H78" s="11"/>
      <c r="I78" s="268"/>
      <c r="L78" s="20"/>
      <c r="M78" s="18"/>
      <c r="R78" s="11"/>
      <c r="S78" s="15"/>
      <c r="T78" s="11"/>
    </row>
    <row r="79" spans="3:24" ht="12" customHeight="1" x14ac:dyDescent="0.25">
      <c r="F79" s="336"/>
      <c r="G79" s="336"/>
      <c r="H79" s="336"/>
      <c r="K79" s="18"/>
      <c r="L79" s="265"/>
      <c r="M79" s="265"/>
      <c r="N79" s="265"/>
      <c r="R79" s="336"/>
      <c r="S79" s="336"/>
      <c r="T79" s="336"/>
    </row>
    <row r="80" spans="3:24" x14ac:dyDescent="0.25"/>
    <row r="81" spans="2:24" ht="31.5" x14ac:dyDescent="0.25">
      <c r="L81" s="421"/>
      <c r="M81" s="422"/>
      <c r="N81" s="423"/>
    </row>
    <row r="82" spans="2:24" ht="15" customHeight="1" x14ac:dyDescent="0.25">
      <c r="K82" s="117">
        <v>51</v>
      </c>
      <c r="L82" s="424"/>
      <c r="M82" s="425"/>
      <c r="N82" s="426"/>
      <c r="R82" s="338"/>
      <c r="S82" s="338"/>
      <c r="T82" s="338"/>
      <c r="U82" s="338"/>
      <c r="V82" s="338"/>
      <c r="W82" s="338"/>
    </row>
    <row r="83" spans="2:24" ht="15" customHeight="1" x14ac:dyDescent="0.25">
      <c r="L83" s="388"/>
      <c r="M83" s="395"/>
      <c r="N83" s="389"/>
      <c r="R83" s="338"/>
      <c r="S83" s="338"/>
      <c r="T83" s="338"/>
      <c r="U83" s="338"/>
      <c r="V83" s="338"/>
      <c r="W83" s="338"/>
    </row>
    <row r="84" spans="2:24" ht="15" customHeight="1" x14ac:dyDescent="0.25">
      <c r="L84" s="8"/>
      <c r="M84" s="13"/>
      <c r="N84" s="9"/>
      <c r="R84" s="337"/>
      <c r="S84" s="337"/>
      <c r="T84" s="337"/>
      <c r="U84" s="337"/>
      <c r="V84" s="337"/>
      <c r="W84" s="337"/>
    </row>
    <row r="85" spans="2:24" ht="15" customHeight="1" thickBot="1" x14ac:dyDescent="0.3">
      <c r="B85" s="17"/>
      <c r="L85" s="1"/>
      <c r="M85" s="118"/>
      <c r="N85" s="3"/>
      <c r="O85" s="277"/>
      <c r="R85" s="337"/>
      <c r="S85" s="337"/>
      <c r="T85" s="337"/>
      <c r="U85" s="337"/>
      <c r="V85" s="337"/>
      <c r="W85" s="337"/>
    </row>
    <row r="86" spans="2:24" ht="9.9499999999999993" customHeight="1" x14ac:dyDescent="0.25">
      <c r="B86" s="17"/>
      <c r="L86" s="392"/>
      <c r="M86" s="396"/>
      <c r="N86" s="393"/>
      <c r="R86" s="275"/>
      <c r="S86" s="275"/>
      <c r="T86" s="275"/>
      <c r="U86" s="275"/>
      <c r="V86" s="275"/>
      <c r="W86" s="275"/>
    </row>
    <row r="87" spans="2:24" ht="15" customHeight="1" thickBot="1" x14ac:dyDescent="0.3">
      <c r="B87" s="17"/>
      <c r="L87" s="273"/>
      <c r="M87" s="14"/>
      <c r="N87" s="274"/>
      <c r="R87" s="275"/>
      <c r="S87" s="275"/>
      <c r="T87" s="275"/>
      <c r="U87" s="275"/>
      <c r="V87" s="275"/>
      <c r="W87" s="275"/>
    </row>
    <row r="88" spans="2:24" x14ac:dyDescent="0.25">
      <c r="L88" s="11"/>
      <c r="M88" s="15"/>
      <c r="N88" s="11"/>
      <c r="O88" s="268"/>
    </row>
    <row r="89" spans="2:24" ht="12" customHeight="1" x14ac:dyDescent="0.25">
      <c r="L89" s="336"/>
      <c r="M89" s="336"/>
      <c r="N89" s="336"/>
    </row>
    <row r="90" spans="2:24" x14ac:dyDescent="0.25"/>
    <row r="91" spans="2:24" x14ac:dyDescent="0.25">
      <c r="U91" s="381"/>
      <c r="V91" s="382"/>
      <c r="W91" s="382"/>
      <c r="X91" s="382"/>
    </row>
    <row r="92" spans="2:24" x14ac:dyDescent="0.25">
      <c r="B92" s="419" t="s">
        <v>897</v>
      </c>
      <c r="C92" s="420"/>
      <c r="D92" s="420"/>
      <c r="T92" s="384" t="s">
        <v>898</v>
      </c>
      <c r="U92" s="385"/>
      <c r="V92" s="385"/>
      <c r="W92" s="385"/>
      <c r="X92" s="385"/>
    </row>
    <row r="93" spans="2:24" x14ac:dyDescent="0.25"/>
  </sheetData>
  <sheetProtection selectLockedCells="1"/>
  <mergeCells count="198">
    <mergeCell ref="B37:C37"/>
    <mergeCell ref="E37:F37"/>
    <mergeCell ref="H37:I37"/>
    <mergeCell ref="K37:L37"/>
    <mergeCell ref="N37:O37"/>
    <mergeCell ref="Q37:R37"/>
    <mergeCell ref="B38:C38"/>
    <mergeCell ref="H38:I38"/>
    <mergeCell ref="K38:L38"/>
    <mergeCell ref="N38:O38"/>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U61:W61"/>
    <mergeCell ref="Q47:R47"/>
    <mergeCell ref="W47:X47"/>
    <mergeCell ref="T53:U53"/>
    <mergeCell ref="W53:X53"/>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E9:F9"/>
    <mergeCell ref="H9:I9"/>
    <mergeCell ref="K9:L9"/>
    <mergeCell ref="N27:O27"/>
    <mergeCell ref="N21:O21"/>
    <mergeCell ref="N9:O9"/>
    <mergeCell ref="N26:O26"/>
    <mergeCell ref="K11:L11"/>
    <mergeCell ref="N11:O11"/>
    <mergeCell ref="N16:O16"/>
    <mergeCell ref="H11:I11"/>
    <mergeCell ref="B92:D9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B53:C53"/>
    <mergeCell ref="T51:U51"/>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Q48:R48"/>
    <mergeCell ref="K49:L49"/>
    <mergeCell ref="N49:O49"/>
    <mergeCell ref="Q49:R49"/>
    <mergeCell ref="B49:C49"/>
    <mergeCell ref="H47:I47"/>
    <mergeCell ref="C61:E61"/>
    <mergeCell ref="B48:C48"/>
    <mergeCell ref="B47:C47"/>
    <mergeCell ref="I61:K61"/>
    <mergeCell ref="K53:L53"/>
    <mergeCell ref="N53:O53"/>
    <mergeCell ref="H48:I48"/>
    <mergeCell ref="H49:I49"/>
    <mergeCell ref="H51:I51"/>
    <mergeCell ref="N47:O47"/>
    <mergeCell ref="N51:O51"/>
    <mergeCell ref="N52:O52"/>
    <mergeCell ref="N48:O48"/>
    <mergeCell ref="W8:X8"/>
    <mergeCell ref="Q9:R9"/>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E27:F27"/>
    <mergeCell ref="E22:F22"/>
    <mergeCell ref="B9:C9"/>
    <mergeCell ref="T92:X92"/>
    <mergeCell ref="N46:O46"/>
    <mergeCell ref="Q46:R46"/>
    <mergeCell ref="K39:L39"/>
    <mergeCell ref="Q45:R45"/>
    <mergeCell ref="K45:L45"/>
    <mergeCell ref="N45:O45"/>
    <mergeCell ref="B45:C45"/>
    <mergeCell ref="E45:F45"/>
    <mergeCell ref="H45:I45"/>
    <mergeCell ref="N39:O39"/>
    <mergeCell ref="N42:O42"/>
    <mergeCell ref="N44:O44"/>
    <mergeCell ref="Q39:R39"/>
    <mergeCell ref="L83:N83"/>
    <mergeCell ref="C66:E66"/>
    <mergeCell ref="I66:K66"/>
    <mergeCell ref="O66:Q66"/>
    <mergeCell ref="U66:W66"/>
    <mergeCell ref="U63:W63"/>
    <mergeCell ref="I63:K63"/>
    <mergeCell ref="O63:Q63"/>
    <mergeCell ref="C63:E63"/>
    <mergeCell ref="O61:Q61"/>
  </mergeCells>
  <conditionalFormatting sqref="T16">
    <cfRule type="expression" dxfId="56" priority="188">
      <formula>AND(T16=TODAY())</formula>
    </cfRule>
  </conditionalFormatting>
  <conditionalFormatting sqref="Q5:R5">
    <cfRule type="expression" dxfId="55" priority="18" stopIfTrue="1">
      <formula>OR($V$46="F",$V$47="F",$V$48="F",$V$49="F")</formula>
    </cfRule>
  </conditionalFormatting>
  <conditionalFormatting sqref="N5:O5">
    <cfRule type="expression" dxfId="54" priority="17" stopIfTrue="1">
      <formula>OR($V$46="E",$V$47="E",$V$48="E",$V$49="E")</formula>
    </cfRule>
  </conditionalFormatting>
  <conditionalFormatting sqref="K5:L5">
    <cfRule type="expression" dxfId="53" priority="16" stopIfTrue="1">
      <formula>OR($V$46="D",$V$47="d",$V$48="d",$V$49="d")</formula>
    </cfRule>
  </conditionalFormatting>
  <conditionalFormatting sqref="H5:I5">
    <cfRule type="expression" dxfId="52" priority="15" stopIfTrue="1">
      <formula>OR($V$46="c",$V$47="c",$V$48="c",$V$49="c")</formula>
    </cfRule>
  </conditionalFormatting>
  <conditionalFormatting sqref="E5:F5">
    <cfRule type="expression" dxfId="51" priority="14" stopIfTrue="1">
      <formula>OR($V$46="b",$V$47="b",$V$48="b",$V$49="b")</formula>
    </cfRule>
  </conditionalFormatting>
  <conditionalFormatting sqref="B5:C5">
    <cfRule type="expression" dxfId="50" priority="13" stopIfTrue="1">
      <formula>OR($V$46="a",$V$47="a",$V$48="a",$V$49="a")</formula>
    </cfRule>
  </conditionalFormatting>
  <conditionalFormatting sqref="B7">
    <cfRule type="expression" dxfId="49" priority="628">
      <formula>#REF!&gt;0</formula>
    </cfRule>
  </conditionalFormatting>
  <conditionalFormatting sqref="B12 E12 H12 K12 N12 Q12 B17 E17 H17 K17 N17 Q17 B22 E22 H22 K22 N22 Q22 B27 E27 H27 K27 N27 Q27 B32 E32 H32 K32 N32 Q32 B39 E39 H39 K39 N39 Q39 B53 E53 H53 K53 N53 Q53 T53 W53">
    <cfRule type="expression" dxfId="48" priority="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47" priority="5">
      <formula>AND(B12&lt;TODAY(),C14="")</formula>
    </cfRule>
  </conditionalFormatting>
  <conditionalFormatting sqref="B14 E14 H14 K14 N14 Q14 B19 E19 H19 K19 N19 Q19 B24 E24 H24 K24 N24 Q24 B29 E29 H29 K29 N29 Q29 B34 E34 H34 K34 N34 Q34 B41 E41 H41 K41 N41 Q41 B55 E55 H55 K55 N55 Q55 T55 W55 C65 I65 O65 U65 F75 R75 L85">
    <cfRule type="expression" dxfId="46" priority="4">
      <formula>AND(B12&lt;TODAY(),B14="")</formula>
    </cfRule>
  </conditionalFormatting>
  <conditionalFormatting sqref="C63 I63 O63 U63 F73 R73 L83">
    <cfRule type="expression" dxfId="45" priority="3">
      <formula>INT(C63)=TODAY()</formula>
    </cfRule>
  </conditionalFormatting>
  <conditionalFormatting sqref="E65 K65 Q65 W65 H75 T75 N85">
    <cfRule type="expression" dxfId="44"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hyperlinks>
    <hyperlink ref="T92" r:id="rId1" xr:uid="{66E8BDB6-95A5-4E1D-8B08-7AEEB04845A5}"/>
  </hyperlinks>
  <pageMargins left="0.7" right="0.7" top="0.78740157499999996" bottom="0.78740157499999996" header="0.3" footer="0.3"/>
  <pageSetup paperSize="9" orientation="portrait" horizontalDpi="0" verticalDpi="0" r:id="rId2"/>
  <drawing r:id="rId3"/>
  <extLst>
    <ext xmlns:x14="http://schemas.microsoft.com/office/spreadsheetml/2009/9/main" uri="{78C0D931-6437-407d-A8EE-F0AAD7539E65}">
      <x14:conditionalFormattings>
        <x14:conditionalFormatting xmlns:xm="http://schemas.microsoft.com/office/excel/2006/main">
          <x14:cfRule type="expression" priority="681" id="{988708D4-7280-4F00-A7DB-BE4AA575A9A5}">
            <xm:f>GrpA!$Y$11&gt;0</xm:f>
            <x14:dxf>
              <font>
                <color rgb="FFC02000"/>
              </font>
            </x14:dxf>
          </x14:cfRule>
          <xm:sqref>B35:C35</xm:sqref>
        </x14:conditionalFormatting>
        <x14:conditionalFormatting xmlns:xm="http://schemas.microsoft.com/office/excel/2006/main">
          <x14:cfRule type="expression" priority="682" id="{B0EFF002-9F6E-444E-A23E-4F586D062378}">
            <xm:f>GrpA!$Y$12&gt;0</xm:f>
            <x14:dxf>
              <font>
                <color rgb="FFC02000"/>
              </font>
            </x14:dxf>
          </x14:cfRule>
          <xm:sqref>B42:C42</xm:sqref>
        </x14:conditionalFormatting>
        <x14:conditionalFormatting xmlns:xm="http://schemas.microsoft.com/office/excel/2006/main">
          <x14:cfRule type="expression" priority="683" id="{82DBEC11-0521-451E-8219-C7005A022ED1}">
            <xm:f>GrpA!$Y$11&gt;0</xm:f>
            <x14:dxf>
              <font>
                <color theme="1"/>
              </font>
            </x14:dxf>
          </x14:cfRule>
          <xm:sqref>B36:C36</xm:sqref>
        </x14:conditionalFormatting>
        <x14:conditionalFormatting xmlns:xm="http://schemas.microsoft.com/office/excel/2006/main">
          <x14:cfRule type="expression" priority="684" id="{B06DD107-3852-4EF5-AEE0-5B39B4FFFCBA}">
            <xm:f>GrpA!$Y$12&gt;0</xm:f>
            <x14:dxf>
              <font>
                <color theme="1"/>
              </font>
            </x14:dxf>
          </x14:cfRule>
          <xm:sqref>B43:C43</xm:sqref>
        </x14:conditionalFormatting>
        <x14:conditionalFormatting xmlns:xm="http://schemas.microsoft.com/office/excel/2006/main">
          <x14:cfRule type="expression" priority="689" id="{AEEA0A5E-F364-4C15-8F95-7E958CEBCA70}">
            <xm:f>GrpB!$Y$11&gt;0</xm:f>
            <x14:dxf>
              <font>
                <color rgb="FFC02000"/>
              </font>
            </x14:dxf>
          </x14:cfRule>
          <xm:sqref>E35:F35</xm:sqref>
        </x14:conditionalFormatting>
        <x14:conditionalFormatting xmlns:xm="http://schemas.microsoft.com/office/excel/2006/main">
          <x14:cfRule type="expression" priority="690" id="{634F5431-CA06-4F86-8F0E-99CD572077A9}">
            <xm:f>GrpB!$Y$12&gt;0</xm:f>
            <x14:dxf>
              <font>
                <color rgb="FFC02000"/>
              </font>
            </x14:dxf>
          </x14:cfRule>
          <xm:sqref>E42:F42</xm:sqref>
        </x14:conditionalFormatting>
        <x14:conditionalFormatting xmlns:xm="http://schemas.microsoft.com/office/excel/2006/main">
          <x14:cfRule type="expression" priority="691" id="{BE72B620-8098-4019-98C6-FC4C384DFFC7}">
            <xm:f>GrpB!$Y$11&gt;0</xm:f>
            <x14:dxf>
              <font>
                <color theme="1"/>
              </font>
            </x14:dxf>
          </x14:cfRule>
          <xm:sqref>E36:F36</xm:sqref>
        </x14:conditionalFormatting>
        <x14:conditionalFormatting xmlns:xm="http://schemas.microsoft.com/office/excel/2006/main">
          <x14:cfRule type="expression" priority="692" id="{06AF6920-4188-45ED-BCEB-DE6D2E377B6D}">
            <xm:f>GrpB!$Y$12&gt;0</xm:f>
            <x14:dxf>
              <font>
                <color theme="1"/>
              </font>
            </x14:dxf>
          </x14:cfRule>
          <xm:sqref>E43:F43</xm:sqref>
        </x14:conditionalFormatting>
        <x14:conditionalFormatting xmlns:xm="http://schemas.microsoft.com/office/excel/2006/main">
          <x14:cfRule type="expression" priority="697" id="{0DD8B716-F41E-42A1-B209-F95D23FB7CD3}">
            <xm:f>GrpC!$Y$11&gt;0</xm:f>
            <x14:dxf>
              <font>
                <color rgb="FFC02000"/>
              </font>
            </x14:dxf>
          </x14:cfRule>
          <xm:sqref>H35:I35</xm:sqref>
        </x14:conditionalFormatting>
        <x14:conditionalFormatting xmlns:xm="http://schemas.microsoft.com/office/excel/2006/main">
          <x14:cfRule type="expression" priority="698" id="{D76E9C70-8DD7-4683-A6C6-EBC067FA4CB5}">
            <xm:f>GrpC!$Y$12&gt;0</xm:f>
            <x14:dxf>
              <font>
                <color rgb="FFC02000"/>
              </font>
            </x14:dxf>
          </x14:cfRule>
          <xm:sqref>H42:I42</xm:sqref>
        </x14:conditionalFormatting>
        <x14:conditionalFormatting xmlns:xm="http://schemas.microsoft.com/office/excel/2006/main">
          <x14:cfRule type="expression" priority="699" id="{3642A457-5A96-4F00-94F6-0D6D4CEE0DF9}">
            <xm:f>GrpC!$Y$11&gt;0</xm:f>
            <x14:dxf>
              <font>
                <color theme="1"/>
              </font>
            </x14:dxf>
          </x14:cfRule>
          <xm:sqref>H36:I36</xm:sqref>
        </x14:conditionalFormatting>
        <x14:conditionalFormatting xmlns:xm="http://schemas.microsoft.com/office/excel/2006/main">
          <x14:cfRule type="expression" priority="700" id="{6A095B8C-1EA5-415A-BED2-3CF6C687446A}">
            <xm:f>GrpC!$Y$12&gt;0</xm:f>
            <x14:dxf>
              <font>
                <color theme="1"/>
              </font>
            </x14:dxf>
          </x14:cfRule>
          <xm:sqref>H43:I43</xm:sqref>
        </x14:conditionalFormatting>
        <x14:conditionalFormatting xmlns:xm="http://schemas.microsoft.com/office/excel/2006/main">
          <x14:cfRule type="expression" priority="705" id="{0CEF6130-3E58-4175-8AEF-A3EAACED96E8}">
            <xm:f>GrpD!$Y$11&gt;0</xm:f>
            <x14:dxf>
              <font>
                <color rgb="FFC02000"/>
              </font>
            </x14:dxf>
          </x14:cfRule>
          <xm:sqref>K35:L35</xm:sqref>
        </x14:conditionalFormatting>
        <x14:conditionalFormatting xmlns:xm="http://schemas.microsoft.com/office/excel/2006/main">
          <x14:cfRule type="expression" priority="706" id="{6997563A-EA51-48F8-8E9A-DFD69C58799C}">
            <xm:f>GrpD!$Y$12&gt;0</xm:f>
            <x14:dxf>
              <font>
                <color rgb="FFC02000"/>
              </font>
            </x14:dxf>
          </x14:cfRule>
          <xm:sqref>K42:L42</xm:sqref>
        </x14:conditionalFormatting>
        <x14:conditionalFormatting xmlns:xm="http://schemas.microsoft.com/office/excel/2006/main">
          <x14:cfRule type="expression" priority="707" id="{2A7E7AFA-ADE9-4C30-9AAF-7D3526C4A4F8}">
            <xm:f>GrpD!$Y$11&gt;0</xm:f>
            <x14:dxf>
              <font>
                <color theme="1"/>
              </font>
            </x14:dxf>
          </x14:cfRule>
          <xm:sqref>K36:L36</xm:sqref>
        </x14:conditionalFormatting>
        <x14:conditionalFormatting xmlns:xm="http://schemas.microsoft.com/office/excel/2006/main">
          <x14:cfRule type="expression" priority="708" id="{E14AF2B9-691E-461E-917B-9FCC43568ADA}">
            <xm:f>GrpD!$Y$12&gt;0</xm:f>
            <x14:dxf>
              <font>
                <color theme="1"/>
              </font>
            </x14:dxf>
          </x14:cfRule>
          <xm:sqref>K43:L43</xm:sqref>
        </x14:conditionalFormatting>
        <x14:conditionalFormatting xmlns:xm="http://schemas.microsoft.com/office/excel/2006/main">
          <x14:cfRule type="expression" priority="713" id="{619E69E2-791B-4BFC-9C3F-75F65082050F}">
            <xm:f>GrpE!$Y$11&gt;0</xm:f>
            <x14:dxf>
              <font>
                <color rgb="FFC02000"/>
              </font>
            </x14:dxf>
          </x14:cfRule>
          <xm:sqref>N35:O35</xm:sqref>
        </x14:conditionalFormatting>
        <x14:conditionalFormatting xmlns:xm="http://schemas.microsoft.com/office/excel/2006/main">
          <x14:cfRule type="expression" priority="714" id="{A68DB172-93ED-47BE-BB1D-3422EE646ED6}">
            <xm:f>GrpE!$Y$12&gt;0</xm:f>
            <x14:dxf>
              <font>
                <color rgb="FFC02000"/>
              </font>
            </x14:dxf>
          </x14:cfRule>
          <xm:sqref>N42:O42</xm:sqref>
        </x14:conditionalFormatting>
        <x14:conditionalFormatting xmlns:xm="http://schemas.microsoft.com/office/excel/2006/main">
          <x14:cfRule type="expression" priority="715" id="{C98BF30E-0172-4A6C-B6A2-D50D506BA00C}">
            <xm:f>GrpE!$Y$11&gt;0</xm:f>
            <x14:dxf>
              <font>
                <color theme="1"/>
              </font>
            </x14:dxf>
          </x14:cfRule>
          <xm:sqref>N36:O36</xm:sqref>
        </x14:conditionalFormatting>
        <x14:conditionalFormatting xmlns:xm="http://schemas.microsoft.com/office/excel/2006/main">
          <x14:cfRule type="expression" priority="716" id="{715860F1-EE7E-4F78-AFAD-F8C157E66657}">
            <xm:f>GrpE!$Y$12&gt;0</xm:f>
            <x14:dxf>
              <font>
                <color theme="1"/>
              </font>
            </x14:dxf>
          </x14:cfRule>
          <xm:sqref>N43:O43</xm:sqref>
        </x14:conditionalFormatting>
        <x14:conditionalFormatting xmlns:xm="http://schemas.microsoft.com/office/excel/2006/main">
          <x14:cfRule type="expression" priority="721" id="{A1556EF6-4DAB-4F18-B823-F42C6ADF2945}">
            <xm:f>GrpF!$Y$11&gt;0</xm:f>
            <x14:dxf>
              <font>
                <color rgb="FFC02000"/>
              </font>
            </x14:dxf>
          </x14:cfRule>
          <xm:sqref>Q35:R35</xm:sqref>
        </x14:conditionalFormatting>
        <x14:conditionalFormatting xmlns:xm="http://schemas.microsoft.com/office/excel/2006/main">
          <x14:cfRule type="expression" priority="722" id="{F55B1FB6-B052-4E1E-B8EC-974BD52B4F89}">
            <xm:f>GrpF!$Y$12&gt;0</xm:f>
            <x14:dxf>
              <font>
                <color rgb="FFC02000"/>
              </font>
            </x14:dxf>
          </x14:cfRule>
          <xm:sqref>Q42:R42</xm:sqref>
        </x14:conditionalFormatting>
        <x14:conditionalFormatting xmlns:xm="http://schemas.microsoft.com/office/excel/2006/main">
          <x14:cfRule type="expression" priority="723" id="{C4968118-14F0-4365-B0B4-D95000276745}">
            <xm:f>GrpF!$Y$11&gt;0</xm:f>
            <x14:dxf>
              <font>
                <color theme="1"/>
              </font>
            </x14:dxf>
          </x14:cfRule>
          <xm:sqref>Q36:R36</xm:sqref>
        </x14:conditionalFormatting>
        <x14:conditionalFormatting xmlns:xm="http://schemas.microsoft.com/office/excel/2006/main">
          <x14:cfRule type="expression" priority="724" id="{571DD8EC-816A-4214-B144-1E697BE22C1D}">
            <xm:f>GrpF!$Y$12&gt;0</xm:f>
            <x14:dxf>
              <font>
                <color theme="1"/>
              </font>
            </x14:dxf>
          </x14:cfRule>
          <xm:sqref>Q43:R43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C3951-828E-4595-BBCC-A8472F1E8F2A}">
  <sheetPr codeName="Tabelle8"/>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27</v>
      </c>
      <c r="D1" s="46"/>
      <c r="O1" s="329"/>
      <c r="Q1" s="192"/>
    </row>
    <row r="2" spans="1:33" ht="8.25" customHeight="1" x14ac:dyDescent="0.25">
      <c r="O2" s="329"/>
    </row>
    <row r="3" spans="1:33" x14ac:dyDescent="0.25">
      <c r="B3" s="483" t="s">
        <v>194</v>
      </c>
      <c r="C3" s="483"/>
      <c r="D3" s="483"/>
      <c r="E3" s="483" t="s">
        <v>195</v>
      </c>
      <c r="F3" s="483"/>
      <c r="G3" s="483"/>
      <c r="H3" s="483" t="s">
        <v>190</v>
      </c>
      <c r="I3" s="483"/>
      <c r="J3" s="483" t="s">
        <v>895</v>
      </c>
      <c r="K3" s="483"/>
      <c r="L3" s="483"/>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Niederlande</v>
      </c>
      <c r="C4" s="226" t="s">
        <v>36</v>
      </c>
      <c r="D4" s="227" t="str">
        <f>INDEX(EURO!$B$13:$R$40,1,2+(CODE($C$1)-65)*3)</f>
        <v>Ukraine</v>
      </c>
      <c r="E4" s="225">
        <f>IF(OR(INDEX(EURO!$B$14:$R$41,1,1+(CODE($C$1)-65)*3)="",INDEX(EURO!$B$14:$R$41,1,2+(CODE($C$1)-65)*3)=""),"",INDEX(EURO!$B$14:$R$41,1,1+(CODE($C$1)-65)*3))</f>
        <v>3</v>
      </c>
      <c r="F4" s="226" t="s">
        <v>36</v>
      </c>
      <c r="G4" s="231">
        <f>IF(OR(INDEX(EURO!$B$14:$R$41,1,1+(CODE($C$1)-65)*3)="",INDEX(EURO!$B$14:$R$41,1,2+(CODE($C$1)-65)*3)=""),"",INDEX(EURO!$B$14:$R$41,1,2+(CODE($C$1)-65)*3))</f>
        <v>2</v>
      </c>
      <c r="H4" s="329">
        <f t="shared" ref="H4:H9" si="0">IF($M4&gt;0,IF($E4&gt;$G4,3,IF($E4=$G4,1,0)),0)</f>
        <v>3</v>
      </c>
      <c r="I4" s="329">
        <f t="shared" ref="I4:I9" si="1">IF($M4&gt;0,IF($E4&lt;$G4,3,IF($E4=$G4,1,0)),0)</f>
        <v>0</v>
      </c>
      <c r="L4" s="34"/>
      <c r="M4" s="329">
        <f t="shared" ref="M4:M9" si="2">IF(AND($E4&lt;&gt;"",$G4&lt;&gt;""),1,0)</f>
        <v>1</v>
      </c>
      <c r="N4" s="329"/>
      <c r="O4" s="329" t="s">
        <v>32</v>
      </c>
      <c r="P4" s="43" t="str">
        <f>VLOOKUP($C$1&amp;1,Groups!$B$7:$D$35,3,0)</f>
        <v>Niederlande</v>
      </c>
      <c r="Q4" s="329">
        <f>SUMIF($B$4:$B$9,P4,$H$4:$H$9)+SUMIF($D$4:$D$9,P4,$I$4:$I$9)</f>
        <v>9</v>
      </c>
      <c r="R4" s="329">
        <f>S4-T4</f>
        <v>6</v>
      </c>
      <c r="S4" s="329">
        <f>SUMIF($B$4:$B$9,$P4,$E$4:$E$9)+SUMIF($D$4:$D$9,$P4,$G$4:$G$9)</f>
        <v>8</v>
      </c>
      <c r="T4" s="329">
        <f>SUMIF($B$4:$B$9,$P4,$G$4:$G$9)+SUMIF($D$4:$D$9,$P4,$E$4:$E$9)</f>
        <v>2</v>
      </c>
      <c r="U4" s="308">
        <f>COUNTIFS($B$4:$B$9,$P4,$H$4:$H$9,"=3")+COUNTIFS($D$4:$D$9,$P4,$I$4:$I$9,"=3")</f>
        <v>3</v>
      </c>
      <c r="V4" s="351">
        <f>$Q4*FactorPts+(GDzero+$R4)*FactorGD+$S4*FactorFor+$U4*FactorWins+$W4*FactorDirC3+$X4*FactorDirC2+$Y4*FactorDirC43+$Z4*FactorDirC42+$AA4*FactorDirC42+$AB4*FactorFairPlay+$AE4*FactorPenalty+(100-$AF4)*($M$10&gt;0)*FactorRank+(8-ROW())*FactorRow</f>
        <v>90056080.003089413</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90056080</v>
      </c>
      <c r="AE4" s="308">
        <f>IF(OR(AND($Y$11&gt;0,OR(AND($B$8=$P4,$J$8&gt;$L$8),AND($D$8=$P4,$J$8&lt;$L$8))),AND($Y$12&gt;0,OR(AND($B$9=$P4,$J$9&gt;$L$9),AND($D$9=$P4,$J$9&lt;$L$9)))),1,0)</f>
        <v>0</v>
      </c>
      <c r="AF4" s="308">
        <f>INDEX(Language!$D$5:$D$59,MATCH($P4,Language!$E$5:$E$59,0),1)</f>
        <v>11</v>
      </c>
      <c r="AG4" s="308"/>
    </row>
    <row r="5" spans="1:33" x14ac:dyDescent="0.25">
      <c r="B5" s="230" t="str">
        <f>INDEX(EURO!$B$13:$R$40,6,1+(CODE($C$1)-65)*3)</f>
        <v>Österreich</v>
      </c>
      <c r="C5" s="229" t="s">
        <v>36</v>
      </c>
      <c r="D5" s="230" t="str">
        <f>INDEX(EURO!$B$13:$R$40,6,2+(CODE($C$1)-65)*3)</f>
        <v>Nordmazedonien</v>
      </c>
      <c r="E5" s="228">
        <f>IF(OR(INDEX(EURO!$B$14:$R$41,6,1+(CODE($C$1)-65)*3)="",INDEX(EURO!$B$14:$R$41,6,2+(CODE($C$1)-65)*3)=""),"",INDEX(EURO!$B$14:$R$41,6,1+(CODE($C$1)-65)*3))</f>
        <v>3</v>
      </c>
      <c r="F5" s="229" t="s">
        <v>36</v>
      </c>
      <c r="G5" s="232">
        <f>IF(OR(INDEX(EURO!$B$14:$R$41,6,1+(CODE($C$1)-65)*3)="",INDEX(EURO!$B$14:$R$41,6,2+(CODE($C$1)-65)*3)=""),"",INDEX(EURO!$B$14:$R$41,6,2+(CODE($C$1)-65)*3))</f>
        <v>1</v>
      </c>
      <c r="H5" s="329">
        <f t="shared" si="0"/>
        <v>3</v>
      </c>
      <c r="I5" s="329">
        <f t="shared" si="1"/>
        <v>0</v>
      </c>
      <c r="L5" s="34"/>
      <c r="M5" s="329">
        <f t="shared" si="2"/>
        <v>1</v>
      </c>
      <c r="N5" s="329"/>
      <c r="O5" s="329" t="s">
        <v>33</v>
      </c>
      <c r="P5" s="43" t="str">
        <f>VLOOKUP($C$1&amp;2,Groups!$B$7:$D$35,3,0)</f>
        <v>Ukraine</v>
      </c>
      <c r="Q5" s="329">
        <f t="shared" ref="Q5:Q7" si="3">SUMIF($B$4:$B$9,P5,$H$4:$H$9)+SUMIF($D$4:$D$9,P5,$I$4:$I$9)</f>
        <v>3</v>
      </c>
      <c r="R5" s="329">
        <f>S5-T5</f>
        <v>-1</v>
      </c>
      <c r="S5" s="329">
        <f>SUMIF($B$4:$B$9,$P5,$E$4:$E$9)+SUMIF($D$4:$D$9,$P5,$G$4:$G$9)</f>
        <v>4</v>
      </c>
      <c r="T5" s="329">
        <f>SUMIF($B$4:$B$9,$P5,$G$4:$G$9)+SUMIF($D$4:$D$9,$P5,$E$4:$E$9)</f>
        <v>5</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30049040.0010943</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30049040</v>
      </c>
      <c r="AE5" s="308">
        <f>IF(OR(AND($Y$11&gt;0,OR(AND($B$8=$P5,$J$8&gt;$L$8),AND($D$8=$P5,$J$8&lt;$L$8))),AND($Y$12&gt;0,OR(AND($B$9=$P5,$J$9&gt;$L$9),AND($D$9=$P5,$J$9&lt;$L$9)))),1,0)</f>
        <v>0</v>
      </c>
      <c r="AF5" s="308">
        <f>INDEX(Language!$D$5:$D$59,MATCH($P5,Language!$E$5:$E$59,0),1)</f>
        <v>6</v>
      </c>
    </row>
    <row r="6" spans="1:33" x14ac:dyDescent="0.25">
      <c r="B6" s="230" t="str">
        <f>INDEX(EURO!$B$13:$R$40,11,1+(CODE($C$1)-65)*3)</f>
        <v>Niederlande</v>
      </c>
      <c r="C6" s="229" t="s">
        <v>36</v>
      </c>
      <c r="D6" s="230" t="str">
        <f>INDEX(EURO!$B$13:$R$40,11,2+(CODE($C$1)-65)*3)</f>
        <v>Österreich</v>
      </c>
      <c r="E6" s="228">
        <f>IF(OR(INDEX(EURO!$B$14:$R$41,11,1+(CODE($C$1)-65)*3)="",INDEX(EURO!$B$14:$R$41,11,2+(CODE($C$1)-65)*3)=""),"",INDEX(EURO!$B$14:$R$41,11,1+(CODE($C$1)-65)*3))</f>
        <v>2</v>
      </c>
      <c r="F6" s="229" t="s">
        <v>36</v>
      </c>
      <c r="G6" s="232">
        <f>IF(OR(INDEX(EURO!$B$14:$R$41,11,1+(CODE($C$1)-65)*3)="",INDEX(EURO!$B$14:$R$41,11,2+(CODE($C$1)-65)*3)=""),"",INDEX(EURO!$B$14:$R$41,11,2+(CODE($C$1)-65)*3))</f>
        <v>0</v>
      </c>
      <c r="H6" s="329">
        <f t="shared" si="0"/>
        <v>3</v>
      </c>
      <c r="I6" s="329">
        <f t="shared" si="1"/>
        <v>0</v>
      </c>
      <c r="L6" s="34"/>
      <c r="M6" s="329">
        <f t="shared" si="2"/>
        <v>1</v>
      </c>
      <c r="N6" s="329"/>
      <c r="O6" s="329" t="s">
        <v>34</v>
      </c>
      <c r="P6" s="43" t="str">
        <f>VLOOKUP($C$1&amp;3,Groups!$B$7:$D$35,3,0)</f>
        <v>Österreich</v>
      </c>
      <c r="Q6" s="329">
        <f t="shared" si="3"/>
        <v>6</v>
      </c>
      <c r="R6" s="329">
        <f>S6-T6</f>
        <v>1</v>
      </c>
      <c r="S6" s="329">
        <f>SUMIF($B$4:$B$9,$P6,$E$4:$E$9)+SUMIF($D$4:$D$9,$P6,$G$4:$G$9)</f>
        <v>4</v>
      </c>
      <c r="T6" s="329">
        <f>SUMIF($B$4:$B$9,$P6,$G$4:$G$9)+SUMIF($D$4:$D$9,$P6,$E$4:$E$9)</f>
        <v>3</v>
      </c>
      <c r="U6" s="308">
        <f t="shared" si="4"/>
        <v>2</v>
      </c>
      <c r="V6" s="351">
        <f>$Q6*FactorPts+(GDzero+$R6)*FactorGD+$S6*FactorFor+$U6*FactorWins+$W6*FactorDirC3+$X6*FactorDirC2+$Y6*FactorDirC43+$Z6*FactorDirC42+$AA6*FactorDirC42+$AB6*FactorFairPlay+$AE6*FactorPenalty+(100-$AF6)*($M$10&gt;0)*FactorRank+(8-ROW())*FactorRow</f>
        <v>60051040.002084196</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60051040</v>
      </c>
      <c r="AE6" s="308">
        <f>IF(OR(AND($Y$11&gt;0,OR(AND($B$8=$P6,$J$8&gt;$L$8),AND($D$8=$P6,$J$8&lt;$L$8))),AND($Y$12&gt;0,OR(AND($B$9=$P6,$J$9&gt;$L$9),AND($D$9=$P6,$J$9&lt;$L$9)))),1,0)</f>
        <v>0</v>
      </c>
      <c r="AF6" s="308">
        <f>INDEX(Language!$D$5:$D$59,MATCH($P6,Language!$E$5:$E$59,0),1)</f>
        <v>16</v>
      </c>
    </row>
    <row r="7" spans="1:33" x14ac:dyDescent="0.25">
      <c r="B7" s="230" t="str">
        <f>INDEX(EURO!$B$13:$R$40,16,1+(CODE($C$1)-65)*3)</f>
        <v>Ukraine</v>
      </c>
      <c r="C7" s="229" t="s">
        <v>36</v>
      </c>
      <c r="D7" s="230" t="str">
        <f>INDEX(EURO!$B$13:$R$40,16,2+(CODE($C$1)-65)*3)</f>
        <v>Nordmazedonien</v>
      </c>
      <c r="E7" s="228">
        <f>IF(OR(INDEX(EURO!$B$14:$R$41,16,1+(CODE($C$1)-65)*3)="",INDEX(EURO!$B$14:$R$41,16,2+(CODE($C$1)-65)*3)=""),"",INDEX(EURO!$B$14:$R$41,16,1+(CODE($C$1)-65)*3))</f>
        <v>2</v>
      </c>
      <c r="F7" s="229" t="s">
        <v>36</v>
      </c>
      <c r="G7" s="232">
        <f>IF(OR(INDEX(EURO!$B$14:$R$41,16,1+(CODE($C$1)-65)*3)="",INDEX(EURO!$B$14:$R$41,16,2+(CODE($C$1)-65)*3)=""),"",INDEX(EURO!$B$14:$R$41,16,2+(CODE($C$1)-65)*3))</f>
        <v>1</v>
      </c>
      <c r="H7" s="329">
        <f t="shared" si="0"/>
        <v>3</v>
      </c>
      <c r="I7" s="329">
        <f t="shared" si="1"/>
        <v>0</v>
      </c>
      <c r="L7" s="34"/>
      <c r="M7" s="329">
        <f t="shared" si="2"/>
        <v>1</v>
      </c>
      <c r="N7" s="329"/>
      <c r="O7" s="329" t="s">
        <v>35</v>
      </c>
      <c r="P7" s="43" t="str">
        <f>VLOOKUP($C$1&amp;4,Groups!$B$7:$D$35,3,0)</f>
        <v>Nordmazedonien</v>
      </c>
      <c r="Q7" s="329">
        <f t="shared" si="3"/>
        <v>0</v>
      </c>
      <c r="R7" s="329">
        <f>S7-T7</f>
        <v>-6</v>
      </c>
      <c r="S7" s="329">
        <f>SUMIF($B$4:$B$9,$P7,$E$4:$E$9)+SUMIF($D$4:$D$9,$P7,$G$4:$G$9)</f>
        <v>2</v>
      </c>
      <c r="T7" s="329">
        <f>SUMIF($B$4:$B$9,$P7,$G$4:$G$9)+SUMIF($D$4:$D$9,$P7,$E$4:$E$9)</f>
        <v>8</v>
      </c>
      <c r="U7" s="308">
        <f t="shared" si="4"/>
        <v>0</v>
      </c>
      <c r="V7" s="351">
        <f>$Q7*FactorPts+(GDzero+$R7)*FactorGD+$S7*FactorFor+$U7*FactorWins+$W7*FactorDirC3+$X7*FactorDirC2+$Y7*FactorDirC43+$Z7*FactorDirC42+$AA7*FactorDirC42+$AB7*FactorFairPlay+$AE7*FactorPenalty+(100-$AF7)*($M$10&gt;0)*FactorRank+(8-ROW())*FactorRow</f>
        <v>44020.000070100003</v>
      </c>
      <c r="W7" s="307">
        <f t="shared" si="5"/>
        <v>0</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44020</v>
      </c>
      <c r="AE7" s="308">
        <f>IF(OR(AND($Y$11&gt;0,OR(AND($B$8=$P7,$J$8&gt;$L$8),AND($D$8=$P7,$J$8&lt;$L$8))),AND($Y$12&gt;0,OR(AND($B$9=$P7,$J$9&gt;$L$9),AND($D$9=$P7,$J$9&lt;$L$9)))),1,0)</f>
        <v>0</v>
      </c>
      <c r="AF7" s="308">
        <f>INDEX(Language!$D$5:$D$59,MATCH($P7,Language!$E$5:$E$59,0),1)</f>
        <v>30</v>
      </c>
    </row>
    <row r="8" spans="1:33" x14ac:dyDescent="0.25">
      <c r="B8" s="230" t="str">
        <f>INDEX(EURO!$B$13:$R$40,21,1+(CODE($C$1)-65)*3)</f>
        <v>Nordmazedonien</v>
      </c>
      <c r="C8" s="229" t="s">
        <v>36</v>
      </c>
      <c r="D8" s="230" t="str">
        <f>INDEX(EURO!$B$13:$R$40,21,2+(CODE($C$1)-65)*3)</f>
        <v>Niederlande</v>
      </c>
      <c r="E8" s="228">
        <f>IF(OR(INDEX(EURO!$B$14:$R$41,21,1+(CODE($C$1)-65)*3)="",INDEX(EURO!$B$14:$R$41,21,2+(CODE($C$1)-65)*3)=""),"",INDEX(EURO!$B$14:$R$41,21,1+(CODE($C$1)-65)*3))</f>
        <v>0</v>
      </c>
      <c r="F8" s="229" t="s">
        <v>36</v>
      </c>
      <c r="G8" s="232">
        <f>IF(OR(INDEX(EURO!$B$14:$R$41,21,1+(CODE($C$1)-65)*3)="",INDEX(EURO!$B$14:$R$41,21,2+(CODE($C$1)-65)*3)=""),"",INDEX(EURO!$B$14:$R$41,21,2+(CODE($C$1)-65)*3))</f>
        <v>3</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Ukraine</v>
      </c>
      <c r="C9" s="229" t="s">
        <v>36</v>
      </c>
      <c r="D9" s="230" t="str">
        <f>INDEX(EURO!$B$13:$R$40,28,2+(CODE($C$1)-65)*3)</f>
        <v>Österreich</v>
      </c>
      <c r="E9" s="228">
        <f>IF(OR(INDEX(EURO!$B$14:$R$41,28,1+(CODE($C$1)-65)*3)="",INDEX(EURO!$B$14:$R$41,28,2+(CODE($C$1)-65)*3)=""),"",INDEX(EURO!$B$14:$R$41,28,1+(CODE($C$1)-65)*3))</f>
        <v>0</v>
      </c>
      <c r="F9" s="229" t="s">
        <v>36</v>
      </c>
      <c r="G9" s="232">
        <f>IF(OR(INDEX(EURO!$B$14:$R$41,28,1+(CODE($C$1)-65)*3)="",INDEX(EURO!$B$14:$R$41,28,2+(CODE($C$1)-65)*3)=""),"",INDEX(EURO!$B$14:$R$41,28,2+(CODE($C$1)-65)*3))</f>
        <v>1</v>
      </c>
      <c r="H9" s="329">
        <f t="shared" si="0"/>
        <v>0</v>
      </c>
      <c r="I9" s="329">
        <f t="shared" si="1"/>
        <v>3</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Niederlande</v>
      </c>
      <c r="Q11" s="221">
        <f t="shared" si="8"/>
        <v>9</v>
      </c>
      <c r="R11" s="39">
        <f t="shared" si="8"/>
        <v>6</v>
      </c>
      <c r="S11" s="39">
        <f t="shared" si="8"/>
        <v>8</v>
      </c>
      <c r="T11" s="39">
        <f t="shared" si="8"/>
        <v>2</v>
      </c>
      <c r="U11" s="39">
        <f t="shared" ref="U11:U12" si="9">INDEX(U$4:U$7,MATCH($V11,$V$4:$V$7,0))</f>
        <v>3</v>
      </c>
      <c r="V11" s="352">
        <f>LARGE($V$4:$V$7,ROW(A1))</f>
        <v>90056080.003089413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Österreich</v>
      </c>
      <c r="Q12" s="222">
        <f t="shared" si="8"/>
        <v>6</v>
      </c>
      <c r="R12" s="355">
        <f t="shared" si="8"/>
        <v>1</v>
      </c>
      <c r="S12" s="329">
        <f t="shared" si="8"/>
        <v>4</v>
      </c>
      <c r="T12" s="329">
        <f t="shared" si="8"/>
        <v>3</v>
      </c>
      <c r="U12" s="328">
        <f t="shared" si="9"/>
        <v>2</v>
      </c>
      <c r="V12" s="353">
        <f>LARGE($V$4:$V$7,ROW(A2))</f>
        <v>60051040.002084196</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Ukraine</v>
      </c>
      <c r="Q13" s="222">
        <f t="shared" si="8"/>
        <v>3</v>
      </c>
      <c r="R13" s="355">
        <f t="shared" si="8"/>
        <v>-1</v>
      </c>
      <c r="S13" s="329">
        <f t="shared" si="8"/>
        <v>4</v>
      </c>
      <c r="T13" s="329">
        <f t="shared" si="8"/>
        <v>5</v>
      </c>
      <c r="U13" s="327">
        <f t="shared" ref="U13:U14" si="10">INDEX(U$4:U$7,MATCH($V13,$V$4:$V$7,0))</f>
        <v>1</v>
      </c>
      <c r="V13" s="353">
        <f>LARGE($V$4:$V$7,ROW(A3))</f>
        <v>30049040.0010943</v>
      </c>
      <c r="Z13" s="29"/>
      <c r="AA13" s="355"/>
      <c r="AB13" s="29"/>
      <c r="AC13" s="29"/>
      <c r="AD13" s="330"/>
      <c r="AE13" s="355"/>
    </row>
    <row r="14" spans="1:33" ht="15.75" thickBot="1" x14ac:dyDescent="0.3">
      <c r="B14" s="312"/>
      <c r="C14" s="312"/>
      <c r="D14" s="58"/>
      <c r="F14" s="329"/>
      <c r="G14" s="34"/>
      <c r="O14" s="37" t="s">
        <v>35</v>
      </c>
      <c r="P14" s="36" t="str">
        <f t="shared" si="8"/>
        <v>Nordmazedonien</v>
      </c>
      <c r="Q14" s="223">
        <f t="shared" si="8"/>
        <v>0</v>
      </c>
      <c r="R14" s="35">
        <f t="shared" si="8"/>
        <v>-6</v>
      </c>
      <c r="S14" s="35">
        <f t="shared" si="8"/>
        <v>2</v>
      </c>
      <c r="T14" s="35">
        <f t="shared" si="8"/>
        <v>8</v>
      </c>
      <c r="U14" s="35">
        <f t="shared" si="10"/>
        <v>0</v>
      </c>
      <c r="V14" s="354">
        <f>LARGE($V$4:$V$7,ROW(A4))</f>
        <v>44020.000070100003</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8" t="s">
        <v>463</v>
      </c>
      <c r="H16" s="488"/>
      <c r="I16" s="488"/>
      <c r="J16" s="488"/>
      <c r="K16" s="488"/>
      <c r="L16" s="488"/>
      <c r="M16" s="64"/>
      <c r="N16" s="64"/>
      <c r="O16" s="329"/>
      <c r="W16" s="479" t="s">
        <v>464</v>
      </c>
      <c r="X16" s="479"/>
      <c r="Y16" s="479"/>
      <c r="Z16" s="479"/>
      <c r="AD16" s="479" t="s">
        <v>465</v>
      </c>
      <c r="AE16" s="479"/>
      <c r="AF16" s="253" t="b">
        <f>AND($Q$4=$Q$5,$Q$4=$Q$6,$Q$4=$Q$7)</f>
        <v>0</v>
      </c>
    </row>
    <row r="17" spans="2:31" ht="16.5" thickTop="1" thickBot="1" x14ac:dyDescent="0.3">
      <c r="B17" s="312"/>
      <c r="C17" s="312"/>
      <c r="D17" s="311"/>
      <c r="E17" s="325"/>
      <c r="F17" s="325"/>
      <c r="G17" s="326"/>
      <c r="H17" s="39" t="str">
        <f>LEFT($P$4,3)</f>
        <v>Nie</v>
      </c>
      <c r="I17" s="39" t="str">
        <f>LEFT($P$5,3)</f>
        <v>Ukr</v>
      </c>
      <c r="J17" s="39" t="str">
        <f>LEFT($P$6,3)</f>
        <v>Öst</v>
      </c>
      <c r="K17" s="114" t="str">
        <f>LEFT($P$7,3)</f>
        <v>Nor</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308"/>
      <c r="C18" s="308"/>
      <c r="D18" s="307"/>
      <c r="E18" s="484" t="str">
        <f>$P$4</f>
        <v>Niederlande</v>
      </c>
      <c r="F18" s="485"/>
      <c r="G18" s="485"/>
      <c r="H18" s="113"/>
      <c r="I18" s="39">
        <f>SUMIFS($E$4:$E$9,$B$4:$B$9,$P$4,$D$4:$D$9,$P$5)+SUMIFS($G$4:$G$9,$B$4:$B$9,$P$5,$D$4:$D$9,$P$4)</f>
        <v>3</v>
      </c>
      <c r="J18" s="39">
        <f>SUMIFS($E$4:$E$9,$B$4:$B$9,$P$4,$D$4:$D$9,$P$6)+SUMIFS($G$4:$G$9,$B$4:$B$9,$P$6,$D$4:$D$9,$P$4)</f>
        <v>2</v>
      </c>
      <c r="K18" s="114">
        <f>SUMIFS($E$4:$E$9,$B$4:$B$9,$P$4,$D$4:$D$9,$P$7)+SUMIFS($G$4:$G$9,$B$4:$B$9,$P$7,$D$4:$D$9,$P$4)</f>
        <v>3</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Niederlande</v>
      </c>
      <c r="Q18" s="308">
        <f>SUMIFS($H$4:$H$9,$B$4:$B$9,$P18,$D$4:$D$9,"&lt;&gt;"&amp;$P$21)+SUMIFS($I$4:$I$9,$B$4:$B$9,"&lt;&gt;"&amp;$P$21,$D$4:$D$9,$P18)</f>
        <v>6</v>
      </c>
      <c r="R18" s="308">
        <f>S18-T18</f>
        <v>3</v>
      </c>
      <c r="S18" s="308">
        <f>SUMIFS($E$4:$E$9,$B$4:$B$9,$P18,$D$4:$D$9,"&lt;&gt;"&amp;$P$21)+SUMIFS($G$4:$G$9,$B$4:$B$9,"&lt;&gt;"&amp;$P$21,$D$4:$D$9,$P18)</f>
        <v>5</v>
      </c>
      <c r="T18" s="308">
        <f>SUMIFS($G$4:$G$9,$B$4:$B$9,$P18,$D$4:$D$9,"&lt;&gt;"&amp;$P$21)+SUMIFS($E$4:$E$9,$B$4:$B$9,"&lt;&gt;"&amp;$P$21,$D$4:$D$9,$P18)</f>
        <v>2</v>
      </c>
      <c r="U18" s="308"/>
      <c r="V18" s="248">
        <f>Q18*FactorPts+(GDzero+R18)*FactorGD+S18*FactorFor</f>
        <v>60053050</v>
      </c>
      <c r="W18" s="308">
        <f>RANK(V18,V$18:V$20,1)</f>
        <v>3</v>
      </c>
      <c r="X18" s="308">
        <f>IF(AND($Q$4=$Q$5,$Q$4=$Q$6,$Q$4&lt;&gt;$Q$7),W18,0)</f>
        <v>0</v>
      </c>
      <c r="Y18" s="308" t="str">
        <f>IF(AND(V18=V19,V18&lt;&gt;V20),IF(AA18&gt;AA19,3,IF(AA18=AA19,1,0)),IF(AND(V18=V20,V18&lt;&gt;V19),IF(AB18&gt;AB20,3,IF(AB18=AB20,1,0)),""))</f>
        <v/>
      </c>
      <c r="Z18" s="307" t="str">
        <f>IF(X18&gt;0,Y18,"")</f>
        <v/>
      </c>
      <c r="AA18" s="233">
        <f>$I$18</f>
        <v>3</v>
      </c>
      <c r="AB18" s="234">
        <f>$J$18</f>
        <v>2</v>
      </c>
      <c r="AC18" s="235"/>
      <c r="AD18" s="307">
        <f>IF(AND($AF$16,$AD$4=$AD$5,$AD$4=$AD$6,$AD$4&lt;&gt;$AD$7),W18,0)</f>
        <v>0</v>
      </c>
      <c r="AE18" s="307" t="str">
        <f>IF(AD18&gt;0,Y18,"")</f>
        <v/>
      </c>
    </row>
    <row r="19" spans="2:31" x14ac:dyDescent="0.25">
      <c r="B19" s="308"/>
      <c r="C19" s="308"/>
      <c r="D19" s="307"/>
      <c r="E19" s="486" t="str">
        <f>$P$5</f>
        <v>Ukraine</v>
      </c>
      <c r="F19" s="487"/>
      <c r="G19" s="487"/>
      <c r="H19" s="38">
        <f>SUMIFS($E$4:$E$9,$B$4:$B$9,$P$5,$D$4:$D$9,$P$4)+SUMIFS($G$4:$G$9,$B$4:$B$9,$P$4,$D$4:$D$9,$P$5)</f>
        <v>2</v>
      </c>
      <c r="I19" s="77"/>
      <c r="J19" s="307">
        <f>SUMIFS($E$4:$E$9,$B$4:$B$9,$P$5,$D$4:$D$9,$P$6)+SUMIFS($G$4:$G$9,$B$4:$B$9,$P$6,$D$4:$D$9,$P$5)</f>
        <v>0</v>
      </c>
      <c r="K19" s="56">
        <f>SUMIFS($E$4:$E$9,$B$4:$B$9,$P$5,$D$4:$D$9,$P$7)+SUMIFS($G$4:$G$9,$B$4:$B$9,$P$7,$D$4:$D$9,$P$5)</f>
        <v>2</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Ukraine</v>
      </c>
      <c r="Q19" s="308">
        <f>SUMIFS($H$4:$H$9,$B$4:$B$9,$P19,$D$4:$D$9,"&lt;&gt;"&amp;$P$21)+SUMIFS($I$4:$I$9,$B$4:$B$9,"&lt;&gt;"&amp;$P$21,$D$4:$D$9,$P19)</f>
        <v>0</v>
      </c>
      <c r="R19" s="308">
        <f>S19-T19</f>
        <v>-2</v>
      </c>
      <c r="S19" s="308">
        <f>SUMIFS($E$4:$E$9,$B$4:$B$9,$P19,$D$4:$D$9,"&lt;&gt;"&amp;$P$21)+SUMIFS($G$4:$G$9,$B$4:$B$9,"&lt;&gt;"&amp;$P$21,$D$4:$D$9,$P19)</f>
        <v>2</v>
      </c>
      <c r="T19" s="308">
        <f>SUMIFS($G$4:$G$9,$B$4:$B$9,$P19,$D$4:$D$9,"&lt;&gt;"&amp;$P$21)+SUMIFS($E$4:$E$9,$B$4:$B$9,"&lt;&gt;"&amp;$P$21,$D$4:$D$9,$P19)</f>
        <v>4</v>
      </c>
      <c r="U19" s="308"/>
      <c r="V19" s="248">
        <f>Q19*FactorPts+(GDzero+R19)*FactorGD+S19*FactorFor</f>
        <v>48020</v>
      </c>
      <c r="W19" s="308">
        <f>RANK(V19,V$18:V$20,1)</f>
        <v>1</v>
      </c>
      <c r="X19" s="308">
        <f>IF(AND($Q$4=$Q$5,$Q$4=$Q$6,$Q$4&lt;&gt;$Q$7),W19,0)</f>
        <v>0</v>
      </c>
      <c r="Y19" s="308" t="str">
        <f>IF(AND(V19=V18,V19&lt;&gt;V20),IF(AA19&gt;AA18,3,IF(AA19=AA18,1,0)),IF(AND(V19=V20,V19&lt;&gt;V18),IF(AC19&gt;AC20,3,IF(AC19=AC20,1,0)),""))</f>
        <v/>
      </c>
      <c r="Z19" s="307" t="str">
        <f t="shared" ref="Z19:Z20" si="11">IF(X19&gt;0,Y19,"")</f>
        <v/>
      </c>
      <c r="AA19" s="236">
        <f>$H$19</f>
        <v>2</v>
      </c>
      <c r="AB19" s="307"/>
      <c r="AC19" s="310">
        <f>$J$19</f>
        <v>0</v>
      </c>
      <c r="AD19" s="307">
        <f>IF(AND($AF$16,$AD$4=$AD$5,$AD$4=$AD$6,$AD$4&lt;&gt;$AD$7),W19,0)</f>
        <v>0</v>
      </c>
      <c r="AE19" s="307" t="str">
        <f t="shared" ref="AE19:AE20" si="12">IF(AD19&gt;0,Y19,"")</f>
        <v/>
      </c>
    </row>
    <row r="20" spans="2:31" x14ac:dyDescent="0.25">
      <c r="D20" s="29"/>
      <c r="E20" s="486" t="str">
        <f>$P$6</f>
        <v>Österreich</v>
      </c>
      <c r="F20" s="487"/>
      <c r="G20" s="487"/>
      <c r="H20" s="38">
        <f>SUMIFS($E$4:$E$9,$B$4:$B$9,$P$6,$D$4:$D$9,$P$4)+SUMIFS($G$4:$G$9,$B$4:$B$9,$P$4,$D$4:$D$9,$P$6)</f>
        <v>0</v>
      </c>
      <c r="I20" s="307">
        <f>SUMIFS($E$4:$E$9,$B$4:$B$9,$P$6,$D$4:$D$9,$P$5)+SUMIFS($G$4:$G$9,$B$4:$B$9,$P$5,$D$4:$D$9,$P$6)</f>
        <v>1</v>
      </c>
      <c r="J20" s="77"/>
      <c r="K20" s="56">
        <f>SUMIFS($E$4:$E$9,$B$4:$B$9,$P$6,$D$4:$D$9,$P$7)+SUMIFS($G$4:$G$9,$B$4:$B$9,$P$7,$D$4:$D$9,$P$6)</f>
        <v>3</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Österreich</v>
      </c>
      <c r="Q20" s="308">
        <f>SUMIFS($H$4:$H$9,$B$4:$B$9,$P20,$D$4:$D$9,"&lt;&gt;"&amp;$P$21)+SUMIFS($I$4:$I$9,$B$4:$B$9,"&lt;&gt;"&amp;$P$21,$D$4:$D$9,$P20)</f>
        <v>3</v>
      </c>
      <c r="R20" s="308">
        <f>S20-T20</f>
        <v>-1</v>
      </c>
      <c r="S20" s="308">
        <f>SUMIFS($E$4:$E$9,$B$4:$B$9,$P20,$D$4:$D$9,"&lt;&gt;"&amp;$P$21)+SUMIFS($G$4:$G$9,$B$4:$B$9,"&lt;&gt;"&amp;$P$21,$D$4:$D$9,$P20)</f>
        <v>1</v>
      </c>
      <c r="T20" s="308">
        <f>SUMIFS($G$4:$G$9,$B$4:$B$9,$P20,$D$4:$D$9,"&lt;&gt;"&amp;$P$21)+SUMIFS($E$4:$E$9,$B$4:$B$9,"&lt;&gt;"&amp;$P$21,$D$4:$D$9,$P20)</f>
        <v>2</v>
      </c>
      <c r="U20" s="308"/>
      <c r="V20" s="248">
        <f>Q20*FactorPts+(GDzero+R20)*FactorGD+S20*FactorFor</f>
        <v>30049010</v>
      </c>
      <c r="W20" s="308">
        <f>RANK(V20,V$18:V$20,1)</f>
        <v>2</v>
      </c>
      <c r="X20" s="308">
        <f>IF(AND($Q$4=$Q$5,$Q$4=$Q$6,$Q$4&lt;&gt;$Q$7),W20,0)</f>
        <v>0</v>
      </c>
      <c r="Y20" s="308" t="str">
        <f>IF(AND(V20=V18,V20&lt;&gt;V19),IF(AB20&gt;AB18,3,IF(AB20=AB18,1,0)),IF(AND(V20=V19,V20&lt;&gt;V18),IF(AC20&gt;AC19,3,IF(AC20=AC19,1,0)),""))</f>
        <v/>
      </c>
      <c r="Z20" s="307" t="str">
        <f t="shared" si="11"/>
        <v/>
      </c>
      <c r="AA20" s="236"/>
      <c r="AB20" s="307">
        <f>$H$20</f>
        <v>0</v>
      </c>
      <c r="AC20" s="310">
        <f>$I$20</f>
        <v>1</v>
      </c>
      <c r="AD20" s="307">
        <f>IF(AND($AF$16,$AD$4=$AD$5,$AD$4=$AD$6,$AD$4&lt;&gt;$AD$7),W20,0)</f>
        <v>0</v>
      </c>
      <c r="AE20" s="307" t="str">
        <f t="shared" si="12"/>
        <v/>
      </c>
    </row>
    <row r="21" spans="2:31" ht="15.75" thickBot="1" x14ac:dyDescent="0.3">
      <c r="B21" s="48"/>
      <c r="C21" s="49"/>
      <c r="D21" s="50"/>
      <c r="E21" s="481" t="str">
        <f>$P$7</f>
        <v>Nordmazedonien</v>
      </c>
      <c r="F21" s="482"/>
      <c r="G21" s="482"/>
      <c r="H21" s="37">
        <f>SUMIFS($E$4:$E$9,$B$4:$B$9,$P$7,$D$4:$D$9,$P$4)+SUMIFS($G$4:$G$9,$B$4:$B$9,$P$4,$D$4:$D$9,$P$7)</f>
        <v>0</v>
      </c>
      <c r="I21" s="35">
        <f>SUMIFS($E$4:$E$9,$B$4:$B$9,$P$7,$D$4:$D$9,$P$5)+SUMIFS($G$4:$G$9,$B$4:$B$9,$P$5,$D$4:$D$9,$P$7)</f>
        <v>1</v>
      </c>
      <c r="J21" s="35">
        <f>SUMIFS($E$4:$E$9,$B$4:$B$9,$P$7,$D$4:$D$9,$P$6)+SUMIFS($G$4:$G$9,$B$4:$B$9,$P$6,$D$4:$D$9,$P$7)</f>
        <v>1</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Nordmazedonien</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Niederlande</v>
      </c>
      <c r="Q23" s="308">
        <f>SUMIFS($H$4:$H$9,$B$4:$B$9,$P23,$D$4:$D$9,"&lt;&gt;"&amp;$P$26)+SUMIFS($I$4:$I$9,$B$4:$B$9,"&lt;&gt;"&amp;$P$26,$D$4:$D$9,$P23)</f>
        <v>6</v>
      </c>
      <c r="R23" s="308">
        <f>S23-T23</f>
        <v>4</v>
      </c>
      <c r="S23" s="308">
        <f>SUMIFS($E$4:$E$9,$B$4:$B$9,$P23,$D$4:$D$9,"&lt;&gt;"&amp;$P$26)+SUMIFS($G$4:$G$9,$B$4:$B$9,"&lt;&gt;"&amp;$P$26,$D$4:$D$9,$P23)</f>
        <v>6</v>
      </c>
      <c r="T23" s="308">
        <f>SUMIFS($G$4:$G$9,$B$4:$B$9,$P23,$D$4:$D$9,"&lt;&gt;"&amp;$P$26)+SUMIFS($E$4:$E$9,$B$4:$B$9,"&lt;&gt;"&amp;$P$26,$D$4:$D$9,$P23)</f>
        <v>2</v>
      </c>
      <c r="U23" s="308"/>
      <c r="V23" s="248">
        <f>Q23*FactorPts+(GDzero+R23)*FactorGD+S23*FactorFor</f>
        <v>60054060</v>
      </c>
      <c r="W23" s="308">
        <f>RANK(V23,V$23:V$25,1)</f>
        <v>3</v>
      </c>
      <c r="X23" s="308">
        <f>IF(AND($Q$4=$Q$5,$Q$4=$Q$7,$Q$4&lt;&gt;$Q$6),W23,0)</f>
        <v>0</v>
      </c>
      <c r="Y23" s="308" t="str">
        <f>IF(AND(V23=V24,V23&lt;&gt;V25),IF(AA23&gt;AA24,3,IF(AA23=AA24,1,0)),IF(AND(V23=V25,V23&lt;&gt;V24),IF(AB23&gt;AB25,3,IF(AB23=AB25,1,0)),""))</f>
        <v/>
      </c>
      <c r="Z23" s="307" t="str">
        <f>IF(X23&gt;0,Y23,"")</f>
        <v/>
      </c>
      <c r="AA23" s="236">
        <f>$I$18</f>
        <v>3</v>
      </c>
      <c r="AB23" s="307">
        <f>$K$18</f>
        <v>3</v>
      </c>
      <c r="AC23" s="310"/>
      <c r="AD23" s="307">
        <f>IF(AND($AF$16,$AD$4=$AD$5,$AD$4=$AD$7,$AD$4&lt;&gt;$AD$6),W23,0)</f>
        <v>0</v>
      </c>
      <c r="AE23" s="307" t="str">
        <f>IF(AD23&gt;0,Y23,"")</f>
        <v/>
      </c>
    </row>
    <row r="24" spans="2:31" x14ac:dyDescent="0.25">
      <c r="B24" s="42"/>
      <c r="C24" s="308"/>
      <c r="O24" s="308" t="s">
        <v>33</v>
      </c>
      <c r="P24" t="str">
        <f>$P$5</f>
        <v>Ukraine</v>
      </c>
      <c r="Q24" s="308">
        <f>SUMIFS($H$4:$H$9,$B$4:$B$9,$P24,$D$4:$D$9,"&lt;&gt;"&amp;$P$26)+SUMIFS($I$4:$I$9,$B$4:$B$9,"&lt;&gt;"&amp;$P$26,$D$4:$D$9,$P24)</f>
        <v>3</v>
      </c>
      <c r="R24" s="308">
        <f>S24-T24</f>
        <v>0</v>
      </c>
      <c r="S24" s="308">
        <f>SUMIFS($E$4:$E$9,$B$4:$B$9,$P24,$D$4:$D$9,"&lt;&gt;"&amp;$P$26)+SUMIFS($G$4:$G$9,$B$4:$B$9,"&lt;&gt;"&amp;$P$26,$D$4:$D$9,$P24)</f>
        <v>4</v>
      </c>
      <c r="T24" s="308">
        <f>SUMIFS($G$4:$G$9,$B$4:$B$9,$P24,$D$4:$D$9,"&lt;&gt;"&amp;$P$26)+SUMIFS($E$4:$E$9,$B$4:$B$9,"&lt;&gt;"&amp;$P$26,$D$4:$D$9,$P24)</f>
        <v>4</v>
      </c>
      <c r="U24" s="308"/>
      <c r="V24" s="248">
        <f>Q24*FactorPts+(GDzero+R24)*FactorGD+S24*FactorFor</f>
        <v>30050040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2</v>
      </c>
      <c r="AB24" s="307"/>
      <c r="AC24" s="310">
        <f>$K$19</f>
        <v>2</v>
      </c>
      <c r="AD24" s="307">
        <f>IF(AND($AF$16,$AD$4=$AD$5,$AD$4=$AD$7,$AD$4&lt;&gt;$AD$6),W24,0)</f>
        <v>0</v>
      </c>
      <c r="AE24" s="307" t="str">
        <f t="shared" ref="AE24:AE25" si="14">IF(AD24&gt;0,Y24,"")</f>
        <v/>
      </c>
    </row>
    <row r="25" spans="2:31" x14ac:dyDescent="0.25">
      <c r="B25" s="42"/>
      <c r="C25" s="308"/>
      <c r="O25" s="308" t="s">
        <v>34</v>
      </c>
      <c r="P25" t="str">
        <f>$P$7</f>
        <v>Nordmazedonien</v>
      </c>
      <c r="Q25" s="308">
        <f>SUMIFS($H$4:$H$9,$B$4:$B$9,$P25,$D$4:$D$9,"&lt;&gt;"&amp;$P$26)+SUMIFS($I$4:$I$9,$B$4:$B$9,"&lt;&gt;"&amp;$P$26,$D$4:$D$9,$P25)</f>
        <v>0</v>
      </c>
      <c r="R25" s="308">
        <f>S25-T25</f>
        <v>-4</v>
      </c>
      <c r="S25" s="308">
        <f>SUMIFS($E$4:$E$9,$B$4:$B$9,$P25,$D$4:$D$9,"&lt;&gt;"&amp;$P$26)+SUMIFS($G$4:$G$9,$B$4:$B$9,"&lt;&gt;"&amp;$P$26,$D$4:$D$9,$P25)</f>
        <v>1</v>
      </c>
      <c r="T25" s="308">
        <f>SUMIFS($G$4:$G$9,$B$4:$B$9,$P25,$D$4:$D$9,"&lt;&gt;"&amp;$P$26)+SUMIFS($E$4:$E$9,$B$4:$B$9,"&lt;&gt;"&amp;$P$26,$D$4:$D$9,$P25)</f>
        <v>5</v>
      </c>
      <c r="U25" s="308"/>
      <c r="V25" s="248">
        <f>Q25*FactorPts+(GDzero+R25)*FactorGD+S25*FactorFor</f>
        <v>46010</v>
      </c>
      <c r="W25" s="308">
        <f>RANK(V25,V$23:V$25,1)</f>
        <v>1</v>
      </c>
      <c r="X25" s="308">
        <f>IF(AND($Q$4=$Q$5,$Q$4=$Q$7,$Q$4&lt;&gt;$Q$6),W25,0)</f>
        <v>0</v>
      </c>
      <c r="Y25" s="308" t="str">
        <f>IF(AND(V25=V23,V25&lt;&gt;V24),IF(AB25&gt;AB23,3,IF(AB25=AB23,1,0)),IF(AND(V25=V24,V25&lt;&gt;V23),IF(AC25&gt;AC24,3,IF(AC25=AC24,1,0)),""))</f>
        <v/>
      </c>
      <c r="Z25" s="307" t="str">
        <f t="shared" si="13"/>
        <v/>
      </c>
      <c r="AA25" s="236"/>
      <c r="AB25" s="307">
        <f>$H$21</f>
        <v>0</v>
      </c>
      <c r="AC25" s="310">
        <f>$I$21</f>
        <v>1</v>
      </c>
      <c r="AD25" s="307">
        <f>IF(AND($AF$16,$AD$4=$AD$5,$AD$4=$AD$7,$AD$4&lt;&gt;$AD$6),W25,0)</f>
        <v>0</v>
      </c>
      <c r="AE25" s="307" t="str">
        <f t="shared" si="14"/>
        <v/>
      </c>
    </row>
    <row r="26" spans="2:31" x14ac:dyDescent="0.25">
      <c r="B26" s="42"/>
      <c r="C26" s="308"/>
      <c r="P26" s="33" t="str">
        <f>$P$6</f>
        <v>Österreich</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Niederlande</v>
      </c>
      <c r="Q28" s="308">
        <f>SUMIFS($H$4:$H$9,$B$4:$B$9,$P28,$D$4:$D$9,"&lt;&gt;"&amp;$P$31)+SUMIFS($I$4:$I$9,$B$4:$B$9,"&lt;&gt;"&amp;$P$31,$D$4:$D$9,$P28)</f>
        <v>6</v>
      </c>
      <c r="R28" s="308">
        <f>S28-T28</f>
        <v>5</v>
      </c>
      <c r="S28" s="308">
        <f>SUMIFS($E$4:$E$9,$B$4:$B$9,$P28,$D$4:$D$9,"&lt;&gt;"&amp;$P$31)+SUMIFS($G$4:$G$9,$B$4:$B$9,"&lt;&gt;"&amp;$P$31,$D$4:$D$9,$P28)</f>
        <v>5</v>
      </c>
      <c r="T28" s="308">
        <f>SUMIFS($G$4:$G$9,$B$4:$B$9,$P28,$D$4:$D$9,"&lt;&gt;"&amp;$P$31)+SUMIFS($E$4:$E$9,$B$4:$B$9,"&lt;&gt;"&amp;$P$31,$D$4:$D$9,$P28)</f>
        <v>0</v>
      </c>
      <c r="U28" s="308"/>
      <c r="V28" s="248">
        <f>Q28*FactorPts+(GDzero+R28)*FactorGD+S28*FactorFor</f>
        <v>60055050</v>
      </c>
      <c r="W28" s="308">
        <f>_xlfn.RANK.EQ(V28,V$28:V$30,1)</f>
        <v>3</v>
      </c>
      <c r="X28" s="308">
        <f>IF(AND($Q$4=$Q$6,$Q$4=$Q$7,$Q$4&lt;&gt;$Q$5),W28,0)</f>
        <v>0</v>
      </c>
      <c r="Y28" s="308" t="str">
        <f>IF(AND(V28=V29,V28&lt;&gt;V30),IF(AA28&gt;AA29,3,IF(AA28=AA29,1,0)),IF(AND(V28=V30,V28&lt;&gt;V29),IF(AB28&gt;AB30,3,IF(AB28=AB30,1,0)),""))</f>
        <v/>
      </c>
      <c r="Z28" s="307" t="str">
        <f>IF(X28&gt;0,Y28,"")</f>
        <v/>
      </c>
      <c r="AA28" s="236">
        <f>$J$18</f>
        <v>2</v>
      </c>
      <c r="AB28" s="307">
        <f>$K$18</f>
        <v>3</v>
      </c>
      <c r="AC28" s="310"/>
      <c r="AD28" s="307">
        <f>IF(AND($AF$16,$AD$4=$AD$6,$AD$4=$AD$7,$AD$4&lt;&gt;$AD$5),W28,0)</f>
        <v>0</v>
      </c>
      <c r="AE28" s="307" t="str">
        <f>IF(AD28&gt;0,Y28,"")</f>
        <v/>
      </c>
    </row>
    <row r="29" spans="2:31" x14ac:dyDescent="0.25">
      <c r="O29" s="308" t="s">
        <v>33</v>
      </c>
      <c r="P29" t="str">
        <f>$P$6</f>
        <v>Österreich</v>
      </c>
      <c r="Q29" s="308">
        <f>SUMIFS($H$4:$H$9,$B$4:$B$9,$P29,$D$4:$D$9,"&lt;&gt;"&amp;$P$31)+SUMIFS($I$4:$I$9,$B$4:$B$9,"&lt;&gt;"&amp;$P$31,$D$4:$D$9,$P29)</f>
        <v>3</v>
      </c>
      <c r="R29" s="308">
        <f>S29-T29</f>
        <v>0</v>
      </c>
      <c r="S29" s="308">
        <f>SUMIFS($E$4:$E$9,$B$4:$B$9,$P29,$D$4:$D$9,"&lt;&gt;"&amp;$P$31)+SUMIFS($G$4:$G$9,$B$4:$B$9,"&lt;&gt;"&amp;$P$31,$D$4:$D$9,$P29)</f>
        <v>3</v>
      </c>
      <c r="T29" s="308">
        <f>SUMIFS($G$4:$G$9,$B$4:$B$9,$P29,$D$4:$D$9,"&lt;&gt;"&amp;$P$31)+SUMIFS($E$4:$E$9,$B$4:$B$9,"&lt;&gt;"&amp;$P$31,$D$4:$D$9,$P29)</f>
        <v>3</v>
      </c>
      <c r="U29" s="308"/>
      <c r="V29" s="248">
        <f>Q29*FactorPts+(GDzero+R29)*FactorGD+S29*FactorFor</f>
        <v>30050030</v>
      </c>
      <c r="W29" s="308">
        <f>_xlfn.RANK.EQ(V29,V$28:V$30,1)</f>
        <v>2</v>
      </c>
      <c r="X29" s="308">
        <f>IF(AND($Q$4=$Q$6,$Q$4=$Q$7,$Q$4&lt;&gt;$Q$5),W29,0)</f>
        <v>0</v>
      </c>
      <c r="Y29" s="308" t="str">
        <f>IF(AND(V29=V28,V29&lt;&gt;V30),IF(AA29&gt;AA28,3,IF(AA29=AA28,1,0)),IF(AND(V29=V30,V29&lt;&gt;V28),IF(AC29&gt;AC30,3,IF(AC29=AC30,1,0)),""))</f>
        <v/>
      </c>
      <c r="Z29" s="307" t="str">
        <f t="shared" ref="Z29:Z30" si="15">IF(X29&gt;0,Y29,"")</f>
        <v/>
      </c>
      <c r="AA29" s="236">
        <f>$H$20</f>
        <v>0</v>
      </c>
      <c r="AB29" s="307"/>
      <c r="AC29" s="310">
        <f>$K$20</f>
        <v>3</v>
      </c>
      <c r="AD29" s="307">
        <f>IF(AND($AF$16,$AD$4=$AD$6,$AD$4=$AD$7,$AD$4&lt;&gt;$AD$5),W29,0)</f>
        <v>0</v>
      </c>
      <c r="AE29" s="307" t="str">
        <f t="shared" ref="AE29:AE30" si="16">IF(AD29&gt;0,Y29,"")</f>
        <v/>
      </c>
    </row>
    <row r="30" spans="2:31" x14ac:dyDescent="0.25">
      <c r="O30" s="308" t="s">
        <v>34</v>
      </c>
      <c r="P30" t="str">
        <f>$P$7</f>
        <v>Nordmazedonien</v>
      </c>
      <c r="Q30" s="308">
        <f>SUMIFS($H$4:$H$9,$B$4:$B$9,$P30,$D$4:$D$9,"&lt;&gt;"&amp;$P$31)+SUMIFS($I$4:$I$9,$B$4:$B$9,"&lt;&gt;"&amp;$P$31,$D$4:$D$9,$P30)</f>
        <v>0</v>
      </c>
      <c r="R30" s="308">
        <f>S30-T30</f>
        <v>-5</v>
      </c>
      <c r="S30" s="308">
        <f>SUMIFS($E$4:$E$9,$B$4:$B$9,$P30,$D$4:$D$9,"&lt;&gt;"&amp;$P$31)+SUMIFS($G$4:$G$9,$B$4:$B$9,"&lt;&gt;"&amp;$P$31,$D$4:$D$9,$P30)</f>
        <v>1</v>
      </c>
      <c r="T30" s="308">
        <f>SUMIFS($G$4:$G$9,$B$4:$B$9,$P30,$D$4:$D$9,"&lt;&gt;"&amp;$P$31)+SUMIFS($E$4:$E$9,$B$4:$B$9,"&lt;&gt;"&amp;$P$31,$D$4:$D$9,$P30)</f>
        <v>6</v>
      </c>
      <c r="U30" s="308"/>
      <c r="V30" s="248">
        <f>Q30*FactorPts+(GDzero+R30)*FactorGD+S30*FactorFor</f>
        <v>45010</v>
      </c>
      <c r="W30" s="308">
        <f>_xlfn.RANK.EQ(V30,V$28:V$30,1)</f>
        <v>1</v>
      </c>
      <c r="X30" s="308">
        <f>IF(AND($Q$4=$Q$6,$Q$4=$Q$7,$Q$4&lt;&gt;$Q$5),W30,0)</f>
        <v>0</v>
      </c>
      <c r="Y30" s="308" t="str">
        <f>IF(AND(V30=V28,V30&lt;&gt;V29),IF(AB30&gt;AB28,3,IF(AB30=AB28,1,0)),IF(AND(V30=V29,V30&lt;&gt;V28),IF(AC30&gt;AC29,3,IF(AC30=AC29,1,0)),""))</f>
        <v/>
      </c>
      <c r="Z30" s="307" t="str">
        <f t="shared" si="15"/>
        <v/>
      </c>
      <c r="AA30" s="236"/>
      <c r="AB30" s="307">
        <f>$H$21</f>
        <v>0</v>
      </c>
      <c r="AC30" s="310">
        <f>$J$21</f>
        <v>1</v>
      </c>
      <c r="AD30" s="307">
        <f>IF(AND($AF$16,$AD$4=$AD$6,$AD$4=$AD$7,$AD$4&lt;&gt;$AD$5),W30,0)</f>
        <v>0</v>
      </c>
      <c r="AE30" s="307" t="str">
        <f t="shared" si="16"/>
        <v/>
      </c>
    </row>
    <row r="31" spans="2:31" x14ac:dyDescent="0.25">
      <c r="P31" s="33" t="str">
        <f>$P$5</f>
        <v>Ukraine</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Ukraine</v>
      </c>
      <c r="Q33" s="308">
        <f>SUMIFS($H$4:$H$9,$B$4:$B$9,$P33,$D$4:$D$9,"&lt;&gt;"&amp;$P$36)+SUMIFS($I$4:$I$9,$B$4:$B$9,"&lt;&gt;"&amp;$P$36,$D$4:$D$9,$P33)</f>
        <v>3</v>
      </c>
      <c r="R33" s="308">
        <f>S33-T33</f>
        <v>0</v>
      </c>
      <c r="S33" s="308">
        <f>SUMIFS($E$4:$E$9,$B$4:$B$9,$P33,$D$4:$D$9,"&lt;&gt;"&amp;$P$36)+SUMIFS($G$4:$G$9,$B$4:$B$9,"&lt;&gt;"&amp;$P$36,$D$4:$D$9,$P33)</f>
        <v>2</v>
      </c>
      <c r="T33" s="308">
        <f>SUMIFS($G$4:$G$9,$B$4:$B$9,$P33,$D$4:$D$9,"&lt;&gt;"&amp;$P$36)+SUMIFS($E$4:$E$9,$B$4:$B$9,"&lt;&gt;"&amp;$P$36,$D$4:$D$9,$P33)</f>
        <v>2</v>
      </c>
      <c r="U33" s="308"/>
      <c r="V33" s="248">
        <f>Q33*FactorPts+(GDzero+R33)*FactorGD+S33*FactorFor</f>
        <v>30050020</v>
      </c>
      <c r="W33" s="308">
        <f>RANK(V33,V$33:V$35,1)</f>
        <v>2</v>
      </c>
      <c r="X33" s="308">
        <f>IF(AND($Q$5=$Q$6,$Q$5=$Q$7,$Q$5&lt;&gt;$Q$4),W33,0)</f>
        <v>0</v>
      </c>
      <c r="Y33" s="308" t="str">
        <f>IF(AND(V33=V34,V33&lt;&gt;V35),IF(AA33&gt;AA34,3,IF(AA33=AA34,1,0)),IF(AND(V33=V35,V33&lt;&gt;V34),IF(AB33&gt;AB35,3,IF(AB33=AB35,1,0)),""))</f>
        <v/>
      </c>
      <c r="Z33" s="307" t="str">
        <f>IF(X33&gt;0,Y33,"")</f>
        <v/>
      </c>
      <c r="AA33" s="236">
        <f>$J$19</f>
        <v>0</v>
      </c>
      <c r="AB33" s="307">
        <f>$K$19</f>
        <v>2</v>
      </c>
      <c r="AC33" s="310"/>
      <c r="AD33" s="307">
        <f>IF(AND($AF$16,$AD$5=$AD$6,$AD$5=$AD$7,$AD$5&lt;&gt;$AD$4),W33,0)</f>
        <v>0</v>
      </c>
      <c r="AE33" s="307" t="str">
        <f>IF(AD33&gt;0,Y33,"")</f>
        <v/>
      </c>
    </row>
    <row r="34" spans="15:31" x14ac:dyDescent="0.25">
      <c r="O34" s="308" t="s">
        <v>33</v>
      </c>
      <c r="P34" t="str">
        <f>$P$6</f>
        <v>Österreich</v>
      </c>
      <c r="Q34" s="308">
        <f>SUMIFS($H$4:$H$9,$B$4:$B$9,$P34,$D$4:$D$9,"&lt;&gt;"&amp;$P$36)+SUMIFS($I$4:$I$9,$B$4:$B$9,"&lt;&gt;"&amp;$P$36,$D$4:$D$9,$P34)</f>
        <v>6</v>
      </c>
      <c r="R34" s="308">
        <f>S34-T34</f>
        <v>3</v>
      </c>
      <c r="S34" s="308">
        <f>SUMIFS($E$4:$E$9,$B$4:$B$9,$P34,$D$4:$D$9,"&lt;&gt;"&amp;$P$36)+SUMIFS($G$4:$G$9,$B$4:$B$9,"&lt;&gt;"&amp;$P$36,$D$4:$D$9,$P34)</f>
        <v>4</v>
      </c>
      <c r="T34" s="308">
        <f>SUMIFS($G$4:$G$9,$B$4:$B$9,$P34,$D$4:$D$9,"&lt;&gt;"&amp;$P$36)+SUMIFS($E$4:$E$9,$B$4:$B$9,"&lt;&gt;"&amp;$P$36,$D$4:$D$9,$P34)</f>
        <v>1</v>
      </c>
      <c r="U34" s="308"/>
      <c r="V34" s="248">
        <f>Q34*FactorPts+(GDzero+R34)*FactorGD+S34*FactorFor</f>
        <v>60053040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1</v>
      </c>
      <c r="AB34" s="307"/>
      <c r="AC34" s="310">
        <f>$K$20</f>
        <v>3</v>
      </c>
      <c r="AD34" s="307">
        <f>IF(AND($AF$16,$AD$5=$AD$6,$AD$5=$AD$7,$AD$5&lt;&gt;$AD$4),W34,0)</f>
        <v>0</v>
      </c>
      <c r="AE34" s="307" t="str">
        <f t="shared" ref="AE34:AE35" si="18">IF(AD34&gt;0,Y34,"")</f>
        <v/>
      </c>
    </row>
    <row r="35" spans="15:31" ht="15.75" thickBot="1" x14ac:dyDescent="0.3">
      <c r="O35" s="308" t="s">
        <v>34</v>
      </c>
      <c r="P35" t="str">
        <f>$P$7</f>
        <v>Nordmazedonien</v>
      </c>
      <c r="Q35" s="308">
        <f>SUMIFS($H$4:$H$9,$B$4:$B$9,$P35,$D$4:$D$9,"&lt;&gt;"&amp;$P$36)+SUMIFS($I$4:$I$9,$B$4:$B$9,"&lt;&gt;"&amp;$P$36,$D$4:$D$9,$P35)</f>
        <v>0</v>
      </c>
      <c r="R35" s="308">
        <f>S35-T35</f>
        <v>-3</v>
      </c>
      <c r="S35" s="308">
        <f>SUMIFS($E$4:$E$9,$B$4:$B$9,$P35,$D$4:$D$9,"&lt;&gt;"&amp;$P$36)+SUMIFS($G$4:$G$9,$B$4:$B$9,"&lt;&gt;"&amp;$P$36,$D$4:$D$9,$P35)</f>
        <v>2</v>
      </c>
      <c r="T35" s="308">
        <f>SUMIFS($G$4:$G$9,$B$4:$B$9,$P35,$D$4:$D$9,"&lt;&gt;"&amp;$P$36)+SUMIFS($E$4:$E$9,$B$4:$B$9,"&lt;&gt;"&amp;$P$36,$D$4:$D$9,$P35)</f>
        <v>5</v>
      </c>
      <c r="U35" s="308"/>
      <c r="V35" s="248">
        <f>Q35*FactorPts+(GDzero+R35)*FactorGD+S35*FactorFor</f>
        <v>47020</v>
      </c>
      <c r="W35" s="308">
        <f>RANK(V35,V$33:V$35,1)</f>
        <v>1</v>
      </c>
      <c r="X35" s="308">
        <f>IF(AND($Q$5=$Q$6,$Q$5=$Q$7,$Q$5&lt;&gt;$Q$4),W35,0)</f>
        <v>0</v>
      </c>
      <c r="Y35" s="308" t="str">
        <f>IF(AND(V35=V33,V35&lt;&gt;V34),IF(AB35&gt;AB33,3,IF(AB35=AB33,1,0)),IF(AND(V35=V34,V35&lt;&gt;V33),IF(AC35&gt;AC34,3,IF(AC35=AC34,1,0)),""))</f>
        <v/>
      </c>
      <c r="Z35" s="307" t="str">
        <f t="shared" si="17"/>
        <v/>
      </c>
      <c r="AA35" s="237"/>
      <c r="AB35" s="238">
        <f>$I$21</f>
        <v>1</v>
      </c>
      <c r="AC35" s="239">
        <f>$J$21</f>
        <v>1</v>
      </c>
      <c r="AD35" s="307">
        <f>IF(AND($AF$16,$AD$5=$AD$6,$AD$5=$AD$7,$AD$5&lt;&gt;$AD$4),W35,0)</f>
        <v>0</v>
      </c>
      <c r="AE35" s="307" t="str">
        <f t="shared" si="18"/>
        <v/>
      </c>
    </row>
    <row r="36" spans="15:31" x14ac:dyDescent="0.25">
      <c r="P36" s="33" t="str">
        <f>$P$4</f>
        <v>Niederlande</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941E8-1A58-4398-B6E5-4F4FED487DCD}">
  <sheetPr codeName="Tabelle111"/>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31</v>
      </c>
      <c r="D1" s="46"/>
      <c r="O1" s="329"/>
      <c r="Q1" s="192"/>
    </row>
    <row r="2" spans="1:33" ht="8.25" customHeight="1" x14ac:dyDescent="0.25">
      <c r="O2" s="329"/>
    </row>
    <row r="3" spans="1:33" x14ac:dyDescent="0.25">
      <c r="B3" s="483" t="s">
        <v>194</v>
      </c>
      <c r="C3" s="483"/>
      <c r="D3" s="483"/>
      <c r="E3" s="483" t="s">
        <v>195</v>
      </c>
      <c r="F3" s="483"/>
      <c r="G3" s="483"/>
      <c r="H3" s="483" t="s">
        <v>190</v>
      </c>
      <c r="I3" s="483"/>
      <c r="J3" s="483" t="s">
        <v>895</v>
      </c>
      <c r="K3" s="483"/>
      <c r="L3" s="483"/>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England</v>
      </c>
      <c r="C4" s="226" t="s">
        <v>36</v>
      </c>
      <c r="D4" s="227" t="str">
        <f>INDEX(EURO!$B$13:$R$40,1,2+(CODE($C$1)-65)*3)</f>
        <v>Kroatien</v>
      </c>
      <c r="E4" s="225">
        <f>IF(OR(INDEX(EURO!$B$14:$R$41,1,1+(CODE($C$1)-65)*3)="",INDEX(EURO!$B$14:$R$41,1,2+(CODE($C$1)-65)*3)=""),"",INDEX(EURO!$B$14:$R$41,1,1+(CODE($C$1)-65)*3))</f>
        <v>1</v>
      </c>
      <c r="F4" s="226" t="s">
        <v>36</v>
      </c>
      <c r="G4" s="231">
        <f>IF(OR(INDEX(EURO!$B$14:$R$41,1,1+(CODE($C$1)-65)*3)="",INDEX(EURO!$B$14:$R$41,1,2+(CODE($C$1)-65)*3)=""),"",INDEX(EURO!$B$14:$R$41,1,2+(CODE($C$1)-65)*3))</f>
        <v>0</v>
      </c>
      <c r="H4" s="329">
        <f t="shared" ref="H4:H9" si="0">IF($M4&gt;0,IF($E4&gt;$G4,3,IF($E4=$G4,1,0)),0)</f>
        <v>3</v>
      </c>
      <c r="I4" s="329">
        <f t="shared" ref="I4:I9" si="1">IF($M4&gt;0,IF($E4&lt;$G4,3,IF($E4=$G4,1,0)),0)</f>
        <v>0</v>
      </c>
      <c r="L4" s="34"/>
      <c r="M4" s="329">
        <f t="shared" ref="M4:M9" si="2">IF(AND($E4&lt;&gt;"",$G4&lt;&gt;""),1,0)</f>
        <v>1</v>
      </c>
      <c r="N4" s="329"/>
      <c r="O4" s="329" t="s">
        <v>32</v>
      </c>
      <c r="P4" s="43" t="str">
        <f>VLOOKUP($C$1&amp;1,Groups!$B$7:$D$35,3,0)</f>
        <v>England</v>
      </c>
      <c r="Q4" s="329">
        <f>SUMIF($B$4:$B$9,P4,$H$4:$H$9)+SUMIF($D$4:$D$9,P4,$I$4:$I$9)</f>
        <v>7</v>
      </c>
      <c r="R4" s="329">
        <f>S4-T4</f>
        <v>2</v>
      </c>
      <c r="S4" s="329">
        <f>SUMIF($B$4:$B$9,$P4,$E$4:$E$9)+SUMIF($D$4:$D$9,$P4,$G$4:$G$9)</f>
        <v>2</v>
      </c>
      <c r="T4" s="329">
        <f>SUMIF($B$4:$B$9,$P4,$G$4:$G$9)+SUMIF($D$4:$D$9,$P4,$E$4:$E$9)</f>
        <v>0</v>
      </c>
      <c r="U4" s="308">
        <f>COUNTIFS($B$4:$B$9,$P4,$H$4:$H$9,"=3")+COUNTIFS($D$4:$D$9,$P4,$I$4:$I$9,"=3")</f>
        <v>2</v>
      </c>
      <c r="V4" s="351">
        <f>$Q4*FactorPts+(GDzero+$R4)*FactorGD+$S4*FactorFor+$U4*FactorWins+$W4*FactorDirC3+$X4*FactorDirC2+$Y4*FactorDirC43+$Z4*FactorDirC42+$AA4*FactorDirC42+$AB4*FactorFairPlay+$AE4*FactorPenalty+(100-$AF4)*($M$10&gt;0)*FactorRank+(8-ROW())*FactorRow</f>
        <v>70052020.002097413</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70052020</v>
      </c>
      <c r="AE4" s="308">
        <f>IF(OR(AND($Y$11&gt;0,OR(AND($B$8=$P4,$J$8&gt;$L$8),AND($D$8=$P4,$J$8&lt;$L$8))),AND($Y$12&gt;0,OR(AND($B$9=$P4,$J$9&gt;$L$9),AND($D$9=$P4,$J$9&lt;$L$9)))),1,0)</f>
        <v>0</v>
      </c>
      <c r="AF4" s="308">
        <f>INDEX(Language!$D$5:$D$59,MATCH($P4,Language!$E$5:$E$59,0),1)</f>
        <v>3</v>
      </c>
      <c r="AG4" s="308"/>
    </row>
    <row r="5" spans="1:33" x14ac:dyDescent="0.25">
      <c r="B5" s="230" t="str">
        <f>INDEX(EURO!$B$13:$R$40,6,1+(CODE($C$1)-65)*3)</f>
        <v>Schottland</v>
      </c>
      <c r="C5" s="229" t="s">
        <v>36</v>
      </c>
      <c r="D5" s="230" t="str">
        <f>INDEX(EURO!$B$13:$R$40,6,2+(CODE($C$1)-65)*3)</f>
        <v>Tschechien</v>
      </c>
      <c r="E5" s="228">
        <f>IF(OR(INDEX(EURO!$B$14:$R$41,6,1+(CODE($C$1)-65)*3)="",INDEX(EURO!$B$14:$R$41,6,2+(CODE($C$1)-65)*3)=""),"",INDEX(EURO!$B$14:$R$41,6,1+(CODE($C$1)-65)*3))</f>
        <v>0</v>
      </c>
      <c r="F5" s="229" t="s">
        <v>36</v>
      </c>
      <c r="G5" s="232">
        <f>IF(OR(INDEX(EURO!$B$14:$R$41,6,1+(CODE($C$1)-65)*3)="",INDEX(EURO!$B$14:$R$41,6,2+(CODE($C$1)-65)*3)=""),"",INDEX(EURO!$B$14:$R$41,6,2+(CODE($C$1)-65)*3))</f>
        <v>2</v>
      </c>
      <c r="H5" s="329">
        <f t="shared" si="0"/>
        <v>0</v>
      </c>
      <c r="I5" s="329">
        <f t="shared" si="1"/>
        <v>3</v>
      </c>
      <c r="L5" s="34"/>
      <c r="M5" s="329">
        <f t="shared" si="2"/>
        <v>1</v>
      </c>
      <c r="N5" s="329"/>
      <c r="O5" s="329" t="s">
        <v>33</v>
      </c>
      <c r="P5" s="43" t="str">
        <f>VLOOKUP($C$1&amp;2,Groups!$B$7:$D$35,3,0)</f>
        <v>Kroatien</v>
      </c>
      <c r="Q5" s="329">
        <f t="shared" ref="Q5:Q7" si="3">SUMIF($B$4:$B$9,P5,$H$4:$H$9)+SUMIF($D$4:$D$9,P5,$I$4:$I$9)</f>
        <v>4</v>
      </c>
      <c r="R5" s="329">
        <f>S5-T5</f>
        <v>1</v>
      </c>
      <c r="S5" s="329">
        <f>SUMIF($B$4:$B$9,$P5,$E$4:$E$9)+SUMIF($D$4:$D$9,$P5,$G$4:$G$9)</f>
        <v>4</v>
      </c>
      <c r="T5" s="329">
        <f>SUMIF($B$4:$B$9,$P5,$G$4:$G$9)+SUMIF($D$4:$D$9,$P5,$E$4:$E$9)</f>
        <v>3</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40151040.001090303</v>
      </c>
      <c r="W5" s="307">
        <f t="shared" ref="W5:W7" si="5">SUMIFS($X$18:$X$35,$P$18:$P$35,$P5)</f>
        <v>0</v>
      </c>
      <c r="X5" s="307">
        <f>IF($L19="",0,$L19)+SUMIFS($Z$18:$Z$35,$P$18:$P$35,$P5)</f>
        <v>1</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40051040</v>
      </c>
      <c r="AE5" s="308">
        <f>IF(OR(AND($Y$11&gt;0,OR(AND($B$8=$P5,$J$8&gt;$L$8),AND($D$8=$P5,$J$8&lt;$L$8))),AND($Y$12&gt;0,OR(AND($B$9=$P5,$J$9&gt;$L$9),AND($D$9=$P5,$J$9&lt;$L$9)))),1,0)</f>
        <v>0</v>
      </c>
      <c r="AF5" s="308">
        <f>INDEX(Language!$D$5:$D$59,MATCH($P5,Language!$E$5:$E$59,0),1)</f>
        <v>10</v>
      </c>
    </row>
    <row r="6" spans="1:33" x14ac:dyDescent="0.25">
      <c r="B6" s="230" t="str">
        <f>INDEX(EURO!$B$13:$R$40,11,1+(CODE($C$1)-65)*3)</f>
        <v>England</v>
      </c>
      <c r="C6" s="229" t="s">
        <v>36</v>
      </c>
      <c r="D6" s="230" t="str">
        <f>INDEX(EURO!$B$13:$R$40,11,2+(CODE($C$1)-65)*3)</f>
        <v>Schottland</v>
      </c>
      <c r="E6" s="228">
        <f>IF(OR(INDEX(EURO!$B$14:$R$41,11,1+(CODE($C$1)-65)*3)="",INDEX(EURO!$B$14:$R$41,11,2+(CODE($C$1)-65)*3)=""),"",INDEX(EURO!$B$14:$R$41,11,1+(CODE($C$1)-65)*3))</f>
        <v>0</v>
      </c>
      <c r="F6" s="229" t="s">
        <v>36</v>
      </c>
      <c r="G6" s="232">
        <f>IF(OR(INDEX(EURO!$B$14:$R$41,11,1+(CODE($C$1)-65)*3)="",INDEX(EURO!$B$14:$R$41,11,2+(CODE($C$1)-65)*3)=""),"",INDEX(EURO!$B$14:$R$41,11,2+(CODE($C$1)-65)*3))</f>
        <v>0</v>
      </c>
      <c r="H6" s="329">
        <f t="shared" si="0"/>
        <v>1</v>
      </c>
      <c r="I6" s="329">
        <f t="shared" si="1"/>
        <v>1</v>
      </c>
      <c r="L6" s="34"/>
      <c r="M6" s="329">
        <f t="shared" si="2"/>
        <v>1</v>
      </c>
      <c r="N6" s="329"/>
      <c r="O6" s="329" t="s">
        <v>34</v>
      </c>
      <c r="P6" s="43" t="str">
        <f>VLOOKUP($C$1&amp;3,Groups!$B$7:$D$35,3,0)</f>
        <v>Schottland</v>
      </c>
      <c r="Q6" s="329">
        <f t="shared" si="3"/>
        <v>1</v>
      </c>
      <c r="R6" s="329">
        <f>S6-T6</f>
        <v>-4</v>
      </c>
      <c r="S6" s="329">
        <f>SUMIF($B$4:$B$9,$P6,$E$4:$E$9)+SUMIF($D$4:$D$9,$P6,$G$4:$G$9)</f>
        <v>1</v>
      </c>
      <c r="T6" s="329">
        <f>SUMIF($B$4:$B$9,$P6,$G$4:$G$9)+SUMIF($D$4:$D$9,$P6,$E$4:$E$9)</f>
        <v>5</v>
      </c>
      <c r="U6" s="308">
        <f t="shared" si="4"/>
        <v>0</v>
      </c>
      <c r="V6" s="351">
        <f>$Q6*FactorPts+(GDzero+$R6)*FactorGD+$S6*FactorFor+$U6*FactorWins+$W6*FactorDirC3+$X6*FactorDirC2+$Y6*FactorDirC43+$Z6*FactorDirC42+$AA6*FactorDirC42+$AB6*FactorFairPlay+$AE6*FactorPenalty+(100-$AF6)*($M$10&gt;0)*FactorRank+(8-ROW())*FactorRow</f>
        <v>10046010.0000712</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10046010</v>
      </c>
      <c r="AE6" s="308">
        <f>IF(OR(AND($Y$11&gt;0,OR(AND($B$8=$P6,$J$8&gt;$L$8),AND($D$8=$P6,$J$8&lt;$L$8))),AND($Y$12&gt;0,OR(AND($B$9=$P6,$J$9&gt;$L$9),AND($D$9=$P6,$J$9&lt;$L$9)))),1,0)</f>
        <v>0</v>
      </c>
      <c r="AF6" s="308">
        <f>INDEX(Language!$D$5:$D$59,MATCH($P6,Language!$E$5:$E$59,0),1)</f>
        <v>29</v>
      </c>
    </row>
    <row r="7" spans="1:33" x14ac:dyDescent="0.25">
      <c r="B7" s="230" t="str">
        <f>INDEX(EURO!$B$13:$R$40,16,1+(CODE($C$1)-65)*3)</f>
        <v>Kroatien</v>
      </c>
      <c r="C7" s="229" t="s">
        <v>36</v>
      </c>
      <c r="D7" s="230" t="str">
        <f>INDEX(EURO!$B$13:$R$40,16,2+(CODE($C$1)-65)*3)</f>
        <v>Tschechien</v>
      </c>
      <c r="E7" s="228">
        <f>IF(OR(INDEX(EURO!$B$14:$R$41,16,1+(CODE($C$1)-65)*3)="",INDEX(EURO!$B$14:$R$41,16,2+(CODE($C$1)-65)*3)=""),"",INDEX(EURO!$B$14:$R$41,16,1+(CODE($C$1)-65)*3))</f>
        <v>1</v>
      </c>
      <c r="F7" s="229" t="s">
        <v>36</v>
      </c>
      <c r="G7" s="232">
        <f>IF(OR(INDEX(EURO!$B$14:$R$41,16,1+(CODE($C$1)-65)*3)="",INDEX(EURO!$B$14:$R$41,16,2+(CODE($C$1)-65)*3)=""),"",INDEX(EURO!$B$14:$R$41,16,2+(CODE($C$1)-65)*3))</f>
        <v>1</v>
      </c>
      <c r="H7" s="329">
        <f t="shared" si="0"/>
        <v>1</v>
      </c>
      <c r="I7" s="329">
        <f t="shared" si="1"/>
        <v>1</v>
      </c>
      <c r="L7" s="34"/>
      <c r="M7" s="329">
        <f t="shared" si="2"/>
        <v>1</v>
      </c>
      <c r="N7" s="329"/>
      <c r="O7" s="329" t="s">
        <v>35</v>
      </c>
      <c r="P7" s="43" t="str">
        <f>VLOOKUP($C$1&amp;4,Groups!$B$7:$D$35,3,0)</f>
        <v>Tschechien</v>
      </c>
      <c r="Q7" s="329">
        <f t="shared" si="3"/>
        <v>4</v>
      </c>
      <c r="R7" s="329">
        <f>S7-T7</f>
        <v>1</v>
      </c>
      <c r="S7" s="329">
        <f>SUMIF($B$4:$B$9,$P7,$E$4:$E$9)+SUMIF($D$4:$D$9,$P7,$G$4:$G$9)</f>
        <v>3</v>
      </c>
      <c r="T7" s="329">
        <f>SUMIF($B$4:$B$9,$P7,$G$4:$G$9)+SUMIF($D$4:$D$9,$P7,$E$4:$E$9)</f>
        <v>2</v>
      </c>
      <c r="U7" s="308">
        <f t="shared" si="4"/>
        <v>1</v>
      </c>
      <c r="V7" s="351">
        <f>$Q7*FactorPts+(GDzero+$R7)*FactorGD+$S7*FactorFor+$U7*FactorWins+$W7*FactorDirC3+$X7*FactorDirC2+$Y7*FactorDirC43+$Z7*FactorDirC42+$AA7*FactorDirC42+$AB7*FactorFairPlay+$AE7*FactorPenalty+(100-$AF7)*($M$10&gt;0)*FactorRank+(8-ROW())*FactorRow</f>
        <v>40151030.0010821</v>
      </c>
      <c r="W7" s="307">
        <f t="shared" si="5"/>
        <v>0</v>
      </c>
      <c r="X7" s="307">
        <f>IF($L21="",0,$L21)+SUMIFS($Z$18:$Z$35,$P$18:$P$35,$P7)</f>
        <v>1</v>
      </c>
      <c r="Y7">
        <f t="shared" si="6"/>
        <v>0</v>
      </c>
      <c r="Z7">
        <f t="shared" si="7"/>
        <v>0</v>
      </c>
      <c r="AA7" s="308">
        <f>IF($M21="",0,$M21)</f>
        <v>0</v>
      </c>
      <c r="AB7" s="308">
        <f>SUMIFS(FairPlayPoints1,FairPlayTeams1,$P7)+SUMIFS(FairPlayPoints2,FairPlayTeams2,$P7)</f>
        <v>0</v>
      </c>
      <c r="AC7" s="329" t="b">
        <f>(Q7+T7&gt;0)</f>
        <v>1</v>
      </c>
      <c r="AD7" s="254">
        <f>$Q7*FactorPts+(GDzero+$R7)*FactorGD+$S7*FactorFor</f>
        <v>40051030</v>
      </c>
      <c r="AE7" s="308">
        <f>IF(OR(AND($Y$11&gt;0,OR(AND($B$8=$P7,$J$8&gt;$L$8),AND($D$8=$P7,$J$8&lt;$L$8))),AND($Y$12&gt;0,OR(AND($B$9=$P7,$J$9&gt;$L$9),AND($D$9=$P7,$J$9&lt;$L$9)))),1,0)</f>
        <v>0</v>
      </c>
      <c r="AF7" s="308">
        <f>INDEX(Language!$D$5:$D$59,MATCH($P7,Language!$E$5:$E$59,0),1)</f>
        <v>18</v>
      </c>
    </row>
    <row r="8" spans="1:33" x14ac:dyDescent="0.25">
      <c r="B8" s="230" t="str">
        <f>INDEX(EURO!$B$13:$R$40,21,1+(CODE($C$1)-65)*3)</f>
        <v>Tschechien</v>
      </c>
      <c r="C8" s="229" t="s">
        <v>36</v>
      </c>
      <c r="D8" s="230" t="str">
        <f>INDEX(EURO!$B$13:$R$40,21,2+(CODE($C$1)-65)*3)</f>
        <v>England</v>
      </c>
      <c r="E8" s="228">
        <f>IF(OR(INDEX(EURO!$B$14:$R$41,21,1+(CODE($C$1)-65)*3)="",INDEX(EURO!$B$14:$R$41,21,2+(CODE($C$1)-65)*3)=""),"",INDEX(EURO!$B$14:$R$41,21,1+(CODE($C$1)-65)*3))</f>
        <v>0</v>
      </c>
      <c r="F8" s="229" t="s">
        <v>36</v>
      </c>
      <c r="G8" s="232">
        <f>IF(OR(INDEX(EURO!$B$14:$R$41,21,1+(CODE($C$1)-65)*3)="",INDEX(EURO!$B$14:$R$41,21,2+(CODE($C$1)-65)*3)=""),"",INDEX(EURO!$B$14:$R$41,21,2+(CODE($C$1)-65)*3))</f>
        <v>1</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Kroatien</v>
      </c>
      <c r="C9" s="229" t="s">
        <v>36</v>
      </c>
      <c r="D9" s="230" t="str">
        <f>INDEX(EURO!$B$13:$R$40,28,2+(CODE($C$1)-65)*3)</f>
        <v>Schottland</v>
      </c>
      <c r="E9" s="228">
        <f>IF(OR(INDEX(EURO!$B$14:$R$41,28,1+(CODE($C$1)-65)*3)="",INDEX(EURO!$B$14:$R$41,28,2+(CODE($C$1)-65)*3)=""),"",INDEX(EURO!$B$14:$R$41,28,1+(CODE($C$1)-65)*3))</f>
        <v>3</v>
      </c>
      <c r="F9" s="229" t="s">
        <v>36</v>
      </c>
      <c r="G9" s="232">
        <f>IF(OR(INDEX(EURO!$B$14:$R$41,28,1+(CODE($C$1)-65)*3)="",INDEX(EURO!$B$14:$R$41,28,2+(CODE($C$1)-65)*3)=""),"",INDEX(EURO!$B$14:$R$41,28,2+(CODE($C$1)-65)*3))</f>
        <v>1</v>
      </c>
      <c r="H9" s="329">
        <f t="shared" si="0"/>
        <v>3</v>
      </c>
      <c r="I9" s="329">
        <f t="shared" si="1"/>
        <v>0</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England</v>
      </c>
      <c r="Q11" s="221">
        <f t="shared" si="8"/>
        <v>7</v>
      </c>
      <c r="R11" s="39">
        <f t="shared" si="8"/>
        <v>2</v>
      </c>
      <c r="S11" s="39">
        <f t="shared" si="8"/>
        <v>2</v>
      </c>
      <c r="T11" s="39">
        <f t="shared" si="8"/>
        <v>0</v>
      </c>
      <c r="U11" s="39">
        <f t="shared" ref="U11:U12" si="9">INDEX(U$4:U$7,MATCH($V11,$V$4:$V$7,0))</f>
        <v>2</v>
      </c>
      <c r="V11" s="352">
        <f>LARGE($V$4:$V$7,ROW(A1))</f>
        <v>70052020.002097413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Kroatien</v>
      </c>
      <c r="Q12" s="222">
        <f t="shared" si="8"/>
        <v>4</v>
      </c>
      <c r="R12" s="355">
        <f t="shared" si="8"/>
        <v>1</v>
      </c>
      <c r="S12" s="329">
        <f t="shared" si="8"/>
        <v>4</v>
      </c>
      <c r="T12" s="329">
        <f t="shared" si="8"/>
        <v>3</v>
      </c>
      <c r="U12" s="328">
        <f t="shared" si="9"/>
        <v>1</v>
      </c>
      <c r="V12" s="353">
        <f>LARGE($V$4:$V$7,ROW(A2))</f>
        <v>40151040.001090303</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Tschechien</v>
      </c>
      <c r="Q13" s="222">
        <f t="shared" si="8"/>
        <v>4</v>
      </c>
      <c r="R13" s="355">
        <f t="shared" si="8"/>
        <v>1</v>
      </c>
      <c r="S13" s="329">
        <f t="shared" si="8"/>
        <v>3</v>
      </c>
      <c r="T13" s="329">
        <f t="shared" si="8"/>
        <v>2</v>
      </c>
      <c r="U13" s="327">
        <f t="shared" ref="U13:U14" si="10">INDEX(U$4:U$7,MATCH($V13,$V$4:$V$7,0))</f>
        <v>1</v>
      </c>
      <c r="V13" s="353">
        <f>LARGE($V$4:$V$7,ROW(A3))</f>
        <v>40151030.0010821</v>
      </c>
      <c r="Z13" s="29"/>
      <c r="AA13" s="355"/>
      <c r="AB13" s="29"/>
      <c r="AC13" s="29"/>
      <c r="AD13" s="330"/>
      <c r="AE13" s="355"/>
    </row>
    <row r="14" spans="1:33" ht="15.75" thickBot="1" x14ac:dyDescent="0.3">
      <c r="B14" s="312"/>
      <c r="C14" s="312"/>
      <c r="D14" s="58"/>
      <c r="F14" s="329"/>
      <c r="G14" s="34"/>
      <c r="O14" s="37" t="s">
        <v>35</v>
      </c>
      <c r="P14" s="36" t="str">
        <f t="shared" si="8"/>
        <v>Schottland</v>
      </c>
      <c r="Q14" s="223">
        <f t="shared" si="8"/>
        <v>1</v>
      </c>
      <c r="R14" s="35">
        <f t="shared" si="8"/>
        <v>-4</v>
      </c>
      <c r="S14" s="35">
        <f t="shared" si="8"/>
        <v>1</v>
      </c>
      <c r="T14" s="35">
        <f t="shared" si="8"/>
        <v>5</v>
      </c>
      <c r="U14" s="35">
        <f t="shared" si="10"/>
        <v>0</v>
      </c>
      <c r="V14" s="354">
        <f>LARGE($V$4:$V$7,ROW(A4))</f>
        <v>10046010.0000712</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8" t="s">
        <v>463</v>
      </c>
      <c r="H16" s="488"/>
      <c r="I16" s="488"/>
      <c r="J16" s="488"/>
      <c r="K16" s="488"/>
      <c r="L16" s="488"/>
      <c r="M16" s="64"/>
      <c r="N16" s="64"/>
      <c r="O16" s="329"/>
      <c r="W16" s="479" t="s">
        <v>464</v>
      </c>
      <c r="X16" s="479"/>
      <c r="Y16" s="479"/>
      <c r="Z16" s="479"/>
      <c r="AD16" s="479" t="s">
        <v>465</v>
      </c>
      <c r="AE16" s="479"/>
      <c r="AF16" s="253" t="b">
        <f>AND($Q$4=$Q$5,$Q$4=$Q$6,$Q$4=$Q$7)</f>
        <v>0</v>
      </c>
    </row>
    <row r="17" spans="2:31" ht="16.5" thickTop="1" thickBot="1" x14ac:dyDescent="0.3">
      <c r="B17" s="312"/>
      <c r="C17" s="312"/>
      <c r="D17" s="311"/>
      <c r="E17" s="325"/>
      <c r="F17" s="325"/>
      <c r="G17" s="326"/>
      <c r="H17" s="39" t="str">
        <f>LEFT($P$4,3)</f>
        <v>Eng</v>
      </c>
      <c r="I17" s="39" t="str">
        <f>LEFT($P$5,3)</f>
        <v>Kro</v>
      </c>
      <c r="J17" s="39" t="str">
        <f>LEFT($P$6,3)</f>
        <v>Sch</v>
      </c>
      <c r="K17" s="114" t="str">
        <f>LEFT($P$7,3)</f>
        <v>Tsc</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308"/>
      <c r="C18" s="308"/>
      <c r="D18" s="307"/>
      <c r="E18" s="484" t="str">
        <f>$P$4</f>
        <v>England</v>
      </c>
      <c r="F18" s="485"/>
      <c r="G18" s="485"/>
      <c r="H18" s="113"/>
      <c r="I18" s="39">
        <f>SUMIFS($E$4:$E$9,$B$4:$B$9,$P$4,$D$4:$D$9,$P$5)+SUMIFS($G$4:$G$9,$B$4:$B$9,$P$5,$D$4:$D$9,$P$4)</f>
        <v>1</v>
      </c>
      <c r="J18" s="39">
        <f>SUMIFS($E$4:$E$9,$B$4:$B$9,$P$4,$D$4:$D$9,$P$6)+SUMIFS($G$4:$G$9,$B$4:$B$9,$P$6,$D$4:$D$9,$P$4)</f>
        <v>0</v>
      </c>
      <c r="K18" s="114">
        <f>SUMIFS($E$4:$E$9,$B$4:$B$9,$P$4,$D$4:$D$9,$P$7)+SUMIFS($G$4:$G$9,$B$4:$B$9,$P$7,$D$4:$D$9,$P$4)</f>
        <v>1</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England</v>
      </c>
      <c r="Q18" s="308">
        <f>SUMIFS($H$4:$H$9,$B$4:$B$9,$P18,$D$4:$D$9,"&lt;&gt;"&amp;$P$21)+SUMIFS($I$4:$I$9,$B$4:$B$9,"&lt;&gt;"&amp;$P$21,$D$4:$D$9,$P18)</f>
        <v>4</v>
      </c>
      <c r="R18" s="308">
        <f>S18-T18</f>
        <v>1</v>
      </c>
      <c r="S18" s="308">
        <f>SUMIFS($E$4:$E$9,$B$4:$B$9,$P18,$D$4:$D$9,"&lt;&gt;"&amp;$P$21)+SUMIFS($G$4:$G$9,$B$4:$B$9,"&lt;&gt;"&amp;$P$21,$D$4:$D$9,$P18)</f>
        <v>1</v>
      </c>
      <c r="T18" s="308">
        <f>SUMIFS($G$4:$G$9,$B$4:$B$9,$P18,$D$4:$D$9,"&lt;&gt;"&amp;$P$21)+SUMIFS($E$4:$E$9,$B$4:$B$9,"&lt;&gt;"&amp;$P$21,$D$4:$D$9,$P18)</f>
        <v>0</v>
      </c>
      <c r="U18" s="308"/>
      <c r="V18" s="248">
        <f>Q18*FactorPts+(GDzero+R18)*FactorGD+S18*FactorFor</f>
        <v>40051010</v>
      </c>
      <c r="W18" s="308">
        <f>RANK(V18,V$18:V$20,1)</f>
        <v>3</v>
      </c>
      <c r="X18" s="308">
        <f>IF(AND($Q$4=$Q$5,$Q$4=$Q$6,$Q$4&lt;&gt;$Q$7),W18,0)</f>
        <v>0</v>
      </c>
      <c r="Y18" s="308" t="str">
        <f>IF(AND(V18=V19,V18&lt;&gt;V20),IF(AA18&gt;AA19,3,IF(AA18=AA19,1,0)),IF(AND(V18=V20,V18&lt;&gt;V19),IF(AB18&gt;AB20,3,IF(AB18=AB20,1,0)),""))</f>
        <v/>
      </c>
      <c r="Z18" s="307" t="str">
        <f>IF(X18&gt;0,Y18,"")</f>
        <v/>
      </c>
      <c r="AA18" s="233">
        <f>$I$18</f>
        <v>1</v>
      </c>
      <c r="AB18" s="234">
        <f>$J$18</f>
        <v>0</v>
      </c>
      <c r="AC18" s="235"/>
      <c r="AD18" s="307">
        <f>IF(AND($AF$16,$AD$4=$AD$5,$AD$4=$AD$6,$AD$4&lt;&gt;$AD$7),W18,0)</f>
        <v>0</v>
      </c>
      <c r="AE18" s="307" t="str">
        <f>IF(AD18&gt;0,Y18,"")</f>
        <v/>
      </c>
    </row>
    <row r="19" spans="2:31" x14ac:dyDescent="0.25">
      <c r="B19" s="308"/>
      <c r="C19" s="308"/>
      <c r="D19" s="307"/>
      <c r="E19" s="486" t="str">
        <f>$P$5</f>
        <v>Kroatien</v>
      </c>
      <c r="F19" s="487"/>
      <c r="G19" s="487"/>
      <c r="H19" s="38">
        <f>SUMIFS($E$4:$E$9,$B$4:$B$9,$P$5,$D$4:$D$9,$P$4)+SUMIFS($G$4:$G$9,$B$4:$B$9,$P$4,$D$4:$D$9,$P$5)</f>
        <v>0</v>
      </c>
      <c r="I19" s="77"/>
      <c r="J19" s="307">
        <f>SUMIFS($E$4:$E$9,$B$4:$B$9,$P$5,$D$4:$D$9,$P$6)+SUMIFS($G$4:$G$9,$B$4:$B$9,$P$6,$D$4:$D$9,$P$5)</f>
        <v>3</v>
      </c>
      <c r="K19" s="56">
        <f>SUMIFS($E$4:$E$9,$B$4:$B$9,$P$5,$D$4:$D$9,$P$7)+SUMIFS($G$4:$G$9,$B$4:$B$9,$P$7,$D$4:$D$9,$P$5)</f>
        <v>1</v>
      </c>
      <c r="L19" s="74">
        <f>IF(AND($Q$5=$Q$4,$Q$5&lt;&gt;$Q$6,$Q$5&lt;&gt;$Q$7),IF(H19&gt;I18,3,IF(H19=I18,1,0)),IF(AND($Q$5=$Q$6,$Q$5&lt;&gt;$Q$4,$Q$5&lt;&gt;$Q$7),IF(J19&gt;I20,3,IF(J19=I20,1,0)),IF(AND($Q$5=$Q$7,$Q$5&lt;&gt;$Q$4,$Q$5&lt;&gt;$Q$6),IF(K19&gt;I21,3,IF(K19=I21,1,0)),"")))</f>
        <v>1</v>
      </c>
      <c r="M19" s="74" t="str">
        <f>IF($AF$16,IF(AND($AD$5=$AD$4,$AD$5&lt;&gt;$AD$6,$AD$5&lt;&gt;$AD$7),IF(H19&gt;I18,3,IF(H19=I18,1,0)),IF(AND($AD$5&lt;&gt;$AD$4,$AD$5=$AD$6,$AD$5&lt;&gt;$AD$7),IF(J19&gt;I20,3,IF(J19=I20,1,0)),IF(AND($AD$5&lt;&gt;$AD$4,$AD$5&lt;&gt;$AD$6,$AD$5=$AD$7),IF(K19&gt;I21,3,IF(K19=I21,1,0)),""))),"")</f>
        <v/>
      </c>
      <c r="N19" s="307"/>
      <c r="O19" s="308" t="s">
        <v>33</v>
      </c>
      <c r="P19" t="str">
        <f>$P$5</f>
        <v>Kroatien</v>
      </c>
      <c r="Q19" s="308">
        <f>SUMIFS($H$4:$H$9,$B$4:$B$9,$P19,$D$4:$D$9,"&lt;&gt;"&amp;$P$21)+SUMIFS($I$4:$I$9,$B$4:$B$9,"&lt;&gt;"&amp;$P$21,$D$4:$D$9,$P19)</f>
        <v>3</v>
      </c>
      <c r="R19" s="308">
        <f>S19-T19</f>
        <v>1</v>
      </c>
      <c r="S19" s="308">
        <f>SUMIFS($E$4:$E$9,$B$4:$B$9,$P19,$D$4:$D$9,"&lt;&gt;"&amp;$P$21)+SUMIFS($G$4:$G$9,$B$4:$B$9,"&lt;&gt;"&amp;$P$21,$D$4:$D$9,$P19)</f>
        <v>3</v>
      </c>
      <c r="T19" s="308">
        <f>SUMIFS($G$4:$G$9,$B$4:$B$9,$P19,$D$4:$D$9,"&lt;&gt;"&amp;$P$21)+SUMIFS($E$4:$E$9,$B$4:$B$9,"&lt;&gt;"&amp;$P$21,$D$4:$D$9,$P19)</f>
        <v>2</v>
      </c>
      <c r="U19" s="308"/>
      <c r="V19" s="248">
        <f>Q19*FactorPts+(GDzero+R19)*FactorGD+S19*FactorFor</f>
        <v>30051030</v>
      </c>
      <c r="W19" s="308">
        <f>RANK(V19,V$18:V$20,1)</f>
        <v>2</v>
      </c>
      <c r="X19" s="308">
        <f>IF(AND($Q$4=$Q$5,$Q$4=$Q$6,$Q$4&lt;&gt;$Q$7),W19,0)</f>
        <v>0</v>
      </c>
      <c r="Y19" s="308" t="str">
        <f>IF(AND(V19=V18,V19&lt;&gt;V20),IF(AA19&gt;AA18,3,IF(AA19=AA18,1,0)),IF(AND(V19=V20,V19&lt;&gt;V18),IF(AC19&gt;AC20,3,IF(AC19=AC20,1,0)),""))</f>
        <v/>
      </c>
      <c r="Z19" s="307" t="str">
        <f t="shared" ref="Z19:Z20" si="11">IF(X19&gt;0,Y19,"")</f>
        <v/>
      </c>
      <c r="AA19" s="236">
        <f>$H$19</f>
        <v>0</v>
      </c>
      <c r="AB19" s="307"/>
      <c r="AC19" s="310">
        <f>$J$19</f>
        <v>3</v>
      </c>
      <c r="AD19" s="307">
        <f>IF(AND($AF$16,$AD$4=$AD$5,$AD$4=$AD$6,$AD$4&lt;&gt;$AD$7),W19,0)</f>
        <v>0</v>
      </c>
      <c r="AE19" s="307" t="str">
        <f t="shared" ref="AE19:AE20" si="12">IF(AD19&gt;0,Y19,"")</f>
        <v/>
      </c>
    </row>
    <row r="20" spans="2:31" x14ac:dyDescent="0.25">
      <c r="D20" s="29"/>
      <c r="E20" s="486" t="str">
        <f>$P$6</f>
        <v>Schottland</v>
      </c>
      <c r="F20" s="487"/>
      <c r="G20" s="487"/>
      <c r="H20" s="38">
        <f>SUMIFS($E$4:$E$9,$B$4:$B$9,$P$6,$D$4:$D$9,$P$4)+SUMIFS($G$4:$G$9,$B$4:$B$9,$P$4,$D$4:$D$9,$P$6)</f>
        <v>0</v>
      </c>
      <c r="I20" s="307">
        <f>SUMIFS($E$4:$E$9,$B$4:$B$9,$P$6,$D$4:$D$9,$P$5)+SUMIFS($G$4:$G$9,$B$4:$B$9,$P$5,$D$4:$D$9,$P$6)</f>
        <v>1</v>
      </c>
      <c r="J20" s="77"/>
      <c r="K20" s="56">
        <f>SUMIFS($E$4:$E$9,$B$4:$B$9,$P$6,$D$4:$D$9,$P$7)+SUMIFS($G$4:$G$9,$B$4:$B$9,$P$7,$D$4:$D$9,$P$6)</f>
        <v>0</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Schottland</v>
      </c>
      <c r="Q20" s="308">
        <f>SUMIFS($H$4:$H$9,$B$4:$B$9,$P20,$D$4:$D$9,"&lt;&gt;"&amp;$P$21)+SUMIFS($I$4:$I$9,$B$4:$B$9,"&lt;&gt;"&amp;$P$21,$D$4:$D$9,$P20)</f>
        <v>1</v>
      </c>
      <c r="R20" s="308">
        <f>S20-T20</f>
        <v>-2</v>
      </c>
      <c r="S20" s="308">
        <f>SUMIFS($E$4:$E$9,$B$4:$B$9,$P20,$D$4:$D$9,"&lt;&gt;"&amp;$P$21)+SUMIFS($G$4:$G$9,$B$4:$B$9,"&lt;&gt;"&amp;$P$21,$D$4:$D$9,$P20)</f>
        <v>1</v>
      </c>
      <c r="T20" s="308">
        <f>SUMIFS($G$4:$G$9,$B$4:$B$9,$P20,$D$4:$D$9,"&lt;&gt;"&amp;$P$21)+SUMIFS($E$4:$E$9,$B$4:$B$9,"&lt;&gt;"&amp;$P$21,$D$4:$D$9,$P20)</f>
        <v>3</v>
      </c>
      <c r="U20" s="308"/>
      <c r="V20" s="248">
        <f>Q20*FactorPts+(GDzero+R20)*FactorGD+S20*FactorFor</f>
        <v>10048010</v>
      </c>
      <c r="W20" s="308">
        <f>RANK(V20,V$18:V$20,1)</f>
        <v>1</v>
      </c>
      <c r="X20" s="308">
        <f>IF(AND($Q$4=$Q$5,$Q$4=$Q$6,$Q$4&lt;&gt;$Q$7),W20,0)</f>
        <v>0</v>
      </c>
      <c r="Y20" s="308" t="str">
        <f>IF(AND(V20=V18,V20&lt;&gt;V19),IF(AB20&gt;AB18,3,IF(AB20=AB18,1,0)),IF(AND(V20=V19,V20&lt;&gt;V18),IF(AC20&gt;AC19,3,IF(AC20=AC19,1,0)),""))</f>
        <v/>
      </c>
      <c r="Z20" s="307" t="str">
        <f t="shared" si="11"/>
        <v/>
      </c>
      <c r="AA20" s="236"/>
      <c r="AB20" s="307">
        <f>$H$20</f>
        <v>0</v>
      </c>
      <c r="AC20" s="310">
        <f>$I$20</f>
        <v>1</v>
      </c>
      <c r="AD20" s="307">
        <f>IF(AND($AF$16,$AD$4=$AD$5,$AD$4=$AD$6,$AD$4&lt;&gt;$AD$7),W20,0)</f>
        <v>0</v>
      </c>
      <c r="AE20" s="307" t="str">
        <f t="shared" si="12"/>
        <v/>
      </c>
    </row>
    <row r="21" spans="2:31" ht="15.75" thickBot="1" x14ac:dyDescent="0.3">
      <c r="B21" s="48"/>
      <c r="C21" s="49"/>
      <c r="D21" s="50"/>
      <c r="E21" s="481" t="str">
        <f>$P$7</f>
        <v>Tschechien</v>
      </c>
      <c r="F21" s="482"/>
      <c r="G21" s="482"/>
      <c r="H21" s="37">
        <f>SUMIFS($E$4:$E$9,$B$4:$B$9,$P$7,$D$4:$D$9,$P$4)+SUMIFS($G$4:$G$9,$B$4:$B$9,$P$4,$D$4:$D$9,$P$7)</f>
        <v>0</v>
      </c>
      <c r="I21" s="35">
        <f>SUMIFS($E$4:$E$9,$B$4:$B$9,$P$7,$D$4:$D$9,$P$5)+SUMIFS($G$4:$G$9,$B$4:$B$9,$P$5,$D$4:$D$9,$P$7)</f>
        <v>1</v>
      </c>
      <c r="J21" s="35">
        <f>SUMIFS($E$4:$E$9,$B$4:$B$9,$P$7,$D$4:$D$9,$P$6)+SUMIFS($G$4:$G$9,$B$4:$B$9,$P$6,$D$4:$D$9,$P$7)</f>
        <v>2</v>
      </c>
      <c r="K21" s="78"/>
      <c r="L21" s="75">
        <f>IF(AND($Q$7=$Q$4,$Q$7&lt;&gt;$Q$5,$Q$7&lt;&gt;$Q$6),IF(H21&gt;K18,3,IF(H21=K18,1,0)),IF(AND($Q$7=$Q$5,$Q$7&lt;&gt;$Q$4,$Q$7&lt;&gt;$Q$6),IF(I21&gt;K19,3,IF(I21=K19,1,0)),IF(AND($Q$7=$Q$6,$Q$7&lt;&gt;$Q$4,$Q$7&lt;&gt;$Q$5),IF(J21&gt;K20,3,IF(J21=K20,1,0)),"")))</f>
        <v>1</v>
      </c>
      <c r="M21" s="75" t="str">
        <f>IF($AF$16,IF(AND($AD$7=$AD$4,$AD$7&lt;&gt;$AD$5,$AD$7&lt;&gt;$AD$6),IF(H21&gt;K18,3,IF(H21=K18,1,0)),IF(AND($AD$7&lt;&gt;$AD$4,$AD$7=$AD$5,$AD$7&lt;&gt;$AD$6),IF(I21&gt;K19,3,IF(I21=K19,1,0)),IF(AND($AD$7&lt;&gt;$AD$4,$AD$7&lt;&gt;$AD$5,$AD$7=$AD$6),IF(J21&gt;K20,3,IF(J21=K20,1,0)),""))),"")</f>
        <v/>
      </c>
      <c r="N21" s="307"/>
      <c r="P21" s="33" t="str">
        <f>$P$7</f>
        <v>Tschechien</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England</v>
      </c>
      <c r="Q23" s="308">
        <f>SUMIFS($H$4:$H$9,$B$4:$B$9,$P23,$D$4:$D$9,"&lt;&gt;"&amp;$P$26)+SUMIFS($I$4:$I$9,$B$4:$B$9,"&lt;&gt;"&amp;$P$26,$D$4:$D$9,$P23)</f>
        <v>6</v>
      </c>
      <c r="R23" s="308">
        <f>S23-T23</f>
        <v>2</v>
      </c>
      <c r="S23" s="308">
        <f>SUMIFS($E$4:$E$9,$B$4:$B$9,$P23,$D$4:$D$9,"&lt;&gt;"&amp;$P$26)+SUMIFS($G$4:$G$9,$B$4:$B$9,"&lt;&gt;"&amp;$P$26,$D$4:$D$9,$P23)</f>
        <v>2</v>
      </c>
      <c r="T23" s="308">
        <f>SUMIFS($G$4:$G$9,$B$4:$B$9,$P23,$D$4:$D$9,"&lt;&gt;"&amp;$P$26)+SUMIFS($E$4:$E$9,$B$4:$B$9,"&lt;&gt;"&amp;$P$26,$D$4:$D$9,$P23)</f>
        <v>0</v>
      </c>
      <c r="U23" s="308"/>
      <c r="V23" s="248">
        <f>Q23*FactorPts+(GDzero+R23)*FactorGD+S23*FactorFor</f>
        <v>60052020</v>
      </c>
      <c r="W23" s="308">
        <f>RANK(V23,V$23:V$25,1)</f>
        <v>3</v>
      </c>
      <c r="X23" s="308">
        <f>IF(AND($Q$4=$Q$5,$Q$4=$Q$7,$Q$4&lt;&gt;$Q$6),W23,0)</f>
        <v>0</v>
      </c>
      <c r="Y23" s="308" t="str">
        <f>IF(AND(V23=V24,V23&lt;&gt;V25),IF(AA23&gt;AA24,3,IF(AA23=AA24,1,0)),IF(AND(V23=V25,V23&lt;&gt;V24),IF(AB23&gt;AB25,3,IF(AB23=AB25,1,0)),""))</f>
        <v/>
      </c>
      <c r="Z23" s="307" t="str">
        <f>IF(X23&gt;0,Y23,"")</f>
        <v/>
      </c>
      <c r="AA23" s="236">
        <f>$I$18</f>
        <v>1</v>
      </c>
      <c r="AB23" s="307">
        <f>$K$18</f>
        <v>1</v>
      </c>
      <c r="AC23" s="310"/>
      <c r="AD23" s="307">
        <f>IF(AND($AF$16,$AD$4=$AD$5,$AD$4=$AD$7,$AD$4&lt;&gt;$AD$6),W23,0)</f>
        <v>0</v>
      </c>
      <c r="AE23" s="307" t="str">
        <f>IF(AD23&gt;0,Y23,"")</f>
        <v/>
      </c>
    </row>
    <row r="24" spans="2:31" x14ac:dyDescent="0.25">
      <c r="B24" s="42"/>
      <c r="C24" s="308"/>
      <c r="O24" s="308" t="s">
        <v>33</v>
      </c>
      <c r="P24" t="str">
        <f>$P$5</f>
        <v>Kroatien</v>
      </c>
      <c r="Q24" s="308">
        <f>SUMIFS($H$4:$H$9,$B$4:$B$9,$P24,$D$4:$D$9,"&lt;&gt;"&amp;$P$26)+SUMIFS($I$4:$I$9,$B$4:$B$9,"&lt;&gt;"&amp;$P$26,$D$4:$D$9,$P24)</f>
        <v>1</v>
      </c>
      <c r="R24" s="308">
        <f>S24-T24</f>
        <v>-1</v>
      </c>
      <c r="S24" s="308">
        <f>SUMIFS($E$4:$E$9,$B$4:$B$9,$P24,$D$4:$D$9,"&lt;&gt;"&amp;$P$26)+SUMIFS($G$4:$G$9,$B$4:$B$9,"&lt;&gt;"&amp;$P$26,$D$4:$D$9,$P24)</f>
        <v>1</v>
      </c>
      <c r="T24" s="308">
        <f>SUMIFS($G$4:$G$9,$B$4:$B$9,$P24,$D$4:$D$9,"&lt;&gt;"&amp;$P$26)+SUMIFS($E$4:$E$9,$B$4:$B$9,"&lt;&gt;"&amp;$P$26,$D$4:$D$9,$P24)</f>
        <v>2</v>
      </c>
      <c r="U24" s="308"/>
      <c r="V24" s="248">
        <f>Q24*FactorPts+(GDzero+R24)*FactorGD+S24*FactorFor</f>
        <v>10049010</v>
      </c>
      <c r="W24" s="308">
        <f>RANK(V24,V$23:V$25,1)</f>
        <v>1</v>
      </c>
      <c r="X24" s="308">
        <f>IF(AND($Q$4=$Q$5,$Q$4=$Q$7,$Q$4&lt;&gt;$Q$6),W24,0)</f>
        <v>0</v>
      </c>
      <c r="Y24" s="308">
        <f>IF(AND(V24=V23,V24&lt;&gt;V25),IF(AA24&gt;AA23,3,IF(AA24=AA23,1,0)),IF(AND(V24=V25,V24&lt;&gt;V23),IF(AC24&gt;AC25,3,IF(AC24=AC25,1,0)),""))</f>
        <v>1</v>
      </c>
      <c r="Z24" s="307" t="str">
        <f t="shared" ref="Z24:Z25" si="13">IF(X24&gt;0,Y24,"")</f>
        <v/>
      </c>
      <c r="AA24" s="236">
        <f>$H$19</f>
        <v>0</v>
      </c>
      <c r="AB24" s="307"/>
      <c r="AC24" s="310">
        <f>$K$19</f>
        <v>1</v>
      </c>
      <c r="AD24" s="307">
        <f>IF(AND($AF$16,$AD$4=$AD$5,$AD$4=$AD$7,$AD$4&lt;&gt;$AD$6),W24,0)</f>
        <v>0</v>
      </c>
      <c r="AE24" s="307" t="str">
        <f t="shared" ref="AE24:AE25" si="14">IF(AD24&gt;0,Y24,"")</f>
        <v/>
      </c>
    </row>
    <row r="25" spans="2:31" x14ac:dyDescent="0.25">
      <c r="B25" s="42"/>
      <c r="C25" s="308"/>
      <c r="O25" s="308" t="s">
        <v>34</v>
      </c>
      <c r="P25" t="str">
        <f>$P$7</f>
        <v>Tschechien</v>
      </c>
      <c r="Q25" s="308">
        <f>SUMIFS($H$4:$H$9,$B$4:$B$9,$P25,$D$4:$D$9,"&lt;&gt;"&amp;$P$26)+SUMIFS($I$4:$I$9,$B$4:$B$9,"&lt;&gt;"&amp;$P$26,$D$4:$D$9,$P25)</f>
        <v>1</v>
      </c>
      <c r="R25" s="308">
        <f>S25-T25</f>
        <v>-1</v>
      </c>
      <c r="S25" s="308">
        <f>SUMIFS($E$4:$E$9,$B$4:$B$9,$P25,$D$4:$D$9,"&lt;&gt;"&amp;$P$26)+SUMIFS($G$4:$G$9,$B$4:$B$9,"&lt;&gt;"&amp;$P$26,$D$4:$D$9,$P25)</f>
        <v>1</v>
      </c>
      <c r="T25" s="308">
        <f>SUMIFS($G$4:$G$9,$B$4:$B$9,$P25,$D$4:$D$9,"&lt;&gt;"&amp;$P$26)+SUMIFS($E$4:$E$9,$B$4:$B$9,"&lt;&gt;"&amp;$P$26,$D$4:$D$9,$P25)</f>
        <v>2</v>
      </c>
      <c r="U25" s="308"/>
      <c r="V25" s="248">
        <f>Q25*FactorPts+(GDzero+R25)*FactorGD+S25*FactorFor</f>
        <v>10049010</v>
      </c>
      <c r="W25" s="308">
        <f>RANK(V25,V$23:V$25,1)</f>
        <v>1</v>
      </c>
      <c r="X25" s="308">
        <f>IF(AND($Q$4=$Q$5,$Q$4=$Q$7,$Q$4&lt;&gt;$Q$6),W25,0)</f>
        <v>0</v>
      </c>
      <c r="Y25" s="308">
        <f>IF(AND(V25=V23,V25&lt;&gt;V24),IF(AB25&gt;AB23,3,IF(AB25=AB23,1,0)),IF(AND(V25=V24,V25&lt;&gt;V23),IF(AC25&gt;AC24,3,IF(AC25=AC24,1,0)),""))</f>
        <v>1</v>
      </c>
      <c r="Z25" s="307" t="str">
        <f t="shared" si="13"/>
        <v/>
      </c>
      <c r="AA25" s="236"/>
      <c r="AB25" s="307">
        <f>$H$21</f>
        <v>0</v>
      </c>
      <c r="AC25" s="310">
        <f>$I$21</f>
        <v>1</v>
      </c>
      <c r="AD25" s="307">
        <f>IF(AND($AF$16,$AD$4=$AD$5,$AD$4=$AD$7,$AD$4&lt;&gt;$AD$6),W25,0)</f>
        <v>0</v>
      </c>
      <c r="AE25" s="307" t="str">
        <f t="shared" si="14"/>
        <v/>
      </c>
    </row>
    <row r="26" spans="2:31" x14ac:dyDescent="0.25">
      <c r="B26" s="42"/>
      <c r="C26" s="308"/>
      <c r="P26" s="33" t="str">
        <f>$P$6</f>
        <v>Schottland</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England</v>
      </c>
      <c r="Q28" s="308">
        <f>SUMIFS($H$4:$H$9,$B$4:$B$9,$P28,$D$4:$D$9,"&lt;&gt;"&amp;$P$31)+SUMIFS($I$4:$I$9,$B$4:$B$9,"&lt;&gt;"&amp;$P$31,$D$4:$D$9,$P28)</f>
        <v>4</v>
      </c>
      <c r="R28" s="308">
        <f>S28-T28</f>
        <v>1</v>
      </c>
      <c r="S28" s="308">
        <f>SUMIFS($E$4:$E$9,$B$4:$B$9,$P28,$D$4:$D$9,"&lt;&gt;"&amp;$P$31)+SUMIFS($G$4:$G$9,$B$4:$B$9,"&lt;&gt;"&amp;$P$31,$D$4:$D$9,$P28)</f>
        <v>1</v>
      </c>
      <c r="T28" s="308">
        <f>SUMIFS($G$4:$G$9,$B$4:$B$9,$P28,$D$4:$D$9,"&lt;&gt;"&amp;$P$31)+SUMIFS($E$4:$E$9,$B$4:$B$9,"&lt;&gt;"&amp;$P$31,$D$4:$D$9,$P28)</f>
        <v>0</v>
      </c>
      <c r="U28" s="308"/>
      <c r="V28" s="248">
        <f>Q28*FactorPts+(GDzero+R28)*FactorGD+S28*FactorFor</f>
        <v>40051010</v>
      </c>
      <c r="W28" s="308">
        <f>_xlfn.RANK.EQ(V28,V$28:V$30,1)</f>
        <v>3</v>
      </c>
      <c r="X28" s="308">
        <f>IF(AND($Q$4=$Q$6,$Q$4=$Q$7,$Q$4&lt;&gt;$Q$5),W28,0)</f>
        <v>0</v>
      </c>
      <c r="Y28" s="308" t="str">
        <f>IF(AND(V28=V29,V28&lt;&gt;V30),IF(AA28&gt;AA29,3,IF(AA28=AA29,1,0)),IF(AND(V28=V30,V28&lt;&gt;V29),IF(AB28&gt;AB30,3,IF(AB28=AB30,1,0)),""))</f>
        <v/>
      </c>
      <c r="Z28" s="307" t="str">
        <f>IF(X28&gt;0,Y28,"")</f>
        <v/>
      </c>
      <c r="AA28" s="236">
        <f>$J$18</f>
        <v>0</v>
      </c>
      <c r="AB28" s="307">
        <f>$K$18</f>
        <v>1</v>
      </c>
      <c r="AC28" s="310"/>
      <c r="AD28" s="307">
        <f>IF(AND($AF$16,$AD$4=$AD$6,$AD$4=$AD$7,$AD$4&lt;&gt;$AD$5),W28,0)</f>
        <v>0</v>
      </c>
      <c r="AE28" s="307" t="str">
        <f>IF(AD28&gt;0,Y28,"")</f>
        <v/>
      </c>
    </row>
    <row r="29" spans="2:31" x14ac:dyDescent="0.25">
      <c r="O29" s="308" t="s">
        <v>33</v>
      </c>
      <c r="P29" t="str">
        <f>$P$6</f>
        <v>Schottland</v>
      </c>
      <c r="Q29" s="308">
        <f>SUMIFS($H$4:$H$9,$B$4:$B$9,$P29,$D$4:$D$9,"&lt;&gt;"&amp;$P$31)+SUMIFS($I$4:$I$9,$B$4:$B$9,"&lt;&gt;"&amp;$P$31,$D$4:$D$9,$P29)</f>
        <v>1</v>
      </c>
      <c r="R29" s="308">
        <f>S29-T29</f>
        <v>-2</v>
      </c>
      <c r="S29" s="308">
        <f>SUMIFS($E$4:$E$9,$B$4:$B$9,$P29,$D$4:$D$9,"&lt;&gt;"&amp;$P$31)+SUMIFS($G$4:$G$9,$B$4:$B$9,"&lt;&gt;"&amp;$P$31,$D$4:$D$9,$P29)</f>
        <v>0</v>
      </c>
      <c r="T29" s="308">
        <f>SUMIFS($G$4:$G$9,$B$4:$B$9,$P29,$D$4:$D$9,"&lt;&gt;"&amp;$P$31)+SUMIFS($E$4:$E$9,$B$4:$B$9,"&lt;&gt;"&amp;$P$31,$D$4:$D$9,$P29)</f>
        <v>2</v>
      </c>
      <c r="U29" s="308"/>
      <c r="V29" s="248">
        <f>Q29*FactorPts+(GDzero+R29)*FactorGD+S29*FactorFor</f>
        <v>10048000</v>
      </c>
      <c r="W29" s="308">
        <f>_xlfn.RANK.EQ(V29,V$28:V$30,1)</f>
        <v>1</v>
      </c>
      <c r="X29" s="308">
        <f>IF(AND($Q$4=$Q$6,$Q$4=$Q$7,$Q$4&lt;&gt;$Q$5),W29,0)</f>
        <v>0</v>
      </c>
      <c r="Y29" s="308" t="str">
        <f>IF(AND(V29=V28,V29&lt;&gt;V30),IF(AA29&gt;AA28,3,IF(AA29=AA28,1,0)),IF(AND(V29=V30,V29&lt;&gt;V28),IF(AC29&gt;AC30,3,IF(AC29=AC30,1,0)),""))</f>
        <v/>
      </c>
      <c r="Z29" s="307" t="str">
        <f t="shared" ref="Z29:Z30" si="15">IF(X29&gt;0,Y29,"")</f>
        <v/>
      </c>
      <c r="AA29" s="236">
        <f>$H$20</f>
        <v>0</v>
      </c>
      <c r="AB29" s="307"/>
      <c r="AC29" s="310">
        <f>$K$20</f>
        <v>0</v>
      </c>
      <c r="AD29" s="307">
        <f>IF(AND($AF$16,$AD$4=$AD$6,$AD$4=$AD$7,$AD$4&lt;&gt;$AD$5),W29,0)</f>
        <v>0</v>
      </c>
      <c r="AE29" s="307" t="str">
        <f t="shared" ref="AE29:AE30" si="16">IF(AD29&gt;0,Y29,"")</f>
        <v/>
      </c>
    </row>
    <row r="30" spans="2:31" x14ac:dyDescent="0.25">
      <c r="O30" s="308" t="s">
        <v>34</v>
      </c>
      <c r="P30" t="str">
        <f>$P$7</f>
        <v>Tschechien</v>
      </c>
      <c r="Q30" s="308">
        <f>SUMIFS($H$4:$H$9,$B$4:$B$9,$P30,$D$4:$D$9,"&lt;&gt;"&amp;$P$31)+SUMIFS($I$4:$I$9,$B$4:$B$9,"&lt;&gt;"&amp;$P$31,$D$4:$D$9,$P30)</f>
        <v>3</v>
      </c>
      <c r="R30" s="308">
        <f>S30-T30</f>
        <v>1</v>
      </c>
      <c r="S30" s="308">
        <f>SUMIFS($E$4:$E$9,$B$4:$B$9,$P30,$D$4:$D$9,"&lt;&gt;"&amp;$P$31)+SUMIFS($G$4:$G$9,$B$4:$B$9,"&lt;&gt;"&amp;$P$31,$D$4:$D$9,$P30)</f>
        <v>2</v>
      </c>
      <c r="T30" s="308">
        <f>SUMIFS($G$4:$G$9,$B$4:$B$9,$P30,$D$4:$D$9,"&lt;&gt;"&amp;$P$31)+SUMIFS($E$4:$E$9,$B$4:$B$9,"&lt;&gt;"&amp;$P$31,$D$4:$D$9,$P30)</f>
        <v>1</v>
      </c>
      <c r="U30" s="308"/>
      <c r="V30" s="248">
        <f>Q30*FactorPts+(GDzero+R30)*FactorGD+S30*FactorFor</f>
        <v>30051020</v>
      </c>
      <c r="W30" s="308">
        <f>_xlfn.RANK.EQ(V30,V$28:V$30,1)</f>
        <v>2</v>
      </c>
      <c r="X30" s="308">
        <f>IF(AND($Q$4=$Q$6,$Q$4=$Q$7,$Q$4&lt;&gt;$Q$5),W30,0)</f>
        <v>0</v>
      </c>
      <c r="Y30" s="308" t="str">
        <f>IF(AND(V30=V28,V30&lt;&gt;V29),IF(AB30&gt;AB28,3,IF(AB30=AB28,1,0)),IF(AND(V30=V29,V30&lt;&gt;V28),IF(AC30&gt;AC29,3,IF(AC30=AC29,1,0)),""))</f>
        <v/>
      </c>
      <c r="Z30" s="307" t="str">
        <f t="shared" si="15"/>
        <v/>
      </c>
      <c r="AA30" s="236"/>
      <c r="AB30" s="307">
        <f>$H$21</f>
        <v>0</v>
      </c>
      <c r="AC30" s="310">
        <f>$J$21</f>
        <v>2</v>
      </c>
      <c r="AD30" s="307">
        <f>IF(AND($AF$16,$AD$4=$AD$6,$AD$4=$AD$7,$AD$4&lt;&gt;$AD$5),W30,0)</f>
        <v>0</v>
      </c>
      <c r="AE30" s="307" t="str">
        <f t="shared" si="16"/>
        <v/>
      </c>
    </row>
    <row r="31" spans="2:31" x14ac:dyDescent="0.25">
      <c r="P31" s="33" t="str">
        <f>$P$5</f>
        <v>Kroatien</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Kroatien</v>
      </c>
      <c r="Q33" s="308">
        <f>SUMIFS($H$4:$H$9,$B$4:$B$9,$P33,$D$4:$D$9,"&lt;&gt;"&amp;$P$36)+SUMIFS($I$4:$I$9,$B$4:$B$9,"&lt;&gt;"&amp;$P$36,$D$4:$D$9,$P33)</f>
        <v>4</v>
      </c>
      <c r="R33" s="308">
        <f>S33-T33</f>
        <v>2</v>
      </c>
      <c r="S33" s="308">
        <f>SUMIFS($E$4:$E$9,$B$4:$B$9,$P33,$D$4:$D$9,"&lt;&gt;"&amp;$P$36)+SUMIFS($G$4:$G$9,$B$4:$B$9,"&lt;&gt;"&amp;$P$36,$D$4:$D$9,$P33)</f>
        <v>4</v>
      </c>
      <c r="T33" s="308">
        <f>SUMIFS($G$4:$G$9,$B$4:$B$9,$P33,$D$4:$D$9,"&lt;&gt;"&amp;$P$36)+SUMIFS($E$4:$E$9,$B$4:$B$9,"&lt;&gt;"&amp;$P$36,$D$4:$D$9,$P33)</f>
        <v>2</v>
      </c>
      <c r="U33" s="308"/>
      <c r="V33" s="248">
        <f>Q33*FactorPts+(GDzero+R33)*FactorGD+S33*FactorFor</f>
        <v>40052040</v>
      </c>
      <c r="W33" s="308">
        <f>RANK(V33,V$33:V$35,1)</f>
        <v>3</v>
      </c>
      <c r="X33" s="308">
        <f>IF(AND($Q$5=$Q$6,$Q$5=$Q$7,$Q$5&lt;&gt;$Q$4),W33,0)</f>
        <v>0</v>
      </c>
      <c r="Y33" s="308" t="str">
        <f>IF(AND(V33=V34,V33&lt;&gt;V35),IF(AA33&gt;AA34,3,IF(AA33=AA34,1,0)),IF(AND(V33=V35,V33&lt;&gt;V34),IF(AB33&gt;AB35,3,IF(AB33=AB35,1,0)),""))</f>
        <v/>
      </c>
      <c r="Z33" s="307" t="str">
        <f>IF(X33&gt;0,Y33,"")</f>
        <v/>
      </c>
      <c r="AA33" s="236">
        <f>$J$19</f>
        <v>3</v>
      </c>
      <c r="AB33" s="307">
        <f>$K$19</f>
        <v>1</v>
      </c>
      <c r="AC33" s="310"/>
      <c r="AD33" s="307">
        <f>IF(AND($AF$16,$AD$5=$AD$6,$AD$5=$AD$7,$AD$5&lt;&gt;$AD$4),W33,0)</f>
        <v>0</v>
      </c>
      <c r="AE33" s="307" t="str">
        <f>IF(AD33&gt;0,Y33,"")</f>
        <v/>
      </c>
    </row>
    <row r="34" spans="15:31" x14ac:dyDescent="0.25">
      <c r="O34" s="308" t="s">
        <v>33</v>
      </c>
      <c r="P34" t="str">
        <f>$P$6</f>
        <v>Schottland</v>
      </c>
      <c r="Q34" s="308">
        <f>SUMIFS($H$4:$H$9,$B$4:$B$9,$P34,$D$4:$D$9,"&lt;&gt;"&amp;$P$36)+SUMIFS($I$4:$I$9,$B$4:$B$9,"&lt;&gt;"&amp;$P$36,$D$4:$D$9,$P34)</f>
        <v>0</v>
      </c>
      <c r="R34" s="308">
        <f>S34-T34</f>
        <v>-4</v>
      </c>
      <c r="S34" s="308">
        <f>SUMIFS($E$4:$E$9,$B$4:$B$9,$P34,$D$4:$D$9,"&lt;&gt;"&amp;$P$36)+SUMIFS($G$4:$G$9,$B$4:$B$9,"&lt;&gt;"&amp;$P$36,$D$4:$D$9,$P34)</f>
        <v>1</v>
      </c>
      <c r="T34" s="308">
        <f>SUMIFS($G$4:$G$9,$B$4:$B$9,$P34,$D$4:$D$9,"&lt;&gt;"&amp;$P$36)+SUMIFS($E$4:$E$9,$B$4:$B$9,"&lt;&gt;"&amp;$P$36,$D$4:$D$9,$P34)</f>
        <v>5</v>
      </c>
      <c r="U34" s="308"/>
      <c r="V34" s="248">
        <f>Q34*FactorPts+(GDzero+R34)*FactorGD+S34*FactorFor</f>
        <v>46010</v>
      </c>
      <c r="W34" s="308">
        <f>RANK(V34,V$33:V$35,1)</f>
        <v>1</v>
      </c>
      <c r="X34" s="308">
        <f>IF(AND($Q$5=$Q$6,$Q$5=$Q$7,$Q$5&lt;&gt;$Q$4),W34,0)</f>
        <v>0</v>
      </c>
      <c r="Y34" s="308" t="str">
        <f>IF(AND(V34=V33,V34&lt;&gt;V35),IF(AA34&gt;AA33,3,IF(AA34=AA33,1,0)),IF(AND(V34=V35,V34&lt;&gt;V33),IF(AC34&gt;AC35,3,IF(AC34=AC35,1,0)),""))</f>
        <v/>
      </c>
      <c r="Z34" s="307" t="str">
        <f t="shared" ref="Z34:Z35" si="17">IF(X34&gt;0,Y34,"")</f>
        <v/>
      </c>
      <c r="AA34" s="236">
        <f>$I$20</f>
        <v>1</v>
      </c>
      <c r="AB34" s="307"/>
      <c r="AC34" s="310">
        <f>$K$20</f>
        <v>0</v>
      </c>
      <c r="AD34" s="307">
        <f>IF(AND($AF$16,$AD$5=$AD$6,$AD$5=$AD$7,$AD$5&lt;&gt;$AD$4),W34,0)</f>
        <v>0</v>
      </c>
      <c r="AE34" s="307" t="str">
        <f t="shared" ref="AE34:AE35" si="18">IF(AD34&gt;0,Y34,"")</f>
        <v/>
      </c>
    </row>
    <row r="35" spans="15:31" ht="15.75" thickBot="1" x14ac:dyDescent="0.3">
      <c r="O35" s="308" t="s">
        <v>34</v>
      </c>
      <c r="P35" t="str">
        <f>$P$7</f>
        <v>Tschechien</v>
      </c>
      <c r="Q35" s="308">
        <f>SUMIFS($H$4:$H$9,$B$4:$B$9,$P35,$D$4:$D$9,"&lt;&gt;"&amp;$P$36)+SUMIFS($I$4:$I$9,$B$4:$B$9,"&lt;&gt;"&amp;$P$36,$D$4:$D$9,$P35)</f>
        <v>4</v>
      </c>
      <c r="R35" s="308">
        <f>S35-T35</f>
        <v>2</v>
      </c>
      <c r="S35" s="308">
        <f>SUMIFS($E$4:$E$9,$B$4:$B$9,$P35,$D$4:$D$9,"&lt;&gt;"&amp;$P$36)+SUMIFS($G$4:$G$9,$B$4:$B$9,"&lt;&gt;"&amp;$P$36,$D$4:$D$9,$P35)</f>
        <v>3</v>
      </c>
      <c r="T35" s="308">
        <f>SUMIFS($G$4:$G$9,$B$4:$B$9,$P35,$D$4:$D$9,"&lt;&gt;"&amp;$P$36)+SUMIFS($E$4:$E$9,$B$4:$B$9,"&lt;&gt;"&amp;$P$36,$D$4:$D$9,$P35)</f>
        <v>1</v>
      </c>
      <c r="U35" s="308"/>
      <c r="V35" s="248">
        <f>Q35*FactorPts+(GDzero+R35)*FactorGD+S35*FactorFor</f>
        <v>40052030</v>
      </c>
      <c r="W35" s="308">
        <f>RANK(V35,V$33:V$35,1)</f>
        <v>2</v>
      </c>
      <c r="X35" s="308">
        <f>IF(AND($Q$5=$Q$6,$Q$5=$Q$7,$Q$5&lt;&gt;$Q$4),W35,0)</f>
        <v>0</v>
      </c>
      <c r="Y35" s="308" t="str">
        <f>IF(AND(V35=V33,V35&lt;&gt;V34),IF(AB35&gt;AB33,3,IF(AB35=AB33,1,0)),IF(AND(V35=V34,V35&lt;&gt;V33),IF(AC35&gt;AC34,3,IF(AC35=AC34,1,0)),""))</f>
        <v/>
      </c>
      <c r="Z35" s="307" t="str">
        <f t="shared" si="17"/>
        <v/>
      </c>
      <c r="AA35" s="237"/>
      <c r="AB35" s="238">
        <f>$I$21</f>
        <v>1</v>
      </c>
      <c r="AC35" s="239">
        <f>$J$21</f>
        <v>2</v>
      </c>
      <c r="AD35" s="307">
        <f>IF(AND($AF$16,$AD$5=$AD$6,$AD$5=$AD$7,$AD$5&lt;&gt;$AD$4),W35,0)</f>
        <v>0</v>
      </c>
      <c r="AE35" s="307" t="str">
        <f t="shared" si="18"/>
        <v/>
      </c>
    </row>
    <row r="36" spans="15:31" x14ac:dyDescent="0.25">
      <c r="P36" s="33" t="str">
        <f>$P$4</f>
        <v>England</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314B2-2753-4F21-864F-F0C654E41A48}">
  <sheetPr codeName="Tabelle12"/>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42578125" customWidth="1"/>
  </cols>
  <sheetData>
    <row r="1" spans="1:33" ht="23.25" x14ac:dyDescent="0.35">
      <c r="A1" s="47"/>
      <c r="B1" s="191" t="s">
        <v>202</v>
      </c>
      <c r="C1" s="380" t="s">
        <v>28</v>
      </c>
      <c r="D1" s="46"/>
      <c r="O1" s="329"/>
      <c r="Q1" s="192"/>
    </row>
    <row r="2" spans="1:33" ht="8.25" customHeight="1" x14ac:dyDescent="0.25">
      <c r="O2" s="329"/>
    </row>
    <row r="3" spans="1:33" x14ac:dyDescent="0.25">
      <c r="B3" s="483" t="s">
        <v>194</v>
      </c>
      <c r="C3" s="483"/>
      <c r="D3" s="483"/>
      <c r="E3" s="483" t="s">
        <v>195</v>
      </c>
      <c r="F3" s="483"/>
      <c r="G3" s="483"/>
      <c r="H3" s="483" t="s">
        <v>190</v>
      </c>
      <c r="I3" s="483"/>
      <c r="J3" s="483" t="s">
        <v>895</v>
      </c>
      <c r="K3" s="483"/>
      <c r="L3" s="483"/>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Spanien</v>
      </c>
      <c r="C4" s="226" t="s">
        <v>36</v>
      </c>
      <c r="D4" s="227" t="str">
        <f>INDEX(EURO!$B$13:$R$40,1,2+(CODE($C$1)-65)*3)</f>
        <v>Schweden</v>
      </c>
      <c r="E4" s="225">
        <f>IF(OR(INDEX(EURO!$B$14:$R$41,1,1+(CODE($C$1)-65)*3)="",INDEX(EURO!$B$14:$R$41,1,2+(CODE($C$1)-65)*3)=""),"",INDEX(EURO!$B$14:$R$41,1,1+(CODE($C$1)-65)*3))</f>
        <v>0</v>
      </c>
      <c r="F4" s="226" t="s">
        <v>36</v>
      </c>
      <c r="G4" s="231">
        <f>IF(OR(INDEX(EURO!$B$14:$R$41,1,1+(CODE($C$1)-65)*3)="",INDEX(EURO!$B$14:$R$41,1,2+(CODE($C$1)-65)*3)=""),"",INDEX(EURO!$B$14:$R$41,1,2+(CODE($C$1)-65)*3))</f>
        <v>0</v>
      </c>
      <c r="H4" s="329">
        <f t="shared" ref="H4:H9" si="0">IF($M4&gt;0,IF($E4&gt;$G4,3,IF($E4=$G4,1,0)),0)</f>
        <v>1</v>
      </c>
      <c r="I4" s="329">
        <f t="shared" ref="I4:I9" si="1">IF($M4&gt;0,IF($E4&lt;$G4,3,IF($E4=$G4,1,0)),0)</f>
        <v>1</v>
      </c>
      <c r="L4" s="34"/>
      <c r="M4" s="329">
        <f t="shared" ref="M4:M9" si="2">IF(AND($E4&lt;&gt;"",$G4&lt;&gt;""),1,0)</f>
        <v>1</v>
      </c>
      <c r="N4" s="329"/>
      <c r="O4" s="329" t="s">
        <v>32</v>
      </c>
      <c r="P4" s="43" t="str">
        <f>VLOOKUP($C$1&amp;1,Groups!$B$7:$D$35,3,0)</f>
        <v>Spanien</v>
      </c>
      <c r="Q4" s="329">
        <f>SUMIF($B$4:$B$9,P4,$H$4:$H$9)+SUMIF($D$4:$D$9,P4,$I$4:$I$9)</f>
        <v>5</v>
      </c>
      <c r="R4" s="329">
        <f>S4-T4</f>
        <v>5</v>
      </c>
      <c r="S4" s="329">
        <f>SUMIF($B$4:$B$9,$P4,$E$4:$E$9)+SUMIF($D$4:$D$9,$P4,$G$4:$G$9)</f>
        <v>6</v>
      </c>
      <c r="T4" s="329">
        <f>SUMIF($B$4:$B$9,$P4,$G$4:$G$9)+SUMIF($D$4:$D$9,$P4,$E$4:$E$9)</f>
        <v>1</v>
      </c>
      <c r="U4" s="308">
        <f>COUNTIFS($B$4:$B$9,$P4,$H$4:$H$9,"=3")+COUNTIFS($D$4:$D$9,$P4,$I$4:$I$9,"=3")</f>
        <v>1</v>
      </c>
      <c r="V4" s="351">
        <f>$Q4*FactorPts+(GDzero+$R4)*FactorGD+$S4*FactorFor+$U4*FactorWins+$W4*FactorDirC3+$X4*FactorDirC2+$Y4*FactorDirC43+$Z4*FactorDirC42+$AA4*FactorDirC42+$AB4*FactorFairPlay+$AE4*FactorPenalty+(100-$AF4)*($M$10&gt;0)*FactorRank+(8-ROW())*FactorRow</f>
        <v>50055060.001095407</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50055060</v>
      </c>
      <c r="AE4" s="308">
        <f>IF(OR(AND($Y$11&gt;0,OR(AND($B$8=$P4,$J$8&gt;$L$8),AND($D$8=$P4,$J$8&lt;$L$8))),AND($Y$12&gt;0,OR(AND($B$9=$P4,$J$9&gt;$L$9),AND($D$9=$P4,$J$9&lt;$L$9)))),1,0)</f>
        <v>0</v>
      </c>
      <c r="AF4" s="308">
        <f>INDEX(Language!$D$5:$D$59,MATCH($P4,Language!$E$5:$E$59,0),1)</f>
        <v>5</v>
      </c>
      <c r="AG4" s="308"/>
    </row>
    <row r="5" spans="1:33" x14ac:dyDescent="0.25">
      <c r="B5" s="230" t="str">
        <f>INDEX(EURO!$B$13:$R$40,6,1+(CODE($C$1)-65)*3)</f>
        <v>Polen</v>
      </c>
      <c r="C5" s="229" t="s">
        <v>36</v>
      </c>
      <c r="D5" s="230" t="str">
        <f>INDEX(EURO!$B$13:$R$40,6,2+(CODE($C$1)-65)*3)</f>
        <v>Slowakei</v>
      </c>
      <c r="E5" s="228">
        <f>IF(OR(INDEX(EURO!$B$14:$R$41,6,1+(CODE($C$1)-65)*3)="",INDEX(EURO!$B$14:$R$41,6,2+(CODE($C$1)-65)*3)=""),"",INDEX(EURO!$B$14:$R$41,6,1+(CODE($C$1)-65)*3))</f>
        <v>1</v>
      </c>
      <c r="F5" s="229" t="s">
        <v>36</v>
      </c>
      <c r="G5" s="232">
        <f>IF(OR(INDEX(EURO!$B$14:$R$41,6,1+(CODE($C$1)-65)*3)="",INDEX(EURO!$B$14:$R$41,6,2+(CODE($C$1)-65)*3)=""),"",INDEX(EURO!$B$14:$R$41,6,2+(CODE($C$1)-65)*3))</f>
        <v>2</v>
      </c>
      <c r="H5" s="329">
        <f t="shared" si="0"/>
        <v>0</v>
      </c>
      <c r="I5" s="329">
        <f t="shared" si="1"/>
        <v>3</v>
      </c>
      <c r="L5" s="34"/>
      <c r="M5" s="329">
        <f t="shared" si="2"/>
        <v>1</v>
      </c>
      <c r="N5" s="329"/>
      <c r="O5" s="329" t="s">
        <v>33</v>
      </c>
      <c r="P5" s="43" t="str">
        <f>VLOOKUP($C$1&amp;2,Groups!$B$7:$D$35,3,0)</f>
        <v>Schweden</v>
      </c>
      <c r="Q5" s="329">
        <f t="shared" ref="Q5:Q7" si="3">SUMIF($B$4:$B$9,P5,$H$4:$H$9)+SUMIF($D$4:$D$9,P5,$I$4:$I$9)</f>
        <v>7</v>
      </c>
      <c r="R5" s="329">
        <f>S5-T5</f>
        <v>2</v>
      </c>
      <c r="S5" s="329">
        <f>SUMIF($B$4:$B$9,$P5,$E$4:$E$9)+SUMIF($D$4:$D$9,$P5,$G$4:$G$9)</f>
        <v>4</v>
      </c>
      <c r="T5" s="329">
        <f>SUMIF($B$4:$B$9,$P5,$G$4:$G$9)+SUMIF($D$4:$D$9,$P5,$E$4:$E$9)</f>
        <v>2</v>
      </c>
      <c r="U5" s="308">
        <f t="shared" ref="U5:U7" si="4">COUNTIFS($B$4:$B$9,$P5,$H$4:$H$9,"=3")+COUNTIFS($D$4:$D$9,$P5,$I$4:$I$9,"=3")</f>
        <v>2</v>
      </c>
      <c r="V5" s="351">
        <f>$Q5*FactorPts+(GDzero+$R5)*FactorGD+$S5*FactorFor+$U5*FactorWins+$W5*FactorDirC3+$X5*FactorDirC2+$Y5*FactorDirC43+$Z5*FactorDirC42+$AA5*FactorDirC42+$AB5*FactorFairPlay+$AE5*FactorPenalty+(100-$AF5)*($M$10&gt;0)*FactorRank+(8-ROW())*FactorRow</f>
        <v>70052040.002083302</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70052040</v>
      </c>
      <c r="AE5" s="308">
        <f>IF(OR(AND($Y$11&gt;0,OR(AND($B$8=$P5,$J$8&gt;$L$8),AND($D$8=$P5,$J$8&lt;$L$8))),AND($Y$12&gt;0,OR(AND($B$9=$P5,$J$9&gt;$L$9),AND($D$9=$P5,$J$9&lt;$L$9)))),1,0)</f>
        <v>0</v>
      </c>
      <c r="AF5" s="308">
        <f>INDEX(Language!$D$5:$D$59,MATCH($P5,Language!$E$5:$E$59,0),1)</f>
        <v>17</v>
      </c>
    </row>
    <row r="6" spans="1:33" x14ac:dyDescent="0.25">
      <c r="B6" s="230" t="str">
        <f>INDEX(EURO!$B$13:$R$40,11,1+(CODE($C$1)-65)*3)</f>
        <v>Spanien</v>
      </c>
      <c r="C6" s="229" t="s">
        <v>36</v>
      </c>
      <c r="D6" s="230" t="str">
        <f>INDEX(EURO!$B$13:$R$40,11,2+(CODE($C$1)-65)*3)</f>
        <v>Polen</v>
      </c>
      <c r="E6" s="228">
        <f>IF(OR(INDEX(EURO!$B$14:$R$41,11,1+(CODE($C$1)-65)*3)="",INDEX(EURO!$B$14:$R$41,11,2+(CODE($C$1)-65)*3)=""),"",INDEX(EURO!$B$14:$R$41,11,1+(CODE($C$1)-65)*3))</f>
        <v>1</v>
      </c>
      <c r="F6" s="229" t="s">
        <v>36</v>
      </c>
      <c r="G6" s="232">
        <f>IF(OR(INDEX(EURO!$B$14:$R$41,11,1+(CODE($C$1)-65)*3)="",INDEX(EURO!$B$14:$R$41,11,2+(CODE($C$1)-65)*3)=""),"",INDEX(EURO!$B$14:$R$41,11,2+(CODE($C$1)-65)*3))</f>
        <v>1</v>
      </c>
      <c r="H6" s="329">
        <f t="shared" si="0"/>
        <v>1</v>
      </c>
      <c r="I6" s="329">
        <f t="shared" si="1"/>
        <v>1</v>
      </c>
      <c r="L6" s="34"/>
      <c r="M6" s="329">
        <f t="shared" si="2"/>
        <v>1</v>
      </c>
      <c r="N6" s="329"/>
      <c r="O6" s="329" t="s">
        <v>34</v>
      </c>
      <c r="P6" s="43" t="str">
        <f>VLOOKUP($C$1&amp;3,Groups!$B$7:$D$35,3,0)</f>
        <v>Polen</v>
      </c>
      <c r="Q6" s="329">
        <f t="shared" si="3"/>
        <v>1</v>
      </c>
      <c r="R6" s="329">
        <f>S6-T6</f>
        <v>-2</v>
      </c>
      <c r="S6" s="329">
        <f>SUMIF($B$4:$B$9,$P6,$E$4:$E$9)+SUMIF($D$4:$D$9,$P6,$G$4:$G$9)</f>
        <v>4</v>
      </c>
      <c r="T6" s="329">
        <f>SUMIF($B$4:$B$9,$P6,$G$4:$G$9)+SUMIF($D$4:$D$9,$P6,$E$4:$E$9)</f>
        <v>6</v>
      </c>
      <c r="U6" s="308">
        <f t="shared" si="4"/>
        <v>0</v>
      </c>
      <c r="V6" s="351">
        <f>$Q6*FactorPts+(GDzero+$R6)*FactorGD+$S6*FactorFor+$U6*FactorWins+$W6*FactorDirC3+$X6*FactorDirC2+$Y6*FactorDirC43+$Z6*FactorDirC42+$AA6*FactorDirC42+$AB6*FactorFairPlay+$AE6*FactorPenalty+(100-$AF6)*($M$10&gt;0)*FactorRank+(8-ROW())*FactorRow</f>
        <v>10048040.000092199</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10048040</v>
      </c>
      <c r="AE6" s="308">
        <f>IF(OR(AND($Y$11&gt;0,OR(AND($B$8=$P6,$J$8&gt;$L$8),AND($D$8=$P6,$J$8&lt;$L$8))),AND($Y$12&gt;0,OR(AND($B$9=$P6,$J$9&gt;$L$9),AND($D$9=$P6,$J$9&lt;$L$9)))),1,0)</f>
        <v>0</v>
      </c>
      <c r="AF6" s="308">
        <f>INDEX(Language!$D$5:$D$59,MATCH($P6,Language!$E$5:$E$59,0),1)</f>
        <v>8</v>
      </c>
    </row>
    <row r="7" spans="1:33" x14ac:dyDescent="0.25">
      <c r="B7" s="230" t="str">
        <f>INDEX(EURO!$B$13:$R$40,16,1+(CODE($C$1)-65)*3)</f>
        <v>Schweden</v>
      </c>
      <c r="C7" s="229" t="s">
        <v>36</v>
      </c>
      <c r="D7" s="230" t="str">
        <f>INDEX(EURO!$B$13:$R$40,16,2+(CODE($C$1)-65)*3)</f>
        <v>Slowakei</v>
      </c>
      <c r="E7" s="228">
        <f>IF(OR(INDEX(EURO!$B$14:$R$41,16,1+(CODE($C$1)-65)*3)="",INDEX(EURO!$B$14:$R$41,16,2+(CODE($C$1)-65)*3)=""),"",INDEX(EURO!$B$14:$R$41,16,1+(CODE($C$1)-65)*3))</f>
        <v>1</v>
      </c>
      <c r="F7" s="229" t="s">
        <v>36</v>
      </c>
      <c r="G7" s="232">
        <f>IF(OR(INDEX(EURO!$B$14:$R$41,16,1+(CODE($C$1)-65)*3)="",INDEX(EURO!$B$14:$R$41,16,2+(CODE($C$1)-65)*3)=""),"",INDEX(EURO!$B$14:$R$41,16,2+(CODE($C$1)-65)*3))</f>
        <v>0</v>
      </c>
      <c r="H7" s="329">
        <f t="shared" si="0"/>
        <v>3</v>
      </c>
      <c r="I7" s="329">
        <f t="shared" si="1"/>
        <v>0</v>
      </c>
      <c r="L7" s="34"/>
      <c r="M7" s="329">
        <f t="shared" si="2"/>
        <v>1</v>
      </c>
      <c r="N7" s="329"/>
      <c r="O7" s="329" t="s">
        <v>35</v>
      </c>
      <c r="P7" s="43" t="str">
        <f>VLOOKUP($C$1&amp;4,Groups!$B$7:$D$35,3,0)</f>
        <v>Slowakei</v>
      </c>
      <c r="Q7" s="329">
        <f t="shared" si="3"/>
        <v>3</v>
      </c>
      <c r="R7" s="329">
        <f>S7-T7</f>
        <v>-5</v>
      </c>
      <c r="S7" s="329">
        <f>SUMIF($B$4:$B$9,$P7,$E$4:$E$9)+SUMIF($D$4:$D$9,$P7,$G$4:$G$9)</f>
        <v>2</v>
      </c>
      <c r="T7" s="329">
        <f>SUMIF($B$4:$B$9,$P7,$G$4:$G$9)+SUMIF($D$4:$D$9,$P7,$E$4:$E$9)</f>
        <v>7</v>
      </c>
      <c r="U7" s="308">
        <f t="shared" si="4"/>
        <v>1</v>
      </c>
      <c r="V7" s="351">
        <f>$Q7*FactorPts+(GDzero+$R7)*FactorGD+$S7*FactorFor+$U7*FactorWins+$W7*FactorDirC3+$X7*FactorDirC2+$Y7*FactorDirC43+$Z7*FactorDirC42+$AA7*FactorDirC42+$AB7*FactorFairPlay+$AE7*FactorPenalty+(100-$AF7)*($M$10&gt;0)*FactorRank+(8-ROW())*FactorRow</f>
        <v>30045020.001078099</v>
      </c>
      <c r="W7" s="307">
        <f t="shared" si="5"/>
        <v>0</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30045020</v>
      </c>
      <c r="AE7" s="308">
        <f>IF(OR(AND($Y$11&gt;0,OR(AND($B$8=$P7,$J$8&gt;$L$8),AND($D$8=$P7,$J$8&lt;$L$8))),AND($Y$12&gt;0,OR(AND($B$9=$P7,$J$9&gt;$L$9),AND($D$9=$P7,$J$9&lt;$L$9)))),1,0)</f>
        <v>0</v>
      </c>
      <c r="AF7" s="308">
        <f>INDEX(Language!$D$5:$D$59,MATCH($P7,Language!$E$5:$E$59,0),1)</f>
        <v>22</v>
      </c>
    </row>
    <row r="8" spans="1:33" x14ac:dyDescent="0.25">
      <c r="B8" s="230" t="str">
        <f>INDEX(EURO!$B$13:$R$40,21,1+(CODE($C$1)-65)*3)</f>
        <v>Slowakei</v>
      </c>
      <c r="C8" s="229" t="s">
        <v>36</v>
      </c>
      <c r="D8" s="230" t="str">
        <f>INDEX(EURO!$B$13:$R$40,21,2+(CODE($C$1)-65)*3)</f>
        <v>Spanien</v>
      </c>
      <c r="E8" s="228">
        <f>IF(OR(INDEX(EURO!$B$14:$R$41,21,1+(CODE($C$1)-65)*3)="",INDEX(EURO!$B$14:$R$41,21,2+(CODE($C$1)-65)*3)=""),"",INDEX(EURO!$B$14:$R$41,21,1+(CODE($C$1)-65)*3))</f>
        <v>0</v>
      </c>
      <c r="F8" s="229" t="s">
        <v>36</v>
      </c>
      <c r="G8" s="232">
        <f>IF(OR(INDEX(EURO!$B$14:$R$41,21,1+(CODE($C$1)-65)*3)="",INDEX(EURO!$B$14:$R$41,21,2+(CODE($C$1)-65)*3)=""),"",INDEX(EURO!$B$14:$R$41,21,2+(CODE($C$1)-65)*3))</f>
        <v>5</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Schweden</v>
      </c>
      <c r="C9" s="229" t="s">
        <v>36</v>
      </c>
      <c r="D9" s="230" t="str">
        <f>INDEX(EURO!$B$13:$R$40,28,2+(CODE($C$1)-65)*3)</f>
        <v>Polen</v>
      </c>
      <c r="E9" s="228">
        <f>IF(OR(INDEX(EURO!$B$14:$R$41,28,1+(CODE($C$1)-65)*3)="",INDEX(EURO!$B$14:$R$41,28,2+(CODE($C$1)-65)*3)=""),"",INDEX(EURO!$B$14:$R$41,28,1+(CODE($C$1)-65)*3))</f>
        <v>3</v>
      </c>
      <c r="F9" s="229" t="s">
        <v>36</v>
      </c>
      <c r="G9" s="232">
        <f>IF(OR(INDEX(EURO!$B$14:$R$41,28,1+(CODE($C$1)-65)*3)="",INDEX(EURO!$B$14:$R$41,28,2+(CODE($C$1)-65)*3)=""),"",INDEX(EURO!$B$14:$R$41,28,2+(CODE($C$1)-65)*3))</f>
        <v>2</v>
      </c>
      <c r="H9" s="329">
        <f t="shared" si="0"/>
        <v>3</v>
      </c>
      <c r="I9" s="329">
        <f t="shared" si="1"/>
        <v>0</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Schweden</v>
      </c>
      <c r="Q11" s="221">
        <f t="shared" si="8"/>
        <v>7</v>
      </c>
      <c r="R11" s="39">
        <f t="shared" si="8"/>
        <v>2</v>
      </c>
      <c r="S11" s="39">
        <f t="shared" si="8"/>
        <v>4</v>
      </c>
      <c r="T11" s="39">
        <f t="shared" si="8"/>
        <v>2</v>
      </c>
      <c r="U11" s="39">
        <f t="shared" ref="U11:U12" si="9">INDEX(U$4:U$7,MATCH($V11,$V$4:$V$7,0))</f>
        <v>2</v>
      </c>
      <c r="V11" s="352">
        <f>LARGE($V$4:$V$7,ROW(A1))</f>
        <v>70052040.002083302</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Spanien</v>
      </c>
      <c r="Q12" s="222">
        <f t="shared" si="8"/>
        <v>5</v>
      </c>
      <c r="R12" s="355">
        <f t="shared" si="8"/>
        <v>5</v>
      </c>
      <c r="S12" s="329">
        <f t="shared" si="8"/>
        <v>6</v>
      </c>
      <c r="T12" s="329">
        <f t="shared" si="8"/>
        <v>1</v>
      </c>
      <c r="U12" s="328">
        <f t="shared" si="9"/>
        <v>1</v>
      </c>
      <c r="V12" s="353">
        <f>LARGE($V$4:$V$7,ROW(A2))</f>
        <v>50055060.001095407</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Slowakei</v>
      </c>
      <c r="Q13" s="222">
        <f t="shared" si="8"/>
        <v>3</v>
      </c>
      <c r="R13" s="355">
        <f t="shared" si="8"/>
        <v>-5</v>
      </c>
      <c r="S13" s="329">
        <f t="shared" si="8"/>
        <v>2</v>
      </c>
      <c r="T13" s="329">
        <f t="shared" si="8"/>
        <v>7</v>
      </c>
      <c r="U13" s="327">
        <f t="shared" ref="U13:U14" si="10">INDEX(U$4:U$7,MATCH($V13,$V$4:$V$7,0))</f>
        <v>1</v>
      </c>
      <c r="V13" s="353">
        <f>LARGE($V$4:$V$7,ROW(A3))</f>
        <v>30045020.001078099</v>
      </c>
      <c r="Z13" s="29"/>
      <c r="AA13" s="355"/>
      <c r="AB13" s="29"/>
      <c r="AC13" s="29"/>
      <c r="AD13" s="330"/>
      <c r="AE13" s="355"/>
    </row>
    <row r="14" spans="1:33" ht="15.75" thickBot="1" x14ac:dyDescent="0.3">
      <c r="B14" s="312"/>
      <c r="C14" s="312"/>
      <c r="D14" s="58"/>
      <c r="F14" s="329"/>
      <c r="G14" s="34"/>
      <c r="O14" s="37" t="s">
        <v>35</v>
      </c>
      <c r="P14" s="36" t="str">
        <f t="shared" si="8"/>
        <v>Polen</v>
      </c>
      <c r="Q14" s="223">
        <f t="shared" si="8"/>
        <v>1</v>
      </c>
      <c r="R14" s="35">
        <f t="shared" si="8"/>
        <v>-2</v>
      </c>
      <c r="S14" s="35">
        <f t="shared" si="8"/>
        <v>4</v>
      </c>
      <c r="T14" s="35">
        <f t="shared" si="8"/>
        <v>6</v>
      </c>
      <c r="U14" s="35">
        <f t="shared" si="10"/>
        <v>0</v>
      </c>
      <c r="V14" s="354">
        <f>LARGE($V$4:$V$7,ROW(A4))</f>
        <v>10048040.000092199</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8" t="s">
        <v>463</v>
      </c>
      <c r="H16" s="488"/>
      <c r="I16" s="488"/>
      <c r="J16" s="488"/>
      <c r="K16" s="488"/>
      <c r="L16" s="488"/>
      <c r="M16" s="64"/>
      <c r="N16" s="64"/>
      <c r="O16" s="329"/>
      <c r="W16" s="479" t="s">
        <v>464</v>
      </c>
      <c r="X16" s="479"/>
      <c r="Y16" s="479"/>
      <c r="Z16" s="479"/>
      <c r="AD16" s="479" t="s">
        <v>465</v>
      </c>
      <c r="AE16" s="479"/>
      <c r="AF16" s="253" t="b">
        <f>AND($Q$4=$Q$5,$Q$4=$Q$6,$Q$4=$Q$7)</f>
        <v>0</v>
      </c>
    </row>
    <row r="17" spans="2:31" ht="16.5" thickTop="1" thickBot="1" x14ac:dyDescent="0.3">
      <c r="B17" s="312"/>
      <c r="C17" s="312"/>
      <c r="D17" s="311"/>
      <c r="E17" s="325"/>
      <c r="F17" s="325"/>
      <c r="G17" s="326"/>
      <c r="H17" s="39" t="str">
        <f>LEFT($P$4,3)</f>
        <v>Spa</v>
      </c>
      <c r="I17" s="39" t="str">
        <f>LEFT($P$5,3)</f>
        <v>Sch</v>
      </c>
      <c r="J17" s="39" t="str">
        <f>LEFT($P$6,3)</f>
        <v>Pol</v>
      </c>
      <c r="K17" s="114" t="str">
        <f>LEFT($P$7,3)</f>
        <v>Slo</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308"/>
      <c r="C18" s="308"/>
      <c r="D18" s="307"/>
      <c r="E18" s="484" t="str">
        <f>$P$4</f>
        <v>Spanien</v>
      </c>
      <c r="F18" s="485"/>
      <c r="G18" s="485"/>
      <c r="H18" s="113"/>
      <c r="I18" s="39">
        <f>SUMIFS($E$4:$E$9,$B$4:$B$9,$P$4,$D$4:$D$9,$P$5)+SUMIFS($G$4:$G$9,$B$4:$B$9,$P$5,$D$4:$D$9,$P$4)</f>
        <v>0</v>
      </c>
      <c r="J18" s="39">
        <f>SUMIFS($E$4:$E$9,$B$4:$B$9,$P$4,$D$4:$D$9,$P$6)+SUMIFS($G$4:$G$9,$B$4:$B$9,$P$6,$D$4:$D$9,$P$4)</f>
        <v>1</v>
      </c>
      <c r="K18" s="114">
        <f>SUMIFS($E$4:$E$9,$B$4:$B$9,$P$4,$D$4:$D$9,$P$7)+SUMIFS($G$4:$G$9,$B$4:$B$9,$P$7,$D$4:$D$9,$P$4)</f>
        <v>5</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Spanien</v>
      </c>
      <c r="Q18" s="308">
        <f>SUMIFS($H$4:$H$9,$B$4:$B$9,$P18,$D$4:$D$9,"&lt;&gt;"&amp;$P$21)+SUMIFS($I$4:$I$9,$B$4:$B$9,"&lt;&gt;"&amp;$P$21,$D$4:$D$9,$P18)</f>
        <v>2</v>
      </c>
      <c r="R18" s="308">
        <f>S18-T18</f>
        <v>0</v>
      </c>
      <c r="S18" s="308">
        <f>SUMIFS($E$4:$E$9,$B$4:$B$9,$P18,$D$4:$D$9,"&lt;&gt;"&amp;$P$21)+SUMIFS($G$4:$G$9,$B$4:$B$9,"&lt;&gt;"&amp;$P$21,$D$4:$D$9,$P18)</f>
        <v>1</v>
      </c>
      <c r="T18" s="308">
        <f>SUMIFS($G$4:$G$9,$B$4:$B$9,$P18,$D$4:$D$9,"&lt;&gt;"&amp;$P$21)+SUMIFS($E$4:$E$9,$B$4:$B$9,"&lt;&gt;"&amp;$P$21,$D$4:$D$9,$P18)</f>
        <v>1</v>
      </c>
      <c r="U18" s="308"/>
      <c r="V18" s="248">
        <f>Q18*FactorPts+(GDzero+R18)*FactorGD+S18*FactorFor</f>
        <v>20050010</v>
      </c>
      <c r="W18" s="308">
        <f>RANK(V18,V$18:V$20,1)</f>
        <v>2</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6" t="str">
        <f>$P$5</f>
        <v>Schweden</v>
      </c>
      <c r="F19" s="487"/>
      <c r="G19" s="487"/>
      <c r="H19" s="38">
        <f>SUMIFS($E$4:$E$9,$B$4:$B$9,$P$5,$D$4:$D$9,$P$4)+SUMIFS($G$4:$G$9,$B$4:$B$9,$P$4,$D$4:$D$9,$P$5)</f>
        <v>0</v>
      </c>
      <c r="I19" s="77"/>
      <c r="J19" s="307">
        <f>SUMIFS($E$4:$E$9,$B$4:$B$9,$P$5,$D$4:$D$9,$P$6)+SUMIFS($G$4:$G$9,$B$4:$B$9,$P$6,$D$4:$D$9,$P$5)</f>
        <v>3</v>
      </c>
      <c r="K19" s="56">
        <f>SUMIFS($E$4:$E$9,$B$4:$B$9,$P$5,$D$4:$D$9,$P$7)+SUMIFS($G$4:$G$9,$B$4:$B$9,$P$7,$D$4:$D$9,$P$5)</f>
        <v>1</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Schweden</v>
      </c>
      <c r="Q19" s="308">
        <f>SUMIFS($H$4:$H$9,$B$4:$B$9,$P19,$D$4:$D$9,"&lt;&gt;"&amp;$P$21)+SUMIFS($I$4:$I$9,$B$4:$B$9,"&lt;&gt;"&amp;$P$21,$D$4:$D$9,$P19)</f>
        <v>4</v>
      </c>
      <c r="R19" s="308">
        <f>S19-T19</f>
        <v>1</v>
      </c>
      <c r="S19" s="308">
        <f>SUMIFS($E$4:$E$9,$B$4:$B$9,$P19,$D$4:$D$9,"&lt;&gt;"&amp;$P$21)+SUMIFS($G$4:$G$9,$B$4:$B$9,"&lt;&gt;"&amp;$P$21,$D$4:$D$9,$P19)</f>
        <v>3</v>
      </c>
      <c r="T19" s="308">
        <f>SUMIFS($G$4:$G$9,$B$4:$B$9,$P19,$D$4:$D$9,"&lt;&gt;"&amp;$P$21)+SUMIFS($E$4:$E$9,$B$4:$B$9,"&lt;&gt;"&amp;$P$21,$D$4:$D$9,$P19)</f>
        <v>2</v>
      </c>
      <c r="U19" s="308"/>
      <c r="V19" s="248">
        <f>Q19*FactorPts+(GDzero+R19)*FactorGD+S19*FactorFor</f>
        <v>40051030</v>
      </c>
      <c r="W19" s="308">
        <f>RANK(V19,V$18:V$20,1)</f>
        <v>3</v>
      </c>
      <c r="X19" s="308">
        <f>IF(AND($Q$4=$Q$5,$Q$4=$Q$6,$Q$4&lt;&gt;$Q$7),W19,0)</f>
        <v>0</v>
      </c>
      <c r="Y19" s="308" t="str">
        <f>IF(AND(V19=V18,V19&lt;&gt;V20),IF(AA19&gt;AA18,3,IF(AA19=AA18,1,0)),IF(AND(V19=V20,V19&lt;&gt;V18),IF(AC19&gt;AC20,3,IF(AC19=AC20,1,0)),""))</f>
        <v/>
      </c>
      <c r="Z19" s="307" t="str">
        <f t="shared" ref="Z19:Z20" si="11">IF(X19&gt;0,Y19,"")</f>
        <v/>
      </c>
      <c r="AA19" s="236">
        <f>$H$19</f>
        <v>0</v>
      </c>
      <c r="AB19" s="307"/>
      <c r="AC19" s="310">
        <f>$J$19</f>
        <v>3</v>
      </c>
      <c r="AD19" s="307">
        <f>IF(AND($AF$16,$AD$4=$AD$5,$AD$4=$AD$6,$AD$4&lt;&gt;$AD$7),W19,0)</f>
        <v>0</v>
      </c>
      <c r="AE19" s="307" t="str">
        <f t="shared" ref="AE19:AE20" si="12">IF(AD19&gt;0,Y19,"")</f>
        <v/>
      </c>
    </row>
    <row r="20" spans="2:31" x14ac:dyDescent="0.25">
      <c r="D20" s="29"/>
      <c r="E20" s="486" t="str">
        <f>$P$6</f>
        <v>Polen</v>
      </c>
      <c r="F20" s="487"/>
      <c r="G20" s="487"/>
      <c r="H20" s="38">
        <f>SUMIFS($E$4:$E$9,$B$4:$B$9,$P$6,$D$4:$D$9,$P$4)+SUMIFS($G$4:$G$9,$B$4:$B$9,$P$4,$D$4:$D$9,$P$6)</f>
        <v>1</v>
      </c>
      <c r="I20" s="307">
        <f>SUMIFS($E$4:$E$9,$B$4:$B$9,$P$6,$D$4:$D$9,$P$5)+SUMIFS($G$4:$G$9,$B$4:$B$9,$P$5,$D$4:$D$9,$P$6)</f>
        <v>2</v>
      </c>
      <c r="J20" s="77"/>
      <c r="K20" s="56">
        <f>SUMIFS($E$4:$E$9,$B$4:$B$9,$P$6,$D$4:$D$9,$P$7)+SUMIFS($G$4:$G$9,$B$4:$B$9,$P$7,$D$4:$D$9,$P$6)</f>
        <v>1</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Polen</v>
      </c>
      <c r="Q20" s="308">
        <f>SUMIFS($H$4:$H$9,$B$4:$B$9,$P20,$D$4:$D$9,"&lt;&gt;"&amp;$P$21)+SUMIFS($I$4:$I$9,$B$4:$B$9,"&lt;&gt;"&amp;$P$21,$D$4:$D$9,$P20)</f>
        <v>1</v>
      </c>
      <c r="R20" s="308">
        <f>S20-T20</f>
        <v>-1</v>
      </c>
      <c r="S20" s="308">
        <f>SUMIFS($E$4:$E$9,$B$4:$B$9,$P20,$D$4:$D$9,"&lt;&gt;"&amp;$P$21)+SUMIFS($G$4:$G$9,$B$4:$B$9,"&lt;&gt;"&amp;$P$21,$D$4:$D$9,$P20)</f>
        <v>3</v>
      </c>
      <c r="T20" s="308">
        <f>SUMIFS($G$4:$G$9,$B$4:$B$9,$P20,$D$4:$D$9,"&lt;&gt;"&amp;$P$21)+SUMIFS($E$4:$E$9,$B$4:$B$9,"&lt;&gt;"&amp;$P$21,$D$4:$D$9,$P20)</f>
        <v>4</v>
      </c>
      <c r="U20" s="308"/>
      <c r="V20" s="248">
        <f>Q20*FactorPts+(GDzero+R20)*FactorGD+S20*FactorFor</f>
        <v>10049030</v>
      </c>
      <c r="W20" s="308">
        <f>RANK(V20,V$18:V$20,1)</f>
        <v>1</v>
      </c>
      <c r="X20" s="308">
        <f>IF(AND($Q$4=$Q$5,$Q$4=$Q$6,$Q$4&lt;&gt;$Q$7),W20,0)</f>
        <v>0</v>
      </c>
      <c r="Y20" s="308" t="str">
        <f>IF(AND(V20=V18,V20&lt;&gt;V19),IF(AB20&gt;AB18,3,IF(AB20=AB18,1,0)),IF(AND(V20=V19,V20&lt;&gt;V18),IF(AC20&gt;AC19,3,IF(AC20=AC19,1,0)),""))</f>
        <v/>
      </c>
      <c r="Z20" s="307" t="str">
        <f t="shared" si="11"/>
        <v/>
      </c>
      <c r="AA20" s="236"/>
      <c r="AB20" s="307">
        <f>$H$20</f>
        <v>1</v>
      </c>
      <c r="AC20" s="310">
        <f>$I$20</f>
        <v>2</v>
      </c>
      <c r="AD20" s="307">
        <f>IF(AND($AF$16,$AD$4=$AD$5,$AD$4=$AD$6,$AD$4&lt;&gt;$AD$7),W20,0)</f>
        <v>0</v>
      </c>
      <c r="AE20" s="307" t="str">
        <f t="shared" si="12"/>
        <v/>
      </c>
    </row>
    <row r="21" spans="2:31" ht="15.75" thickBot="1" x14ac:dyDescent="0.3">
      <c r="B21" s="48"/>
      <c r="C21" s="49"/>
      <c r="D21" s="50"/>
      <c r="E21" s="481" t="str">
        <f>$P$7</f>
        <v>Slowakei</v>
      </c>
      <c r="F21" s="482"/>
      <c r="G21" s="482"/>
      <c r="H21" s="37">
        <f>SUMIFS($E$4:$E$9,$B$4:$B$9,$P$7,$D$4:$D$9,$P$4)+SUMIFS($G$4:$G$9,$B$4:$B$9,$P$4,$D$4:$D$9,$P$7)</f>
        <v>0</v>
      </c>
      <c r="I21" s="35">
        <f>SUMIFS($E$4:$E$9,$B$4:$B$9,$P$7,$D$4:$D$9,$P$5)+SUMIFS($G$4:$G$9,$B$4:$B$9,$P$5,$D$4:$D$9,$P$7)</f>
        <v>0</v>
      </c>
      <c r="J21" s="35">
        <f>SUMIFS($E$4:$E$9,$B$4:$B$9,$P$7,$D$4:$D$9,$P$6)+SUMIFS($G$4:$G$9,$B$4:$B$9,$P$6,$D$4:$D$9,$P$7)</f>
        <v>2</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Slowakei</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Spanien</v>
      </c>
      <c r="Q23" s="308">
        <f>SUMIFS($H$4:$H$9,$B$4:$B$9,$P23,$D$4:$D$9,"&lt;&gt;"&amp;$P$26)+SUMIFS($I$4:$I$9,$B$4:$B$9,"&lt;&gt;"&amp;$P$26,$D$4:$D$9,$P23)</f>
        <v>4</v>
      </c>
      <c r="R23" s="308">
        <f>S23-T23</f>
        <v>5</v>
      </c>
      <c r="S23" s="308">
        <f>SUMIFS($E$4:$E$9,$B$4:$B$9,$P23,$D$4:$D$9,"&lt;&gt;"&amp;$P$26)+SUMIFS($G$4:$G$9,$B$4:$B$9,"&lt;&gt;"&amp;$P$26,$D$4:$D$9,$P23)</f>
        <v>5</v>
      </c>
      <c r="T23" s="308">
        <f>SUMIFS($G$4:$G$9,$B$4:$B$9,$P23,$D$4:$D$9,"&lt;&gt;"&amp;$P$26)+SUMIFS($E$4:$E$9,$B$4:$B$9,"&lt;&gt;"&amp;$P$26,$D$4:$D$9,$P23)</f>
        <v>0</v>
      </c>
      <c r="U23" s="308"/>
      <c r="V23" s="248">
        <f>Q23*FactorPts+(GDzero+R23)*FactorGD+S23*FactorFor</f>
        <v>40055050</v>
      </c>
      <c r="W23" s="308">
        <f>RANK(V23,V$23:V$25,1)</f>
        <v>3</v>
      </c>
      <c r="X23" s="308">
        <f>IF(AND($Q$4=$Q$5,$Q$4=$Q$7,$Q$4&lt;&gt;$Q$6),W23,0)</f>
        <v>0</v>
      </c>
      <c r="Y23" s="308" t="str">
        <f>IF(AND(V23=V24,V23&lt;&gt;V25),IF(AA23&gt;AA24,3,IF(AA23=AA24,1,0)),IF(AND(V23=V25,V23&lt;&gt;V24),IF(AB23&gt;AB25,3,IF(AB23=AB25,1,0)),""))</f>
        <v/>
      </c>
      <c r="Z23" s="307" t="str">
        <f>IF(X23&gt;0,Y23,"")</f>
        <v/>
      </c>
      <c r="AA23" s="236">
        <f>$I$18</f>
        <v>0</v>
      </c>
      <c r="AB23" s="307">
        <f>$K$18</f>
        <v>5</v>
      </c>
      <c r="AC23" s="310"/>
      <c r="AD23" s="307">
        <f>IF(AND($AF$16,$AD$4=$AD$5,$AD$4=$AD$7,$AD$4&lt;&gt;$AD$6),W23,0)</f>
        <v>0</v>
      </c>
      <c r="AE23" s="307" t="str">
        <f>IF(AD23&gt;0,Y23,"")</f>
        <v/>
      </c>
    </row>
    <row r="24" spans="2:31" x14ac:dyDescent="0.25">
      <c r="B24" s="42"/>
      <c r="C24" s="308"/>
      <c r="O24" s="308" t="s">
        <v>33</v>
      </c>
      <c r="P24" t="str">
        <f>$P$5</f>
        <v>Schweden</v>
      </c>
      <c r="Q24" s="308">
        <f>SUMIFS($H$4:$H$9,$B$4:$B$9,$P24,$D$4:$D$9,"&lt;&gt;"&amp;$P$26)+SUMIFS($I$4:$I$9,$B$4:$B$9,"&lt;&gt;"&amp;$P$26,$D$4:$D$9,$P24)</f>
        <v>4</v>
      </c>
      <c r="R24" s="308">
        <f>S24-T24</f>
        <v>1</v>
      </c>
      <c r="S24" s="308">
        <f>SUMIFS($E$4:$E$9,$B$4:$B$9,$P24,$D$4:$D$9,"&lt;&gt;"&amp;$P$26)+SUMIFS($G$4:$G$9,$B$4:$B$9,"&lt;&gt;"&amp;$P$26,$D$4:$D$9,$P24)</f>
        <v>1</v>
      </c>
      <c r="T24" s="308">
        <f>SUMIFS($G$4:$G$9,$B$4:$B$9,$P24,$D$4:$D$9,"&lt;&gt;"&amp;$P$26)+SUMIFS($E$4:$E$9,$B$4:$B$9,"&lt;&gt;"&amp;$P$26,$D$4:$D$9,$P24)</f>
        <v>0</v>
      </c>
      <c r="U24" s="308"/>
      <c r="V24" s="248">
        <f>Q24*FactorPts+(GDzero+R24)*FactorGD+S24*FactorFor</f>
        <v>40051010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0</v>
      </c>
      <c r="AB24" s="307"/>
      <c r="AC24" s="310">
        <f>$K$19</f>
        <v>1</v>
      </c>
      <c r="AD24" s="307">
        <f>IF(AND($AF$16,$AD$4=$AD$5,$AD$4=$AD$7,$AD$4&lt;&gt;$AD$6),W24,0)</f>
        <v>0</v>
      </c>
      <c r="AE24" s="307" t="str">
        <f t="shared" ref="AE24:AE25" si="14">IF(AD24&gt;0,Y24,"")</f>
        <v/>
      </c>
    </row>
    <row r="25" spans="2:31" x14ac:dyDescent="0.25">
      <c r="B25" s="42"/>
      <c r="C25" s="308"/>
      <c r="O25" s="308" t="s">
        <v>34</v>
      </c>
      <c r="P25" t="str">
        <f>$P$7</f>
        <v>Slowakei</v>
      </c>
      <c r="Q25" s="308">
        <f>SUMIFS($H$4:$H$9,$B$4:$B$9,$P25,$D$4:$D$9,"&lt;&gt;"&amp;$P$26)+SUMIFS($I$4:$I$9,$B$4:$B$9,"&lt;&gt;"&amp;$P$26,$D$4:$D$9,$P25)</f>
        <v>0</v>
      </c>
      <c r="R25" s="308">
        <f>S25-T25</f>
        <v>-6</v>
      </c>
      <c r="S25" s="308">
        <f>SUMIFS($E$4:$E$9,$B$4:$B$9,$P25,$D$4:$D$9,"&lt;&gt;"&amp;$P$26)+SUMIFS($G$4:$G$9,$B$4:$B$9,"&lt;&gt;"&amp;$P$26,$D$4:$D$9,$P25)</f>
        <v>0</v>
      </c>
      <c r="T25" s="308">
        <f>SUMIFS($G$4:$G$9,$B$4:$B$9,$P25,$D$4:$D$9,"&lt;&gt;"&amp;$P$26)+SUMIFS($E$4:$E$9,$B$4:$B$9,"&lt;&gt;"&amp;$P$26,$D$4:$D$9,$P25)</f>
        <v>6</v>
      </c>
      <c r="U25" s="308"/>
      <c r="V25" s="248">
        <f>Q25*FactorPts+(GDzero+R25)*FactorGD+S25*FactorFor</f>
        <v>44000</v>
      </c>
      <c r="W25" s="308">
        <f>RANK(V25,V$23:V$25,1)</f>
        <v>1</v>
      </c>
      <c r="X25" s="308">
        <f>IF(AND($Q$4=$Q$5,$Q$4=$Q$7,$Q$4&lt;&gt;$Q$6),W25,0)</f>
        <v>0</v>
      </c>
      <c r="Y25" s="308" t="str">
        <f>IF(AND(V25=V23,V25&lt;&gt;V24),IF(AB25&gt;AB23,3,IF(AB25=AB23,1,0)),IF(AND(V25=V24,V25&lt;&gt;V23),IF(AC25&gt;AC24,3,IF(AC25=AC24,1,0)),""))</f>
        <v/>
      </c>
      <c r="Z25" s="307" t="str">
        <f t="shared" si="13"/>
        <v/>
      </c>
      <c r="AA25" s="236"/>
      <c r="AB25" s="307">
        <f>$H$21</f>
        <v>0</v>
      </c>
      <c r="AC25" s="310">
        <f>$I$21</f>
        <v>0</v>
      </c>
      <c r="AD25" s="307">
        <f>IF(AND($AF$16,$AD$4=$AD$5,$AD$4=$AD$7,$AD$4&lt;&gt;$AD$6),W25,0)</f>
        <v>0</v>
      </c>
      <c r="AE25" s="307" t="str">
        <f t="shared" si="14"/>
        <v/>
      </c>
    </row>
    <row r="26" spans="2:31" x14ac:dyDescent="0.25">
      <c r="B26" s="42"/>
      <c r="C26" s="308"/>
      <c r="P26" s="33" t="str">
        <f>$P$6</f>
        <v>Polen</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Spanien</v>
      </c>
      <c r="Q28" s="308">
        <f>SUMIFS($H$4:$H$9,$B$4:$B$9,$P28,$D$4:$D$9,"&lt;&gt;"&amp;$P$31)+SUMIFS($I$4:$I$9,$B$4:$B$9,"&lt;&gt;"&amp;$P$31,$D$4:$D$9,$P28)</f>
        <v>4</v>
      </c>
      <c r="R28" s="308">
        <f>S28-T28</f>
        <v>5</v>
      </c>
      <c r="S28" s="308">
        <f>SUMIFS($E$4:$E$9,$B$4:$B$9,$P28,$D$4:$D$9,"&lt;&gt;"&amp;$P$31)+SUMIFS($G$4:$G$9,$B$4:$B$9,"&lt;&gt;"&amp;$P$31,$D$4:$D$9,$P28)</f>
        <v>6</v>
      </c>
      <c r="T28" s="308">
        <f>SUMIFS($G$4:$G$9,$B$4:$B$9,$P28,$D$4:$D$9,"&lt;&gt;"&amp;$P$31)+SUMIFS($E$4:$E$9,$B$4:$B$9,"&lt;&gt;"&amp;$P$31,$D$4:$D$9,$P28)</f>
        <v>1</v>
      </c>
      <c r="U28" s="308"/>
      <c r="V28" s="248">
        <f>Q28*FactorPts+(GDzero+R28)*FactorGD+S28*FactorFor</f>
        <v>40055060</v>
      </c>
      <c r="W28" s="308">
        <f>_xlfn.RANK.EQ(V28,V$28:V$30,1)</f>
        <v>3</v>
      </c>
      <c r="X28" s="308">
        <f>IF(AND($Q$4=$Q$6,$Q$4=$Q$7,$Q$4&lt;&gt;$Q$5),W28,0)</f>
        <v>0</v>
      </c>
      <c r="Y28" s="308" t="str">
        <f>IF(AND(V28=V29,V28&lt;&gt;V30),IF(AA28&gt;AA29,3,IF(AA28=AA29,1,0)),IF(AND(V28=V30,V28&lt;&gt;V29),IF(AB28&gt;AB30,3,IF(AB28=AB30,1,0)),""))</f>
        <v/>
      </c>
      <c r="Z28" s="307" t="str">
        <f>IF(X28&gt;0,Y28,"")</f>
        <v/>
      </c>
      <c r="AA28" s="236">
        <f>$J$18</f>
        <v>1</v>
      </c>
      <c r="AB28" s="307">
        <f>$K$18</f>
        <v>5</v>
      </c>
      <c r="AC28" s="310"/>
      <c r="AD28" s="307">
        <f>IF(AND($AF$16,$AD$4=$AD$6,$AD$4=$AD$7,$AD$4&lt;&gt;$AD$5),W28,0)</f>
        <v>0</v>
      </c>
      <c r="AE28" s="307" t="str">
        <f>IF(AD28&gt;0,Y28,"")</f>
        <v/>
      </c>
    </row>
    <row r="29" spans="2:31" x14ac:dyDescent="0.25">
      <c r="O29" s="308" t="s">
        <v>33</v>
      </c>
      <c r="P29" t="str">
        <f>$P$6</f>
        <v>Polen</v>
      </c>
      <c r="Q29" s="308">
        <f>SUMIFS($H$4:$H$9,$B$4:$B$9,$P29,$D$4:$D$9,"&lt;&gt;"&amp;$P$31)+SUMIFS($I$4:$I$9,$B$4:$B$9,"&lt;&gt;"&amp;$P$31,$D$4:$D$9,$P29)</f>
        <v>1</v>
      </c>
      <c r="R29" s="308">
        <f>S29-T29</f>
        <v>-1</v>
      </c>
      <c r="S29" s="308">
        <f>SUMIFS($E$4:$E$9,$B$4:$B$9,$P29,$D$4:$D$9,"&lt;&gt;"&amp;$P$31)+SUMIFS($G$4:$G$9,$B$4:$B$9,"&lt;&gt;"&amp;$P$31,$D$4:$D$9,$P29)</f>
        <v>2</v>
      </c>
      <c r="T29" s="308">
        <f>SUMIFS($G$4:$G$9,$B$4:$B$9,$P29,$D$4:$D$9,"&lt;&gt;"&amp;$P$31)+SUMIFS($E$4:$E$9,$B$4:$B$9,"&lt;&gt;"&amp;$P$31,$D$4:$D$9,$P29)</f>
        <v>3</v>
      </c>
      <c r="U29" s="308"/>
      <c r="V29" s="248">
        <f>Q29*FactorPts+(GDzero+R29)*FactorGD+S29*FactorFor</f>
        <v>10049020</v>
      </c>
      <c r="W29" s="308">
        <f>_xlfn.RANK.EQ(V29,V$28:V$30,1)</f>
        <v>1</v>
      </c>
      <c r="X29" s="308">
        <f>IF(AND($Q$4=$Q$6,$Q$4=$Q$7,$Q$4&lt;&gt;$Q$5),W29,0)</f>
        <v>0</v>
      </c>
      <c r="Y29" s="308" t="str">
        <f>IF(AND(V29=V28,V29&lt;&gt;V30),IF(AA29&gt;AA28,3,IF(AA29=AA28,1,0)),IF(AND(V29=V30,V29&lt;&gt;V28),IF(AC29&gt;AC30,3,IF(AC29=AC30,1,0)),""))</f>
        <v/>
      </c>
      <c r="Z29" s="307" t="str">
        <f t="shared" ref="Z29:Z30" si="15">IF(X29&gt;0,Y29,"")</f>
        <v/>
      </c>
      <c r="AA29" s="236">
        <f>$H$20</f>
        <v>1</v>
      </c>
      <c r="AB29" s="307"/>
      <c r="AC29" s="310">
        <f>$K$20</f>
        <v>1</v>
      </c>
      <c r="AD29" s="307">
        <f>IF(AND($AF$16,$AD$4=$AD$6,$AD$4=$AD$7,$AD$4&lt;&gt;$AD$5),W29,0)</f>
        <v>0</v>
      </c>
      <c r="AE29" s="307" t="str">
        <f t="shared" ref="AE29:AE30" si="16">IF(AD29&gt;0,Y29,"")</f>
        <v/>
      </c>
    </row>
    <row r="30" spans="2:31" x14ac:dyDescent="0.25">
      <c r="O30" s="308" t="s">
        <v>34</v>
      </c>
      <c r="P30" t="str">
        <f>$P$7</f>
        <v>Slowakei</v>
      </c>
      <c r="Q30" s="308">
        <f>SUMIFS($H$4:$H$9,$B$4:$B$9,$P30,$D$4:$D$9,"&lt;&gt;"&amp;$P$31)+SUMIFS($I$4:$I$9,$B$4:$B$9,"&lt;&gt;"&amp;$P$31,$D$4:$D$9,$P30)</f>
        <v>3</v>
      </c>
      <c r="R30" s="308">
        <f>S30-T30</f>
        <v>-4</v>
      </c>
      <c r="S30" s="308">
        <f>SUMIFS($E$4:$E$9,$B$4:$B$9,$P30,$D$4:$D$9,"&lt;&gt;"&amp;$P$31)+SUMIFS($G$4:$G$9,$B$4:$B$9,"&lt;&gt;"&amp;$P$31,$D$4:$D$9,$P30)</f>
        <v>2</v>
      </c>
      <c r="T30" s="308">
        <f>SUMIFS($G$4:$G$9,$B$4:$B$9,$P30,$D$4:$D$9,"&lt;&gt;"&amp;$P$31)+SUMIFS($E$4:$E$9,$B$4:$B$9,"&lt;&gt;"&amp;$P$31,$D$4:$D$9,$P30)</f>
        <v>6</v>
      </c>
      <c r="U30" s="308"/>
      <c r="V30" s="248">
        <f>Q30*FactorPts+(GDzero+R30)*FactorGD+S30*FactorFor</f>
        <v>30046020</v>
      </c>
      <c r="W30" s="308">
        <f>_xlfn.RANK.EQ(V30,V$28:V$30,1)</f>
        <v>2</v>
      </c>
      <c r="X30" s="308">
        <f>IF(AND($Q$4=$Q$6,$Q$4=$Q$7,$Q$4&lt;&gt;$Q$5),W30,0)</f>
        <v>0</v>
      </c>
      <c r="Y30" s="308" t="str">
        <f>IF(AND(V30=V28,V30&lt;&gt;V29),IF(AB30&gt;AB28,3,IF(AB30=AB28,1,0)),IF(AND(V30=V29,V30&lt;&gt;V28),IF(AC30&gt;AC29,3,IF(AC30=AC29,1,0)),""))</f>
        <v/>
      </c>
      <c r="Z30" s="307" t="str">
        <f t="shared" si="15"/>
        <v/>
      </c>
      <c r="AA30" s="236"/>
      <c r="AB30" s="307">
        <f>$H$21</f>
        <v>0</v>
      </c>
      <c r="AC30" s="310">
        <f>$J$21</f>
        <v>2</v>
      </c>
      <c r="AD30" s="307">
        <f>IF(AND($AF$16,$AD$4=$AD$6,$AD$4=$AD$7,$AD$4&lt;&gt;$AD$5),W30,0)</f>
        <v>0</v>
      </c>
      <c r="AE30" s="307" t="str">
        <f t="shared" si="16"/>
        <v/>
      </c>
    </row>
    <row r="31" spans="2:31" x14ac:dyDescent="0.25">
      <c r="P31" s="33" t="str">
        <f>$P$5</f>
        <v>Schweden</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Schweden</v>
      </c>
      <c r="Q33" s="308">
        <f>SUMIFS($H$4:$H$9,$B$4:$B$9,$P33,$D$4:$D$9,"&lt;&gt;"&amp;$P$36)+SUMIFS($I$4:$I$9,$B$4:$B$9,"&lt;&gt;"&amp;$P$36,$D$4:$D$9,$P33)</f>
        <v>6</v>
      </c>
      <c r="R33" s="308">
        <f>S33-T33</f>
        <v>2</v>
      </c>
      <c r="S33" s="308">
        <f>SUMIFS($E$4:$E$9,$B$4:$B$9,$P33,$D$4:$D$9,"&lt;&gt;"&amp;$P$36)+SUMIFS($G$4:$G$9,$B$4:$B$9,"&lt;&gt;"&amp;$P$36,$D$4:$D$9,$P33)</f>
        <v>4</v>
      </c>
      <c r="T33" s="308">
        <f>SUMIFS($G$4:$G$9,$B$4:$B$9,$P33,$D$4:$D$9,"&lt;&gt;"&amp;$P$36)+SUMIFS($E$4:$E$9,$B$4:$B$9,"&lt;&gt;"&amp;$P$36,$D$4:$D$9,$P33)</f>
        <v>2</v>
      </c>
      <c r="U33" s="308"/>
      <c r="V33" s="248">
        <f>Q33*FactorPts+(GDzero+R33)*FactorGD+S33*FactorFor</f>
        <v>60052040</v>
      </c>
      <c r="W33" s="308">
        <f>RANK(V33,V$33:V$35,1)</f>
        <v>3</v>
      </c>
      <c r="X33" s="308">
        <f>IF(AND($Q$5=$Q$6,$Q$5=$Q$7,$Q$5&lt;&gt;$Q$4),W33,0)</f>
        <v>0</v>
      </c>
      <c r="Y33" s="308" t="str">
        <f>IF(AND(V33=V34,V33&lt;&gt;V35),IF(AA33&gt;AA34,3,IF(AA33=AA34,1,0)),IF(AND(V33=V35,V33&lt;&gt;V34),IF(AB33&gt;AB35,3,IF(AB33=AB35,1,0)),""))</f>
        <v/>
      </c>
      <c r="Z33" s="307" t="str">
        <f>IF(X33&gt;0,Y33,"")</f>
        <v/>
      </c>
      <c r="AA33" s="236">
        <f>$J$19</f>
        <v>3</v>
      </c>
      <c r="AB33" s="307">
        <f>$K$19</f>
        <v>1</v>
      </c>
      <c r="AC33" s="310"/>
      <c r="AD33" s="307">
        <f>IF(AND($AF$16,$AD$5=$AD$6,$AD$5=$AD$7,$AD$5&lt;&gt;$AD$4),W33,0)</f>
        <v>0</v>
      </c>
      <c r="AE33" s="307" t="str">
        <f>IF(AD33&gt;0,Y33,"")</f>
        <v/>
      </c>
    </row>
    <row r="34" spans="15:31" x14ac:dyDescent="0.25">
      <c r="O34" s="308" t="s">
        <v>33</v>
      </c>
      <c r="P34" t="str">
        <f>$P$6</f>
        <v>Polen</v>
      </c>
      <c r="Q34" s="308">
        <f>SUMIFS($H$4:$H$9,$B$4:$B$9,$P34,$D$4:$D$9,"&lt;&gt;"&amp;$P$36)+SUMIFS($I$4:$I$9,$B$4:$B$9,"&lt;&gt;"&amp;$P$36,$D$4:$D$9,$P34)</f>
        <v>0</v>
      </c>
      <c r="R34" s="308">
        <f>S34-T34</f>
        <v>-2</v>
      </c>
      <c r="S34" s="308">
        <f>SUMIFS($E$4:$E$9,$B$4:$B$9,$P34,$D$4:$D$9,"&lt;&gt;"&amp;$P$36)+SUMIFS($G$4:$G$9,$B$4:$B$9,"&lt;&gt;"&amp;$P$36,$D$4:$D$9,$P34)</f>
        <v>3</v>
      </c>
      <c r="T34" s="308">
        <f>SUMIFS($G$4:$G$9,$B$4:$B$9,$P34,$D$4:$D$9,"&lt;&gt;"&amp;$P$36)+SUMIFS($E$4:$E$9,$B$4:$B$9,"&lt;&gt;"&amp;$P$36,$D$4:$D$9,$P34)</f>
        <v>5</v>
      </c>
      <c r="U34" s="308"/>
      <c r="V34" s="248">
        <f>Q34*FactorPts+(GDzero+R34)*FactorGD+S34*FactorFor</f>
        <v>48030</v>
      </c>
      <c r="W34" s="308">
        <f>RANK(V34,V$33:V$35,1)</f>
        <v>1</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1</v>
      </c>
      <c r="AD34" s="307">
        <f>IF(AND($AF$16,$AD$5=$AD$6,$AD$5=$AD$7,$AD$5&lt;&gt;$AD$4),W34,0)</f>
        <v>0</v>
      </c>
      <c r="AE34" s="307" t="str">
        <f t="shared" ref="AE34:AE35" si="18">IF(AD34&gt;0,Y34,"")</f>
        <v/>
      </c>
    </row>
    <row r="35" spans="15:31" ht="15.75" thickBot="1" x14ac:dyDescent="0.3">
      <c r="O35" s="308" t="s">
        <v>34</v>
      </c>
      <c r="P35" t="str">
        <f>$P$7</f>
        <v>Slowakei</v>
      </c>
      <c r="Q35" s="308">
        <f>SUMIFS($H$4:$H$9,$B$4:$B$9,$P35,$D$4:$D$9,"&lt;&gt;"&amp;$P$36)+SUMIFS($I$4:$I$9,$B$4:$B$9,"&lt;&gt;"&amp;$P$36,$D$4:$D$9,$P35)</f>
        <v>3</v>
      </c>
      <c r="R35" s="308">
        <f>S35-T35</f>
        <v>0</v>
      </c>
      <c r="S35" s="308">
        <f>SUMIFS($E$4:$E$9,$B$4:$B$9,$P35,$D$4:$D$9,"&lt;&gt;"&amp;$P$36)+SUMIFS($G$4:$G$9,$B$4:$B$9,"&lt;&gt;"&amp;$P$36,$D$4:$D$9,$P35)</f>
        <v>2</v>
      </c>
      <c r="T35" s="308">
        <f>SUMIFS($G$4:$G$9,$B$4:$B$9,$P35,$D$4:$D$9,"&lt;&gt;"&amp;$P$36)+SUMIFS($E$4:$E$9,$B$4:$B$9,"&lt;&gt;"&amp;$P$36,$D$4:$D$9,$P35)</f>
        <v>2</v>
      </c>
      <c r="U35" s="308"/>
      <c r="V35" s="248">
        <f>Q35*FactorPts+(GDzero+R35)*FactorGD+S35*FactorFor</f>
        <v>30050020</v>
      </c>
      <c r="W35" s="308">
        <f>RANK(V35,V$33:V$35,1)</f>
        <v>2</v>
      </c>
      <c r="X35" s="308">
        <f>IF(AND($Q$5=$Q$6,$Q$5=$Q$7,$Q$5&lt;&gt;$Q$4),W35,0)</f>
        <v>0</v>
      </c>
      <c r="Y35" s="308" t="str">
        <f>IF(AND(V35=V33,V35&lt;&gt;V34),IF(AB35&gt;AB33,3,IF(AB35=AB33,1,0)),IF(AND(V35=V34,V35&lt;&gt;V33),IF(AC35&gt;AC34,3,IF(AC35=AC34,1,0)),""))</f>
        <v/>
      </c>
      <c r="Z35" s="307" t="str">
        <f t="shared" si="17"/>
        <v/>
      </c>
      <c r="AA35" s="237"/>
      <c r="AB35" s="238">
        <f>$I$21</f>
        <v>0</v>
      </c>
      <c r="AC35" s="239">
        <f>$J$21</f>
        <v>2</v>
      </c>
      <c r="AD35" s="307">
        <f>IF(AND($AF$16,$AD$5=$AD$6,$AD$5=$AD$7,$AD$5&lt;&gt;$AD$4),W35,0)</f>
        <v>0</v>
      </c>
      <c r="AE35" s="307" t="str">
        <f t="shared" si="18"/>
        <v/>
      </c>
    </row>
    <row r="36" spans="15:31" x14ac:dyDescent="0.25">
      <c r="P36" s="33" t="str">
        <f>$P$4</f>
        <v>Spanien</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AA0BD-C159-4A95-8B18-794C4FA7B1DC}">
  <sheetPr codeName="Tabelle13"/>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5703125" customWidth="1"/>
  </cols>
  <sheetData>
    <row r="1" spans="1:33" ht="23.25" x14ac:dyDescent="0.35">
      <c r="A1" s="47"/>
      <c r="B1" s="191" t="s">
        <v>202</v>
      </c>
      <c r="C1" s="380" t="s">
        <v>29</v>
      </c>
      <c r="D1" s="46"/>
      <c r="O1" s="329"/>
      <c r="Q1" s="192"/>
    </row>
    <row r="2" spans="1:33" ht="8.25" customHeight="1" x14ac:dyDescent="0.25">
      <c r="O2" s="329"/>
    </row>
    <row r="3" spans="1:33" x14ac:dyDescent="0.25">
      <c r="B3" s="483" t="s">
        <v>194</v>
      </c>
      <c r="C3" s="483"/>
      <c r="D3" s="483"/>
      <c r="E3" s="483" t="s">
        <v>195</v>
      </c>
      <c r="F3" s="483"/>
      <c r="G3" s="483"/>
      <c r="H3" s="483" t="s">
        <v>190</v>
      </c>
      <c r="I3" s="483"/>
      <c r="J3" s="483" t="s">
        <v>895</v>
      </c>
      <c r="K3" s="483"/>
      <c r="L3" s="483"/>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Ungarn</v>
      </c>
      <c r="C4" s="226" t="s">
        <v>36</v>
      </c>
      <c r="D4" s="227" t="str">
        <f>INDEX(EURO!$B$13:$R$40,1,2+(CODE($C$1)-65)*3)</f>
        <v>Portugal</v>
      </c>
      <c r="E4" s="225">
        <f>IF(OR(INDEX(EURO!$B$14:$R$41,1,1+(CODE($C$1)-65)*3)="",INDEX(EURO!$B$14:$R$41,1,2+(CODE($C$1)-65)*3)=""),"",INDEX(EURO!$B$14:$R$41,1,1+(CODE($C$1)-65)*3))</f>
        <v>0</v>
      </c>
      <c r="F4" s="226" t="s">
        <v>36</v>
      </c>
      <c r="G4" s="231">
        <f>IF(OR(INDEX(EURO!$B$14:$R$41,1,1+(CODE($C$1)-65)*3)="",INDEX(EURO!$B$14:$R$41,1,2+(CODE($C$1)-65)*3)=""),"",INDEX(EURO!$B$14:$R$41,1,2+(CODE($C$1)-65)*3))</f>
        <v>3</v>
      </c>
      <c r="H4" s="329">
        <f t="shared" ref="H4:H9" si="0">IF($M4&gt;0,IF($E4&gt;$G4,3,IF($E4=$G4,1,0)),0)</f>
        <v>0</v>
      </c>
      <c r="I4" s="329">
        <f t="shared" ref="I4:I9" si="1">IF($M4&gt;0,IF($E4&lt;$G4,3,IF($E4=$G4,1,0)),0)</f>
        <v>3</v>
      </c>
      <c r="L4" s="34"/>
      <c r="M4" s="329">
        <f t="shared" ref="M4:M9" si="2">IF(AND($E4&lt;&gt;"",$G4&lt;&gt;""),1,0)</f>
        <v>1</v>
      </c>
      <c r="N4" s="329"/>
      <c r="O4" s="329" t="s">
        <v>32</v>
      </c>
      <c r="P4" s="43" t="str">
        <f>VLOOKUP($C$1&amp;1,Groups!$B$7:$D$35,3,0)</f>
        <v>Ungarn</v>
      </c>
      <c r="Q4" s="329">
        <f>SUMIF($B$4:$B$9,P4,$H$4:$H$9)+SUMIF($D$4:$D$9,P4,$I$4:$I$9)</f>
        <v>2</v>
      </c>
      <c r="R4" s="329">
        <f>S4-T4</f>
        <v>-3</v>
      </c>
      <c r="S4" s="329">
        <f>SUMIF($B$4:$B$9,$P4,$E$4:$E$9)+SUMIF($D$4:$D$9,$P4,$G$4:$G$9)</f>
        <v>3</v>
      </c>
      <c r="T4" s="329">
        <f>SUMIF($B$4:$B$9,$P4,$G$4:$G$9)+SUMIF($D$4:$D$9,$P4,$E$4:$E$9)</f>
        <v>6</v>
      </c>
      <c r="U4" s="308">
        <f>COUNTIFS($B$4:$B$9,$P4,$H$4:$H$9,"=3")+COUNTIFS($D$4:$D$9,$P4,$I$4:$I$9,"=3")</f>
        <v>0</v>
      </c>
      <c r="V4" s="351">
        <f>$Q4*FactorPts+(GDzero+$R4)*FactorGD+$S4*FactorFor+$U4*FactorWins+$W4*FactorDirC3+$X4*FactorDirC2+$Y4*FactorDirC43+$Z4*FactorDirC42+$AA4*FactorDirC42+$AB4*FactorFairPlay+$AE4*FactorPenalty+(100-$AF4)*($M$10&gt;0)*FactorRank+(8-ROW())*FactorRow</f>
        <v>20047030.000069398</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20047030</v>
      </c>
      <c r="AE4" s="308">
        <f>IF(OR(AND($Y$11&gt;0,OR(AND($B$8=$P4,$J$8&gt;$L$8),AND($D$8=$P4,$J$8&lt;$L$8))),AND($Y$12&gt;0,OR(AND($B$9=$P4,$J$9&gt;$L$9),AND($D$9=$P4,$J$9&lt;$L$9)))),1,0)</f>
        <v>0</v>
      </c>
      <c r="AF4" s="308">
        <f>INDEX(Language!$D$5:$D$59,MATCH($P4,Language!$E$5:$E$59,0),1)</f>
        <v>31</v>
      </c>
      <c r="AG4" s="308"/>
    </row>
    <row r="5" spans="1:33" x14ac:dyDescent="0.25">
      <c r="B5" s="230" t="str">
        <f>INDEX(EURO!$B$13:$R$40,6,1+(CODE($C$1)-65)*3)</f>
        <v>Frankreich</v>
      </c>
      <c r="C5" s="229" t="s">
        <v>36</v>
      </c>
      <c r="D5" s="230" t="str">
        <f>INDEX(EURO!$B$13:$R$40,6,2+(CODE($C$1)-65)*3)</f>
        <v>Deutschland</v>
      </c>
      <c r="E5" s="228">
        <f>IF(OR(INDEX(EURO!$B$14:$R$41,6,1+(CODE($C$1)-65)*3)="",INDEX(EURO!$B$14:$R$41,6,2+(CODE($C$1)-65)*3)=""),"",INDEX(EURO!$B$14:$R$41,6,1+(CODE($C$1)-65)*3))</f>
        <v>1</v>
      </c>
      <c r="F5" s="229" t="s">
        <v>36</v>
      </c>
      <c r="G5" s="232">
        <f>IF(OR(INDEX(EURO!$B$14:$R$41,6,1+(CODE($C$1)-65)*3)="",INDEX(EURO!$B$14:$R$41,6,2+(CODE($C$1)-65)*3)=""),"",INDEX(EURO!$B$14:$R$41,6,2+(CODE($C$1)-65)*3))</f>
        <v>0</v>
      </c>
      <c r="H5" s="329">
        <f t="shared" si="0"/>
        <v>3</v>
      </c>
      <c r="I5" s="329">
        <f t="shared" si="1"/>
        <v>0</v>
      </c>
      <c r="L5" s="34"/>
      <c r="M5" s="329">
        <f t="shared" si="2"/>
        <v>1</v>
      </c>
      <c r="N5" s="329"/>
      <c r="O5" s="329" t="s">
        <v>33</v>
      </c>
      <c r="P5" s="43" t="str">
        <f>VLOOKUP($C$1&amp;2,Groups!$B$7:$D$35,3,0)</f>
        <v>Portugal</v>
      </c>
      <c r="Q5" s="329">
        <f t="shared" ref="Q5:Q7" si="3">SUMIF($B$4:$B$9,P5,$H$4:$H$9)+SUMIF($D$4:$D$9,P5,$I$4:$I$9)</f>
        <v>4</v>
      </c>
      <c r="R5" s="329">
        <f>S5-T5</f>
        <v>1</v>
      </c>
      <c r="S5" s="329">
        <f>SUMIF($B$4:$B$9,$P5,$E$4:$E$9)+SUMIF($D$4:$D$9,$P5,$G$4:$G$9)</f>
        <v>7</v>
      </c>
      <c r="T5" s="329">
        <f>SUMIF($B$4:$B$9,$P5,$G$4:$G$9)+SUMIF($D$4:$D$9,$P5,$E$4:$E$9)</f>
        <v>6</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40051070.0010873</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40051070</v>
      </c>
      <c r="AE5" s="308">
        <f>IF(OR(AND($Y$11&gt;0,OR(AND($B$8=$P5,$J$8&gt;$L$8),AND($D$8=$P5,$J$8&lt;$L$8))),AND($Y$12&gt;0,OR(AND($B$9=$P5,$J$9&gt;$L$9),AND($D$9=$P5,$J$9&lt;$L$9)))),1,0)</f>
        <v>0</v>
      </c>
      <c r="AF5" s="308">
        <f>INDEX(Language!$D$5:$D$59,MATCH($P5,Language!$E$5:$E$59,0),1)</f>
        <v>13</v>
      </c>
    </row>
    <row r="6" spans="1:33" x14ac:dyDescent="0.25">
      <c r="B6" s="230" t="str">
        <f>INDEX(EURO!$B$13:$R$40,11,1+(CODE($C$1)-65)*3)</f>
        <v>Ungarn</v>
      </c>
      <c r="C6" s="229" t="s">
        <v>36</v>
      </c>
      <c r="D6" s="230" t="str">
        <f>INDEX(EURO!$B$13:$R$40,11,2+(CODE($C$1)-65)*3)</f>
        <v>Frankreich</v>
      </c>
      <c r="E6" s="228">
        <f>IF(OR(INDEX(EURO!$B$14:$R$41,11,1+(CODE($C$1)-65)*3)="",INDEX(EURO!$B$14:$R$41,11,2+(CODE($C$1)-65)*3)=""),"",INDEX(EURO!$B$14:$R$41,11,1+(CODE($C$1)-65)*3))</f>
        <v>1</v>
      </c>
      <c r="F6" s="229" t="s">
        <v>36</v>
      </c>
      <c r="G6" s="232">
        <f>IF(OR(INDEX(EURO!$B$14:$R$41,11,1+(CODE($C$1)-65)*3)="",INDEX(EURO!$B$14:$R$41,11,2+(CODE($C$1)-65)*3)=""),"",INDEX(EURO!$B$14:$R$41,11,2+(CODE($C$1)-65)*3))</f>
        <v>1</v>
      </c>
      <c r="H6" s="329">
        <f t="shared" si="0"/>
        <v>1</v>
      </c>
      <c r="I6" s="329">
        <f t="shared" si="1"/>
        <v>1</v>
      </c>
      <c r="L6" s="34"/>
      <c r="M6" s="329">
        <f t="shared" si="2"/>
        <v>1</v>
      </c>
      <c r="N6" s="329"/>
      <c r="O6" s="329" t="s">
        <v>34</v>
      </c>
      <c r="P6" s="43" t="str">
        <f>VLOOKUP($C$1&amp;3,Groups!$B$7:$D$35,3,0)</f>
        <v>Frankreich</v>
      </c>
      <c r="Q6" s="329">
        <f t="shared" si="3"/>
        <v>5</v>
      </c>
      <c r="R6" s="329">
        <f>S6-T6</f>
        <v>1</v>
      </c>
      <c r="S6" s="329">
        <f>SUMIF($B$4:$B$9,$P6,$E$4:$E$9)+SUMIF($D$4:$D$9,$P6,$G$4:$G$9)</f>
        <v>4</v>
      </c>
      <c r="T6" s="329">
        <f>SUMIF($B$4:$B$9,$P6,$G$4:$G$9)+SUMIF($D$4:$D$9,$P6,$E$4:$E$9)</f>
        <v>3</v>
      </c>
      <c r="U6" s="308">
        <f t="shared" si="4"/>
        <v>1</v>
      </c>
      <c r="V6" s="351">
        <f>$Q6*FactorPts+(GDzero+$R6)*FactorGD+$S6*FactorFor+$U6*FactorWins+$W6*FactorDirC3+$X6*FactorDirC2+$Y6*FactorDirC43+$Z6*FactorDirC42+$AA6*FactorDirC42+$AB6*FactorFairPlay+$AE6*FactorPenalty+(100-$AF6)*($M$10&gt;0)*FactorRank+(8-ROW())*FactorRow</f>
        <v>50051040.001093201</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50051040</v>
      </c>
      <c r="AE6" s="308">
        <f>IF(OR(AND($Y$11&gt;0,OR(AND($B$8=$P6,$J$8&gt;$L$8),AND($D$8=$P6,$J$8&lt;$L$8))),AND($Y$12&gt;0,OR(AND($B$9=$P6,$J$9&gt;$L$9),AND($D$9=$P6,$J$9&lt;$L$9)))),1,0)</f>
        <v>0</v>
      </c>
      <c r="AF6" s="308">
        <f>INDEX(Language!$D$5:$D$59,MATCH($P6,Language!$E$5:$E$59,0),1)</f>
        <v>7</v>
      </c>
    </row>
    <row r="7" spans="1:33" x14ac:dyDescent="0.25">
      <c r="B7" s="230" t="str">
        <f>INDEX(EURO!$B$13:$R$40,16,1+(CODE($C$1)-65)*3)</f>
        <v>Portugal</v>
      </c>
      <c r="C7" s="229" t="s">
        <v>36</v>
      </c>
      <c r="D7" s="230" t="str">
        <f>INDEX(EURO!$B$13:$R$40,16,2+(CODE($C$1)-65)*3)</f>
        <v>Deutschland</v>
      </c>
      <c r="E7" s="228">
        <f>IF(OR(INDEX(EURO!$B$14:$R$41,16,1+(CODE($C$1)-65)*3)="",INDEX(EURO!$B$14:$R$41,16,2+(CODE($C$1)-65)*3)=""),"",INDEX(EURO!$B$14:$R$41,16,1+(CODE($C$1)-65)*3))</f>
        <v>2</v>
      </c>
      <c r="F7" s="229" t="s">
        <v>36</v>
      </c>
      <c r="G7" s="232">
        <f>IF(OR(INDEX(EURO!$B$14:$R$41,16,1+(CODE($C$1)-65)*3)="",INDEX(EURO!$B$14:$R$41,16,2+(CODE($C$1)-65)*3)=""),"",INDEX(EURO!$B$14:$R$41,16,2+(CODE($C$1)-65)*3))</f>
        <v>4</v>
      </c>
      <c r="H7" s="329">
        <f t="shared" si="0"/>
        <v>0</v>
      </c>
      <c r="I7" s="329">
        <f t="shared" si="1"/>
        <v>3</v>
      </c>
      <c r="L7" s="34"/>
      <c r="M7" s="329">
        <f t="shared" si="2"/>
        <v>1</v>
      </c>
      <c r="N7" s="329"/>
      <c r="O7" s="329" t="s">
        <v>35</v>
      </c>
      <c r="P7" s="43" t="str">
        <f>VLOOKUP($C$1&amp;4,Groups!$B$7:$D$35,3,0)</f>
        <v>Deutschland</v>
      </c>
      <c r="Q7" s="329">
        <f t="shared" si="3"/>
        <v>4</v>
      </c>
      <c r="R7" s="329">
        <f>S7-T7</f>
        <v>1</v>
      </c>
      <c r="S7" s="329">
        <f>SUMIF($B$4:$B$9,$P7,$E$4:$E$9)+SUMIF($D$4:$D$9,$P7,$G$4:$G$9)</f>
        <v>6</v>
      </c>
      <c r="T7" s="329">
        <f>SUMIF($B$4:$B$9,$P7,$G$4:$G$9)+SUMIF($D$4:$D$9,$P7,$E$4:$E$9)</f>
        <v>5</v>
      </c>
      <c r="U7" s="308">
        <f t="shared" si="4"/>
        <v>1</v>
      </c>
      <c r="V7" s="351">
        <f>$Q7*FactorPts+(GDzero+$R7)*FactorGD+$S7*FactorFor+$U7*FactorWins+$W7*FactorDirC3+$X7*FactorDirC2+$Y7*FactorDirC43+$Z7*FactorDirC42+$AA7*FactorDirC42+$AB7*FactorFairPlay+$AE7*FactorPenalty+(100-$AF7)*($M$10&gt;0)*FactorRank+(8-ROW())*FactorRow</f>
        <v>40351060.0010961</v>
      </c>
      <c r="W7" s="307">
        <f t="shared" si="5"/>
        <v>0</v>
      </c>
      <c r="X7" s="307">
        <f>IF($L21="",0,$L21)+SUMIFS($Z$18:$Z$35,$P$18:$P$35,$P7)</f>
        <v>3</v>
      </c>
      <c r="Y7">
        <f t="shared" si="6"/>
        <v>0</v>
      </c>
      <c r="Z7">
        <f t="shared" si="7"/>
        <v>0</v>
      </c>
      <c r="AA7" s="308">
        <f>IF($M21="",0,$M21)</f>
        <v>0</v>
      </c>
      <c r="AB7" s="308">
        <f>SUMIFS(FairPlayPoints1,FairPlayTeams1,$P7)+SUMIFS(FairPlayPoints2,FairPlayTeams2,$P7)</f>
        <v>0</v>
      </c>
      <c r="AC7" s="329" t="b">
        <f>(Q7+T7&gt;0)</f>
        <v>1</v>
      </c>
      <c r="AD7" s="254">
        <f>$Q7*FactorPts+(GDzero+$R7)*FactorGD+$S7*FactorFor</f>
        <v>40051060</v>
      </c>
      <c r="AE7" s="308">
        <f>IF(OR(AND($Y$11&gt;0,OR(AND($B$8=$P7,$J$8&gt;$L$8),AND($D$8=$P7,$J$8&lt;$L$8))),AND($Y$12&gt;0,OR(AND($B$9=$P7,$J$9&gt;$L$9),AND($D$9=$P7,$J$9&lt;$L$9)))),1,0)</f>
        <v>0</v>
      </c>
      <c r="AF7" s="308">
        <f>INDEX(Language!$D$5:$D$59,MATCH($P7,Language!$E$5:$E$59,0),1)</f>
        <v>4</v>
      </c>
    </row>
    <row r="8" spans="1:33" x14ac:dyDescent="0.25">
      <c r="B8" s="230" t="str">
        <f>INDEX(EURO!$B$13:$R$40,21,1+(CODE($C$1)-65)*3)</f>
        <v>Deutschland</v>
      </c>
      <c r="C8" s="229" t="s">
        <v>36</v>
      </c>
      <c r="D8" s="230" t="str">
        <f>INDEX(EURO!$B$13:$R$40,21,2+(CODE($C$1)-65)*3)</f>
        <v>Ungarn</v>
      </c>
      <c r="E8" s="228">
        <f>IF(OR(INDEX(EURO!$B$14:$R$41,21,1+(CODE($C$1)-65)*3)="",INDEX(EURO!$B$14:$R$41,21,2+(CODE($C$1)-65)*3)=""),"",INDEX(EURO!$B$14:$R$41,21,1+(CODE($C$1)-65)*3))</f>
        <v>2</v>
      </c>
      <c r="F8" s="229" t="s">
        <v>36</v>
      </c>
      <c r="G8" s="232">
        <f>IF(OR(INDEX(EURO!$B$14:$R$41,21,1+(CODE($C$1)-65)*3)="",INDEX(EURO!$B$14:$R$41,21,2+(CODE($C$1)-65)*3)=""),"",INDEX(EURO!$B$14:$R$41,21,2+(CODE($C$1)-65)*3))</f>
        <v>2</v>
      </c>
      <c r="H8" s="329">
        <f t="shared" si="0"/>
        <v>1</v>
      </c>
      <c r="I8" s="329">
        <f t="shared" si="1"/>
        <v>1</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Portugal</v>
      </c>
      <c r="C9" s="229" t="s">
        <v>36</v>
      </c>
      <c r="D9" s="230" t="str">
        <f>INDEX(EURO!$B$13:$R$40,28,2+(CODE($C$1)-65)*3)</f>
        <v>Frankreich</v>
      </c>
      <c r="E9" s="228">
        <f>IF(OR(INDEX(EURO!$B$14:$R$41,28,1+(CODE($C$1)-65)*3)="",INDEX(EURO!$B$14:$R$41,28,2+(CODE($C$1)-65)*3)=""),"",INDEX(EURO!$B$14:$R$41,28,1+(CODE($C$1)-65)*3))</f>
        <v>2</v>
      </c>
      <c r="F9" s="229" t="s">
        <v>36</v>
      </c>
      <c r="G9" s="232">
        <f>IF(OR(INDEX(EURO!$B$14:$R$41,28,1+(CODE($C$1)-65)*3)="",INDEX(EURO!$B$14:$R$41,28,2+(CODE($C$1)-65)*3)=""),"",INDEX(EURO!$B$14:$R$41,28,2+(CODE($C$1)-65)*3))</f>
        <v>2</v>
      </c>
      <c r="H9" s="329">
        <f t="shared" si="0"/>
        <v>1</v>
      </c>
      <c r="I9" s="329">
        <f t="shared" si="1"/>
        <v>1</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Frankreich</v>
      </c>
      <c r="Q11" s="221">
        <f t="shared" si="8"/>
        <v>5</v>
      </c>
      <c r="R11" s="39">
        <f t="shared" si="8"/>
        <v>1</v>
      </c>
      <c r="S11" s="39">
        <f t="shared" si="8"/>
        <v>4</v>
      </c>
      <c r="T11" s="39">
        <f t="shared" si="8"/>
        <v>3</v>
      </c>
      <c r="U11" s="39">
        <f t="shared" ref="U11:U12" si="9">INDEX(U$4:U$7,MATCH($V11,$V$4:$V$7,0))</f>
        <v>1</v>
      </c>
      <c r="V11" s="352">
        <f>LARGE($V$4:$V$7,ROW(A1))</f>
        <v>50051040.001093201</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Deutschland</v>
      </c>
      <c r="Q12" s="222">
        <f t="shared" si="8"/>
        <v>4</v>
      </c>
      <c r="R12" s="355">
        <f t="shared" si="8"/>
        <v>1</v>
      </c>
      <c r="S12" s="329">
        <f t="shared" si="8"/>
        <v>6</v>
      </c>
      <c r="T12" s="329">
        <f t="shared" si="8"/>
        <v>5</v>
      </c>
      <c r="U12" s="328">
        <f t="shared" si="9"/>
        <v>1</v>
      </c>
      <c r="V12" s="353">
        <f>LARGE($V$4:$V$7,ROW(A2))</f>
        <v>40351060.0010961</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Portugal</v>
      </c>
      <c r="Q13" s="222">
        <f t="shared" si="8"/>
        <v>4</v>
      </c>
      <c r="R13" s="355">
        <f t="shared" si="8"/>
        <v>1</v>
      </c>
      <c r="S13" s="329">
        <f t="shared" si="8"/>
        <v>7</v>
      </c>
      <c r="T13" s="329">
        <f t="shared" si="8"/>
        <v>6</v>
      </c>
      <c r="U13" s="327">
        <f t="shared" ref="U13:U14" si="10">INDEX(U$4:U$7,MATCH($V13,$V$4:$V$7,0))</f>
        <v>1</v>
      </c>
      <c r="V13" s="353">
        <f>LARGE($V$4:$V$7,ROW(A3))</f>
        <v>40051070.0010873</v>
      </c>
      <c r="Z13" s="29"/>
      <c r="AA13" s="355"/>
      <c r="AB13" s="29"/>
      <c r="AC13" s="29"/>
      <c r="AD13" s="330"/>
      <c r="AE13" s="355"/>
    </row>
    <row r="14" spans="1:33" ht="15.75" thickBot="1" x14ac:dyDescent="0.3">
      <c r="B14" s="312"/>
      <c r="C14" s="312"/>
      <c r="D14" s="58"/>
      <c r="F14" s="329"/>
      <c r="G14" s="34"/>
      <c r="O14" s="37" t="s">
        <v>35</v>
      </c>
      <c r="P14" s="36" t="str">
        <f t="shared" si="8"/>
        <v>Ungarn</v>
      </c>
      <c r="Q14" s="223">
        <f t="shared" si="8"/>
        <v>2</v>
      </c>
      <c r="R14" s="35">
        <f t="shared" si="8"/>
        <v>-3</v>
      </c>
      <c r="S14" s="35">
        <f t="shared" si="8"/>
        <v>3</v>
      </c>
      <c r="T14" s="35">
        <f t="shared" si="8"/>
        <v>6</v>
      </c>
      <c r="U14" s="35">
        <f t="shared" si="10"/>
        <v>0</v>
      </c>
      <c r="V14" s="354">
        <f>LARGE($V$4:$V$7,ROW(A4))</f>
        <v>20047030.000069398</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8" t="s">
        <v>463</v>
      </c>
      <c r="H16" s="488"/>
      <c r="I16" s="488"/>
      <c r="J16" s="488"/>
      <c r="K16" s="488"/>
      <c r="L16" s="488"/>
      <c r="M16" s="64"/>
      <c r="N16" s="64"/>
      <c r="O16" s="329"/>
      <c r="W16" s="479" t="s">
        <v>464</v>
      </c>
      <c r="X16" s="479"/>
      <c r="Y16" s="479"/>
      <c r="Z16" s="479"/>
      <c r="AD16" s="479" t="s">
        <v>465</v>
      </c>
      <c r="AE16" s="479"/>
      <c r="AF16" s="253" t="b">
        <f>AND($Q$4=$Q$5,$Q$4=$Q$6,$Q$4=$Q$7)</f>
        <v>0</v>
      </c>
    </row>
    <row r="17" spans="2:31" ht="16.5" thickTop="1" thickBot="1" x14ac:dyDescent="0.3">
      <c r="B17" s="312"/>
      <c r="C17" s="312"/>
      <c r="D17" s="311"/>
      <c r="E17" s="325"/>
      <c r="F17" s="325"/>
      <c r="G17" s="326"/>
      <c r="H17" s="39" t="str">
        <f>LEFT($P$4,3)</f>
        <v>Ung</v>
      </c>
      <c r="I17" s="39" t="str">
        <f>LEFT($P$5,3)</f>
        <v>Por</v>
      </c>
      <c r="J17" s="39" t="str">
        <f>LEFT($P$6,3)</f>
        <v>Fra</v>
      </c>
      <c r="K17" s="114" t="str">
        <f>LEFT($P$7,3)</f>
        <v>Deu</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308"/>
      <c r="C18" s="308"/>
      <c r="D18" s="307"/>
      <c r="E18" s="484" t="str">
        <f>$P$4</f>
        <v>Ungarn</v>
      </c>
      <c r="F18" s="485"/>
      <c r="G18" s="485"/>
      <c r="H18" s="113"/>
      <c r="I18" s="39">
        <f>SUMIFS($E$4:$E$9,$B$4:$B$9,$P$4,$D$4:$D$9,$P$5)+SUMIFS($G$4:$G$9,$B$4:$B$9,$P$5,$D$4:$D$9,$P$4)</f>
        <v>0</v>
      </c>
      <c r="J18" s="39">
        <f>SUMIFS($E$4:$E$9,$B$4:$B$9,$P$4,$D$4:$D$9,$P$6)+SUMIFS($G$4:$G$9,$B$4:$B$9,$P$6,$D$4:$D$9,$P$4)</f>
        <v>1</v>
      </c>
      <c r="K18" s="114">
        <f>SUMIFS($E$4:$E$9,$B$4:$B$9,$P$4,$D$4:$D$9,$P$7)+SUMIFS($G$4:$G$9,$B$4:$B$9,$P$7,$D$4:$D$9,$P$4)</f>
        <v>2</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Ungarn</v>
      </c>
      <c r="Q18" s="308">
        <f>SUMIFS($H$4:$H$9,$B$4:$B$9,$P18,$D$4:$D$9,"&lt;&gt;"&amp;$P$21)+SUMIFS($I$4:$I$9,$B$4:$B$9,"&lt;&gt;"&amp;$P$21,$D$4:$D$9,$P18)</f>
        <v>1</v>
      </c>
      <c r="R18" s="308">
        <f>S18-T18</f>
        <v>-3</v>
      </c>
      <c r="S18" s="308">
        <f>SUMIFS($E$4:$E$9,$B$4:$B$9,$P18,$D$4:$D$9,"&lt;&gt;"&amp;$P$21)+SUMIFS($G$4:$G$9,$B$4:$B$9,"&lt;&gt;"&amp;$P$21,$D$4:$D$9,$P18)</f>
        <v>1</v>
      </c>
      <c r="T18" s="308">
        <f>SUMIFS($G$4:$G$9,$B$4:$B$9,$P18,$D$4:$D$9,"&lt;&gt;"&amp;$P$21)+SUMIFS($E$4:$E$9,$B$4:$B$9,"&lt;&gt;"&amp;$P$21,$D$4:$D$9,$P18)</f>
        <v>4</v>
      </c>
      <c r="U18" s="308"/>
      <c r="V18" s="248">
        <f>Q18*FactorPts+(GDzero+R18)*FactorGD+S18*FactorFor</f>
        <v>10047010</v>
      </c>
      <c r="W18" s="308">
        <f>RANK(V18,V$18:V$20,1)</f>
        <v>1</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6" t="str">
        <f>$P$5</f>
        <v>Portugal</v>
      </c>
      <c r="F19" s="487"/>
      <c r="G19" s="487"/>
      <c r="H19" s="38">
        <f>SUMIFS($E$4:$E$9,$B$4:$B$9,$P$5,$D$4:$D$9,$P$4)+SUMIFS($G$4:$G$9,$B$4:$B$9,$P$4,$D$4:$D$9,$P$5)</f>
        <v>3</v>
      </c>
      <c r="I19" s="77"/>
      <c r="J19" s="307">
        <f>SUMIFS($E$4:$E$9,$B$4:$B$9,$P$5,$D$4:$D$9,$P$6)+SUMIFS($G$4:$G$9,$B$4:$B$9,$P$6,$D$4:$D$9,$P$5)</f>
        <v>2</v>
      </c>
      <c r="K19" s="56">
        <f>SUMIFS($E$4:$E$9,$B$4:$B$9,$P$5,$D$4:$D$9,$P$7)+SUMIFS($G$4:$G$9,$B$4:$B$9,$P$7,$D$4:$D$9,$P$5)</f>
        <v>2</v>
      </c>
      <c r="L19" s="74">
        <f>IF(AND($Q$5=$Q$4,$Q$5&lt;&gt;$Q$6,$Q$5&lt;&gt;$Q$7),IF(H19&gt;I18,3,IF(H19=I18,1,0)),IF(AND($Q$5=$Q$6,$Q$5&lt;&gt;$Q$4,$Q$5&lt;&gt;$Q$7),IF(J19&gt;I20,3,IF(J19=I20,1,0)),IF(AND($Q$5=$Q$7,$Q$5&lt;&gt;$Q$4,$Q$5&lt;&gt;$Q$6),IF(K19&gt;I21,3,IF(K19=I21,1,0)),"")))</f>
        <v>0</v>
      </c>
      <c r="M19" s="74" t="str">
        <f>IF($AF$16,IF(AND($AD$5=$AD$4,$AD$5&lt;&gt;$AD$6,$AD$5&lt;&gt;$AD$7),IF(H19&gt;I18,3,IF(H19=I18,1,0)),IF(AND($AD$5&lt;&gt;$AD$4,$AD$5=$AD$6,$AD$5&lt;&gt;$AD$7),IF(J19&gt;I20,3,IF(J19=I20,1,0)),IF(AND($AD$5&lt;&gt;$AD$4,$AD$5&lt;&gt;$AD$6,$AD$5=$AD$7),IF(K19&gt;I21,3,IF(K19=I21,1,0)),""))),"")</f>
        <v/>
      </c>
      <c r="N19" s="307"/>
      <c r="O19" s="308" t="s">
        <v>33</v>
      </c>
      <c r="P19" t="str">
        <f>$P$5</f>
        <v>Portugal</v>
      </c>
      <c r="Q19" s="308">
        <f>SUMIFS($H$4:$H$9,$B$4:$B$9,$P19,$D$4:$D$9,"&lt;&gt;"&amp;$P$21)+SUMIFS($I$4:$I$9,$B$4:$B$9,"&lt;&gt;"&amp;$P$21,$D$4:$D$9,$P19)</f>
        <v>4</v>
      </c>
      <c r="R19" s="308">
        <f>S19-T19</f>
        <v>3</v>
      </c>
      <c r="S19" s="308">
        <f>SUMIFS($E$4:$E$9,$B$4:$B$9,$P19,$D$4:$D$9,"&lt;&gt;"&amp;$P$21)+SUMIFS($G$4:$G$9,$B$4:$B$9,"&lt;&gt;"&amp;$P$21,$D$4:$D$9,$P19)</f>
        <v>5</v>
      </c>
      <c r="T19" s="308">
        <f>SUMIFS($G$4:$G$9,$B$4:$B$9,$P19,$D$4:$D$9,"&lt;&gt;"&amp;$P$21)+SUMIFS($E$4:$E$9,$B$4:$B$9,"&lt;&gt;"&amp;$P$21,$D$4:$D$9,$P19)</f>
        <v>2</v>
      </c>
      <c r="U19" s="308"/>
      <c r="V19" s="248">
        <f>Q19*FactorPts+(GDzero+R19)*FactorGD+S19*FactorFor</f>
        <v>40053050</v>
      </c>
      <c r="W19" s="308">
        <f>RANK(V19,V$18:V$20,1)</f>
        <v>3</v>
      </c>
      <c r="X19" s="308">
        <f>IF(AND($Q$4=$Q$5,$Q$4=$Q$6,$Q$4&lt;&gt;$Q$7),W19,0)</f>
        <v>0</v>
      </c>
      <c r="Y19" s="308" t="str">
        <f>IF(AND(V19=V18,V19&lt;&gt;V20),IF(AA19&gt;AA18,3,IF(AA19=AA18,1,0)),IF(AND(V19=V20,V19&lt;&gt;V18),IF(AC19&gt;AC20,3,IF(AC19=AC20,1,0)),""))</f>
        <v/>
      </c>
      <c r="Z19" s="307" t="str">
        <f t="shared" ref="Z19:Z20" si="11">IF(X19&gt;0,Y19,"")</f>
        <v/>
      </c>
      <c r="AA19" s="236">
        <f>$H$19</f>
        <v>3</v>
      </c>
      <c r="AB19" s="307"/>
      <c r="AC19" s="310">
        <f>$J$19</f>
        <v>2</v>
      </c>
      <c r="AD19" s="307">
        <f>IF(AND($AF$16,$AD$4=$AD$5,$AD$4=$AD$6,$AD$4&lt;&gt;$AD$7),W19,0)</f>
        <v>0</v>
      </c>
      <c r="AE19" s="307" t="str">
        <f t="shared" ref="AE19:AE20" si="12">IF(AD19&gt;0,Y19,"")</f>
        <v/>
      </c>
    </row>
    <row r="20" spans="2:31" x14ac:dyDescent="0.25">
      <c r="D20" s="29"/>
      <c r="E20" s="486" t="str">
        <f>$P$6</f>
        <v>Frankreich</v>
      </c>
      <c r="F20" s="487"/>
      <c r="G20" s="487"/>
      <c r="H20" s="38">
        <f>SUMIFS($E$4:$E$9,$B$4:$B$9,$P$6,$D$4:$D$9,$P$4)+SUMIFS($G$4:$G$9,$B$4:$B$9,$P$4,$D$4:$D$9,$P$6)</f>
        <v>1</v>
      </c>
      <c r="I20" s="307">
        <f>SUMIFS($E$4:$E$9,$B$4:$B$9,$P$6,$D$4:$D$9,$P$5)+SUMIFS($G$4:$G$9,$B$4:$B$9,$P$5,$D$4:$D$9,$P$6)</f>
        <v>2</v>
      </c>
      <c r="J20" s="77"/>
      <c r="K20" s="56">
        <f>SUMIFS($E$4:$E$9,$B$4:$B$9,$P$6,$D$4:$D$9,$P$7)+SUMIFS($G$4:$G$9,$B$4:$B$9,$P$7,$D$4:$D$9,$P$6)</f>
        <v>1</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Frankreich</v>
      </c>
      <c r="Q20" s="308">
        <f>SUMIFS($H$4:$H$9,$B$4:$B$9,$P20,$D$4:$D$9,"&lt;&gt;"&amp;$P$21)+SUMIFS($I$4:$I$9,$B$4:$B$9,"&lt;&gt;"&amp;$P$21,$D$4:$D$9,$P20)</f>
        <v>2</v>
      </c>
      <c r="R20" s="308">
        <f>S20-T20</f>
        <v>0</v>
      </c>
      <c r="S20" s="308">
        <f>SUMIFS($E$4:$E$9,$B$4:$B$9,$P20,$D$4:$D$9,"&lt;&gt;"&amp;$P$21)+SUMIFS($G$4:$G$9,$B$4:$B$9,"&lt;&gt;"&amp;$P$21,$D$4:$D$9,$P20)</f>
        <v>3</v>
      </c>
      <c r="T20" s="308">
        <f>SUMIFS($G$4:$G$9,$B$4:$B$9,$P20,$D$4:$D$9,"&lt;&gt;"&amp;$P$21)+SUMIFS($E$4:$E$9,$B$4:$B$9,"&lt;&gt;"&amp;$P$21,$D$4:$D$9,$P20)</f>
        <v>3</v>
      </c>
      <c r="U20" s="308"/>
      <c r="V20" s="248">
        <f>Q20*FactorPts+(GDzero+R20)*FactorGD+S20*FactorFor</f>
        <v>20050030</v>
      </c>
      <c r="W20" s="308">
        <f>RANK(V20,V$18:V$20,1)</f>
        <v>2</v>
      </c>
      <c r="X20" s="308">
        <f>IF(AND($Q$4=$Q$5,$Q$4=$Q$6,$Q$4&lt;&gt;$Q$7),W20,0)</f>
        <v>0</v>
      </c>
      <c r="Y20" s="308" t="str">
        <f>IF(AND(V20=V18,V20&lt;&gt;V19),IF(AB20&gt;AB18,3,IF(AB20=AB18,1,0)),IF(AND(V20=V19,V20&lt;&gt;V18),IF(AC20&gt;AC19,3,IF(AC20=AC19,1,0)),""))</f>
        <v/>
      </c>
      <c r="Z20" s="307" t="str">
        <f t="shared" si="11"/>
        <v/>
      </c>
      <c r="AA20" s="236"/>
      <c r="AB20" s="307">
        <f>$H$20</f>
        <v>1</v>
      </c>
      <c r="AC20" s="310">
        <f>$I$20</f>
        <v>2</v>
      </c>
      <c r="AD20" s="307">
        <f>IF(AND($AF$16,$AD$4=$AD$5,$AD$4=$AD$6,$AD$4&lt;&gt;$AD$7),W20,0)</f>
        <v>0</v>
      </c>
      <c r="AE20" s="307" t="str">
        <f t="shared" si="12"/>
        <v/>
      </c>
    </row>
    <row r="21" spans="2:31" ht="15.75" thickBot="1" x14ac:dyDescent="0.3">
      <c r="B21" s="48"/>
      <c r="C21" s="49"/>
      <c r="D21" s="50"/>
      <c r="E21" s="481" t="str">
        <f>$P$7</f>
        <v>Deutschland</v>
      </c>
      <c r="F21" s="482"/>
      <c r="G21" s="482"/>
      <c r="H21" s="37">
        <f>SUMIFS($E$4:$E$9,$B$4:$B$9,$P$7,$D$4:$D$9,$P$4)+SUMIFS($G$4:$G$9,$B$4:$B$9,$P$4,$D$4:$D$9,$P$7)</f>
        <v>2</v>
      </c>
      <c r="I21" s="35">
        <f>SUMIFS($E$4:$E$9,$B$4:$B$9,$P$7,$D$4:$D$9,$P$5)+SUMIFS($G$4:$G$9,$B$4:$B$9,$P$5,$D$4:$D$9,$P$7)</f>
        <v>4</v>
      </c>
      <c r="J21" s="35">
        <f>SUMIFS($E$4:$E$9,$B$4:$B$9,$P$7,$D$4:$D$9,$P$6)+SUMIFS($G$4:$G$9,$B$4:$B$9,$P$6,$D$4:$D$9,$P$7)</f>
        <v>0</v>
      </c>
      <c r="K21" s="78"/>
      <c r="L21" s="75">
        <f>IF(AND($Q$7=$Q$4,$Q$7&lt;&gt;$Q$5,$Q$7&lt;&gt;$Q$6),IF(H21&gt;K18,3,IF(H21=K18,1,0)),IF(AND($Q$7=$Q$5,$Q$7&lt;&gt;$Q$4,$Q$7&lt;&gt;$Q$6),IF(I21&gt;K19,3,IF(I21=K19,1,0)),IF(AND($Q$7=$Q$6,$Q$7&lt;&gt;$Q$4,$Q$7&lt;&gt;$Q$5),IF(J21&gt;K20,3,IF(J21=K20,1,0)),"")))</f>
        <v>3</v>
      </c>
      <c r="M21" s="75" t="str">
        <f>IF($AF$16,IF(AND($AD$7=$AD$4,$AD$7&lt;&gt;$AD$5,$AD$7&lt;&gt;$AD$6),IF(H21&gt;K18,3,IF(H21=K18,1,0)),IF(AND($AD$7&lt;&gt;$AD$4,$AD$7=$AD$5,$AD$7&lt;&gt;$AD$6),IF(I21&gt;K19,3,IF(I21=K19,1,0)),IF(AND($AD$7&lt;&gt;$AD$4,$AD$7&lt;&gt;$AD$5,$AD$7=$AD$6),IF(J21&gt;K20,3,IF(J21=K20,1,0)),""))),"")</f>
        <v/>
      </c>
      <c r="N21" s="307"/>
      <c r="P21" s="33" t="str">
        <f>$P$7</f>
        <v>Deutschland</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Ungarn</v>
      </c>
      <c r="Q23" s="308">
        <f>SUMIFS($H$4:$H$9,$B$4:$B$9,$P23,$D$4:$D$9,"&lt;&gt;"&amp;$P$26)+SUMIFS($I$4:$I$9,$B$4:$B$9,"&lt;&gt;"&amp;$P$26,$D$4:$D$9,$P23)</f>
        <v>1</v>
      </c>
      <c r="R23" s="308">
        <f>S23-T23</f>
        <v>-3</v>
      </c>
      <c r="S23" s="308">
        <f>SUMIFS($E$4:$E$9,$B$4:$B$9,$P23,$D$4:$D$9,"&lt;&gt;"&amp;$P$26)+SUMIFS($G$4:$G$9,$B$4:$B$9,"&lt;&gt;"&amp;$P$26,$D$4:$D$9,$P23)</f>
        <v>2</v>
      </c>
      <c r="T23" s="308">
        <f>SUMIFS($G$4:$G$9,$B$4:$B$9,$P23,$D$4:$D$9,"&lt;&gt;"&amp;$P$26)+SUMIFS($E$4:$E$9,$B$4:$B$9,"&lt;&gt;"&amp;$P$26,$D$4:$D$9,$P23)</f>
        <v>5</v>
      </c>
      <c r="U23" s="308"/>
      <c r="V23" s="248">
        <f>Q23*FactorPts+(GDzero+R23)*FactorGD+S23*FactorFor</f>
        <v>10047020</v>
      </c>
      <c r="W23" s="308">
        <f>RANK(V23,V$23:V$25,1)</f>
        <v>1</v>
      </c>
      <c r="X23" s="308">
        <f>IF(AND($Q$4=$Q$5,$Q$4=$Q$7,$Q$4&lt;&gt;$Q$6),W23,0)</f>
        <v>0</v>
      </c>
      <c r="Y23" s="308" t="str">
        <f>IF(AND(V23=V24,V23&lt;&gt;V25),IF(AA23&gt;AA24,3,IF(AA23=AA24,1,0)),IF(AND(V23=V25,V23&lt;&gt;V24),IF(AB23&gt;AB25,3,IF(AB23=AB25,1,0)),""))</f>
        <v/>
      </c>
      <c r="Z23" s="307" t="str">
        <f>IF(X23&gt;0,Y23,"")</f>
        <v/>
      </c>
      <c r="AA23" s="236">
        <f>$I$18</f>
        <v>0</v>
      </c>
      <c r="AB23" s="307">
        <f>$K$18</f>
        <v>2</v>
      </c>
      <c r="AC23" s="310"/>
      <c r="AD23" s="307">
        <f>IF(AND($AF$16,$AD$4=$AD$5,$AD$4=$AD$7,$AD$4&lt;&gt;$AD$6),W23,0)</f>
        <v>0</v>
      </c>
      <c r="AE23" s="307" t="str">
        <f>IF(AD23&gt;0,Y23,"")</f>
        <v/>
      </c>
    </row>
    <row r="24" spans="2:31" x14ac:dyDescent="0.25">
      <c r="B24" s="42"/>
      <c r="C24" s="308"/>
      <c r="O24" s="308" t="s">
        <v>33</v>
      </c>
      <c r="P24" t="str">
        <f>$P$5</f>
        <v>Portugal</v>
      </c>
      <c r="Q24" s="308">
        <f>SUMIFS($H$4:$H$9,$B$4:$B$9,$P24,$D$4:$D$9,"&lt;&gt;"&amp;$P$26)+SUMIFS($I$4:$I$9,$B$4:$B$9,"&lt;&gt;"&amp;$P$26,$D$4:$D$9,$P24)</f>
        <v>3</v>
      </c>
      <c r="R24" s="308">
        <f>S24-T24</f>
        <v>1</v>
      </c>
      <c r="S24" s="308">
        <f>SUMIFS($E$4:$E$9,$B$4:$B$9,$P24,$D$4:$D$9,"&lt;&gt;"&amp;$P$26)+SUMIFS($G$4:$G$9,$B$4:$B$9,"&lt;&gt;"&amp;$P$26,$D$4:$D$9,$P24)</f>
        <v>5</v>
      </c>
      <c r="T24" s="308">
        <f>SUMIFS($G$4:$G$9,$B$4:$B$9,$P24,$D$4:$D$9,"&lt;&gt;"&amp;$P$26)+SUMIFS($E$4:$E$9,$B$4:$B$9,"&lt;&gt;"&amp;$P$26,$D$4:$D$9,$P24)</f>
        <v>4</v>
      </c>
      <c r="U24" s="308"/>
      <c r="V24" s="248">
        <f>Q24*FactorPts+(GDzero+R24)*FactorGD+S24*FactorFor</f>
        <v>30051050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3</v>
      </c>
      <c r="AB24" s="307"/>
      <c r="AC24" s="310">
        <f>$K$19</f>
        <v>2</v>
      </c>
      <c r="AD24" s="307">
        <f>IF(AND($AF$16,$AD$4=$AD$5,$AD$4=$AD$7,$AD$4&lt;&gt;$AD$6),W24,0)</f>
        <v>0</v>
      </c>
      <c r="AE24" s="307" t="str">
        <f t="shared" ref="AE24:AE25" si="14">IF(AD24&gt;0,Y24,"")</f>
        <v/>
      </c>
    </row>
    <row r="25" spans="2:31" x14ac:dyDescent="0.25">
      <c r="B25" s="42"/>
      <c r="C25" s="308"/>
      <c r="O25" s="308" t="s">
        <v>34</v>
      </c>
      <c r="P25" t="str">
        <f>$P$7</f>
        <v>Deutschland</v>
      </c>
      <c r="Q25" s="308">
        <f>SUMIFS($H$4:$H$9,$B$4:$B$9,$P25,$D$4:$D$9,"&lt;&gt;"&amp;$P$26)+SUMIFS($I$4:$I$9,$B$4:$B$9,"&lt;&gt;"&amp;$P$26,$D$4:$D$9,$P25)</f>
        <v>4</v>
      </c>
      <c r="R25" s="308">
        <f>S25-T25</f>
        <v>2</v>
      </c>
      <c r="S25" s="308">
        <f>SUMIFS($E$4:$E$9,$B$4:$B$9,$P25,$D$4:$D$9,"&lt;&gt;"&amp;$P$26)+SUMIFS($G$4:$G$9,$B$4:$B$9,"&lt;&gt;"&amp;$P$26,$D$4:$D$9,$P25)</f>
        <v>6</v>
      </c>
      <c r="T25" s="308">
        <f>SUMIFS($G$4:$G$9,$B$4:$B$9,$P25,$D$4:$D$9,"&lt;&gt;"&amp;$P$26)+SUMIFS($E$4:$E$9,$B$4:$B$9,"&lt;&gt;"&amp;$P$26,$D$4:$D$9,$P25)</f>
        <v>4</v>
      </c>
      <c r="U25" s="308"/>
      <c r="V25" s="248">
        <f>Q25*FactorPts+(GDzero+R25)*FactorGD+S25*FactorFor</f>
        <v>40052060</v>
      </c>
      <c r="W25" s="308">
        <f>RANK(V25,V$23:V$25,1)</f>
        <v>3</v>
      </c>
      <c r="X25" s="308">
        <f>IF(AND($Q$4=$Q$5,$Q$4=$Q$7,$Q$4&lt;&gt;$Q$6),W25,0)</f>
        <v>0</v>
      </c>
      <c r="Y25" s="308" t="str">
        <f>IF(AND(V25=V23,V25&lt;&gt;V24),IF(AB25&gt;AB23,3,IF(AB25=AB23,1,0)),IF(AND(V25=V24,V25&lt;&gt;V23),IF(AC25&gt;AC24,3,IF(AC25=AC24,1,0)),""))</f>
        <v/>
      </c>
      <c r="Z25" s="307" t="str">
        <f t="shared" si="13"/>
        <v/>
      </c>
      <c r="AA25" s="236"/>
      <c r="AB25" s="307">
        <f>$H$21</f>
        <v>2</v>
      </c>
      <c r="AC25" s="310">
        <f>$I$21</f>
        <v>4</v>
      </c>
      <c r="AD25" s="307">
        <f>IF(AND($AF$16,$AD$4=$AD$5,$AD$4=$AD$7,$AD$4&lt;&gt;$AD$6),W25,0)</f>
        <v>0</v>
      </c>
      <c r="AE25" s="307" t="str">
        <f t="shared" si="14"/>
        <v/>
      </c>
    </row>
    <row r="26" spans="2:31" x14ac:dyDescent="0.25">
      <c r="B26" s="42"/>
      <c r="C26" s="308"/>
      <c r="P26" s="33" t="str">
        <f>$P$6</f>
        <v>Frankreich</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Ungarn</v>
      </c>
      <c r="Q28" s="308">
        <f>SUMIFS($H$4:$H$9,$B$4:$B$9,$P28,$D$4:$D$9,"&lt;&gt;"&amp;$P$31)+SUMIFS($I$4:$I$9,$B$4:$B$9,"&lt;&gt;"&amp;$P$31,$D$4:$D$9,$P28)</f>
        <v>2</v>
      </c>
      <c r="R28" s="308">
        <f>S28-T28</f>
        <v>0</v>
      </c>
      <c r="S28" s="308">
        <f>SUMIFS($E$4:$E$9,$B$4:$B$9,$P28,$D$4:$D$9,"&lt;&gt;"&amp;$P$31)+SUMIFS($G$4:$G$9,$B$4:$B$9,"&lt;&gt;"&amp;$P$31,$D$4:$D$9,$P28)</f>
        <v>3</v>
      </c>
      <c r="T28" s="308">
        <f>SUMIFS($G$4:$G$9,$B$4:$B$9,$P28,$D$4:$D$9,"&lt;&gt;"&amp;$P$31)+SUMIFS($E$4:$E$9,$B$4:$B$9,"&lt;&gt;"&amp;$P$31,$D$4:$D$9,$P28)</f>
        <v>3</v>
      </c>
      <c r="U28" s="308"/>
      <c r="V28" s="248">
        <f>Q28*FactorPts+(GDzero+R28)*FactorGD+S28*FactorFor</f>
        <v>20050030</v>
      </c>
      <c r="W28" s="308">
        <f>_xlfn.RANK.EQ(V28,V$28:V$30,1)</f>
        <v>2</v>
      </c>
      <c r="X28" s="308">
        <f>IF(AND($Q$4=$Q$6,$Q$4=$Q$7,$Q$4&lt;&gt;$Q$5),W28,0)</f>
        <v>0</v>
      </c>
      <c r="Y28" s="308" t="str">
        <f>IF(AND(V28=V29,V28&lt;&gt;V30),IF(AA28&gt;AA29,3,IF(AA28=AA29,1,0)),IF(AND(V28=V30,V28&lt;&gt;V29),IF(AB28&gt;AB30,3,IF(AB28=AB30,1,0)),""))</f>
        <v/>
      </c>
      <c r="Z28" s="307" t="str">
        <f>IF(X28&gt;0,Y28,"")</f>
        <v/>
      </c>
      <c r="AA28" s="236">
        <f>$J$18</f>
        <v>1</v>
      </c>
      <c r="AB28" s="307">
        <f>$K$18</f>
        <v>2</v>
      </c>
      <c r="AC28" s="310"/>
      <c r="AD28" s="307">
        <f>IF(AND($AF$16,$AD$4=$AD$6,$AD$4=$AD$7,$AD$4&lt;&gt;$AD$5),W28,0)</f>
        <v>0</v>
      </c>
      <c r="AE28" s="307" t="str">
        <f>IF(AD28&gt;0,Y28,"")</f>
        <v/>
      </c>
    </row>
    <row r="29" spans="2:31" x14ac:dyDescent="0.25">
      <c r="O29" s="308" t="s">
        <v>33</v>
      </c>
      <c r="P29" t="str">
        <f>$P$6</f>
        <v>Frankreich</v>
      </c>
      <c r="Q29" s="308">
        <f>SUMIFS($H$4:$H$9,$B$4:$B$9,$P29,$D$4:$D$9,"&lt;&gt;"&amp;$P$31)+SUMIFS($I$4:$I$9,$B$4:$B$9,"&lt;&gt;"&amp;$P$31,$D$4:$D$9,$P29)</f>
        <v>4</v>
      </c>
      <c r="R29" s="308">
        <f>S29-T29</f>
        <v>1</v>
      </c>
      <c r="S29" s="308">
        <f>SUMIFS($E$4:$E$9,$B$4:$B$9,$P29,$D$4:$D$9,"&lt;&gt;"&amp;$P$31)+SUMIFS($G$4:$G$9,$B$4:$B$9,"&lt;&gt;"&amp;$P$31,$D$4:$D$9,$P29)</f>
        <v>2</v>
      </c>
      <c r="T29" s="308">
        <f>SUMIFS($G$4:$G$9,$B$4:$B$9,$P29,$D$4:$D$9,"&lt;&gt;"&amp;$P$31)+SUMIFS($E$4:$E$9,$B$4:$B$9,"&lt;&gt;"&amp;$P$31,$D$4:$D$9,$P29)</f>
        <v>1</v>
      </c>
      <c r="U29" s="308"/>
      <c r="V29" s="248">
        <f>Q29*FactorPts+(GDzero+R29)*FactorGD+S29*FactorFor</f>
        <v>40051020</v>
      </c>
      <c r="W29" s="308">
        <f>_xlfn.RANK.EQ(V29,V$28:V$30,1)</f>
        <v>3</v>
      </c>
      <c r="X29" s="308">
        <f>IF(AND($Q$4=$Q$6,$Q$4=$Q$7,$Q$4&lt;&gt;$Q$5),W29,0)</f>
        <v>0</v>
      </c>
      <c r="Y29" s="308" t="str">
        <f>IF(AND(V29=V28,V29&lt;&gt;V30),IF(AA29&gt;AA28,3,IF(AA29=AA28,1,0)),IF(AND(V29=V30,V29&lt;&gt;V28),IF(AC29&gt;AC30,3,IF(AC29=AC30,1,0)),""))</f>
        <v/>
      </c>
      <c r="Z29" s="307" t="str">
        <f t="shared" ref="Z29:Z30" si="15">IF(X29&gt;0,Y29,"")</f>
        <v/>
      </c>
      <c r="AA29" s="236">
        <f>$H$20</f>
        <v>1</v>
      </c>
      <c r="AB29" s="307"/>
      <c r="AC29" s="310">
        <f>$K$20</f>
        <v>1</v>
      </c>
      <c r="AD29" s="307">
        <f>IF(AND($AF$16,$AD$4=$AD$6,$AD$4=$AD$7,$AD$4&lt;&gt;$AD$5),W29,0)</f>
        <v>0</v>
      </c>
      <c r="AE29" s="307" t="str">
        <f t="shared" ref="AE29:AE30" si="16">IF(AD29&gt;0,Y29,"")</f>
        <v/>
      </c>
    </row>
    <row r="30" spans="2:31" x14ac:dyDescent="0.25">
      <c r="O30" s="308" t="s">
        <v>34</v>
      </c>
      <c r="P30" t="str">
        <f>$P$7</f>
        <v>Deutschland</v>
      </c>
      <c r="Q30" s="308">
        <f>SUMIFS($H$4:$H$9,$B$4:$B$9,$P30,$D$4:$D$9,"&lt;&gt;"&amp;$P$31)+SUMIFS($I$4:$I$9,$B$4:$B$9,"&lt;&gt;"&amp;$P$31,$D$4:$D$9,$P30)</f>
        <v>1</v>
      </c>
      <c r="R30" s="308">
        <f>S30-T30</f>
        <v>-1</v>
      </c>
      <c r="S30" s="308">
        <f>SUMIFS($E$4:$E$9,$B$4:$B$9,$P30,$D$4:$D$9,"&lt;&gt;"&amp;$P$31)+SUMIFS($G$4:$G$9,$B$4:$B$9,"&lt;&gt;"&amp;$P$31,$D$4:$D$9,$P30)</f>
        <v>2</v>
      </c>
      <c r="T30" s="308">
        <f>SUMIFS($G$4:$G$9,$B$4:$B$9,$P30,$D$4:$D$9,"&lt;&gt;"&amp;$P$31)+SUMIFS($E$4:$E$9,$B$4:$B$9,"&lt;&gt;"&amp;$P$31,$D$4:$D$9,$P30)</f>
        <v>3</v>
      </c>
      <c r="U30" s="308"/>
      <c r="V30" s="248">
        <f>Q30*FactorPts+(GDzero+R30)*FactorGD+S30*FactorFor</f>
        <v>10049020</v>
      </c>
      <c r="W30" s="308">
        <f>_xlfn.RANK.EQ(V30,V$28:V$30,1)</f>
        <v>1</v>
      </c>
      <c r="X30" s="308">
        <f>IF(AND($Q$4=$Q$6,$Q$4=$Q$7,$Q$4&lt;&gt;$Q$5),W30,0)</f>
        <v>0</v>
      </c>
      <c r="Y30" s="308" t="str">
        <f>IF(AND(V30=V28,V30&lt;&gt;V29),IF(AB30&gt;AB28,3,IF(AB30=AB28,1,0)),IF(AND(V30=V29,V30&lt;&gt;V28),IF(AC30&gt;AC29,3,IF(AC30=AC29,1,0)),""))</f>
        <v/>
      </c>
      <c r="Z30" s="307" t="str">
        <f t="shared" si="15"/>
        <v/>
      </c>
      <c r="AA30" s="236"/>
      <c r="AB30" s="307">
        <f>$H$21</f>
        <v>2</v>
      </c>
      <c r="AC30" s="310">
        <f>$J$21</f>
        <v>0</v>
      </c>
      <c r="AD30" s="307">
        <f>IF(AND($AF$16,$AD$4=$AD$6,$AD$4=$AD$7,$AD$4&lt;&gt;$AD$5),W30,0)</f>
        <v>0</v>
      </c>
      <c r="AE30" s="307" t="str">
        <f t="shared" si="16"/>
        <v/>
      </c>
    </row>
    <row r="31" spans="2:31" x14ac:dyDescent="0.25">
      <c r="P31" s="33" t="str">
        <f>$P$5</f>
        <v>Portugal</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Portugal</v>
      </c>
      <c r="Q33" s="308">
        <f>SUMIFS($H$4:$H$9,$B$4:$B$9,$P33,$D$4:$D$9,"&lt;&gt;"&amp;$P$36)+SUMIFS($I$4:$I$9,$B$4:$B$9,"&lt;&gt;"&amp;$P$36,$D$4:$D$9,$P33)</f>
        <v>1</v>
      </c>
      <c r="R33" s="308">
        <f>S33-T33</f>
        <v>-2</v>
      </c>
      <c r="S33" s="308">
        <f>SUMIFS($E$4:$E$9,$B$4:$B$9,$P33,$D$4:$D$9,"&lt;&gt;"&amp;$P$36)+SUMIFS($G$4:$G$9,$B$4:$B$9,"&lt;&gt;"&amp;$P$36,$D$4:$D$9,$P33)</f>
        <v>4</v>
      </c>
      <c r="T33" s="308">
        <f>SUMIFS($G$4:$G$9,$B$4:$B$9,$P33,$D$4:$D$9,"&lt;&gt;"&amp;$P$36)+SUMIFS($E$4:$E$9,$B$4:$B$9,"&lt;&gt;"&amp;$P$36,$D$4:$D$9,$P33)</f>
        <v>6</v>
      </c>
      <c r="U33" s="308"/>
      <c r="V33" s="248">
        <f>Q33*FactorPts+(GDzero+R33)*FactorGD+S33*FactorFor</f>
        <v>10048040</v>
      </c>
      <c r="W33" s="308">
        <f>RANK(V33,V$33:V$35,1)</f>
        <v>1</v>
      </c>
      <c r="X33" s="308">
        <f>IF(AND($Q$5=$Q$6,$Q$5=$Q$7,$Q$5&lt;&gt;$Q$4),W33,0)</f>
        <v>0</v>
      </c>
      <c r="Y33" s="308" t="str">
        <f>IF(AND(V33=V34,V33&lt;&gt;V35),IF(AA33&gt;AA34,3,IF(AA33=AA34,1,0)),IF(AND(V33=V35,V33&lt;&gt;V34),IF(AB33&gt;AB35,3,IF(AB33=AB35,1,0)),""))</f>
        <v/>
      </c>
      <c r="Z33" s="307" t="str">
        <f>IF(X33&gt;0,Y33,"")</f>
        <v/>
      </c>
      <c r="AA33" s="236">
        <f>$J$19</f>
        <v>2</v>
      </c>
      <c r="AB33" s="307">
        <f>$K$19</f>
        <v>2</v>
      </c>
      <c r="AC33" s="310"/>
      <c r="AD33" s="307">
        <f>IF(AND($AF$16,$AD$5=$AD$6,$AD$5=$AD$7,$AD$5&lt;&gt;$AD$4),W33,0)</f>
        <v>0</v>
      </c>
      <c r="AE33" s="307" t="str">
        <f>IF(AD33&gt;0,Y33,"")</f>
        <v/>
      </c>
    </row>
    <row r="34" spans="15:31" x14ac:dyDescent="0.25">
      <c r="O34" s="308" t="s">
        <v>33</v>
      </c>
      <c r="P34" t="str">
        <f>$P$6</f>
        <v>Frankreich</v>
      </c>
      <c r="Q34" s="308">
        <f>SUMIFS($H$4:$H$9,$B$4:$B$9,$P34,$D$4:$D$9,"&lt;&gt;"&amp;$P$36)+SUMIFS($I$4:$I$9,$B$4:$B$9,"&lt;&gt;"&amp;$P$36,$D$4:$D$9,$P34)</f>
        <v>4</v>
      </c>
      <c r="R34" s="308">
        <f>S34-T34</f>
        <v>1</v>
      </c>
      <c r="S34" s="308">
        <f>SUMIFS($E$4:$E$9,$B$4:$B$9,$P34,$D$4:$D$9,"&lt;&gt;"&amp;$P$36)+SUMIFS($G$4:$G$9,$B$4:$B$9,"&lt;&gt;"&amp;$P$36,$D$4:$D$9,$P34)</f>
        <v>3</v>
      </c>
      <c r="T34" s="308">
        <f>SUMIFS($G$4:$G$9,$B$4:$B$9,$P34,$D$4:$D$9,"&lt;&gt;"&amp;$P$36)+SUMIFS($E$4:$E$9,$B$4:$B$9,"&lt;&gt;"&amp;$P$36,$D$4:$D$9,$P34)</f>
        <v>2</v>
      </c>
      <c r="U34" s="308"/>
      <c r="V34" s="248">
        <f>Q34*FactorPts+(GDzero+R34)*FactorGD+S34*FactorFor</f>
        <v>40051030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1</v>
      </c>
      <c r="AD34" s="307">
        <f>IF(AND($AF$16,$AD$5=$AD$6,$AD$5=$AD$7,$AD$5&lt;&gt;$AD$4),W34,0)</f>
        <v>0</v>
      </c>
      <c r="AE34" s="307" t="str">
        <f t="shared" ref="AE34:AE35" si="18">IF(AD34&gt;0,Y34,"")</f>
        <v/>
      </c>
    </row>
    <row r="35" spans="15:31" ht="15.75" thickBot="1" x14ac:dyDescent="0.3">
      <c r="O35" s="308" t="s">
        <v>34</v>
      </c>
      <c r="P35" t="str">
        <f>$P$7</f>
        <v>Deutschland</v>
      </c>
      <c r="Q35" s="308">
        <f>SUMIFS($H$4:$H$9,$B$4:$B$9,$P35,$D$4:$D$9,"&lt;&gt;"&amp;$P$36)+SUMIFS($I$4:$I$9,$B$4:$B$9,"&lt;&gt;"&amp;$P$36,$D$4:$D$9,$P35)</f>
        <v>3</v>
      </c>
      <c r="R35" s="308">
        <f>S35-T35</f>
        <v>1</v>
      </c>
      <c r="S35" s="308">
        <f>SUMIFS($E$4:$E$9,$B$4:$B$9,$P35,$D$4:$D$9,"&lt;&gt;"&amp;$P$36)+SUMIFS($G$4:$G$9,$B$4:$B$9,"&lt;&gt;"&amp;$P$36,$D$4:$D$9,$P35)</f>
        <v>4</v>
      </c>
      <c r="T35" s="308">
        <f>SUMIFS($G$4:$G$9,$B$4:$B$9,$P35,$D$4:$D$9,"&lt;&gt;"&amp;$P$36)+SUMIFS($E$4:$E$9,$B$4:$B$9,"&lt;&gt;"&amp;$P$36,$D$4:$D$9,$P35)</f>
        <v>3</v>
      </c>
      <c r="U35" s="308"/>
      <c r="V35" s="248">
        <f>Q35*FactorPts+(GDzero+R35)*FactorGD+S35*FactorFor</f>
        <v>30051040</v>
      </c>
      <c r="W35" s="308">
        <f>RANK(V35,V$33:V$35,1)</f>
        <v>2</v>
      </c>
      <c r="X35" s="308">
        <f>IF(AND($Q$5=$Q$6,$Q$5=$Q$7,$Q$5&lt;&gt;$Q$4),W35,0)</f>
        <v>0</v>
      </c>
      <c r="Y35" s="308" t="str">
        <f>IF(AND(V35=V33,V35&lt;&gt;V34),IF(AB35&gt;AB33,3,IF(AB35=AB33,1,0)),IF(AND(V35=V34,V35&lt;&gt;V33),IF(AC35&gt;AC34,3,IF(AC35=AC34,1,0)),""))</f>
        <v/>
      </c>
      <c r="Z35" s="307" t="str">
        <f t="shared" si="17"/>
        <v/>
      </c>
      <c r="AA35" s="237"/>
      <c r="AB35" s="238">
        <f>$I$21</f>
        <v>4</v>
      </c>
      <c r="AC35" s="239">
        <f>$J$21</f>
        <v>0</v>
      </c>
      <c r="AD35" s="307">
        <f>IF(AND($AF$16,$AD$5=$AD$6,$AD$5=$AD$7,$AD$5&lt;&gt;$AD$4),W35,0)</f>
        <v>0</v>
      </c>
      <c r="AE35" s="307" t="str">
        <f t="shared" si="18"/>
        <v/>
      </c>
    </row>
    <row r="36" spans="15:31" x14ac:dyDescent="0.25">
      <c r="P36" s="33" t="str">
        <f>$P$4</f>
        <v>Ungarn</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1E18-B273-4FE2-B324-CC70CED7D9BB}">
  <sheetPr codeName="Tabelle3"/>
  <dimension ref="A2:F26"/>
  <sheetViews>
    <sheetView workbookViewId="0">
      <selection activeCell="C6" sqref="C6"/>
    </sheetView>
  </sheetViews>
  <sheetFormatPr baseColWidth="10" defaultColWidth="11.42578125" defaultRowHeight="15" x14ac:dyDescent="0.25"/>
  <cols>
    <col min="1" max="1" width="11.42578125" customWidth="1"/>
    <col min="2" max="2" width="16.7109375" customWidth="1"/>
    <col min="3" max="3" width="13" customWidth="1"/>
    <col min="4" max="4" width="11.42578125" customWidth="1"/>
    <col min="5" max="5" width="16.7109375" customWidth="1"/>
    <col min="6" max="6" width="13" customWidth="1"/>
    <col min="7" max="7" width="11.42578125" customWidth="1"/>
  </cols>
  <sheetData>
    <row r="2" spans="1:6" ht="38.25" customHeight="1" x14ac:dyDescent="0.25">
      <c r="B2" s="448" t="str">
        <f>Language!$E$86</f>
        <v>Fair-Play</v>
      </c>
      <c r="C2" s="449"/>
      <c r="D2" s="449"/>
      <c r="E2" s="449"/>
      <c r="F2" s="449"/>
    </row>
    <row r="3" spans="1:6" ht="75.75" customHeight="1" x14ac:dyDescent="0.25">
      <c r="B3" s="450" t="str">
        <f>Language!$E$139</f>
        <v>Entscheidet bei zwei Mannschaften die Fair-Play-Wertung über die bessere Platzierung in der Gruppe, so wird hier für die bessere Mannschaft eine "1" eingetragen.</v>
      </c>
      <c r="C3" s="450"/>
      <c r="D3" s="450"/>
      <c r="E3" s="450"/>
      <c r="F3" s="450"/>
    </row>
    <row r="4" spans="1:6" ht="18" customHeight="1" x14ac:dyDescent="0.25">
      <c r="B4" s="89"/>
      <c r="C4" s="89"/>
      <c r="D4" s="89"/>
      <c r="E4" s="89"/>
      <c r="F4" s="89"/>
    </row>
    <row r="5" spans="1:6" ht="19.5" thickBot="1" x14ac:dyDescent="0.35">
      <c r="A5" s="224" t="s">
        <v>30</v>
      </c>
      <c r="B5" s="293" t="str">
        <f>Language!$E$93&amp;" "&amp;A5</f>
        <v>Gruppe A</v>
      </c>
      <c r="C5" s="294" t="str">
        <f>Language!$E$124</f>
        <v>Bonus</v>
      </c>
      <c r="D5" s="224" t="s">
        <v>31</v>
      </c>
      <c r="E5" s="293" t="str">
        <f>Language!$E$93&amp;" "&amp;D5</f>
        <v>Gruppe D</v>
      </c>
      <c r="F5" s="294" t="str">
        <f>Language!$E$124</f>
        <v>Bonus</v>
      </c>
    </row>
    <row r="6" spans="1:6" x14ac:dyDescent="0.25">
      <c r="B6" s="30" t="str">
        <f>VLOOKUP(A5&amp;"1",Groups!$B$7:$D$35,3,0)</f>
        <v>Türkei</v>
      </c>
      <c r="C6" s="90">
        <v>0</v>
      </c>
      <c r="E6" s="30" t="str">
        <f>VLOOKUP(D5&amp;"1",Groups!$B$7:$D$35,3,0)</f>
        <v>England</v>
      </c>
      <c r="F6" s="90">
        <v>0</v>
      </c>
    </row>
    <row r="7" spans="1:6" x14ac:dyDescent="0.25">
      <c r="B7" s="30" t="str">
        <f>VLOOKUP(A5&amp;"2",Groups!$B$7:$D$35,3,0)</f>
        <v>Italien</v>
      </c>
      <c r="C7" s="91">
        <v>0</v>
      </c>
      <c r="E7" s="30" t="str">
        <f>VLOOKUP(D5&amp;"2",Groups!$B$7:$D$35,3,0)</f>
        <v>Kroatien</v>
      </c>
      <c r="F7" s="91">
        <v>0</v>
      </c>
    </row>
    <row r="8" spans="1:6" x14ac:dyDescent="0.25">
      <c r="B8" s="30" t="str">
        <f>VLOOKUP(A5&amp;"3",Groups!$B$7:$D$35,3,0)</f>
        <v>Wales</v>
      </c>
      <c r="C8" s="91">
        <v>0</v>
      </c>
      <c r="E8" s="30" t="str">
        <f>VLOOKUP(D5&amp;"3",Groups!$B$7:$D$35,3,0)</f>
        <v>Schottland</v>
      </c>
      <c r="F8" s="91">
        <v>0</v>
      </c>
    </row>
    <row r="9" spans="1:6" x14ac:dyDescent="0.25">
      <c r="B9" s="30" t="str">
        <f>VLOOKUP(A5&amp;"4",Groups!$B$7:$D$35,3,0)</f>
        <v>Schweiz</v>
      </c>
      <c r="C9" s="91">
        <v>0</v>
      </c>
      <c r="E9" s="30" t="str">
        <f>VLOOKUP(D5&amp;"4",Groups!$B$7:$D$35,3,0)</f>
        <v>Tschechien</v>
      </c>
      <c r="F9" s="91">
        <v>0</v>
      </c>
    </row>
    <row r="10" spans="1:6" x14ac:dyDescent="0.25">
      <c r="C10" s="28"/>
    </row>
    <row r="11" spans="1:6" ht="19.5" thickBot="1" x14ac:dyDescent="0.35">
      <c r="A11" s="224" t="s">
        <v>26</v>
      </c>
      <c r="B11" s="293" t="str">
        <f>Language!$E$93&amp;" "&amp;A11</f>
        <v>Gruppe B</v>
      </c>
      <c r="C11" s="294" t="str">
        <f>Language!$E$124</f>
        <v>Bonus</v>
      </c>
      <c r="D11" s="224" t="s">
        <v>28</v>
      </c>
      <c r="E11" s="293" t="str">
        <f>Language!$E$93&amp;" "&amp;D11</f>
        <v>Gruppe E</v>
      </c>
      <c r="F11" s="294" t="str">
        <f>Language!$E$124</f>
        <v>Bonus</v>
      </c>
    </row>
    <row r="12" spans="1:6" x14ac:dyDescent="0.25">
      <c r="B12" s="30" t="str">
        <f>VLOOKUP(A11&amp;"1",Groups!$B$7:$D$35,3,0)</f>
        <v>Dänemark</v>
      </c>
      <c r="C12" s="90">
        <v>0</v>
      </c>
      <c r="E12" s="30" t="str">
        <f>VLOOKUP(D11&amp;"1",Groups!$B$7:$D$35,3,0)</f>
        <v>Spanien</v>
      </c>
      <c r="F12" s="90">
        <v>0</v>
      </c>
    </row>
    <row r="13" spans="1:6" x14ac:dyDescent="0.25">
      <c r="B13" s="30" t="str">
        <f>VLOOKUP(A11&amp;"2",Groups!$B$7:$D$35,3,0)</f>
        <v>Finnland</v>
      </c>
      <c r="C13" s="91">
        <v>0</v>
      </c>
      <c r="E13" s="30" t="str">
        <f>VLOOKUP(D11&amp;"2",Groups!$B$7:$D$35,3,0)</f>
        <v>Schweden</v>
      </c>
      <c r="F13" s="91">
        <v>0</v>
      </c>
    </row>
    <row r="14" spans="1:6" x14ac:dyDescent="0.25">
      <c r="B14" s="30" t="str">
        <f>VLOOKUP(A11&amp;"3",Groups!$B$7:$D$35,3,0)</f>
        <v>Belgien</v>
      </c>
      <c r="C14" s="91">
        <v>0</v>
      </c>
      <c r="E14" s="30" t="str">
        <f>VLOOKUP(D11&amp;"3",Groups!$B$7:$D$35,3,0)</f>
        <v>Polen</v>
      </c>
      <c r="F14" s="91">
        <v>0</v>
      </c>
    </row>
    <row r="15" spans="1:6" x14ac:dyDescent="0.25">
      <c r="B15" s="30" t="str">
        <f>VLOOKUP(A11&amp;"4",Groups!$B$7:$D$35,3,0)</f>
        <v>Russland</v>
      </c>
      <c r="C15" s="91">
        <v>0</v>
      </c>
      <c r="E15" s="30" t="str">
        <f>VLOOKUP(D11&amp;"4",Groups!$B$7:$D$35,3,0)</f>
        <v>Slowakei</v>
      </c>
      <c r="F15" s="91">
        <v>0</v>
      </c>
    </row>
    <row r="16" spans="1:6" x14ac:dyDescent="0.25">
      <c r="C16" s="28"/>
      <c r="F16" s="28"/>
    </row>
    <row r="17" spans="1:6" ht="19.5" thickBot="1" x14ac:dyDescent="0.35">
      <c r="A17" s="224" t="s">
        <v>27</v>
      </c>
      <c r="B17" s="293" t="str">
        <f>Language!$E$93&amp;" "&amp;A17</f>
        <v>Gruppe C</v>
      </c>
      <c r="C17" s="294" t="str">
        <f>Language!$E$124</f>
        <v>Bonus</v>
      </c>
      <c r="D17" s="224" t="s">
        <v>29</v>
      </c>
      <c r="E17" s="293" t="str">
        <f>Language!$E$93&amp;" "&amp;D17</f>
        <v>Gruppe F</v>
      </c>
      <c r="F17" s="294" t="str">
        <f>Language!$E$124</f>
        <v>Bonus</v>
      </c>
    </row>
    <row r="18" spans="1:6" x14ac:dyDescent="0.25">
      <c r="B18" s="30" t="str">
        <f>VLOOKUP(A17&amp;"1",Groups!$B$7:$D$35,3,0)</f>
        <v>Niederlande</v>
      </c>
      <c r="C18" s="90">
        <v>0</v>
      </c>
      <c r="E18" s="30" t="str">
        <f>VLOOKUP(D17&amp;"1",Groups!$B$7:$D$35,3,0)</f>
        <v>Ungarn</v>
      </c>
      <c r="F18" s="90">
        <v>0</v>
      </c>
    </row>
    <row r="19" spans="1:6" x14ac:dyDescent="0.25">
      <c r="B19" s="30" t="str">
        <f>VLOOKUP(A17&amp;"2",Groups!$B$7:$D$35,3,0)</f>
        <v>Ukraine</v>
      </c>
      <c r="C19" s="91">
        <v>0</v>
      </c>
      <c r="E19" s="30" t="str">
        <f>VLOOKUP(D17&amp;"2",Groups!$B$7:$D$35,3,0)</f>
        <v>Portugal</v>
      </c>
      <c r="F19" s="91">
        <v>0</v>
      </c>
    </row>
    <row r="20" spans="1:6" x14ac:dyDescent="0.25">
      <c r="B20" s="30" t="str">
        <f>VLOOKUP(A17&amp;"3",Groups!$B$7:$D$35,3,0)</f>
        <v>Österreich</v>
      </c>
      <c r="C20" s="91">
        <v>0</v>
      </c>
      <c r="E20" s="30" t="str">
        <f>VLOOKUP(D17&amp;"3",Groups!$B$7:$D$35,3,0)</f>
        <v>Frankreich</v>
      </c>
      <c r="F20" s="91">
        <v>0</v>
      </c>
    </row>
    <row r="21" spans="1:6" x14ac:dyDescent="0.25">
      <c r="B21" s="30" t="str">
        <f>VLOOKUP(A17&amp;"4",Groups!$B$7:$D$35,3,0)</f>
        <v>Nordmazedonien</v>
      </c>
      <c r="C21" s="91">
        <v>0</v>
      </c>
      <c r="E21" s="30" t="str">
        <f>VLOOKUP(D17&amp;"4",Groups!$B$7:$D$35,3,0)</f>
        <v>Deutschland</v>
      </c>
      <c r="F21" s="91">
        <v>0</v>
      </c>
    </row>
    <row r="22" spans="1:6" x14ac:dyDescent="0.25">
      <c r="C22" s="28"/>
      <c r="E22" s="18"/>
      <c r="F22" s="32"/>
    </row>
    <row r="23" spans="1:6" x14ac:dyDescent="0.25">
      <c r="E23" s="260"/>
      <c r="F23" s="261"/>
    </row>
    <row r="24" spans="1:6" x14ac:dyDescent="0.25">
      <c r="E24" s="260"/>
      <c r="F24" s="261"/>
    </row>
    <row r="25" spans="1:6" x14ac:dyDescent="0.25">
      <c r="E25" s="260"/>
      <c r="F25" s="261"/>
    </row>
    <row r="26" spans="1:6" x14ac:dyDescent="0.25">
      <c r="E26" s="260"/>
      <c r="F26" s="261"/>
    </row>
  </sheetData>
  <sheetProtection selectLockedCells="1"/>
  <mergeCells count="2">
    <mergeCell ref="B2:F2"/>
    <mergeCell ref="B3:F3"/>
  </mergeCells>
  <conditionalFormatting sqref="C6:C9">
    <cfRule type="cellIs" dxfId="19" priority="13" operator="notEqual">
      <formula>0</formula>
    </cfRule>
  </conditionalFormatting>
  <conditionalFormatting sqref="F23:F26">
    <cfRule type="cellIs" dxfId="18" priority="6" operator="greaterThan">
      <formula>0</formula>
    </cfRule>
  </conditionalFormatting>
  <conditionalFormatting sqref="C12:C15">
    <cfRule type="cellIs" dxfId="17" priority="5" operator="notEqual">
      <formula>0</formula>
    </cfRule>
  </conditionalFormatting>
  <conditionalFormatting sqref="C18:C21">
    <cfRule type="cellIs" dxfId="16" priority="4" operator="notEqual">
      <formula>0</formula>
    </cfRule>
  </conditionalFormatting>
  <conditionalFormatting sqref="F6:F9">
    <cfRule type="cellIs" dxfId="15" priority="3" operator="notEqual">
      <formula>0</formula>
    </cfRule>
  </conditionalFormatting>
  <conditionalFormatting sqref="F12:F15">
    <cfRule type="cellIs" dxfId="14" priority="2" operator="notEqual">
      <formula>0</formula>
    </cfRule>
  </conditionalFormatting>
  <conditionalFormatting sqref="F18:F21">
    <cfRule type="cellIs" dxfId="13" priority="1" operator="notEqual">
      <formula>0</formula>
    </cfRule>
  </conditionalFormatting>
  <dataValidations count="2">
    <dataValidation type="whole" allowBlank="1" showInputMessage="1" showErrorMessage="1" sqref="F23:F26" xr:uid="{F800E550-C2F5-479F-B933-19E20C2EA6BB}">
      <formula1>0</formula1>
      <formula2>99</formula2>
    </dataValidation>
    <dataValidation type="whole" allowBlank="1" showInputMessage="1" showErrorMessage="1" sqref="C6:C9 C12:C15 C18:C21 F6:F9 F12:F15 F18:F21" xr:uid="{39C20612-591D-4D5E-BC6D-8B9A1C976F62}">
      <formula1>-9</formula1>
      <formula2>9</formula2>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331"/>
      <c r="F1" s="457" t="str">
        <f>Language!$E$89</f>
        <v>Wahl der Sprache</v>
      </c>
      <c r="G1" s="457"/>
      <c r="H1" s="457"/>
      <c r="I1" s="457"/>
      <c r="J1" s="457"/>
      <c r="K1" s="359"/>
      <c r="L1" s="451" t="str">
        <f>Language!$E$142</f>
        <v>Hier klicken und Sprache wählen:</v>
      </c>
      <c r="M1" s="452"/>
      <c r="N1" s="361" t="s">
        <v>105</v>
      </c>
      <c r="O1" s="323" t="str">
        <f>_xlfn.UNICHAR(8592)</f>
        <v>←</v>
      </c>
    </row>
    <row r="2" spans="2:15" ht="11.25" customHeight="1" thickBot="1" x14ac:dyDescent="0.3">
      <c r="F2" s="458"/>
      <c r="G2" s="458"/>
      <c r="H2" s="458"/>
      <c r="I2" s="458"/>
      <c r="J2" s="458"/>
      <c r="K2" s="360"/>
      <c r="M2" s="121"/>
      <c r="N2" s="362"/>
    </row>
    <row r="3" spans="2:15" ht="15.75" thickTop="1" x14ac:dyDescent="0.25">
      <c r="B3" s="27" t="s">
        <v>90</v>
      </c>
      <c r="C3" s="58">
        <f>IF(AND($N$1&lt;&gt;B4,$N$1&lt;&gt;B5,$N$1&lt;&gt;B6,$N$1&lt;&gt;B7,$N$1&lt;&gt;B8,$N$1&lt;&gt;B9),1,0)</f>
        <v>0</v>
      </c>
      <c r="D3" s="459" t="s">
        <v>504</v>
      </c>
      <c r="E3" s="461"/>
      <c r="F3" s="462" t="s">
        <v>90</v>
      </c>
      <c r="G3" s="455" t="s">
        <v>91</v>
      </c>
      <c r="H3" s="455" t="s">
        <v>92</v>
      </c>
      <c r="I3" s="464" t="s">
        <v>93</v>
      </c>
      <c r="J3" s="455" t="s">
        <v>105</v>
      </c>
      <c r="K3" s="455" t="s">
        <v>758</v>
      </c>
      <c r="L3" s="453" t="s">
        <v>94</v>
      </c>
      <c r="M3" s="25"/>
    </row>
    <row r="4" spans="2:15" x14ac:dyDescent="0.25">
      <c r="B4" s="27" t="s">
        <v>91</v>
      </c>
      <c r="C4" s="58">
        <f t="shared" ref="C4:C9" si="0">IF($N$1=B4,1,0)</f>
        <v>0</v>
      </c>
      <c r="D4" s="460"/>
      <c r="E4" s="461"/>
      <c r="F4" s="463"/>
      <c r="G4" s="456"/>
      <c r="H4" s="456"/>
      <c r="I4" s="465"/>
      <c r="J4" s="456"/>
      <c r="K4" s="456"/>
      <c r="L4" s="454"/>
      <c r="M4" s="65"/>
      <c r="N4" s="66"/>
    </row>
    <row r="5" spans="2:15" x14ac:dyDescent="0.25">
      <c r="B5" s="27" t="s">
        <v>92</v>
      </c>
      <c r="C5" s="58">
        <f t="shared" si="0"/>
        <v>0</v>
      </c>
      <c r="D5" s="195">
        <v>1</v>
      </c>
      <c r="E5" s="217" t="str">
        <f>IF($C$3,F5,IF($C$4,G5,IF($C$5,H5,IF($C$6,I5,IF($C$7,J5,IF($C$8,K5,IF(L5&lt;&gt;"",L5,F5)))))))</f>
        <v>Belgien</v>
      </c>
      <c r="F5" s="145" t="s">
        <v>38</v>
      </c>
      <c r="G5" s="146" t="s">
        <v>62</v>
      </c>
      <c r="H5" s="144" t="s">
        <v>75</v>
      </c>
      <c r="I5" s="147" t="s">
        <v>76</v>
      </c>
      <c r="J5" s="144" t="s">
        <v>102</v>
      </c>
      <c r="K5" s="363" t="s">
        <v>759</v>
      </c>
      <c r="L5" s="96"/>
    </row>
    <row r="6" spans="2:15" x14ac:dyDescent="0.25">
      <c r="B6" s="27" t="s">
        <v>93</v>
      </c>
      <c r="C6" s="58">
        <f t="shared" si="0"/>
        <v>0</v>
      </c>
      <c r="D6" s="195">
        <v>2</v>
      </c>
      <c r="E6" s="217" t="str">
        <f t="shared" ref="E6:E69" si="1">IF($C$3,F6,IF($C$4,G6,IF($C$5,H6,IF($C$6,I6,IF($C$7,J6,IF($C$8,K6,IF(L6&lt;&gt;"",L6,F6)))))))</f>
        <v>Italien</v>
      </c>
      <c r="F6" s="145" t="s">
        <v>354</v>
      </c>
      <c r="G6" s="146" t="s">
        <v>380</v>
      </c>
      <c r="H6" s="144" t="s">
        <v>380</v>
      </c>
      <c r="I6" s="147" t="s">
        <v>381</v>
      </c>
      <c r="J6" s="144" t="s">
        <v>382</v>
      </c>
      <c r="K6" s="363" t="s">
        <v>760</v>
      </c>
      <c r="L6" s="96"/>
    </row>
    <row r="7" spans="2:15" x14ac:dyDescent="0.25">
      <c r="B7" s="27" t="s">
        <v>105</v>
      </c>
      <c r="C7" s="58">
        <f t="shared" si="0"/>
        <v>1</v>
      </c>
      <c r="D7" s="195">
        <v>3</v>
      </c>
      <c r="E7" s="217" t="str">
        <f t="shared" si="1"/>
        <v>England</v>
      </c>
      <c r="F7" s="145" t="s">
        <v>1</v>
      </c>
      <c r="G7" s="146" t="s">
        <v>64</v>
      </c>
      <c r="H7" s="144" t="s">
        <v>78</v>
      </c>
      <c r="I7" s="147" t="s">
        <v>79</v>
      </c>
      <c r="J7" s="144" t="s">
        <v>1</v>
      </c>
      <c r="K7" s="363" t="s">
        <v>761</v>
      </c>
      <c r="L7" s="96"/>
    </row>
    <row r="8" spans="2:15" x14ac:dyDescent="0.25">
      <c r="B8" s="27" t="s">
        <v>758</v>
      </c>
      <c r="C8" s="58">
        <f t="shared" si="0"/>
        <v>0</v>
      </c>
      <c r="D8" s="195">
        <v>4</v>
      </c>
      <c r="E8" s="217" t="str">
        <f t="shared" si="1"/>
        <v>Deutschland</v>
      </c>
      <c r="F8" s="145" t="s">
        <v>39</v>
      </c>
      <c r="G8" s="146" t="s">
        <v>70</v>
      </c>
      <c r="H8" s="144" t="s">
        <v>88</v>
      </c>
      <c r="I8" s="147" t="s">
        <v>89</v>
      </c>
      <c r="J8" s="144" t="s">
        <v>97</v>
      </c>
      <c r="K8" s="363" t="s">
        <v>762</v>
      </c>
      <c r="L8" s="96"/>
    </row>
    <row r="9" spans="2:15" x14ac:dyDescent="0.25">
      <c r="B9" s="27" t="s">
        <v>94</v>
      </c>
      <c r="C9" s="58">
        <f t="shared" si="0"/>
        <v>0</v>
      </c>
      <c r="D9" s="195">
        <v>5</v>
      </c>
      <c r="E9" s="217" t="str">
        <f t="shared" si="1"/>
        <v>Spanien</v>
      </c>
      <c r="F9" s="145" t="s">
        <v>40</v>
      </c>
      <c r="G9" s="146" t="s">
        <v>67</v>
      </c>
      <c r="H9" s="144" t="s">
        <v>83</v>
      </c>
      <c r="I9" s="147" t="s">
        <v>84</v>
      </c>
      <c r="J9" s="144" t="s">
        <v>98</v>
      </c>
      <c r="K9" s="363" t="s">
        <v>763</v>
      </c>
      <c r="L9" s="96"/>
    </row>
    <row r="10" spans="2:15" x14ac:dyDescent="0.25">
      <c r="D10" s="195">
        <v>6</v>
      </c>
      <c r="E10" s="217" t="str">
        <f t="shared" si="1"/>
        <v>Ukraine</v>
      </c>
      <c r="F10" s="145" t="s">
        <v>358</v>
      </c>
      <c r="G10" s="146" t="s">
        <v>396</v>
      </c>
      <c r="H10" s="144" t="s">
        <v>395</v>
      </c>
      <c r="I10" s="147" t="s">
        <v>358</v>
      </c>
      <c r="J10" s="144" t="s">
        <v>358</v>
      </c>
      <c r="K10" s="363" t="s">
        <v>764</v>
      </c>
      <c r="L10" s="96"/>
    </row>
    <row r="11" spans="2:15" x14ac:dyDescent="0.25">
      <c r="D11" s="195">
        <v>7</v>
      </c>
      <c r="E11" s="217" t="str">
        <f t="shared" si="1"/>
        <v>Frankreich</v>
      </c>
      <c r="F11" s="145" t="s">
        <v>41</v>
      </c>
      <c r="G11" s="146" t="s">
        <v>69</v>
      </c>
      <c r="H11" s="144" t="s">
        <v>69</v>
      </c>
      <c r="I11" s="147" t="s">
        <v>41</v>
      </c>
      <c r="J11" s="144" t="s">
        <v>96</v>
      </c>
      <c r="K11" s="363" t="s">
        <v>765</v>
      </c>
      <c r="L11" s="96"/>
    </row>
    <row r="12" spans="2:15" x14ac:dyDescent="0.25">
      <c r="D12" s="195">
        <v>8</v>
      </c>
      <c r="E12" s="217" t="str">
        <f t="shared" si="1"/>
        <v>Polen</v>
      </c>
      <c r="F12" s="145" t="s">
        <v>42</v>
      </c>
      <c r="G12" s="146" t="s">
        <v>66</v>
      </c>
      <c r="H12" s="144" t="s">
        <v>66</v>
      </c>
      <c r="I12" s="147" t="s">
        <v>82</v>
      </c>
      <c r="J12" s="144" t="s">
        <v>95</v>
      </c>
      <c r="K12" s="363" t="s">
        <v>95</v>
      </c>
      <c r="L12" s="96"/>
    </row>
    <row r="13" spans="2:15" x14ac:dyDescent="0.25">
      <c r="D13" s="195">
        <v>9</v>
      </c>
      <c r="E13" s="217" t="str">
        <f t="shared" si="1"/>
        <v>Schweiz</v>
      </c>
      <c r="F13" s="145" t="s">
        <v>59</v>
      </c>
      <c r="G13" s="146" t="s">
        <v>60</v>
      </c>
      <c r="H13" s="144" t="s">
        <v>71</v>
      </c>
      <c r="I13" s="147" t="s">
        <v>72</v>
      </c>
      <c r="J13" s="144" t="s">
        <v>100</v>
      </c>
      <c r="K13" s="363" t="s">
        <v>766</v>
      </c>
      <c r="L13" s="96"/>
    </row>
    <row r="14" spans="2:15" x14ac:dyDescent="0.25">
      <c r="D14" s="195">
        <v>10</v>
      </c>
      <c r="E14" s="217" t="str">
        <f t="shared" si="1"/>
        <v>Kroatien</v>
      </c>
      <c r="F14" s="145" t="s">
        <v>43</v>
      </c>
      <c r="G14" s="146" t="s">
        <v>65</v>
      </c>
      <c r="H14" s="144" t="s">
        <v>80</v>
      </c>
      <c r="I14" s="147" t="s">
        <v>81</v>
      </c>
      <c r="J14" s="144" t="s">
        <v>104</v>
      </c>
      <c r="K14" s="363" t="s">
        <v>767</v>
      </c>
      <c r="L14" s="96"/>
    </row>
    <row r="15" spans="2:15" x14ac:dyDescent="0.25">
      <c r="D15" s="195">
        <v>11</v>
      </c>
      <c r="E15" s="217" t="str">
        <f t="shared" si="1"/>
        <v>Niederlande</v>
      </c>
      <c r="F15" s="145" t="s">
        <v>355</v>
      </c>
      <c r="G15" s="146" t="s">
        <v>383</v>
      </c>
      <c r="H15" s="144" t="s">
        <v>384</v>
      </c>
      <c r="I15" s="147" t="s">
        <v>385</v>
      </c>
      <c r="J15" s="144" t="s">
        <v>386</v>
      </c>
      <c r="K15" s="363" t="s">
        <v>768</v>
      </c>
      <c r="L15" s="96"/>
    </row>
    <row r="16" spans="2:15" x14ac:dyDescent="0.25">
      <c r="D16" s="195">
        <v>12</v>
      </c>
      <c r="E16" s="217" t="str">
        <f t="shared" si="1"/>
        <v>Russland</v>
      </c>
      <c r="F16" s="145" t="s">
        <v>44</v>
      </c>
      <c r="G16" s="146" t="s">
        <v>63</v>
      </c>
      <c r="H16" s="144" t="s">
        <v>44</v>
      </c>
      <c r="I16" s="147" t="s">
        <v>77</v>
      </c>
      <c r="J16" s="144" t="s">
        <v>103</v>
      </c>
      <c r="K16" s="363" t="s">
        <v>769</v>
      </c>
      <c r="L16" s="96"/>
    </row>
    <row r="17" spans="4:12" x14ac:dyDescent="0.25">
      <c r="D17" s="195">
        <v>13</v>
      </c>
      <c r="E17" s="217" t="str">
        <f t="shared" si="1"/>
        <v>Portugal</v>
      </c>
      <c r="F17" s="145" t="s">
        <v>0</v>
      </c>
      <c r="G17" s="146" t="s">
        <v>0</v>
      </c>
      <c r="H17" s="144" t="s">
        <v>87</v>
      </c>
      <c r="I17" s="147" t="s">
        <v>0</v>
      </c>
      <c r="J17" s="144" t="s">
        <v>0</v>
      </c>
      <c r="K17" s="363" t="s">
        <v>0</v>
      </c>
      <c r="L17" s="96"/>
    </row>
    <row r="18" spans="4:12" x14ac:dyDescent="0.25">
      <c r="D18" s="195">
        <v>14</v>
      </c>
      <c r="E18" s="217" t="str">
        <f t="shared" si="1"/>
        <v>Türkei</v>
      </c>
      <c r="F18" s="145" t="s">
        <v>362</v>
      </c>
      <c r="G18" s="146" t="s">
        <v>409</v>
      </c>
      <c r="H18" s="144" t="s">
        <v>408</v>
      </c>
      <c r="I18" s="147" t="s">
        <v>407</v>
      </c>
      <c r="J18" s="144" t="s">
        <v>410</v>
      </c>
      <c r="K18" s="363" t="s">
        <v>770</v>
      </c>
      <c r="L18" s="96"/>
    </row>
    <row r="19" spans="4:12" x14ac:dyDescent="0.25">
      <c r="D19" s="195">
        <v>15</v>
      </c>
      <c r="E19" s="217" t="str">
        <f t="shared" si="1"/>
        <v>Dänemark</v>
      </c>
      <c r="F19" s="145" t="s">
        <v>45</v>
      </c>
      <c r="G19" s="146" t="s">
        <v>61</v>
      </c>
      <c r="H19" s="144" t="s">
        <v>73</v>
      </c>
      <c r="I19" s="147" t="s">
        <v>74</v>
      </c>
      <c r="J19" s="144" t="s">
        <v>101</v>
      </c>
      <c r="K19" s="363" t="s">
        <v>771</v>
      </c>
      <c r="L19" s="96"/>
    </row>
    <row r="20" spans="4:12" x14ac:dyDescent="0.25">
      <c r="D20" s="195">
        <v>16</v>
      </c>
      <c r="E20" s="217" t="str">
        <f t="shared" si="1"/>
        <v>Österreich</v>
      </c>
      <c r="F20" s="145" t="s">
        <v>361</v>
      </c>
      <c r="G20" s="146" t="s">
        <v>361</v>
      </c>
      <c r="H20" s="144" t="s">
        <v>361</v>
      </c>
      <c r="I20" s="147" t="s">
        <v>405</v>
      </c>
      <c r="J20" s="144" t="s">
        <v>406</v>
      </c>
      <c r="K20" s="363" t="s">
        <v>772</v>
      </c>
      <c r="L20" s="96"/>
    </row>
    <row r="21" spans="4:12" x14ac:dyDescent="0.25">
      <c r="D21" s="195">
        <v>17</v>
      </c>
      <c r="E21" s="217" t="str">
        <f t="shared" si="1"/>
        <v>Schweden</v>
      </c>
      <c r="F21" s="145" t="s">
        <v>46</v>
      </c>
      <c r="G21" s="146" t="s">
        <v>68</v>
      </c>
      <c r="H21" s="144" t="s">
        <v>85</v>
      </c>
      <c r="I21" s="147" t="s">
        <v>86</v>
      </c>
      <c r="J21" s="144" t="s">
        <v>99</v>
      </c>
      <c r="K21" s="363" t="s">
        <v>773</v>
      </c>
      <c r="L21" s="96"/>
    </row>
    <row r="22" spans="4:12" x14ac:dyDescent="0.25">
      <c r="D22" s="195">
        <v>18</v>
      </c>
      <c r="E22" s="217" t="str">
        <f t="shared" si="1"/>
        <v>Tschechien</v>
      </c>
      <c r="F22" s="145" t="s">
        <v>356</v>
      </c>
      <c r="G22" s="146" t="s">
        <v>390</v>
      </c>
      <c r="H22" s="144" t="s">
        <v>389</v>
      </c>
      <c r="I22" s="147" t="s">
        <v>388</v>
      </c>
      <c r="J22" s="144" t="s">
        <v>394</v>
      </c>
      <c r="K22" s="363" t="s">
        <v>774</v>
      </c>
      <c r="L22" s="96"/>
    </row>
    <row r="23" spans="4:12" x14ac:dyDescent="0.25">
      <c r="D23" s="195">
        <v>19</v>
      </c>
      <c r="E23" s="217" t="str">
        <f t="shared" si="1"/>
        <v>Wales</v>
      </c>
      <c r="F23" s="145" t="s">
        <v>357</v>
      </c>
      <c r="G23" s="146" t="s">
        <v>393</v>
      </c>
      <c r="H23" s="144" t="s">
        <v>392</v>
      </c>
      <c r="I23" s="147" t="s">
        <v>391</v>
      </c>
      <c r="J23" s="144" t="s">
        <v>357</v>
      </c>
      <c r="K23" s="363" t="s">
        <v>357</v>
      </c>
      <c r="L23" s="96"/>
    </row>
    <row r="24" spans="4:12" x14ac:dyDescent="0.25">
      <c r="D24" s="195">
        <v>20</v>
      </c>
      <c r="E24" s="217" t="str">
        <f t="shared" si="1"/>
        <v>Finnland</v>
      </c>
      <c r="F24" s="145" t="s">
        <v>363</v>
      </c>
      <c r="G24" s="146" t="s">
        <v>413</v>
      </c>
      <c r="H24" s="144" t="s">
        <v>413</v>
      </c>
      <c r="I24" s="147" t="s">
        <v>411</v>
      </c>
      <c r="J24" s="144" t="s">
        <v>487</v>
      </c>
      <c r="K24" s="363" t="s">
        <v>363</v>
      </c>
      <c r="L24" s="96"/>
    </row>
    <row r="25" spans="4:12" x14ac:dyDescent="0.25">
      <c r="D25" s="195">
        <v>21</v>
      </c>
      <c r="E25" s="217" t="str">
        <f t="shared" si="1"/>
        <v>Serbien</v>
      </c>
      <c r="F25" s="145" t="s">
        <v>308</v>
      </c>
      <c r="G25" s="146" t="s">
        <v>308</v>
      </c>
      <c r="H25" s="144" t="s">
        <v>308</v>
      </c>
      <c r="I25" s="147" t="s">
        <v>309</v>
      </c>
      <c r="J25" s="144" t="s">
        <v>252</v>
      </c>
      <c r="K25" s="363" t="s">
        <v>775</v>
      </c>
      <c r="L25" s="96"/>
    </row>
    <row r="26" spans="4:12" x14ac:dyDescent="0.25">
      <c r="D26" s="195">
        <v>22</v>
      </c>
      <c r="E26" s="217" t="str">
        <f t="shared" si="1"/>
        <v>Slowakei</v>
      </c>
      <c r="F26" s="145" t="s">
        <v>366</v>
      </c>
      <c r="G26" s="146" t="s">
        <v>420</v>
      </c>
      <c r="H26" s="144" t="s">
        <v>421</v>
      </c>
      <c r="I26" s="147" t="s">
        <v>422</v>
      </c>
      <c r="J26" s="144" t="s">
        <v>423</v>
      </c>
      <c r="K26" s="363" t="s">
        <v>776</v>
      </c>
      <c r="L26" s="96"/>
    </row>
    <row r="27" spans="4:12" x14ac:dyDescent="0.25">
      <c r="D27" s="195">
        <v>23</v>
      </c>
      <c r="E27" s="217" t="str">
        <f t="shared" si="1"/>
        <v>Irland</v>
      </c>
      <c r="F27" s="145" t="s">
        <v>369</v>
      </c>
      <c r="G27" s="146" t="s">
        <v>436</v>
      </c>
      <c r="H27" s="144" t="s">
        <v>436</v>
      </c>
      <c r="I27" s="147" t="s">
        <v>434</v>
      </c>
      <c r="J27" s="144" t="s">
        <v>435</v>
      </c>
      <c r="K27" s="363" t="s">
        <v>777</v>
      </c>
      <c r="L27" s="96"/>
    </row>
    <row r="28" spans="4:12" x14ac:dyDescent="0.25">
      <c r="D28" s="195">
        <v>24</v>
      </c>
      <c r="E28" s="217" t="str">
        <f t="shared" si="1"/>
        <v>Island</v>
      </c>
      <c r="F28" s="145" t="s">
        <v>304</v>
      </c>
      <c r="G28" s="146" t="s">
        <v>305</v>
      </c>
      <c r="H28" s="144" t="s">
        <v>306</v>
      </c>
      <c r="I28" s="147" t="s">
        <v>307</v>
      </c>
      <c r="J28" s="144" t="s">
        <v>251</v>
      </c>
      <c r="K28" s="363" t="s">
        <v>778</v>
      </c>
      <c r="L28" s="96"/>
    </row>
    <row r="29" spans="4:12" x14ac:dyDescent="0.25">
      <c r="D29" s="195">
        <v>25</v>
      </c>
      <c r="E29" s="217" t="str">
        <f t="shared" si="1"/>
        <v>Nordirland</v>
      </c>
      <c r="F29" s="145" t="s">
        <v>371</v>
      </c>
      <c r="G29" s="146" t="s">
        <v>443</v>
      </c>
      <c r="H29" s="144" t="s">
        <v>442</v>
      </c>
      <c r="I29" s="147" t="s">
        <v>441</v>
      </c>
      <c r="J29" s="144" t="s">
        <v>440</v>
      </c>
      <c r="K29" s="363" t="s">
        <v>779</v>
      </c>
      <c r="L29" s="96"/>
    </row>
    <row r="30" spans="4:12" x14ac:dyDescent="0.25">
      <c r="D30" s="195">
        <v>26</v>
      </c>
      <c r="E30" s="217" t="str">
        <f t="shared" si="1"/>
        <v>Norwegen</v>
      </c>
      <c r="F30" s="145" t="s">
        <v>359</v>
      </c>
      <c r="G30" s="146" t="s">
        <v>397</v>
      </c>
      <c r="H30" s="144" t="s">
        <v>398</v>
      </c>
      <c r="I30" s="147" t="s">
        <v>399</v>
      </c>
      <c r="J30" s="144" t="s">
        <v>400</v>
      </c>
      <c r="K30" s="363" t="s">
        <v>780</v>
      </c>
      <c r="L30" s="96"/>
    </row>
    <row r="31" spans="4:12" x14ac:dyDescent="0.25">
      <c r="D31" s="195">
        <v>27</v>
      </c>
      <c r="E31" s="217" t="str">
        <f t="shared" si="1"/>
        <v>Kosovo</v>
      </c>
      <c r="F31" s="145" t="s">
        <v>377</v>
      </c>
      <c r="G31" s="146" t="s">
        <v>377</v>
      </c>
      <c r="H31" s="144" t="s">
        <v>377</v>
      </c>
      <c r="I31" s="147" t="s">
        <v>377</v>
      </c>
      <c r="J31" s="144" t="s">
        <v>377</v>
      </c>
      <c r="K31" s="363" t="s">
        <v>377</v>
      </c>
      <c r="L31" s="96"/>
    </row>
    <row r="32" spans="4:12" x14ac:dyDescent="0.25">
      <c r="D32" s="195">
        <v>28</v>
      </c>
      <c r="E32" s="217" t="str">
        <f t="shared" si="1"/>
        <v>Griechenland</v>
      </c>
      <c r="F32" s="145" t="s">
        <v>364</v>
      </c>
      <c r="G32" s="146" t="s">
        <v>416</v>
      </c>
      <c r="H32" s="144" t="s">
        <v>416</v>
      </c>
      <c r="I32" s="147" t="s">
        <v>414</v>
      </c>
      <c r="J32" s="144" t="s">
        <v>415</v>
      </c>
      <c r="K32" s="363" t="s">
        <v>781</v>
      </c>
      <c r="L32" s="96"/>
    </row>
    <row r="33" spans="4:12" x14ac:dyDescent="0.25">
      <c r="D33" s="195">
        <v>29</v>
      </c>
      <c r="E33" s="217" t="str">
        <f t="shared" si="1"/>
        <v>Schottland</v>
      </c>
      <c r="F33" s="145" t="s">
        <v>367</v>
      </c>
      <c r="G33" s="146" t="s">
        <v>427</v>
      </c>
      <c r="H33" s="144" t="s">
        <v>426</v>
      </c>
      <c r="I33" s="147" t="s">
        <v>424</v>
      </c>
      <c r="J33" s="144" t="s">
        <v>425</v>
      </c>
      <c r="K33" s="363" t="s">
        <v>782</v>
      </c>
      <c r="L33" s="96"/>
    </row>
    <row r="34" spans="4:12" x14ac:dyDescent="0.25">
      <c r="D34" s="195">
        <v>30</v>
      </c>
      <c r="E34" s="217" t="str">
        <f t="shared" si="1"/>
        <v>Nordmazedonien</v>
      </c>
      <c r="F34" s="145" t="s">
        <v>373</v>
      </c>
      <c r="G34" s="146" t="s">
        <v>449</v>
      </c>
      <c r="H34" s="144" t="s">
        <v>448</v>
      </c>
      <c r="I34" s="147" t="s">
        <v>447</v>
      </c>
      <c r="J34" s="144" t="s">
        <v>446</v>
      </c>
      <c r="K34" s="363" t="s">
        <v>783</v>
      </c>
      <c r="L34" s="96"/>
    </row>
    <row r="35" spans="4:12" x14ac:dyDescent="0.25">
      <c r="D35" s="195">
        <v>31</v>
      </c>
      <c r="E35" s="217" t="str">
        <f t="shared" si="1"/>
        <v>Ungarn</v>
      </c>
      <c r="F35" s="145" t="s">
        <v>360</v>
      </c>
      <c r="G35" s="146" t="s">
        <v>404</v>
      </c>
      <c r="H35" s="144" t="s">
        <v>403</v>
      </c>
      <c r="I35" s="147" t="s">
        <v>401</v>
      </c>
      <c r="J35" s="144" t="s">
        <v>402</v>
      </c>
      <c r="K35" s="363" t="s">
        <v>784</v>
      </c>
      <c r="L35" s="96"/>
    </row>
    <row r="36" spans="4:12" x14ac:dyDescent="0.25">
      <c r="D36" s="195">
        <v>32</v>
      </c>
      <c r="E36" s="217" t="str">
        <f t="shared" si="1"/>
        <v>Slowenien</v>
      </c>
      <c r="F36" s="145" t="s">
        <v>370</v>
      </c>
      <c r="G36" s="146" t="s">
        <v>437</v>
      </c>
      <c r="H36" s="144" t="s">
        <v>370</v>
      </c>
      <c r="I36" s="147" t="s">
        <v>438</v>
      </c>
      <c r="J36" s="144" t="s">
        <v>439</v>
      </c>
      <c r="K36" s="363" t="s">
        <v>785</v>
      </c>
      <c r="L36" s="96"/>
    </row>
    <row r="37" spans="4:12" x14ac:dyDescent="0.25">
      <c r="D37" s="195">
        <v>33</v>
      </c>
      <c r="E37" s="217" t="str">
        <f t="shared" si="1"/>
        <v>Rumänien</v>
      </c>
      <c r="F37" s="145" t="s">
        <v>365</v>
      </c>
      <c r="G37" s="146" t="s">
        <v>418</v>
      </c>
      <c r="H37" s="144" t="s">
        <v>365</v>
      </c>
      <c r="I37" s="147" t="s">
        <v>417</v>
      </c>
      <c r="J37" s="144" t="s">
        <v>419</v>
      </c>
      <c r="K37" s="363" t="s">
        <v>786</v>
      </c>
      <c r="L37" s="96"/>
    </row>
    <row r="38" spans="4:12" x14ac:dyDescent="0.25">
      <c r="D38" s="195">
        <v>34</v>
      </c>
      <c r="E38" s="217" t="str">
        <f t="shared" si="1"/>
        <v>Georgien</v>
      </c>
      <c r="F38" s="145" t="s">
        <v>378</v>
      </c>
      <c r="G38" s="146" t="s">
        <v>378</v>
      </c>
      <c r="H38" s="144" t="s">
        <v>378</v>
      </c>
      <c r="I38" s="147" t="s">
        <v>455</v>
      </c>
      <c r="J38" s="144" t="s">
        <v>456</v>
      </c>
      <c r="K38" s="363" t="s">
        <v>787</v>
      </c>
      <c r="L38" s="96"/>
    </row>
    <row r="39" spans="4:12" x14ac:dyDescent="0.25">
      <c r="D39" s="195">
        <v>35</v>
      </c>
      <c r="E39" s="217" t="str">
        <f t="shared" si="1"/>
        <v>Albanien</v>
      </c>
      <c r="F39" s="145" t="s">
        <v>372</v>
      </c>
      <c r="G39" s="146" t="s">
        <v>372</v>
      </c>
      <c r="H39" s="144" t="s">
        <v>372</v>
      </c>
      <c r="I39" s="147" t="s">
        <v>444</v>
      </c>
      <c r="J39" s="144" t="s">
        <v>445</v>
      </c>
      <c r="K39" s="363" t="s">
        <v>788</v>
      </c>
      <c r="L39" s="96"/>
    </row>
    <row r="40" spans="4:12" x14ac:dyDescent="0.25">
      <c r="D40" s="195">
        <v>36</v>
      </c>
      <c r="E40" s="217" t="str">
        <f t="shared" si="1"/>
        <v>Bosnien/Herzeg.</v>
      </c>
      <c r="F40" s="145" t="s">
        <v>433</v>
      </c>
      <c r="G40" s="146" t="s">
        <v>432</v>
      </c>
      <c r="H40" s="144" t="s">
        <v>431</v>
      </c>
      <c r="I40" s="147" t="s">
        <v>430</v>
      </c>
      <c r="J40" s="144" t="s">
        <v>429</v>
      </c>
      <c r="K40" s="363" t="s">
        <v>789</v>
      </c>
      <c r="L40" s="96"/>
    </row>
    <row r="41" spans="4:12" x14ac:dyDescent="0.25">
      <c r="D41" s="195">
        <v>37</v>
      </c>
      <c r="E41" s="217" t="str">
        <f t="shared" si="1"/>
        <v>Bulgarien</v>
      </c>
      <c r="F41" s="145" t="s">
        <v>375</v>
      </c>
      <c r="G41" s="146" t="s">
        <v>375</v>
      </c>
      <c r="H41" s="144" t="s">
        <v>375</v>
      </c>
      <c r="I41" s="147" t="s">
        <v>452</v>
      </c>
      <c r="J41" s="144" t="s">
        <v>453</v>
      </c>
      <c r="K41" s="363" t="s">
        <v>790</v>
      </c>
      <c r="L41" s="96"/>
    </row>
    <row r="42" spans="4:12" x14ac:dyDescent="0.25">
      <c r="D42" s="195">
        <v>38</v>
      </c>
      <c r="E42" s="217" t="str">
        <f t="shared" si="1"/>
        <v>Luxemburg</v>
      </c>
      <c r="F42" s="145" t="s">
        <v>489</v>
      </c>
      <c r="G42" s="146" t="s">
        <v>505</v>
      </c>
      <c r="H42" s="144" t="s">
        <v>506</v>
      </c>
      <c r="I42" s="147" t="s">
        <v>489</v>
      </c>
      <c r="J42" s="144" t="s">
        <v>503</v>
      </c>
      <c r="K42" s="363" t="s">
        <v>503</v>
      </c>
      <c r="L42" s="96"/>
    </row>
    <row r="43" spans="4:12" x14ac:dyDescent="0.25">
      <c r="D43" s="195">
        <v>39</v>
      </c>
      <c r="E43" s="217" t="str">
        <f t="shared" si="1"/>
        <v>Weißrussland</v>
      </c>
      <c r="F43" s="145" t="s">
        <v>379</v>
      </c>
      <c r="G43" s="146" t="s">
        <v>459</v>
      </c>
      <c r="H43" s="144" t="s">
        <v>458</v>
      </c>
      <c r="I43" s="147" t="s">
        <v>457</v>
      </c>
      <c r="J43" s="144" t="s">
        <v>460</v>
      </c>
      <c r="K43" s="363" t="s">
        <v>791</v>
      </c>
      <c r="L43" s="96"/>
    </row>
    <row r="44" spans="4:12" x14ac:dyDescent="0.25">
      <c r="D44" s="195">
        <v>40</v>
      </c>
      <c r="E44" s="217" t="str">
        <f t="shared" si="1"/>
        <v>Zypern</v>
      </c>
      <c r="F44" s="145" t="s">
        <v>490</v>
      </c>
      <c r="G44" s="146" t="s">
        <v>510</v>
      </c>
      <c r="H44" s="144" t="s">
        <v>509</v>
      </c>
      <c r="I44" s="147" t="s">
        <v>507</v>
      </c>
      <c r="J44" s="144" t="s">
        <v>508</v>
      </c>
      <c r="K44" s="363" t="s">
        <v>490</v>
      </c>
      <c r="L44" s="96"/>
    </row>
    <row r="45" spans="4:12" x14ac:dyDescent="0.25">
      <c r="D45" s="195">
        <v>41</v>
      </c>
      <c r="E45" s="217" t="str">
        <f t="shared" si="1"/>
        <v>Armenien</v>
      </c>
      <c r="F45" s="145" t="s">
        <v>374</v>
      </c>
      <c r="G45" s="146" t="s">
        <v>374</v>
      </c>
      <c r="H45" s="144" t="s">
        <v>374</v>
      </c>
      <c r="I45" s="147" t="s">
        <v>450</v>
      </c>
      <c r="J45" s="144" t="s">
        <v>451</v>
      </c>
      <c r="K45" s="363" t="s">
        <v>792</v>
      </c>
      <c r="L45" s="96"/>
    </row>
    <row r="46" spans="4:12" x14ac:dyDescent="0.25">
      <c r="D46" s="195">
        <v>42</v>
      </c>
      <c r="E46" s="217" t="str">
        <f t="shared" si="1"/>
        <v>Israel</v>
      </c>
      <c r="F46" s="145" t="s">
        <v>368</v>
      </c>
      <c r="G46" s="146" t="s">
        <v>368</v>
      </c>
      <c r="H46" s="144" t="s">
        <v>412</v>
      </c>
      <c r="I46" s="147" t="s">
        <v>428</v>
      </c>
      <c r="J46" s="144" t="s">
        <v>368</v>
      </c>
      <c r="K46" s="363" t="s">
        <v>428</v>
      </c>
      <c r="L46" s="96"/>
    </row>
    <row r="47" spans="4:12" x14ac:dyDescent="0.25">
      <c r="D47" s="195">
        <v>43</v>
      </c>
      <c r="E47" s="217" t="str">
        <f t="shared" si="1"/>
        <v>Kasachstan</v>
      </c>
      <c r="F47" s="145" t="s">
        <v>491</v>
      </c>
      <c r="G47" s="146" t="s">
        <v>513</v>
      </c>
      <c r="H47" s="144" t="s">
        <v>512</v>
      </c>
      <c r="I47" s="147" t="s">
        <v>491</v>
      </c>
      <c r="J47" s="144" t="s">
        <v>511</v>
      </c>
      <c r="K47" s="363" t="s">
        <v>793</v>
      </c>
      <c r="L47" s="96"/>
    </row>
    <row r="48" spans="4:12" x14ac:dyDescent="0.25">
      <c r="D48" s="195">
        <v>44</v>
      </c>
      <c r="E48" s="217" t="str">
        <f t="shared" si="1"/>
        <v>Montenegro</v>
      </c>
      <c r="F48" s="145" t="s">
        <v>376</v>
      </c>
      <c r="G48" s="146" t="s">
        <v>376</v>
      </c>
      <c r="H48" s="144" t="s">
        <v>376</v>
      </c>
      <c r="I48" s="147" t="s">
        <v>454</v>
      </c>
      <c r="J48" s="144" t="s">
        <v>376</v>
      </c>
      <c r="K48" s="363" t="s">
        <v>376</v>
      </c>
      <c r="L48" s="96"/>
    </row>
    <row r="49" spans="4:12" x14ac:dyDescent="0.25">
      <c r="D49" s="195">
        <v>45</v>
      </c>
      <c r="E49" s="217" t="str">
        <f t="shared" si="1"/>
        <v>Aserbaidschan</v>
      </c>
      <c r="F49" s="145" t="s">
        <v>492</v>
      </c>
      <c r="G49" s="146" t="s">
        <v>514</v>
      </c>
      <c r="H49" s="144" t="s">
        <v>492</v>
      </c>
      <c r="I49" s="147" t="s">
        <v>515</v>
      </c>
      <c r="J49" s="144" t="s">
        <v>516</v>
      </c>
      <c r="K49" s="363" t="s">
        <v>794</v>
      </c>
      <c r="L49" s="96"/>
    </row>
    <row r="50" spans="4:12" x14ac:dyDescent="0.25">
      <c r="D50" s="195">
        <v>46</v>
      </c>
      <c r="E50" s="217" t="str">
        <f t="shared" si="1"/>
        <v>Andorra</v>
      </c>
      <c r="F50" s="145" t="s">
        <v>493</v>
      </c>
      <c r="G50" s="146" t="s">
        <v>493</v>
      </c>
      <c r="H50" s="144" t="s">
        <v>493</v>
      </c>
      <c r="I50" s="147" t="s">
        <v>517</v>
      </c>
      <c r="J50" s="144" t="s">
        <v>493</v>
      </c>
      <c r="K50" s="363" t="s">
        <v>493</v>
      </c>
      <c r="L50" s="96"/>
    </row>
    <row r="51" spans="4:12" x14ac:dyDescent="0.25">
      <c r="D51" s="195">
        <v>47</v>
      </c>
      <c r="E51" s="217" t="str">
        <f t="shared" si="1"/>
        <v>Litauen</v>
      </c>
      <c r="F51" s="145" t="s">
        <v>494</v>
      </c>
      <c r="G51" s="146" t="s">
        <v>520</v>
      </c>
      <c r="H51" s="144" t="s">
        <v>520</v>
      </c>
      <c r="I51" s="147" t="s">
        <v>521</v>
      </c>
      <c r="J51" s="144" t="s">
        <v>522</v>
      </c>
      <c r="K51" s="363" t="s">
        <v>795</v>
      </c>
      <c r="L51" s="96"/>
    </row>
    <row r="52" spans="4:12" x14ac:dyDescent="0.25">
      <c r="D52" s="195">
        <v>48</v>
      </c>
      <c r="E52" s="217" t="str">
        <f t="shared" si="1"/>
        <v>Estland</v>
      </c>
      <c r="F52" s="145" t="s">
        <v>495</v>
      </c>
      <c r="G52" s="146" t="s">
        <v>495</v>
      </c>
      <c r="H52" s="144" t="s">
        <v>495</v>
      </c>
      <c r="I52" s="147" t="s">
        <v>518</v>
      </c>
      <c r="J52" s="144" t="s">
        <v>523</v>
      </c>
      <c r="K52" s="363" t="s">
        <v>523</v>
      </c>
      <c r="L52" s="96"/>
    </row>
    <row r="53" spans="4:12" x14ac:dyDescent="0.25">
      <c r="D53" s="195">
        <v>49</v>
      </c>
      <c r="E53" s="217" t="str">
        <f t="shared" si="1"/>
        <v>Färöer Inseln</v>
      </c>
      <c r="F53" s="145" t="s">
        <v>496</v>
      </c>
      <c r="G53" s="146" t="s">
        <v>524</v>
      </c>
      <c r="H53" s="144" t="s">
        <v>525</v>
      </c>
      <c r="I53" s="147" t="s">
        <v>526</v>
      </c>
      <c r="J53" s="144" t="s">
        <v>527</v>
      </c>
      <c r="K53" s="363" t="s">
        <v>796</v>
      </c>
      <c r="L53" s="96"/>
    </row>
    <row r="54" spans="4:12" x14ac:dyDescent="0.25">
      <c r="D54" s="195">
        <v>50</v>
      </c>
      <c r="E54" s="217" t="str">
        <f t="shared" si="1"/>
        <v>Gibraltar</v>
      </c>
      <c r="F54" s="145" t="s">
        <v>497</v>
      </c>
      <c r="G54" s="146" t="s">
        <v>497</v>
      </c>
      <c r="H54" s="144" t="s">
        <v>528</v>
      </c>
      <c r="I54" s="147" t="s">
        <v>497</v>
      </c>
      <c r="J54" s="144" t="s">
        <v>497</v>
      </c>
      <c r="K54" s="363" t="s">
        <v>497</v>
      </c>
      <c r="L54" s="96"/>
    </row>
    <row r="55" spans="4:12" x14ac:dyDescent="0.25">
      <c r="D55" s="195">
        <v>51</v>
      </c>
      <c r="E55" s="217" t="str">
        <f t="shared" si="1"/>
        <v>Moldavien</v>
      </c>
      <c r="F55" s="145" t="s">
        <v>498</v>
      </c>
      <c r="G55" s="146" t="s">
        <v>498</v>
      </c>
      <c r="H55" s="144" t="s">
        <v>498</v>
      </c>
      <c r="I55" s="147" t="s">
        <v>529</v>
      </c>
      <c r="J55" s="144" t="s">
        <v>530</v>
      </c>
      <c r="K55" s="363" t="s">
        <v>797</v>
      </c>
      <c r="L55" s="96"/>
    </row>
    <row r="56" spans="4:12" x14ac:dyDescent="0.25">
      <c r="D56" s="195">
        <v>52</v>
      </c>
      <c r="E56" s="217" t="str">
        <f t="shared" si="1"/>
        <v>Malta</v>
      </c>
      <c r="F56" s="145" t="s">
        <v>499</v>
      </c>
      <c r="G56" s="146" t="s">
        <v>499</v>
      </c>
      <c r="H56" s="144" t="s">
        <v>499</v>
      </c>
      <c r="I56" s="147" t="s">
        <v>519</v>
      </c>
      <c r="J56" s="144" t="s">
        <v>499</v>
      </c>
      <c r="K56" s="363" t="s">
        <v>499</v>
      </c>
      <c r="L56" s="96"/>
    </row>
    <row r="57" spans="4:12" x14ac:dyDescent="0.25">
      <c r="D57" s="195">
        <v>53</v>
      </c>
      <c r="E57" s="217" t="str">
        <f t="shared" si="1"/>
        <v>Lettland</v>
      </c>
      <c r="F57" s="145" t="s">
        <v>500</v>
      </c>
      <c r="G57" s="146" t="s">
        <v>531</v>
      </c>
      <c r="H57" s="144" t="s">
        <v>532</v>
      </c>
      <c r="I57" s="147" t="s">
        <v>533</v>
      </c>
      <c r="J57" s="144" t="s">
        <v>534</v>
      </c>
      <c r="K57" s="363" t="s">
        <v>798</v>
      </c>
      <c r="L57" s="96"/>
    </row>
    <row r="58" spans="4:12" x14ac:dyDescent="0.25">
      <c r="D58" s="195">
        <v>54</v>
      </c>
      <c r="E58" s="217" t="str">
        <f t="shared" si="1"/>
        <v>Liechtenstein</v>
      </c>
      <c r="F58" s="145" t="s">
        <v>501</v>
      </c>
      <c r="G58" s="146" t="s">
        <v>501</v>
      </c>
      <c r="H58" s="144" t="s">
        <v>501</v>
      </c>
      <c r="I58" s="147" t="s">
        <v>501</v>
      </c>
      <c r="J58" s="144" t="s">
        <v>501</v>
      </c>
      <c r="K58" s="363" t="s">
        <v>501</v>
      </c>
      <c r="L58" s="96"/>
    </row>
    <row r="59" spans="4:12" x14ac:dyDescent="0.25">
      <c r="D59" s="195">
        <v>55</v>
      </c>
      <c r="E59" s="217" t="str">
        <f t="shared" si="1"/>
        <v>San Marino</v>
      </c>
      <c r="F59" s="145" t="s">
        <v>502</v>
      </c>
      <c r="G59" s="146" t="s">
        <v>502</v>
      </c>
      <c r="H59" s="144" t="s">
        <v>502</v>
      </c>
      <c r="I59" s="147" t="s">
        <v>535</v>
      </c>
      <c r="J59" s="144" t="s">
        <v>502</v>
      </c>
      <c r="K59" s="363" t="s">
        <v>502</v>
      </c>
      <c r="L59" s="96"/>
    </row>
    <row r="60" spans="4:12" x14ac:dyDescent="0.25">
      <c r="D60" s="195"/>
      <c r="E60" s="217">
        <f t="shared" si="1"/>
        <v>0</v>
      </c>
      <c r="F60" s="145"/>
      <c r="G60" s="146"/>
      <c r="H60" s="144"/>
      <c r="I60" s="147"/>
      <c r="J60" s="144"/>
      <c r="K60" s="363"/>
      <c r="L60" s="96"/>
    </row>
    <row r="61" spans="4:12" x14ac:dyDescent="0.25">
      <c r="D61" s="195"/>
      <c r="E61" s="217">
        <f t="shared" si="1"/>
        <v>0</v>
      </c>
      <c r="F61" s="145"/>
      <c r="G61" s="146"/>
      <c r="H61" s="144"/>
      <c r="I61" s="147"/>
      <c r="J61" s="144"/>
      <c r="K61" s="363"/>
      <c r="L61" s="96"/>
    </row>
    <row r="62" spans="4:12" x14ac:dyDescent="0.25">
      <c r="D62" s="195"/>
      <c r="E62" s="217">
        <f t="shared" si="1"/>
        <v>0</v>
      </c>
      <c r="F62" s="145"/>
      <c r="G62" s="146"/>
      <c r="H62" s="144"/>
      <c r="I62" s="147"/>
      <c r="J62" s="144"/>
      <c r="K62" s="363"/>
      <c r="L62" s="96"/>
    </row>
    <row r="63" spans="4:12" ht="15.75" thickBot="1" x14ac:dyDescent="0.3">
      <c r="D63" s="218"/>
      <c r="E63" s="217">
        <f t="shared" si="1"/>
        <v>0</v>
      </c>
      <c r="F63" s="148"/>
      <c r="G63" s="149"/>
      <c r="H63" s="150"/>
      <c r="I63" s="151"/>
      <c r="J63" s="150"/>
      <c r="K63" s="364"/>
      <c r="L63" s="97"/>
    </row>
    <row r="64" spans="4:12" ht="16.5" thickTop="1" thickBot="1" x14ac:dyDescent="0.3">
      <c r="E64" s="217"/>
      <c r="F64" s="98"/>
      <c r="G64" s="98"/>
      <c r="H64" s="98"/>
      <c r="I64" s="98"/>
      <c r="J64" s="98"/>
      <c r="K64" s="98"/>
      <c r="L64" s="98"/>
    </row>
    <row r="65" spans="4:12" ht="30.75" thickTop="1" x14ac:dyDescent="0.45">
      <c r="D65" s="194" t="s">
        <v>338</v>
      </c>
      <c r="E65" s="217"/>
      <c r="F65" s="200" t="s">
        <v>106</v>
      </c>
      <c r="G65" s="201"/>
      <c r="H65" s="201"/>
      <c r="I65" s="201"/>
      <c r="J65" s="201"/>
      <c r="K65" s="201"/>
      <c r="L65" s="202"/>
    </row>
    <row r="66" spans="4:12" x14ac:dyDescent="0.25">
      <c r="D66" s="195">
        <v>1</v>
      </c>
      <c r="E66" s="217" t="str">
        <f t="shared" si="1"/>
        <v>London</v>
      </c>
      <c r="F66" s="145" t="s">
        <v>536</v>
      </c>
      <c r="G66" s="146" t="s">
        <v>550</v>
      </c>
      <c r="H66" s="144" t="s">
        <v>549</v>
      </c>
      <c r="I66" s="147" t="s">
        <v>550</v>
      </c>
      <c r="J66" s="144" t="s">
        <v>536</v>
      </c>
      <c r="K66" s="363" t="s">
        <v>799</v>
      </c>
      <c r="L66" s="96"/>
    </row>
    <row r="67" spans="4:12" x14ac:dyDescent="0.25">
      <c r="D67" s="140">
        <v>2</v>
      </c>
      <c r="E67" s="217" t="str">
        <f t="shared" si="1"/>
        <v>Baku</v>
      </c>
      <c r="F67" s="145" t="s">
        <v>537</v>
      </c>
      <c r="G67" s="146" t="s">
        <v>551</v>
      </c>
      <c r="H67" s="144" t="s">
        <v>537</v>
      </c>
      <c r="I67" s="147" t="s">
        <v>552</v>
      </c>
      <c r="J67" s="144" t="s">
        <v>537</v>
      </c>
      <c r="K67" s="363" t="s">
        <v>537</v>
      </c>
      <c r="L67" s="96"/>
    </row>
    <row r="68" spans="4:12" x14ac:dyDescent="0.25">
      <c r="D68" s="140">
        <v>3</v>
      </c>
      <c r="E68" s="217" t="str">
        <f t="shared" si="1"/>
        <v>München</v>
      </c>
      <c r="F68" s="145" t="s">
        <v>555</v>
      </c>
      <c r="G68" s="146" t="s">
        <v>554</v>
      </c>
      <c r="H68" s="144" t="s">
        <v>553</v>
      </c>
      <c r="I68" s="147" t="s">
        <v>555</v>
      </c>
      <c r="J68" s="144" t="s">
        <v>538</v>
      </c>
      <c r="K68" s="363" t="s">
        <v>538</v>
      </c>
      <c r="L68" s="96"/>
    </row>
    <row r="69" spans="4:12" x14ac:dyDescent="0.25">
      <c r="D69" s="140">
        <v>4</v>
      </c>
      <c r="E69" s="217" t="str">
        <f t="shared" si="1"/>
        <v>Rom</v>
      </c>
      <c r="F69" s="145" t="s">
        <v>556</v>
      </c>
      <c r="G69" s="146" t="s">
        <v>557</v>
      </c>
      <c r="H69" s="144" t="s">
        <v>557</v>
      </c>
      <c r="I69" s="147" t="s">
        <v>556</v>
      </c>
      <c r="J69" s="144" t="s">
        <v>539</v>
      </c>
      <c r="K69" s="363" t="s">
        <v>556</v>
      </c>
      <c r="L69" s="96"/>
    </row>
    <row r="70" spans="4:12" x14ac:dyDescent="0.25">
      <c r="D70" s="140">
        <v>5</v>
      </c>
      <c r="E70" s="217" t="str">
        <f t="shared" ref="E70:E133" si="2">IF($C$3,F70,IF($C$4,G70,IF($C$5,H70,IF($C$6,I70,IF($C$7,J70,IF($C$8,K70,IF(L70&lt;&gt;"",L70,F70)))))))</f>
        <v>Glasgow</v>
      </c>
      <c r="F70" s="145" t="s">
        <v>540</v>
      </c>
      <c r="G70" s="146" t="s">
        <v>540</v>
      </c>
      <c r="H70" s="144" t="s">
        <v>540</v>
      </c>
      <c r="I70" s="147" t="s">
        <v>540</v>
      </c>
      <c r="J70" s="144" t="s">
        <v>540</v>
      </c>
      <c r="K70" s="363" t="s">
        <v>540</v>
      </c>
      <c r="L70" s="96"/>
    </row>
    <row r="71" spans="4:12" x14ac:dyDescent="0.25">
      <c r="D71" s="140">
        <v>6</v>
      </c>
      <c r="E71" s="217" t="str">
        <f t="shared" si="2"/>
        <v>Sankt Petersburg</v>
      </c>
      <c r="F71" s="145" t="s">
        <v>558</v>
      </c>
      <c r="G71" s="146" t="s">
        <v>559</v>
      </c>
      <c r="H71" s="144" t="s">
        <v>560</v>
      </c>
      <c r="I71" s="147" t="s">
        <v>561</v>
      </c>
      <c r="J71" s="144" t="s">
        <v>800</v>
      </c>
      <c r="K71" s="363" t="s">
        <v>801</v>
      </c>
      <c r="L71" s="96"/>
    </row>
    <row r="72" spans="4:12" x14ac:dyDescent="0.25">
      <c r="D72" s="140">
        <v>7</v>
      </c>
      <c r="E72" s="217" t="str">
        <f t="shared" si="2"/>
        <v>Kopenhagen</v>
      </c>
      <c r="F72" s="145" t="s">
        <v>564</v>
      </c>
      <c r="G72" s="146" t="s">
        <v>562</v>
      </c>
      <c r="H72" s="144" t="s">
        <v>563</v>
      </c>
      <c r="I72" s="147" t="s">
        <v>562</v>
      </c>
      <c r="J72" s="144" t="s">
        <v>541</v>
      </c>
      <c r="K72" s="363" t="s">
        <v>541</v>
      </c>
      <c r="L72" s="96"/>
    </row>
    <row r="73" spans="4:12" x14ac:dyDescent="0.25">
      <c r="D73" s="140">
        <v>8</v>
      </c>
      <c r="E73" s="217" t="str">
        <f t="shared" si="2"/>
        <v>Sevilla</v>
      </c>
      <c r="F73" s="145" t="s">
        <v>565</v>
      </c>
      <c r="G73" s="146" t="s">
        <v>542</v>
      </c>
      <c r="H73" s="144" t="s">
        <v>566</v>
      </c>
      <c r="I73" s="147" t="s">
        <v>567</v>
      </c>
      <c r="J73" s="144" t="s">
        <v>542</v>
      </c>
      <c r="K73" s="363" t="s">
        <v>542</v>
      </c>
      <c r="L73" s="96"/>
    </row>
    <row r="74" spans="4:12" x14ac:dyDescent="0.25">
      <c r="D74" s="140">
        <v>9</v>
      </c>
      <c r="E74" s="217" t="str">
        <f t="shared" si="2"/>
        <v>Amsterdam</v>
      </c>
      <c r="F74" s="145" t="s">
        <v>543</v>
      </c>
      <c r="G74" s="146" t="s">
        <v>543</v>
      </c>
      <c r="H74" s="144" t="s">
        <v>543</v>
      </c>
      <c r="I74" s="147" t="s">
        <v>543</v>
      </c>
      <c r="J74" s="144" t="s">
        <v>543</v>
      </c>
      <c r="K74" s="363" t="s">
        <v>543</v>
      </c>
      <c r="L74" s="96"/>
    </row>
    <row r="75" spans="4:12" x14ac:dyDescent="0.25">
      <c r="D75" s="140">
        <v>10</v>
      </c>
      <c r="E75" s="217" t="str">
        <f t="shared" si="2"/>
        <v>Budapest</v>
      </c>
      <c r="F75" s="145" t="s">
        <v>544</v>
      </c>
      <c r="G75" s="146" t="s">
        <v>544</v>
      </c>
      <c r="H75" s="144" t="s">
        <v>544</v>
      </c>
      <c r="I75" s="147" t="s">
        <v>544</v>
      </c>
      <c r="J75" s="144" t="s">
        <v>544</v>
      </c>
      <c r="K75" s="363" t="s">
        <v>802</v>
      </c>
      <c r="L75" s="96"/>
    </row>
    <row r="76" spans="4:12" x14ac:dyDescent="0.25">
      <c r="D76" s="140">
        <v>11</v>
      </c>
      <c r="E76" s="217" t="str">
        <f t="shared" si="2"/>
        <v>Bukarest</v>
      </c>
      <c r="F76" s="145" t="s">
        <v>569</v>
      </c>
      <c r="G76" s="146" t="s">
        <v>568</v>
      </c>
      <c r="H76" s="144" t="s">
        <v>568</v>
      </c>
      <c r="I76" s="147" t="s">
        <v>568</v>
      </c>
      <c r="J76" s="144" t="s">
        <v>545</v>
      </c>
      <c r="K76" s="363" t="s">
        <v>803</v>
      </c>
      <c r="L76" s="96"/>
    </row>
    <row r="77" spans="4:12" x14ac:dyDescent="0.25">
      <c r="D77" s="140">
        <v>12</v>
      </c>
      <c r="E77" s="217" t="str">
        <f t="shared" si="2"/>
        <v>Grimbergen</v>
      </c>
      <c r="F77" s="145" t="s">
        <v>546</v>
      </c>
      <c r="G77" s="146" t="s">
        <v>546</v>
      </c>
      <c r="H77" s="144" t="s">
        <v>546</v>
      </c>
      <c r="I77" s="147" t="s">
        <v>546</v>
      </c>
      <c r="J77" s="144" t="s">
        <v>546</v>
      </c>
      <c r="K77" s="363" t="s">
        <v>546</v>
      </c>
      <c r="L77" s="96"/>
    </row>
    <row r="78" spans="4:12" x14ac:dyDescent="0.25">
      <c r="D78" s="140">
        <v>13</v>
      </c>
      <c r="E78" s="217" t="str">
        <f t="shared" si="2"/>
        <v>Bilbao</v>
      </c>
      <c r="F78" s="145" t="s">
        <v>547</v>
      </c>
      <c r="G78" s="146" t="s">
        <v>547</v>
      </c>
      <c r="H78" s="144" t="s">
        <v>547</v>
      </c>
      <c r="I78" s="147" t="s">
        <v>547</v>
      </c>
      <c r="J78" s="144" t="s">
        <v>547</v>
      </c>
      <c r="K78" s="363" t="s">
        <v>547</v>
      </c>
      <c r="L78" s="96"/>
    </row>
    <row r="79" spans="4:12" x14ac:dyDescent="0.25">
      <c r="D79" s="140">
        <v>14</v>
      </c>
      <c r="E79" s="217" t="str">
        <f t="shared" si="2"/>
        <v>Dublin</v>
      </c>
      <c r="F79" s="145" t="s">
        <v>548</v>
      </c>
      <c r="G79" s="146" t="s">
        <v>570</v>
      </c>
      <c r="H79" s="144" t="s">
        <v>571</v>
      </c>
      <c r="I79" s="147" t="s">
        <v>548</v>
      </c>
      <c r="J79" s="144" t="s">
        <v>548</v>
      </c>
      <c r="K79" s="363" t="s">
        <v>548</v>
      </c>
      <c r="L79" s="96"/>
    </row>
    <row r="80" spans="4:12" x14ac:dyDescent="0.25">
      <c r="D80" s="140">
        <v>15</v>
      </c>
      <c r="E80" s="217">
        <f t="shared" si="2"/>
        <v>0</v>
      </c>
      <c r="F80" s="145"/>
      <c r="G80" s="146"/>
      <c r="H80" s="144"/>
      <c r="I80" s="147"/>
      <c r="J80" s="144"/>
      <c r="K80" s="363"/>
      <c r="L80" s="96"/>
    </row>
    <row r="81" spans="4:13" ht="15.75" thickBot="1" x14ac:dyDescent="0.3">
      <c r="D81" s="143">
        <v>16</v>
      </c>
      <c r="E81" s="217">
        <f t="shared" si="2"/>
        <v>0</v>
      </c>
      <c r="F81" s="148"/>
      <c r="G81" s="149"/>
      <c r="H81" s="150"/>
      <c r="I81" s="151"/>
      <c r="J81" s="150"/>
      <c r="K81" s="364"/>
      <c r="L81" s="97"/>
    </row>
    <row r="82" spans="4:13" ht="16.5" thickTop="1" thickBot="1" x14ac:dyDescent="0.3">
      <c r="D82" s="32"/>
      <c r="E82" s="217"/>
      <c r="F82" s="203"/>
      <c r="G82" s="203"/>
      <c r="H82" s="203"/>
      <c r="I82" s="203"/>
      <c r="J82" s="203"/>
      <c r="K82" s="203"/>
      <c r="L82" s="203"/>
    </row>
    <row r="83" spans="4:13" ht="29.25" thickTop="1" x14ac:dyDescent="0.45">
      <c r="E83" s="217"/>
      <c r="F83" s="99" t="s">
        <v>262</v>
      </c>
      <c r="G83" s="100"/>
      <c r="H83" s="100"/>
      <c r="I83" s="100"/>
      <c r="J83" s="100"/>
      <c r="K83" s="100"/>
      <c r="L83" s="101"/>
    </row>
    <row r="84" spans="4:13" x14ac:dyDescent="0.25">
      <c r="E84" s="217" t="str">
        <f t="shared" si="2"/>
        <v>EURO 2020/2021</v>
      </c>
      <c r="F84" s="145" t="s">
        <v>615</v>
      </c>
      <c r="G84" s="146" t="s">
        <v>616</v>
      </c>
      <c r="H84" s="144" t="s">
        <v>617</v>
      </c>
      <c r="I84" s="147" t="s">
        <v>618</v>
      </c>
      <c r="J84" s="144" t="s">
        <v>745</v>
      </c>
      <c r="K84" s="363" t="s">
        <v>745</v>
      </c>
      <c r="L84" s="96"/>
    </row>
    <row r="85" spans="4:13" x14ac:dyDescent="0.25">
      <c r="E85" s="217" t="str">
        <f t="shared" si="2"/>
        <v>Direkte Vergleiche</v>
      </c>
      <c r="F85" s="145" t="s">
        <v>273</v>
      </c>
      <c r="G85" s="146" t="s">
        <v>282</v>
      </c>
      <c r="H85" s="144" t="s">
        <v>283</v>
      </c>
      <c r="I85" s="147" t="s">
        <v>281</v>
      </c>
      <c r="J85" s="144" t="s">
        <v>280</v>
      </c>
      <c r="K85" s="363" t="s">
        <v>804</v>
      </c>
      <c r="L85" s="96"/>
    </row>
    <row r="86" spans="4:13" x14ac:dyDescent="0.25">
      <c r="E86" s="217" t="str">
        <f t="shared" si="2"/>
        <v>Fair-Play</v>
      </c>
      <c r="F86" s="145" t="s">
        <v>37</v>
      </c>
      <c r="G86" s="146" t="s">
        <v>584</v>
      </c>
      <c r="H86" s="144" t="s">
        <v>37</v>
      </c>
      <c r="I86" s="147" t="s">
        <v>584</v>
      </c>
      <c r="J86" s="144" t="s">
        <v>583</v>
      </c>
      <c r="K86" s="363" t="s">
        <v>805</v>
      </c>
      <c r="L86" s="96"/>
    </row>
    <row r="87" spans="4:13" x14ac:dyDescent="0.25">
      <c r="E87" s="217" t="str">
        <f t="shared" si="2"/>
        <v>Wahl der Zeitzone</v>
      </c>
      <c r="F87" s="145" t="s">
        <v>317</v>
      </c>
      <c r="G87" s="146" t="s">
        <v>325</v>
      </c>
      <c r="H87" s="144" t="s">
        <v>324</v>
      </c>
      <c r="I87" s="147" t="s">
        <v>323</v>
      </c>
      <c r="J87" s="144" t="s">
        <v>318</v>
      </c>
      <c r="K87" s="363" t="s">
        <v>806</v>
      </c>
      <c r="L87" s="96"/>
    </row>
    <row r="88" spans="4:13" x14ac:dyDescent="0.25">
      <c r="E88" s="217" t="str">
        <f t="shared" si="2"/>
        <v>Spiele</v>
      </c>
      <c r="F88" s="145" t="s">
        <v>250</v>
      </c>
      <c r="G88" s="146" t="s">
        <v>326</v>
      </c>
      <c r="H88" s="144" t="s">
        <v>327</v>
      </c>
      <c r="I88" s="147" t="s">
        <v>322</v>
      </c>
      <c r="J88" s="144" t="s">
        <v>319</v>
      </c>
      <c r="K88" s="363" t="s">
        <v>807</v>
      </c>
      <c r="L88" s="96"/>
    </row>
    <row r="89" spans="4:13" x14ac:dyDescent="0.25">
      <c r="E89" s="217" t="str">
        <f t="shared" si="2"/>
        <v>Wahl der Sprache</v>
      </c>
      <c r="F89" s="145" t="s">
        <v>107</v>
      </c>
      <c r="G89" s="146" t="s">
        <v>329</v>
      </c>
      <c r="H89" s="144" t="s">
        <v>328</v>
      </c>
      <c r="I89" s="147" t="s">
        <v>320</v>
      </c>
      <c r="J89" s="144" t="s">
        <v>321</v>
      </c>
      <c r="K89" s="363" t="s">
        <v>808</v>
      </c>
      <c r="L89" s="96"/>
    </row>
    <row r="90" spans="4:13" ht="63" customHeight="1" x14ac:dyDescent="0.25">
      <c r="E90" s="217" t="str">
        <f t="shared" si="2"/>
        <v>Zuordnung der Gruppendritten im Achtelfinale</v>
      </c>
      <c r="F90" s="156" t="s">
        <v>627</v>
      </c>
      <c r="G90" s="157" t="s">
        <v>625</v>
      </c>
      <c r="H90" s="158" t="s">
        <v>626</v>
      </c>
      <c r="I90" s="159" t="s">
        <v>624</v>
      </c>
      <c r="J90" s="158" t="s">
        <v>628</v>
      </c>
      <c r="K90" s="365" t="s">
        <v>809</v>
      </c>
      <c r="L90" s="105"/>
    </row>
    <row r="91" spans="4:13" x14ac:dyDescent="0.25">
      <c r="E91" s="217" t="str">
        <f t="shared" si="2"/>
        <v>Gruppen</v>
      </c>
      <c r="F91" s="145" t="s">
        <v>387</v>
      </c>
      <c r="G91" s="146" t="s">
        <v>746</v>
      </c>
      <c r="H91" s="144" t="s">
        <v>747</v>
      </c>
      <c r="I91" s="147" t="s">
        <v>748</v>
      </c>
      <c r="J91" s="144" t="s">
        <v>749</v>
      </c>
      <c r="K91" s="363" t="s">
        <v>810</v>
      </c>
      <c r="L91" s="96"/>
    </row>
    <row r="92" spans="4:13" ht="28.5" x14ac:dyDescent="0.45">
      <c r="E92" s="217"/>
      <c r="F92" s="102" t="s">
        <v>148</v>
      </c>
      <c r="G92" s="103"/>
      <c r="H92" s="103"/>
      <c r="I92" s="103"/>
      <c r="J92" s="103"/>
      <c r="K92" s="103"/>
      <c r="L92" s="104"/>
      <c r="M92" s="67"/>
    </row>
    <row r="93" spans="4:13" ht="15" customHeight="1" x14ac:dyDescent="0.45">
      <c r="E93" s="217" t="str">
        <f t="shared" si="2"/>
        <v>Gruppe</v>
      </c>
      <c r="F93" s="152" t="s">
        <v>202</v>
      </c>
      <c r="G93" s="153" t="s">
        <v>350</v>
      </c>
      <c r="H93" s="154" t="s">
        <v>351</v>
      </c>
      <c r="I93" s="155" t="s">
        <v>352</v>
      </c>
      <c r="J93" s="154" t="s">
        <v>353</v>
      </c>
      <c r="K93" s="366" t="s">
        <v>811</v>
      </c>
      <c r="L93" s="96"/>
      <c r="M93" s="67"/>
    </row>
    <row r="94" spans="4:13" ht="15" customHeight="1" x14ac:dyDescent="0.45">
      <c r="E94" s="217" t="str">
        <f t="shared" si="2"/>
        <v>Grp</v>
      </c>
      <c r="F94" s="152" t="s">
        <v>585</v>
      </c>
      <c r="G94" s="153" t="s">
        <v>585</v>
      </c>
      <c r="H94" s="154" t="s">
        <v>585</v>
      </c>
      <c r="I94" s="155" t="s">
        <v>585</v>
      </c>
      <c r="J94" s="154" t="s">
        <v>585</v>
      </c>
      <c r="K94" s="366" t="s">
        <v>585</v>
      </c>
      <c r="L94" s="96"/>
      <c r="M94" s="67"/>
    </row>
    <row r="95" spans="4:13" ht="15" customHeight="1" x14ac:dyDescent="0.45">
      <c r="E95" s="217" t="str">
        <f t="shared" si="2"/>
        <v>Pkt</v>
      </c>
      <c r="F95" s="152" t="s">
        <v>640</v>
      </c>
      <c r="G95" s="153" t="s">
        <v>641</v>
      </c>
      <c r="H95" s="154" t="s">
        <v>641</v>
      </c>
      <c r="I95" s="155" t="s">
        <v>641</v>
      </c>
      <c r="J95" s="154" t="s">
        <v>642</v>
      </c>
      <c r="K95" s="366" t="s">
        <v>641</v>
      </c>
      <c r="L95" s="96"/>
      <c r="M95" s="67"/>
    </row>
    <row r="96" spans="4:13" ht="15" customHeight="1" x14ac:dyDescent="0.45">
      <c r="E96" s="217" t="str">
        <f t="shared" si="2"/>
        <v>TD</v>
      </c>
      <c r="F96" s="152" t="s">
        <v>189</v>
      </c>
      <c r="G96" s="153" t="s">
        <v>644</v>
      </c>
      <c r="H96" s="154" t="s">
        <v>643</v>
      </c>
      <c r="I96" s="155" t="s">
        <v>643</v>
      </c>
      <c r="J96" s="154" t="s">
        <v>484</v>
      </c>
      <c r="K96" s="366" t="s">
        <v>812</v>
      </c>
      <c r="L96" s="96"/>
      <c r="M96" s="67"/>
    </row>
    <row r="97" spans="4:15" ht="15" customHeight="1" x14ac:dyDescent="0.45">
      <c r="E97" s="217" t="str">
        <f t="shared" si="2"/>
        <v>Tore</v>
      </c>
      <c r="F97" s="152" t="s">
        <v>276</v>
      </c>
      <c r="G97" s="153" t="s">
        <v>278</v>
      </c>
      <c r="H97" s="154" t="s">
        <v>277</v>
      </c>
      <c r="I97" s="155" t="s">
        <v>275</v>
      </c>
      <c r="J97" s="154" t="s">
        <v>274</v>
      </c>
      <c r="K97" s="366" t="s">
        <v>813</v>
      </c>
      <c r="L97" s="96"/>
      <c r="M97" s="67"/>
    </row>
    <row r="98" spans="4:15" ht="15" customHeight="1" x14ac:dyDescent="0.45">
      <c r="E98" s="217" t="str">
        <f t="shared" si="2"/>
        <v>Siege</v>
      </c>
      <c r="F98" s="152" t="s">
        <v>709</v>
      </c>
      <c r="G98" s="153" t="s">
        <v>714</v>
      </c>
      <c r="H98" s="154" t="s">
        <v>713</v>
      </c>
      <c r="I98" s="155" t="s">
        <v>712</v>
      </c>
      <c r="J98" s="154" t="s">
        <v>711</v>
      </c>
      <c r="K98" s="366" t="s">
        <v>814</v>
      </c>
      <c r="L98" s="270"/>
      <c r="M98" s="67"/>
    </row>
    <row r="99" spans="4:15" ht="15" customHeight="1" x14ac:dyDescent="0.45">
      <c r="E99" s="217" t="str">
        <f t="shared" si="2"/>
        <v>Elfm</v>
      </c>
      <c r="F99" s="152" t="s">
        <v>728</v>
      </c>
      <c r="G99" s="153" t="s">
        <v>728</v>
      </c>
      <c r="H99" s="154" t="s">
        <v>730</v>
      </c>
      <c r="I99" s="155" t="s">
        <v>731</v>
      </c>
      <c r="J99" s="154" t="s">
        <v>729</v>
      </c>
      <c r="K99" s="366" t="s">
        <v>815</v>
      </c>
      <c r="L99" s="96"/>
      <c r="M99" s="67"/>
    </row>
    <row r="100" spans="4:15" ht="15" customHeight="1" x14ac:dyDescent="0.45">
      <c r="E100" s="217" t="str">
        <f t="shared" si="2"/>
        <v xml:space="preserve">  Pkt      Tore</v>
      </c>
      <c r="F100" s="152" t="s">
        <v>645</v>
      </c>
      <c r="G100" s="153" t="s">
        <v>646</v>
      </c>
      <c r="H100" s="154" t="s">
        <v>647</v>
      </c>
      <c r="I100" s="155" t="s">
        <v>648</v>
      </c>
      <c r="J100" s="154" t="s">
        <v>649</v>
      </c>
      <c r="K100" s="366" t="s">
        <v>816</v>
      </c>
      <c r="L100" s="270"/>
      <c r="M100" s="67"/>
    </row>
    <row r="101" spans="4:15" ht="15" customHeight="1" x14ac:dyDescent="0.45">
      <c r="E101" s="217" t="str">
        <f t="shared" si="2"/>
        <v>Gesamt</v>
      </c>
      <c r="F101" s="152" t="s">
        <v>279</v>
      </c>
      <c r="G101" s="153" t="s">
        <v>279</v>
      </c>
      <c r="H101" s="154" t="s">
        <v>287</v>
      </c>
      <c r="I101" s="155" t="s">
        <v>279</v>
      </c>
      <c r="J101" s="154" t="s">
        <v>650</v>
      </c>
      <c r="K101" s="366" t="s">
        <v>817</v>
      </c>
      <c r="L101" s="96"/>
      <c r="M101" s="67"/>
    </row>
    <row r="102" spans="4:15" ht="15" customHeight="1" x14ac:dyDescent="0.45">
      <c r="E102" s="217" t="str">
        <f t="shared" si="2"/>
        <v>Fair-Play</v>
      </c>
      <c r="F102" s="152" t="s">
        <v>755</v>
      </c>
      <c r="G102" s="153" t="s">
        <v>755</v>
      </c>
      <c r="H102" s="154" t="s">
        <v>755</v>
      </c>
      <c r="I102" s="155" t="s">
        <v>583</v>
      </c>
      <c r="J102" s="154" t="s">
        <v>583</v>
      </c>
      <c r="K102" s="366" t="s">
        <v>805</v>
      </c>
      <c r="L102" s="96"/>
      <c r="M102" s="67"/>
    </row>
    <row r="103" spans="4:15" ht="15" customHeight="1" x14ac:dyDescent="0.45">
      <c r="E103" s="217" t="str">
        <f t="shared" si="2"/>
        <v>Nicht klar</v>
      </c>
      <c r="F103" s="152" t="s">
        <v>203</v>
      </c>
      <c r="G103" s="153" t="s">
        <v>292</v>
      </c>
      <c r="H103" s="154" t="s">
        <v>293</v>
      </c>
      <c r="I103" s="155" t="s">
        <v>294</v>
      </c>
      <c r="J103" s="154" t="s">
        <v>295</v>
      </c>
      <c r="K103" s="366" t="s">
        <v>818</v>
      </c>
      <c r="L103" s="96"/>
      <c r="M103" s="67"/>
    </row>
    <row r="104" spans="4:15" ht="15" customHeight="1" x14ac:dyDescent="0.45">
      <c r="E104" s="217" t="str">
        <f t="shared" si="2"/>
        <v>Dir. Vergl.(2)</v>
      </c>
      <c r="F104" s="152" t="s">
        <v>896</v>
      </c>
      <c r="G104" s="153" t="s">
        <v>290</v>
      </c>
      <c r="H104" s="154" t="s">
        <v>289</v>
      </c>
      <c r="I104" s="155" t="s">
        <v>290</v>
      </c>
      <c r="J104" s="154" t="s">
        <v>284</v>
      </c>
      <c r="K104" s="366" t="s">
        <v>284</v>
      </c>
      <c r="L104" s="96"/>
      <c r="M104" s="67"/>
    </row>
    <row r="105" spans="4:15" ht="15" customHeight="1" x14ac:dyDescent="0.45">
      <c r="E105" s="217" t="str">
        <f t="shared" si="2"/>
        <v>Dir. Vergl.(3)</v>
      </c>
      <c r="F105" s="152" t="s">
        <v>286</v>
      </c>
      <c r="G105" s="153" t="s">
        <v>291</v>
      </c>
      <c r="H105" s="154" t="s">
        <v>288</v>
      </c>
      <c r="I105" s="155" t="s">
        <v>291</v>
      </c>
      <c r="J105" s="154" t="s">
        <v>285</v>
      </c>
      <c r="K105" s="366" t="s">
        <v>285</v>
      </c>
      <c r="L105" s="96"/>
      <c r="M105" s="67"/>
    </row>
    <row r="106" spans="4:15" x14ac:dyDescent="0.25">
      <c r="E106" s="217" t="str">
        <f t="shared" si="2"/>
        <v>Schlusstabelle</v>
      </c>
      <c r="F106" s="145" t="s">
        <v>47</v>
      </c>
      <c r="G106" s="146" t="s">
        <v>206</v>
      </c>
      <c r="H106" s="144" t="s">
        <v>205</v>
      </c>
      <c r="I106" s="147" t="s">
        <v>204</v>
      </c>
      <c r="J106" s="144" t="s">
        <v>150</v>
      </c>
      <c r="K106" s="363" t="s">
        <v>819</v>
      </c>
      <c r="L106" s="96"/>
      <c r="M106" s="95"/>
      <c r="N106" s="95"/>
      <c r="O106" s="95"/>
    </row>
    <row r="107" spans="4:15" ht="30.75" thickBot="1" x14ac:dyDescent="0.3">
      <c r="E107" s="217" t="str">
        <f t="shared" si="2"/>
        <v>Europameister 2021:</v>
      </c>
      <c r="F107" s="367" t="s">
        <v>623</v>
      </c>
      <c r="G107" s="368" t="s">
        <v>622</v>
      </c>
      <c r="H107" s="369" t="s">
        <v>621</v>
      </c>
      <c r="I107" s="370" t="s">
        <v>620</v>
      </c>
      <c r="J107" s="369" t="s">
        <v>619</v>
      </c>
      <c r="K107" s="371" t="s">
        <v>820</v>
      </c>
      <c r="L107" s="372"/>
      <c r="M107" s="95"/>
      <c r="N107" s="95"/>
      <c r="O107" s="95"/>
    </row>
    <row r="108" spans="4:15" ht="15.75" thickTop="1" x14ac:dyDescent="0.25">
      <c r="D108" s="215">
        <v>1</v>
      </c>
      <c r="E108" s="217" t="str">
        <f t="shared" si="2"/>
        <v>Achtelfinale 1</v>
      </c>
      <c r="F108" s="145" t="s">
        <v>52</v>
      </c>
      <c r="G108" s="146" t="s">
        <v>207</v>
      </c>
      <c r="H108" s="144" t="s">
        <v>215</v>
      </c>
      <c r="I108" s="147" t="s">
        <v>223</v>
      </c>
      <c r="J108" s="144" t="s">
        <v>151</v>
      </c>
      <c r="K108" s="363" t="s">
        <v>821</v>
      </c>
      <c r="L108" s="96"/>
      <c r="M108" s="95"/>
      <c r="N108" s="95"/>
      <c r="O108" s="95"/>
    </row>
    <row r="109" spans="4:15" x14ac:dyDescent="0.25">
      <c r="D109" s="140">
        <v>2</v>
      </c>
      <c r="E109" s="217" t="str">
        <f t="shared" si="2"/>
        <v>Achtelfinale 2</v>
      </c>
      <c r="F109" s="145" t="s">
        <v>50</v>
      </c>
      <c r="G109" s="146" t="s">
        <v>208</v>
      </c>
      <c r="H109" s="144" t="s">
        <v>216</v>
      </c>
      <c r="I109" s="147" t="s">
        <v>224</v>
      </c>
      <c r="J109" s="144" t="s">
        <v>152</v>
      </c>
      <c r="K109" s="363" t="s">
        <v>822</v>
      </c>
      <c r="L109" s="96"/>
      <c r="M109" s="95"/>
      <c r="N109" s="95"/>
      <c r="O109" s="95"/>
    </row>
    <row r="110" spans="4:15" x14ac:dyDescent="0.25">
      <c r="D110" s="140">
        <v>3</v>
      </c>
      <c r="E110" s="217" t="str">
        <f t="shared" si="2"/>
        <v>Achtelfinale 3</v>
      </c>
      <c r="F110" s="145" t="s">
        <v>53</v>
      </c>
      <c r="G110" s="146" t="s">
        <v>209</v>
      </c>
      <c r="H110" s="144" t="s">
        <v>217</v>
      </c>
      <c r="I110" s="147" t="s">
        <v>225</v>
      </c>
      <c r="J110" s="144" t="s">
        <v>153</v>
      </c>
      <c r="K110" s="363" t="s">
        <v>823</v>
      </c>
      <c r="L110" s="96"/>
      <c r="M110" s="95"/>
      <c r="N110" s="95"/>
      <c r="O110" s="95"/>
    </row>
    <row r="111" spans="4:15" x14ac:dyDescent="0.25">
      <c r="D111" s="140">
        <v>4</v>
      </c>
      <c r="E111" s="217" t="str">
        <f t="shared" si="2"/>
        <v>Achtelfinale 4</v>
      </c>
      <c r="F111" s="145" t="s">
        <v>51</v>
      </c>
      <c r="G111" s="146" t="s">
        <v>210</v>
      </c>
      <c r="H111" s="144" t="s">
        <v>218</v>
      </c>
      <c r="I111" s="147" t="s">
        <v>226</v>
      </c>
      <c r="J111" s="144" t="s">
        <v>154</v>
      </c>
      <c r="K111" s="363" t="s">
        <v>824</v>
      </c>
      <c r="L111" s="96"/>
      <c r="M111" s="95"/>
      <c r="N111" s="95"/>
      <c r="O111" s="95"/>
    </row>
    <row r="112" spans="4:15" x14ac:dyDescent="0.25">
      <c r="D112" s="140">
        <v>5</v>
      </c>
      <c r="E112" s="217" t="str">
        <f t="shared" si="2"/>
        <v>Achtelfinale 5</v>
      </c>
      <c r="F112" s="145" t="s">
        <v>48</v>
      </c>
      <c r="G112" s="146" t="s">
        <v>211</v>
      </c>
      <c r="H112" s="144" t="s">
        <v>219</v>
      </c>
      <c r="I112" s="147" t="s">
        <v>227</v>
      </c>
      <c r="J112" s="144" t="s">
        <v>155</v>
      </c>
      <c r="K112" s="363" t="s">
        <v>825</v>
      </c>
      <c r="L112" s="96"/>
      <c r="M112" s="95"/>
      <c r="N112" s="95"/>
      <c r="O112" s="95"/>
    </row>
    <row r="113" spans="4:15" x14ac:dyDescent="0.25">
      <c r="D113" s="140">
        <v>6</v>
      </c>
      <c r="E113" s="217" t="str">
        <f t="shared" si="2"/>
        <v>Achtelfinale 6</v>
      </c>
      <c r="F113" s="145" t="s">
        <v>49</v>
      </c>
      <c r="G113" s="146" t="s">
        <v>212</v>
      </c>
      <c r="H113" s="144" t="s">
        <v>220</v>
      </c>
      <c r="I113" s="147" t="s">
        <v>228</v>
      </c>
      <c r="J113" s="144" t="s">
        <v>156</v>
      </c>
      <c r="K113" s="363" t="s">
        <v>826</v>
      </c>
      <c r="L113" s="96"/>
      <c r="M113" s="95"/>
      <c r="N113" s="95"/>
      <c r="O113" s="95"/>
    </row>
    <row r="114" spans="4:15" x14ac:dyDescent="0.25">
      <c r="D114" s="140">
        <v>7</v>
      </c>
      <c r="E114" s="217" t="str">
        <f t="shared" si="2"/>
        <v>Achtelfinale 7</v>
      </c>
      <c r="F114" s="145" t="s">
        <v>54</v>
      </c>
      <c r="G114" s="146" t="s">
        <v>213</v>
      </c>
      <c r="H114" s="144" t="s">
        <v>221</v>
      </c>
      <c r="I114" s="147" t="s">
        <v>229</v>
      </c>
      <c r="J114" s="144" t="s">
        <v>157</v>
      </c>
      <c r="K114" s="363" t="s">
        <v>827</v>
      </c>
      <c r="L114" s="96"/>
    </row>
    <row r="115" spans="4:15" ht="15.75" thickBot="1" x14ac:dyDescent="0.3">
      <c r="D115" s="143">
        <v>8</v>
      </c>
      <c r="E115" s="217" t="str">
        <f t="shared" si="2"/>
        <v>Achtelfinale 8</v>
      </c>
      <c r="F115" s="145" t="s">
        <v>55</v>
      </c>
      <c r="G115" s="146" t="s">
        <v>214</v>
      </c>
      <c r="H115" s="144" t="s">
        <v>222</v>
      </c>
      <c r="I115" s="147" t="s">
        <v>230</v>
      </c>
      <c r="J115" s="144" t="s">
        <v>158</v>
      </c>
      <c r="K115" s="363" t="s">
        <v>828</v>
      </c>
      <c r="L115" s="96"/>
    </row>
    <row r="116" spans="4:15" ht="15.75" thickTop="1" x14ac:dyDescent="0.25">
      <c r="D116" s="215">
        <v>1</v>
      </c>
      <c r="E116" s="217" t="str">
        <f t="shared" si="2"/>
        <v>Viertelfinale 1</v>
      </c>
      <c r="F116" s="188" t="s">
        <v>313</v>
      </c>
      <c r="G116" s="146" t="s">
        <v>239</v>
      </c>
      <c r="H116" s="144" t="s">
        <v>235</v>
      </c>
      <c r="I116" s="147" t="s">
        <v>231</v>
      </c>
      <c r="J116" s="144" t="s">
        <v>159</v>
      </c>
      <c r="K116" s="363" t="s">
        <v>829</v>
      </c>
      <c r="L116" s="96"/>
    </row>
    <row r="117" spans="4:15" x14ac:dyDescent="0.25">
      <c r="D117" s="140">
        <v>2</v>
      </c>
      <c r="E117" s="217" t="str">
        <f t="shared" si="2"/>
        <v>Viertelfinale 2</v>
      </c>
      <c r="F117" s="188" t="s">
        <v>314</v>
      </c>
      <c r="G117" s="146" t="s">
        <v>240</v>
      </c>
      <c r="H117" s="144" t="s">
        <v>236</v>
      </c>
      <c r="I117" s="147" t="s">
        <v>232</v>
      </c>
      <c r="J117" s="144" t="s">
        <v>160</v>
      </c>
      <c r="K117" s="363" t="s">
        <v>830</v>
      </c>
      <c r="L117" s="96"/>
    </row>
    <row r="118" spans="4:15" x14ac:dyDescent="0.25">
      <c r="D118" s="140">
        <v>3</v>
      </c>
      <c r="E118" s="217" t="str">
        <f t="shared" si="2"/>
        <v>Viertelfinale 3</v>
      </c>
      <c r="F118" s="188" t="s">
        <v>315</v>
      </c>
      <c r="G118" s="146" t="s">
        <v>241</v>
      </c>
      <c r="H118" s="144" t="s">
        <v>237</v>
      </c>
      <c r="I118" s="147" t="s">
        <v>233</v>
      </c>
      <c r="J118" s="144" t="s">
        <v>161</v>
      </c>
      <c r="K118" s="363" t="s">
        <v>831</v>
      </c>
      <c r="L118" s="96"/>
    </row>
    <row r="119" spans="4:15" ht="15.75" thickBot="1" x14ac:dyDescent="0.3">
      <c r="D119" s="143">
        <v>4</v>
      </c>
      <c r="E119" s="217" t="str">
        <f t="shared" si="2"/>
        <v>Viertelfinale 4</v>
      </c>
      <c r="F119" s="188" t="s">
        <v>316</v>
      </c>
      <c r="G119" s="146" t="s">
        <v>242</v>
      </c>
      <c r="H119" s="144" t="s">
        <v>238</v>
      </c>
      <c r="I119" s="147" t="s">
        <v>234</v>
      </c>
      <c r="J119" s="144" t="s">
        <v>162</v>
      </c>
      <c r="K119" s="363" t="s">
        <v>832</v>
      </c>
      <c r="L119" s="96"/>
    </row>
    <row r="120" spans="4:15" ht="15.75" thickTop="1" x14ac:dyDescent="0.25">
      <c r="E120" s="217" t="str">
        <f t="shared" si="2"/>
        <v>Halbfinale 1</v>
      </c>
      <c r="F120" s="145" t="s">
        <v>56</v>
      </c>
      <c r="G120" s="146" t="s">
        <v>243</v>
      </c>
      <c r="H120" s="144" t="s">
        <v>245</v>
      </c>
      <c r="I120" s="147" t="s">
        <v>247</v>
      </c>
      <c r="J120" s="144" t="s">
        <v>163</v>
      </c>
      <c r="K120" s="363" t="s">
        <v>833</v>
      </c>
      <c r="L120" s="96"/>
    </row>
    <row r="121" spans="4:15" x14ac:dyDescent="0.25">
      <c r="E121" s="217" t="str">
        <f t="shared" si="2"/>
        <v>Halbfinale 2</v>
      </c>
      <c r="F121" s="145" t="s">
        <v>57</v>
      </c>
      <c r="G121" s="146" t="s">
        <v>244</v>
      </c>
      <c r="H121" s="144" t="s">
        <v>246</v>
      </c>
      <c r="I121" s="147" t="s">
        <v>248</v>
      </c>
      <c r="J121" s="144" t="s">
        <v>164</v>
      </c>
      <c r="K121" s="363" t="s">
        <v>834</v>
      </c>
      <c r="L121" s="96"/>
    </row>
    <row r="122" spans="4:15" x14ac:dyDescent="0.25">
      <c r="E122" s="217" t="str">
        <f t="shared" si="2"/>
        <v>Dritter Platz</v>
      </c>
      <c r="F122" s="145" t="s">
        <v>149</v>
      </c>
      <c r="G122" s="146" t="s">
        <v>343</v>
      </c>
      <c r="H122" s="144" t="s">
        <v>344</v>
      </c>
      <c r="I122" s="147" t="s">
        <v>249</v>
      </c>
      <c r="J122" s="144" t="s">
        <v>165</v>
      </c>
      <c r="K122" s="363" t="s">
        <v>835</v>
      </c>
      <c r="L122" s="96"/>
    </row>
    <row r="123" spans="4:15" x14ac:dyDescent="0.25">
      <c r="E123" s="217" t="str">
        <f t="shared" si="2"/>
        <v>Finale</v>
      </c>
      <c r="F123" s="145" t="s">
        <v>58</v>
      </c>
      <c r="G123" s="146" t="s">
        <v>58</v>
      </c>
      <c r="H123" s="144" t="s">
        <v>166</v>
      </c>
      <c r="I123" s="147" t="s">
        <v>58</v>
      </c>
      <c r="J123" s="144" t="s">
        <v>166</v>
      </c>
      <c r="K123" s="363" t="s">
        <v>166</v>
      </c>
      <c r="L123" s="96"/>
    </row>
    <row r="124" spans="4:15" x14ac:dyDescent="0.25">
      <c r="E124" s="217" t="str">
        <f t="shared" si="2"/>
        <v>Bonus</v>
      </c>
      <c r="F124" s="145" t="s">
        <v>263</v>
      </c>
      <c r="G124" s="146" t="s">
        <v>342</v>
      </c>
      <c r="H124" s="144" t="s">
        <v>263</v>
      </c>
      <c r="I124" s="147" t="s">
        <v>341</v>
      </c>
      <c r="J124" s="144" t="s">
        <v>263</v>
      </c>
      <c r="K124" s="363" t="s">
        <v>263</v>
      </c>
      <c r="L124" s="96"/>
    </row>
    <row r="125" spans="4:15" x14ac:dyDescent="0.25">
      <c r="E125" s="217" t="str">
        <f t="shared" si="2"/>
        <v>Elfmeterschießen:</v>
      </c>
      <c r="F125" s="145" t="s">
        <v>479</v>
      </c>
      <c r="G125" s="146" t="s">
        <v>480</v>
      </c>
      <c r="H125" s="144" t="s">
        <v>481</v>
      </c>
      <c r="I125" s="147" t="s">
        <v>482</v>
      </c>
      <c r="J125" s="144" t="s">
        <v>478</v>
      </c>
      <c r="K125" s="363" t="s">
        <v>836</v>
      </c>
      <c r="L125" s="96"/>
    </row>
    <row r="126" spans="4:15" x14ac:dyDescent="0.25">
      <c r="E126" s="217" t="str">
        <f t="shared" si="2"/>
        <v>Gruppendritte</v>
      </c>
      <c r="F126" s="145" t="s">
        <v>588</v>
      </c>
      <c r="G126" s="146" t="s">
        <v>587</v>
      </c>
      <c r="H126" s="144" t="s">
        <v>589</v>
      </c>
      <c r="I126" s="147" t="s">
        <v>590</v>
      </c>
      <c r="J126" s="144" t="s">
        <v>483</v>
      </c>
      <c r="K126" s="363" t="s">
        <v>837</v>
      </c>
      <c r="L126" s="96"/>
    </row>
    <row r="127" spans="4:15" ht="30" x14ac:dyDescent="0.25">
      <c r="E127" s="217" t="str">
        <f t="shared" si="2"/>
        <v>Gruppenkombination:</v>
      </c>
      <c r="F127" s="367" t="s">
        <v>591</v>
      </c>
      <c r="G127" s="368" t="s">
        <v>592</v>
      </c>
      <c r="H127" s="369" t="s">
        <v>593</v>
      </c>
      <c r="I127" s="370" t="s">
        <v>594</v>
      </c>
      <c r="J127" s="369" t="s">
        <v>486</v>
      </c>
      <c r="K127" s="371" t="s">
        <v>838</v>
      </c>
      <c r="L127" s="372"/>
    </row>
    <row r="128" spans="4:15" x14ac:dyDescent="0.25">
      <c r="E128" s="217" t="str">
        <f t="shared" si="2"/>
        <v>Nicht qualifiziert:</v>
      </c>
      <c r="F128" s="145" t="s">
        <v>598</v>
      </c>
      <c r="G128" s="146" t="s">
        <v>597</v>
      </c>
      <c r="H128" s="144" t="s">
        <v>596</v>
      </c>
      <c r="I128" s="147" t="s">
        <v>595</v>
      </c>
      <c r="J128" s="144" t="s">
        <v>586</v>
      </c>
      <c r="K128" s="363" t="s">
        <v>839</v>
      </c>
      <c r="L128" s="96"/>
    </row>
    <row r="129" spans="5:12" ht="30" x14ac:dyDescent="0.25">
      <c r="E129" s="217" t="str">
        <f t="shared" si="2"/>
        <v>Gruppen-kombination:</v>
      </c>
      <c r="F129" s="367" t="s">
        <v>591</v>
      </c>
      <c r="G129" s="368" t="s">
        <v>592</v>
      </c>
      <c r="H129" s="369" t="s">
        <v>593</v>
      </c>
      <c r="I129" s="370" t="s">
        <v>594</v>
      </c>
      <c r="J129" s="369" t="s">
        <v>639</v>
      </c>
      <c r="K129" s="371" t="s">
        <v>840</v>
      </c>
      <c r="L129" s="372"/>
    </row>
    <row r="130" spans="5:12" x14ac:dyDescent="0.25">
      <c r="E130" s="217" t="str">
        <f t="shared" si="2"/>
        <v>Erster der Gruppe</v>
      </c>
      <c r="F130" s="145" t="s">
        <v>638</v>
      </c>
      <c r="G130" s="146" t="s">
        <v>637</v>
      </c>
      <c r="H130" s="144" t="s">
        <v>636</v>
      </c>
      <c r="I130" s="147" t="s">
        <v>634</v>
      </c>
      <c r="J130" s="144" t="s">
        <v>635</v>
      </c>
      <c r="K130" s="363" t="s">
        <v>841</v>
      </c>
      <c r="L130" s="96"/>
    </row>
    <row r="131" spans="5:12" ht="32.25" customHeight="1" x14ac:dyDescent="0.25">
      <c r="E131" s="217" t="str">
        <f t="shared" si="2"/>
        <v>gegen Dritten der Gruppe</v>
      </c>
      <c r="F131" s="156" t="s">
        <v>630</v>
      </c>
      <c r="G131" s="157" t="s">
        <v>631</v>
      </c>
      <c r="H131" s="158" t="s">
        <v>632</v>
      </c>
      <c r="I131" s="159" t="s">
        <v>633</v>
      </c>
      <c r="J131" s="158" t="s">
        <v>629</v>
      </c>
      <c r="K131" s="365" t="s">
        <v>842</v>
      </c>
      <c r="L131" s="105"/>
    </row>
    <row r="132" spans="5:12" x14ac:dyDescent="0.25">
      <c r="E132" s="217" t="str">
        <f t="shared" si="2"/>
        <v>Der rote Punkt   •</v>
      </c>
      <c r="F132" s="145" t="s">
        <v>756</v>
      </c>
      <c r="G132" s="146" t="s">
        <v>744</v>
      </c>
      <c r="H132" s="144" t="s">
        <v>743</v>
      </c>
      <c r="I132" s="147" t="s">
        <v>742</v>
      </c>
      <c r="J132" s="144" t="s">
        <v>741</v>
      </c>
      <c r="K132" s="363" t="s">
        <v>843</v>
      </c>
      <c r="L132" s="96"/>
    </row>
    <row r="133" spans="5:12" x14ac:dyDescent="0.25">
      <c r="E133" s="217">
        <f t="shared" si="2"/>
        <v>0</v>
      </c>
      <c r="F133" s="145"/>
      <c r="G133" s="146"/>
      <c r="H133" s="144"/>
      <c r="I133" s="147"/>
      <c r="J133" s="144"/>
      <c r="K133" s="363"/>
      <c r="L133" s="96"/>
    </row>
    <row r="134" spans="5:12" ht="28.5" x14ac:dyDescent="0.45">
      <c r="E134" s="217"/>
      <c r="F134" s="102" t="s">
        <v>201</v>
      </c>
      <c r="G134" s="103"/>
      <c r="H134" s="103"/>
      <c r="I134" s="103"/>
      <c r="J134" s="103"/>
      <c r="K134" s="103"/>
      <c r="L134" s="104"/>
    </row>
    <row r="135" spans="5:12" ht="54.75" customHeight="1" x14ac:dyDescent="0.25">
      <c r="E135" s="217" t="str">
        <f t="shared" ref="E135:E160" si="3">IF($C$3,F135,IF($C$4,G135,IF($C$5,H135,IF($C$6,I135,IF($C$7,J135,IF($C$8,K135,IF(L135&lt;&gt;"",L135,F135)))))))</f>
        <v>Gruppen mit Fair-Play-Wertung:</v>
      </c>
      <c r="F135" s="156" t="s">
        <v>577</v>
      </c>
      <c r="G135" s="157" t="s">
        <v>576</v>
      </c>
      <c r="H135" s="158" t="s">
        <v>575</v>
      </c>
      <c r="I135" s="159" t="s">
        <v>574</v>
      </c>
      <c r="J135" s="158" t="s">
        <v>573</v>
      </c>
      <c r="K135" s="365" t="s">
        <v>844</v>
      </c>
      <c r="L135" s="105"/>
    </row>
    <row r="136" spans="5:12" ht="51.75" customHeight="1" x14ac:dyDescent="0.25">
      <c r="E136" s="217" t="str">
        <f t="shared" si="3"/>
        <v>Die Platzierung ist in allen Gruppen geklärt.</v>
      </c>
      <c r="F136" s="156" t="s">
        <v>265</v>
      </c>
      <c r="G136" s="157" t="s">
        <v>268</v>
      </c>
      <c r="H136" s="158" t="s">
        <v>267</v>
      </c>
      <c r="I136" s="159" t="s">
        <v>266</v>
      </c>
      <c r="J136" s="158" t="s">
        <v>264</v>
      </c>
      <c r="K136" s="365" t="s">
        <v>845</v>
      </c>
      <c r="L136" s="105"/>
    </row>
    <row r="137" spans="5:12" ht="16.5" customHeight="1" x14ac:dyDescent="0.25">
      <c r="E137" s="217" t="str">
        <f t="shared" si="3"/>
        <v xml:space="preserve"> und </v>
      </c>
      <c r="F137" s="160" t="s">
        <v>299</v>
      </c>
      <c r="G137" s="161" t="s">
        <v>300</v>
      </c>
      <c r="H137" s="162" t="s">
        <v>301</v>
      </c>
      <c r="I137" s="163" t="s">
        <v>302</v>
      </c>
      <c r="J137" s="164" t="s">
        <v>303</v>
      </c>
      <c r="K137" s="373" t="s">
        <v>846</v>
      </c>
      <c r="L137" s="129"/>
    </row>
    <row r="138" spans="5:12" ht="20.25" customHeight="1" x14ac:dyDescent="0.25">
      <c r="E138" s="217" t="str">
        <f t="shared" si="3"/>
        <v>Unzulässiges Ergebnis!</v>
      </c>
      <c r="F138" s="165" t="s">
        <v>258</v>
      </c>
      <c r="G138" s="166" t="s">
        <v>260</v>
      </c>
      <c r="H138" s="167" t="s">
        <v>259</v>
      </c>
      <c r="I138" s="168" t="s">
        <v>261</v>
      </c>
      <c r="J138" s="167" t="s">
        <v>257</v>
      </c>
      <c r="K138" s="374" t="s">
        <v>847</v>
      </c>
      <c r="L138" s="106"/>
    </row>
    <row r="139" spans="5:12" ht="135.75" customHeight="1" x14ac:dyDescent="0.25">
      <c r="E139" s="217" t="str">
        <f t="shared" si="3"/>
        <v>Entscheidet bei zwei Mannschaften die Fair-Play-Wertung über die bessere Platzierung in der Gruppe, so wird hier für die bessere Mannschaft eine "1" eingetragen.</v>
      </c>
      <c r="F139" s="169" t="s">
        <v>582</v>
      </c>
      <c r="G139" s="170" t="s">
        <v>581</v>
      </c>
      <c r="H139" s="171" t="s">
        <v>580</v>
      </c>
      <c r="I139" s="172" t="s">
        <v>579</v>
      </c>
      <c r="J139" s="171" t="s">
        <v>578</v>
      </c>
      <c r="K139" s="375" t="s">
        <v>848</v>
      </c>
      <c r="L139" s="135"/>
    </row>
    <row r="140" spans="5:12" ht="47.25" customHeight="1" x14ac:dyDescent="0.25">
      <c r="E140" s="217" t="str">
        <f t="shared" si="3"/>
        <v>Hier klicken und
Zeitzone wählen:</v>
      </c>
      <c r="F140" s="169" t="s">
        <v>271</v>
      </c>
      <c r="G140" s="170" t="s">
        <v>332</v>
      </c>
      <c r="H140" s="171" t="s">
        <v>337</v>
      </c>
      <c r="I140" s="172" t="s">
        <v>336</v>
      </c>
      <c r="J140" s="193" t="s">
        <v>330</v>
      </c>
      <c r="K140" s="375" t="s">
        <v>849</v>
      </c>
      <c r="L140" s="135"/>
    </row>
    <row r="141" spans="5:12" ht="47.25" customHeight="1" x14ac:dyDescent="0.25">
      <c r="E141" s="217" t="str">
        <f t="shared" si="3"/>
        <v>Zeitzone des
Gastgeberlandes:</v>
      </c>
      <c r="F141" s="169" t="s">
        <v>750</v>
      </c>
      <c r="G141" s="170" t="s">
        <v>751</v>
      </c>
      <c r="H141" s="171" t="s">
        <v>752</v>
      </c>
      <c r="I141" s="172" t="s">
        <v>753</v>
      </c>
      <c r="J141" s="193" t="s">
        <v>754</v>
      </c>
      <c r="K141" s="375" t="s">
        <v>850</v>
      </c>
      <c r="L141" s="135"/>
    </row>
    <row r="142" spans="5:12" ht="39.75" customHeight="1" x14ac:dyDescent="0.25">
      <c r="E142" s="217" t="str">
        <f t="shared" si="3"/>
        <v>Hier klicken und Sprache wählen:</v>
      </c>
      <c r="F142" s="169" t="s">
        <v>108</v>
      </c>
      <c r="G142" s="170" t="s">
        <v>333</v>
      </c>
      <c r="H142" s="171" t="s">
        <v>334</v>
      </c>
      <c r="I142" s="172" t="s">
        <v>335</v>
      </c>
      <c r="J142" s="193" t="s">
        <v>331</v>
      </c>
      <c r="K142" s="375" t="s">
        <v>851</v>
      </c>
      <c r="L142" s="135"/>
    </row>
    <row r="143" spans="5:12" ht="16.5" customHeight="1" x14ac:dyDescent="0.25">
      <c r="E143" s="217" t="str">
        <f t="shared" si="3"/>
        <v xml:space="preserve"> : </v>
      </c>
      <c r="F143" s="160" t="s">
        <v>311</v>
      </c>
      <c r="G143" s="161" t="s">
        <v>311</v>
      </c>
      <c r="H143" s="162" t="s">
        <v>311</v>
      </c>
      <c r="I143" s="163" t="s">
        <v>311</v>
      </c>
      <c r="J143" s="164" t="s">
        <v>310</v>
      </c>
      <c r="K143" s="373" t="s">
        <v>310</v>
      </c>
      <c r="L143" s="129"/>
    </row>
    <row r="144" spans="5:12" ht="96" customHeight="1" x14ac:dyDescent="0.25">
      <c r="E144" s="217" t="str">
        <f t="shared" si="3"/>
        <v>Bei Sommerzeit muss die Zeitzone entsprechend angepasst werden (z. B. UTC+2 statt UTC+1)</v>
      </c>
      <c r="F144" s="169" t="s">
        <v>867</v>
      </c>
      <c r="G144" s="170" t="s">
        <v>868</v>
      </c>
      <c r="H144" s="171" t="s">
        <v>869</v>
      </c>
      <c r="I144" s="172" t="s">
        <v>870</v>
      </c>
      <c r="J144" s="193" t="s">
        <v>871</v>
      </c>
      <c r="K144" s="375" t="s">
        <v>872</v>
      </c>
      <c r="L144" s="135"/>
    </row>
    <row r="145" spans="5:12" ht="33.75" customHeight="1" x14ac:dyDescent="0.25">
      <c r="E145" s="217" t="str">
        <f t="shared" si="3"/>
        <v>Qualifikation zum Achtelfinale</v>
      </c>
      <c r="F145" s="169" t="s">
        <v>655</v>
      </c>
      <c r="G145" s="170" t="s">
        <v>656</v>
      </c>
      <c r="H145" s="171" t="s">
        <v>657</v>
      </c>
      <c r="I145" s="172" t="s">
        <v>708</v>
      </c>
      <c r="J145" s="193" t="s">
        <v>654</v>
      </c>
      <c r="K145" s="375" t="s">
        <v>852</v>
      </c>
      <c r="L145" s="135"/>
    </row>
    <row r="146" spans="5:12" ht="50.1" customHeight="1" x14ac:dyDescent="0.25">
      <c r="E146" s="217" t="str">
        <f t="shared" si="3"/>
        <v>Kriterien für die Platzierung innerhalb der Gruppen:</v>
      </c>
      <c r="F146" s="169" t="s">
        <v>662</v>
      </c>
      <c r="G146" s="170" t="s">
        <v>661</v>
      </c>
      <c r="H146" s="171" t="s">
        <v>660</v>
      </c>
      <c r="I146" s="172" t="s">
        <v>659</v>
      </c>
      <c r="J146" s="193" t="s">
        <v>658</v>
      </c>
      <c r="K146" s="375" t="s">
        <v>853</v>
      </c>
      <c r="L146" s="135"/>
    </row>
    <row r="147" spans="5:12" ht="50.1" customHeight="1" x14ac:dyDescent="0.25">
      <c r="E147" s="217" t="str">
        <f t="shared" si="3"/>
        <v xml:space="preserve">  1.  Punkte aus allen Gruppenspielen</v>
      </c>
      <c r="F147" s="169" t="s">
        <v>722</v>
      </c>
      <c r="G147" s="170" t="s">
        <v>682</v>
      </c>
      <c r="H147" s="171" t="s">
        <v>676</v>
      </c>
      <c r="I147" s="172" t="s">
        <v>670</v>
      </c>
      <c r="J147" s="193" t="s">
        <v>663</v>
      </c>
      <c r="K147" s="375" t="s">
        <v>854</v>
      </c>
      <c r="L147" s="135"/>
    </row>
    <row r="148" spans="5:12" ht="50.1" customHeight="1" x14ac:dyDescent="0.25">
      <c r="E148" s="217" t="str">
        <f t="shared" si="3"/>
        <v xml:space="preserve">  2.  Punkte der direkten Begegnungen</v>
      </c>
      <c r="F148" s="169" t="s">
        <v>724</v>
      </c>
      <c r="G148" s="170" t="s">
        <v>683</v>
      </c>
      <c r="H148" s="171" t="s">
        <v>677</v>
      </c>
      <c r="I148" s="172" t="s">
        <v>671</v>
      </c>
      <c r="J148" s="193" t="s">
        <v>664</v>
      </c>
      <c r="K148" s="375" t="s">
        <v>855</v>
      </c>
      <c r="L148" s="135"/>
    </row>
    <row r="149" spans="5:12" ht="50.1" customHeight="1" x14ac:dyDescent="0.25">
      <c r="E149" s="217" t="str">
        <f t="shared" si="3"/>
        <v xml:space="preserve">  3.  Tordifferenz aus den Direkt-Begegnungen</v>
      </c>
      <c r="F149" s="169" t="s">
        <v>723</v>
      </c>
      <c r="G149" s="170" t="s">
        <v>727</v>
      </c>
      <c r="H149" s="171" t="s">
        <v>726</v>
      </c>
      <c r="I149" s="172" t="s">
        <v>725</v>
      </c>
      <c r="J149" s="193" t="s">
        <v>665</v>
      </c>
      <c r="K149" s="375" t="s">
        <v>856</v>
      </c>
      <c r="L149" s="135"/>
    </row>
    <row r="150" spans="5:12" ht="50.1" customHeight="1" x14ac:dyDescent="0.25">
      <c r="E150" s="217" t="str">
        <f t="shared" si="3"/>
        <v xml:space="preserve">  4.  Anzahl der in den Direkt-Begegnungen erzielten Tore</v>
      </c>
      <c r="F150" s="169" t="s">
        <v>688</v>
      </c>
      <c r="G150" s="170" t="s">
        <v>684</v>
      </c>
      <c r="H150" s="171" t="s">
        <v>678</v>
      </c>
      <c r="I150" s="172" t="s">
        <v>672</v>
      </c>
      <c r="J150" s="193" t="s">
        <v>666</v>
      </c>
      <c r="K150" s="375" t="s">
        <v>857</v>
      </c>
      <c r="L150" s="135"/>
    </row>
    <row r="151" spans="5:12" ht="65.25" customHeight="1" x14ac:dyDescent="0.25">
      <c r="E151" s="217" t="str">
        <f t="shared" si="3"/>
        <v xml:space="preserve">  5.  Nochmalige Anwendung der Krit. 2 - 4 nur auf die Mannschaften,</v>
      </c>
      <c r="F151" s="169" t="s">
        <v>716</v>
      </c>
      <c r="G151" s="170" t="s">
        <v>695</v>
      </c>
      <c r="H151" s="171" t="s">
        <v>693</v>
      </c>
      <c r="I151" s="172" t="s">
        <v>691</v>
      </c>
      <c r="J151" s="193" t="s">
        <v>689</v>
      </c>
      <c r="K151" s="375" t="s">
        <v>858</v>
      </c>
      <c r="L151" s="135"/>
    </row>
    <row r="152" spans="5:12" ht="51" customHeight="1" x14ac:dyDescent="0.25">
      <c r="E152" s="217" t="str">
        <f t="shared" si="3"/>
        <v xml:space="preserve">       die beim 1. Durchlauf nicht unterscheidbar waren</v>
      </c>
      <c r="F152" s="169" t="s">
        <v>697</v>
      </c>
      <c r="G152" s="170" t="s">
        <v>696</v>
      </c>
      <c r="H152" s="171" t="s">
        <v>694</v>
      </c>
      <c r="I152" s="172" t="s">
        <v>692</v>
      </c>
      <c r="J152" s="193" t="s">
        <v>690</v>
      </c>
      <c r="K152" s="375" t="s">
        <v>859</v>
      </c>
      <c r="L152" s="135"/>
    </row>
    <row r="153" spans="5:12" ht="50.1" customHeight="1" x14ac:dyDescent="0.25">
      <c r="E153" s="217" t="str">
        <f t="shared" si="3"/>
        <v xml:space="preserve">  6.  Tordifferenz aus allen Gruppenspielen</v>
      </c>
      <c r="F153" s="169" t="s">
        <v>717</v>
      </c>
      <c r="G153" s="170" t="s">
        <v>685</v>
      </c>
      <c r="H153" s="171" t="s">
        <v>679</v>
      </c>
      <c r="I153" s="172" t="s">
        <v>673</v>
      </c>
      <c r="J153" s="193" t="s">
        <v>667</v>
      </c>
      <c r="K153" s="375" t="s">
        <v>860</v>
      </c>
      <c r="L153" s="135"/>
    </row>
    <row r="154" spans="5:12" ht="50.1" customHeight="1" x14ac:dyDescent="0.25">
      <c r="E154" s="217" t="str">
        <f t="shared" si="3"/>
        <v xml:space="preserve">  7.  Anzahl der erzielten Tore aus allen Gruppenspielen</v>
      </c>
      <c r="F154" s="169" t="s">
        <v>718</v>
      </c>
      <c r="G154" s="170" t="s">
        <v>686</v>
      </c>
      <c r="H154" s="171" t="s">
        <v>680</v>
      </c>
      <c r="I154" s="172" t="s">
        <v>674</v>
      </c>
      <c r="J154" s="193" t="s">
        <v>668</v>
      </c>
      <c r="K154" s="375" t="s">
        <v>861</v>
      </c>
      <c r="L154" s="135"/>
    </row>
    <row r="155" spans="5:12" ht="50.1" customHeight="1" x14ac:dyDescent="0.25">
      <c r="E155" s="217" t="str">
        <f t="shared" si="3"/>
        <v xml:space="preserve">  8.  Anzahl der Siege aus allen Gruppenspielen</v>
      </c>
      <c r="F155" s="169" t="s">
        <v>719</v>
      </c>
      <c r="G155" s="170" t="s">
        <v>687</v>
      </c>
      <c r="H155" s="171" t="s">
        <v>703</v>
      </c>
      <c r="I155" s="172" t="s">
        <v>675</v>
      </c>
      <c r="J155" s="193" t="s">
        <v>669</v>
      </c>
      <c r="K155" s="375" t="s">
        <v>862</v>
      </c>
      <c r="L155" s="135"/>
    </row>
    <row r="156" spans="5:12" ht="65.25" customHeight="1" x14ac:dyDescent="0.25">
      <c r="E156" s="217" t="str">
        <f t="shared" si="3"/>
        <v xml:space="preserve">  9.  Fair-Play-Wertung bzw. Elfmeterschießen im letzten Gruppenspiel,</v>
      </c>
      <c r="F156" s="169" t="s">
        <v>705</v>
      </c>
      <c r="G156" s="170" t="s">
        <v>698</v>
      </c>
      <c r="H156" s="171" t="s">
        <v>681</v>
      </c>
      <c r="I156" s="172" t="s">
        <v>700</v>
      </c>
      <c r="J156" s="193" t="s">
        <v>702</v>
      </c>
      <c r="K156" s="375" t="s">
        <v>863</v>
      </c>
      <c r="L156" s="135"/>
    </row>
    <row r="157" spans="5:12" ht="52.5" customHeight="1" x14ac:dyDescent="0.25">
      <c r="E157" s="217" t="str">
        <f t="shared" si="3"/>
        <v xml:space="preserve">       wenn die Bedingungen dafür zutreffen</v>
      </c>
      <c r="F157" s="169" t="s">
        <v>699</v>
      </c>
      <c r="G157" s="170" t="s">
        <v>707</v>
      </c>
      <c r="H157" s="171" t="s">
        <v>704</v>
      </c>
      <c r="I157" s="172" t="s">
        <v>706</v>
      </c>
      <c r="J157" s="193" t="s">
        <v>701</v>
      </c>
      <c r="K157" s="375" t="s">
        <v>864</v>
      </c>
      <c r="L157" s="135"/>
    </row>
    <row r="158" spans="5:12" ht="63" customHeight="1" x14ac:dyDescent="0.25">
      <c r="E158" s="217" t="str">
        <f t="shared" si="3"/>
        <v>10.  Position in der Schlussrangliste der European Qualifiers</v>
      </c>
      <c r="F158" s="169" t="s">
        <v>720</v>
      </c>
      <c r="G158" s="170" t="s">
        <v>733</v>
      </c>
      <c r="H158" s="171" t="s">
        <v>734</v>
      </c>
      <c r="I158" s="172" t="s">
        <v>735</v>
      </c>
      <c r="J158" s="193" t="s">
        <v>721</v>
      </c>
      <c r="K158" s="375" t="s">
        <v>865</v>
      </c>
      <c r="L158" s="135"/>
    </row>
    <row r="159" spans="5:12" ht="203.25" customHeight="1" x14ac:dyDescent="0.25">
      <c r="E159" s="217" t="str">
        <f t="shared" si="3"/>
        <v>Wenn über dem Gruppennamen ein roter Punkt erscheint, ist die Rangreihenfolge innerhalb der Gruppe nicht geklärt. Die Fair-Play-Wertung oder die Schlussrangliste der European Qualifiers entscheiden dann. In diesem Fall Fair-Play eintragen!</v>
      </c>
      <c r="F159" s="169" t="s">
        <v>736</v>
      </c>
      <c r="G159" s="170" t="s">
        <v>737</v>
      </c>
      <c r="H159" s="171" t="s">
        <v>738</v>
      </c>
      <c r="I159" s="172" t="s">
        <v>739</v>
      </c>
      <c r="J159" s="193" t="s">
        <v>740</v>
      </c>
      <c r="K159" s="375" t="s">
        <v>866</v>
      </c>
      <c r="L159" s="135"/>
    </row>
    <row r="160" spans="5:12" ht="15.75" thickBot="1" x14ac:dyDescent="0.3">
      <c r="E160" s="217">
        <f t="shared" si="3"/>
        <v>0</v>
      </c>
      <c r="F160" s="173"/>
      <c r="G160" s="174"/>
      <c r="H160" s="175"/>
      <c r="I160" s="176"/>
      <c r="J160" s="177"/>
      <c r="K160" s="376"/>
      <c r="L160" s="136"/>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F4E85CB0-33A5-4BFA-A98F-EDA167909D5E}">
      <formula1>1</formula1>
      <formula2>5</formula2>
    </dataValidation>
    <dataValidation allowBlank="1" showErrorMessage="1" errorTitle="Language" error="Invalid language" promptTitle="Language" prompt="Please choose a language for the country names" sqref="M3" xr:uid="{390C6489-5BCA-4FF9-9B5C-5EA8B28C095E}"/>
    <dataValidation type="list" allowBlank="1" showErrorMessage="1" errorTitle="Language" error="Invalid language" sqref="N1" xr:uid="{E8C1DA57-5B70-4693-BAD4-3E276A09CE63}">
      <formula1>$B$3:$B$9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28" style="4" customWidth="1"/>
    <col min="2" max="3" width="11.42578125" style="4" customWidth="1"/>
    <col min="4" max="4" width="13.140625" style="4" customWidth="1"/>
    <col min="5" max="5" width="7.28515625" style="4" customWidth="1"/>
    <col min="6" max="6" width="11.42578125" style="4" customWidth="1"/>
    <col min="7" max="7" width="20.42578125" style="4" customWidth="1"/>
    <col min="8" max="8" width="15.5703125" style="4" customWidth="1"/>
    <col min="9" max="9" width="17" style="4" customWidth="1"/>
    <col min="10" max="10" width="26"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469" t="str">
        <f>Language!$E$87</f>
        <v>Wahl der Zeitzone</v>
      </c>
      <c r="B1" s="469"/>
      <c r="C1" s="469"/>
      <c r="D1" s="469"/>
      <c r="E1" s="469"/>
      <c r="F1" s="469"/>
      <c r="G1" s="295" t="str">
        <f>Language!$E$140</f>
        <v>Hier klicken und
Zeitzone wählen:</v>
      </c>
      <c r="H1" s="68" t="s">
        <v>146</v>
      </c>
      <c r="I1" s="324" t="str">
        <f>_xlfn.UNICHAR(8592)</f>
        <v>←</v>
      </c>
    </row>
    <row r="3" spans="1:14" x14ac:dyDescent="0.25">
      <c r="C3" s="190"/>
      <c r="D3" s="6"/>
    </row>
    <row r="4" spans="1:14" ht="15.75" thickBot="1" x14ac:dyDescent="0.3">
      <c r="B4" s="178">
        <v>-12</v>
      </c>
      <c r="C4" s="212" t="s">
        <v>134</v>
      </c>
      <c r="D4" s="213" t="s">
        <v>109</v>
      </c>
      <c r="E4" s="179">
        <f>$B4/24</f>
        <v>-0.5</v>
      </c>
      <c r="F4" s="180"/>
      <c r="G4" s="470" t="str">
        <f>Language!$E$144</f>
        <v>Bei Sommerzeit muss die Zeitzone entsprechend angepasst werden (z. B. UTC+2 statt UTC+1)</v>
      </c>
      <c r="H4" s="470"/>
      <c r="I4" s="470"/>
      <c r="J4" s="182"/>
      <c r="K4" s="18"/>
      <c r="L4" s="18"/>
      <c r="M4" s="18"/>
      <c r="N4" s="18"/>
    </row>
    <row r="5" spans="1:14" ht="15" customHeight="1" x14ac:dyDescent="0.25">
      <c r="B5" s="178">
        <v>-11</v>
      </c>
      <c r="C5" s="212" t="s">
        <v>135</v>
      </c>
      <c r="D5" s="213"/>
      <c r="E5" s="179">
        <f t="shared" ref="E5:E39" si="0">$B5/24</f>
        <v>-0.45833333333333331</v>
      </c>
      <c r="G5" s="470"/>
      <c r="H5" s="470"/>
      <c r="I5" s="470"/>
      <c r="J5" s="184"/>
      <c r="K5" s="466" t="str">
        <f>Language!$E$141</f>
        <v>Zeitzone des
Gastgeberlandes:</v>
      </c>
      <c r="L5" s="467" t="s">
        <v>146</v>
      </c>
      <c r="M5" s="185"/>
      <c r="N5" s="185"/>
    </row>
    <row r="6" spans="1:14" ht="15.75" thickBot="1" x14ac:dyDescent="0.3">
      <c r="B6" s="178">
        <v>-10</v>
      </c>
      <c r="C6" s="212" t="s">
        <v>136</v>
      </c>
      <c r="D6" s="213" t="s">
        <v>110</v>
      </c>
      <c r="E6" s="179">
        <f t="shared" si="0"/>
        <v>-0.41666666666666669</v>
      </c>
      <c r="G6" s="470"/>
      <c r="H6" s="470"/>
      <c r="I6" s="470"/>
      <c r="J6" s="184"/>
      <c r="K6" s="466"/>
      <c r="L6" s="468"/>
      <c r="M6" s="185"/>
      <c r="N6" s="185"/>
    </row>
    <row r="7" spans="1:14" x14ac:dyDescent="0.25">
      <c r="B7" s="178">
        <v>-9</v>
      </c>
      <c r="C7" s="212" t="s">
        <v>137</v>
      </c>
      <c r="D7" s="213" t="s">
        <v>111</v>
      </c>
      <c r="E7" s="179">
        <f t="shared" si="0"/>
        <v>-0.375</v>
      </c>
      <c r="G7" s="189"/>
      <c r="I7" s="183"/>
      <c r="J7" s="184"/>
      <c r="K7" s="184"/>
      <c r="L7" s="185"/>
      <c r="M7" s="185"/>
      <c r="N7" s="185"/>
    </row>
    <row r="8" spans="1:14" x14ac:dyDescent="0.25">
      <c r="B8" s="178">
        <v>-8</v>
      </c>
      <c r="C8" s="212" t="s">
        <v>138</v>
      </c>
      <c r="D8" s="213" t="s">
        <v>112</v>
      </c>
      <c r="E8" s="179">
        <f t="shared" si="0"/>
        <v>-0.33333333333333331</v>
      </c>
      <c r="I8" s="183"/>
      <c r="J8" s="184"/>
      <c r="K8" s="184"/>
      <c r="L8" s="185"/>
      <c r="M8" s="185"/>
      <c r="N8" s="185"/>
    </row>
    <row r="9" spans="1:14" x14ac:dyDescent="0.25">
      <c r="B9" s="178">
        <v>-7</v>
      </c>
      <c r="C9" s="212" t="s">
        <v>139</v>
      </c>
      <c r="D9" s="213" t="s">
        <v>113</v>
      </c>
      <c r="E9" s="179">
        <f t="shared" si="0"/>
        <v>-0.29166666666666669</v>
      </c>
      <c r="I9" s="183"/>
      <c r="J9" s="184"/>
      <c r="K9" s="184"/>
      <c r="L9" s="185"/>
      <c r="M9" s="185"/>
      <c r="N9" s="185"/>
    </row>
    <row r="10" spans="1:14" ht="15" customHeight="1" x14ac:dyDescent="0.25">
      <c r="B10" s="178">
        <v>-6</v>
      </c>
      <c r="C10" s="212" t="s">
        <v>140</v>
      </c>
      <c r="D10" s="213" t="s">
        <v>114</v>
      </c>
      <c r="E10" s="179">
        <f t="shared" si="0"/>
        <v>-0.25</v>
      </c>
      <c r="J10" s="184"/>
      <c r="K10" s="184"/>
      <c r="L10" s="185"/>
      <c r="M10" s="185"/>
      <c r="N10" s="185"/>
    </row>
    <row r="11" spans="1:14" x14ac:dyDescent="0.25">
      <c r="B11" s="178">
        <v>-5</v>
      </c>
      <c r="C11" s="212" t="s">
        <v>141</v>
      </c>
      <c r="D11" s="213" t="s">
        <v>115</v>
      </c>
      <c r="E11" s="179">
        <f t="shared" si="0"/>
        <v>-0.20833333333333334</v>
      </c>
      <c r="J11" s="183"/>
      <c r="K11" s="184"/>
      <c r="L11" s="185"/>
      <c r="M11" s="185"/>
      <c r="N11" s="185"/>
    </row>
    <row r="12" spans="1:14" x14ac:dyDescent="0.25">
      <c r="B12" s="178">
        <v>-4</v>
      </c>
      <c r="C12" s="212" t="s">
        <v>142</v>
      </c>
      <c r="D12" s="213" t="s">
        <v>116</v>
      </c>
      <c r="E12" s="179">
        <f t="shared" si="0"/>
        <v>-0.16666666666666666</v>
      </c>
      <c r="J12" s="184"/>
      <c r="K12" s="184"/>
      <c r="L12" s="185"/>
      <c r="M12" s="185"/>
      <c r="N12" s="185"/>
    </row>
    <row r="13" spans="1:14" x14ac:dyDescent="0.25">
      <c r="B13" s="178">
        <v>-3.5</v>
      </c>
      <c r="C13" s="212" t="s">
        <v>133</v>
      </c>
      <c r="D13" s="213" t="s">
        <v>117</v>
      </c>
      <c r="E13" s="179">
        <f t="shared" si="0"/>
        <v>-0.14583333333333334</v>
      </c>
      <c r="I13" s="183"/>
      <c r="J13" s="184"/>
      <c r="K13" s="184"/>
      <c r="L13" s="185"/>
      <c r="M13" s="185"/>
      <c r="N13" s="185"/>
    </row>
    <row r="14" spans="1:14" x14ac:dyDescent="0.25">
      <c r="B14" s="178">
        <v>-3</v>
      </c>
      <c r="C14" s="212" t="s">
        <v>143</v>
      </c>
      <c r="D14" s="213"/>
      <c r="E14" s="179">
        <f t="shared" si="0"/>
        <v>-0.125</v>
      </c>
      <c r="I14" s="183"/>
      <c r="J14" s="184"/>
      <c r="K14" s="184"/>
      <c r="L14" s="185"/>
      <c r="M14" s="185"/>
      <c r="N14" s="185"/>
    </row>
    <row r="15" spans="1:14" x14ac:dyDescent="0.25">
      <c r="B15" s="178">
        <v>-2</v>
      </c>
      <c r="C15" s="212" t="s">
        <v>144</v>
      </c>
      <c r="D15" s="213"/>
      <c r="E15" s="179">
        <f t="shared" si="0"/>
        <v>-8.3333333333333329E-2</v>
      </c>
      <c r="I15" s="183"/>
      <c r="J15" s="184"/>
      <c r="K15" s="184"/>
      <c r="L15" s="185"/>
      <c r="M15" s="185"/>
      <c r="N15" s="185"/>
    </row>
    <row r="16" spans="1:14" x14ac:dyDescent="0.25">
      <c r="B16" s="178">
        <v>-1</v>
      </c>
      <c r="C16" s="212" t="s">
        <v>145</v>
      </c>
      <c r="D16" s="213"/>
      <c r="E16" s="179">
        <f t="shared" si="0"/>
        <v>-4.1666666666666664E-2</v>
      </c>
      <c r="I16" s="183"/>
      <c r="J16" s="184"/>
      <c r="K16" s="184"/>
      <c r="L16" s="185"/>
      <c r="M16" s="185"/>
      <c r="N16" s="185"/>
    </row>
    <row r="17" spans="2:14" x14ac:dyDescent="0.25">
      <c r="B17" s="178">
        <v>0</v>
      </c>
      <c r="C17" s="212" t="s">
        <v>128</v>
      </c>
      <c r="D17" s="213" t="s">
        <v>118</v>
      </c>
      <c r="E17" s="179">
        <f t="shared" si="0"/>
        <v>0</v>
      </c>
      <c r="I17" s="183"/>
      <c r="J17" s="184"/>
      <c r="K17" s="184"/>
      <c r="L17" s="185"/>
      <c r="M17" s="185"/>
      <c r="N17" s="185"/>
    </row>
    <row r="18" spans="2:14" x14ac:dyDescent="0.25">
      <c r="B18" s="178">
        <v>1</v>
      </c>
      <c r="C18" s="212" t="s">
        <v>132</v>
      </c>
      <c r="D18" s="213" t="s">
        <v>119</v>
      </c>
      <c r="E18" s="179">
        <f t="shared" si="0"/>
        <v>4.1666666666666664E-2</v>
      </c>
      <c r="I18" s="181"/>
      <c r="J18" s="183"/>
      <c r="K18" s="184"/>
      <c r="L18" s="185"/>
      <c r="M18" s="185"/>
      <c r="N18" s="185"/>
    </row>
    <row r="19" spans="2:14" x14ac:dyDescent="0.25">
      <c r="B19" s="178">
        <v>2</v>
      </c>
      <c r="C19" s="212" t="s">
        <v>146</v>
      </c>
      <c r="D19" s="213" t="s">
        <v>652</v>
      </c>
      <c r="E19" s="179">
        <f t="shared" si="0"/>
        <v>8.3333333333333329E-2</v>
      </c>
      <c r="I19" s="183"/>
      <c r="J19" s="184"/>
      <c r="K19" s="184"/>
      <c r="L19" s="185"/>
      <c r="M19" s="185"/>
      <c r="N19" s="185"/>
    </row>
    <row r="20" spans="2:14" x14ac:dyDescent="0.25">
      <c r="B20" s="178">
        <v>3</v>
      </c>
      <c r="C20" s="212" t="s">
        <v>147</v>
      </c>
      <c r="D20" s="213" t="s">
        <v>120</v>
      </c>
      <c r="E20" s="179">
        <f t="shared" si="0"/>
        <v>0.125</v>
      </c>
      <c r="I20" s="183"/>
      <c r="J20" s="184"/>
      <c r="K20" s="184"/>
      <c r="L20" s="185"/>
      <c r="M20" s="185"/>
      <c r="N20" s="185"/>
    </row>
    <row r="21" spans="2:14" x14ac:dyDescent="0.25">
      <c r="B21" s="178">
        <v>3.5</v>
      </c>
      <c r="C21" s="377" t="s">
        <v>873</v>
      </c>
      <c r="D21" s="213" t="s">
        <v>127</v>
      </c>
      <c r="E21" s="179">
        <f t="shared" si="0"/>
        <v>0.14583333333333334</v>
      </c>
      <c r="I21" s="183"/>
      <c r="J21" s="184"/>
      <c r="K21" s="184"/>
      <c r="L21" s="185"/>
      <c r="M21" s="185"/>
      <c r="N21" s="185"/>
    </row>
    <row r="22" spans="2:14" x14ac:dyDescent="0.25">
      <c r="B22" s="178">
        <v>4</v>
      </c>
      <c r="C22" s="377" t="s">
        <v>874</v>
      </c>
      <c r="D22" s="213"/>
      <c r="E22" s="179">
        <f t="shared" si="0"/>
        <v>0.16666666666666666</v>
      </c>
      <c r="I22" s="183"/>
      <c r="J22" s="184"/>
      <c r="K22" s="184"/>
      <c r="L22" s="185"/>
      <c r="M22" s="185"/>
      <c r="N22" s="185"/>
    </row>
    <row r="23" spans="2:14" x14ac:dyDescent="0.25">
      <c r="B23" s="178">
        <v>4.5</v>
      </c>
      <c r="C23" s="377" t="s">
        <v>875</v>
      </c>
      <c r="D23" s="213"/>
      <c r="E23" s="179">
        <f t="shared" si="0"/>
        <v>0.1875</v>
      </c>
      <c r="I23" s="183"/>
      <c r="J23" s="184"/>
      <c r="K23" s="184"/>
      <c r="L23" s="185"/>
      <c r="M23" s="185"/>
      <c r="N23" s="185"/>
    </row>
    <row r="24" spans="2:14" x14ac:dyDescent="0.25">
      <c r="B24" s="178">
        <v>5</v>
      </c>
      <c r="C24" s="377" t="s">
        <v>876</v>
      </c>
      <c r="D24" s="213"/>
      <c r="E24" s="179">
        <f t="shared" si="0"/>
        <v>0.20833333333333334</v>
      </c>
      <c r="I24" s="183"/>
      <c r="J24" s="184"/>
      <c r="K24" s="184"/>
      <c r="L24" s="185"/>
      <c r="M24" s="185"/>
      <c r="N24" s="185"/>
    </row>
    <row r="25" spans="2:14" x14ac:dyDescent="0.25">
      <c r="B25" s="178">
        <v>5.5</v>
      </c>
      <c r="C25" s="377" t="s">
        <v>877</v>
      </c>
      <c r="D25" s="213" t="s">
        <v>126</v>
      </c>
      <c r="E25" s="179">
        <f t="shared" si="0"/>
        <v>0.22916666666666666</v>
      </c>
      <c r="I25" s="181"/>
      <c r="J25" s="183"/>
      <c r="K25" s="184"/>
      <c r="L25" s="185"/>
      <c r="M25" s="185"/>
      <c r="N25" s="185"/>
    </row>
    <row r="26" spans="2:14" x14ac:dyDescent="0.25">
      <c r="B26" s="178">
        <v>5.75</v>
      </c>
      <c r="C26" s="377" t="s">
        <v>878</v>
      </c>
      <c r="D26" s="213"/>
      <c r="E26" s="179">
        <f t="shared" si="0"/>
        <v>0.23958333333333334</v>
      </c>
      <c r="I26" s="183"/>
      <c r="J26" s="184"/>
      <c r="K26" s="184"/>
      <c r="L26" s="185"/>
      <c r="M26" s="185"/>
      <c r="N26" s="185"/>
    </row>
    <row r="27" spans="2:14" x14ac:dyDescent="0.25">
      <c r="B27" s="178">
        <v>6</v>
      </c>
      <c r="C27" s="377" t="s">
        <v>879</v>
      </c>
      <c r="D27" s="213"/>
      <c r="E27" s="179">
        <f t="shared" si="0"/>
        <v>0.25</v>
      </c>
      <c r="I27" s="183"/>
      <c r="J27" s="184"/>
      <c r="K27" s="184"/>
      <c r="L27" s="185"/>
      <c r="M27" s="185"/>
      <c r="N27" s="185"/>
    </row>
    <row r="28" spans="2:14" x14ac:dyDescent="0.25">
      <c r="B28" s="178">
        <v>6.5</v>
      </c>
      <c r="C28" s="377" t="s">
        <v>880</v>
      </c>
      <c r="D28" s="213"/>
      <c r="E28" s="179">
        <f t="shared" si="0"/>
        <v>0.27083333333333331</v>
      </c>
      <c r="I28" s="183"/>
      <c r="J28" s="184"/>
      <c r="K28" s="184"/>
      <c r="L28" s="185"/>
      <c r="M28" s="185"/>
      <c r="N28" s="185"/>
    </row>
    <row r="29" spans="2:14" x14ac:dyDescent="0.25">
      <c r="B29" s="178">
        <v>7</v>
      </c>
      <c r="C29" s="377" t="s">
        <v>881</v>
      </c>
      <c r="D29" s="213" t="s">
        <v>121</v>
      </c>
      <c r="E29" s="179">
        <f t="shared" si="0"/>
        <v>0.29166666666666669</v>
      </c>
      <c r="I29" s="183"/>
      <c r="J29" s="184"/>
      <c r="K29" s="184"/>
      <c r="L29" s="185"/>
      <c r="M29" s="185"/>
      <c r="N29" s="185"/>
    </row>
    <row r="30" spans="2:14" x14ac:dyDescent="0.25">
      <c r="B30" s="178">
        <v>8</v>
      </c>
      <c r="C30" s="377" t="s">
        <v>882</v>
      </c>
      <c r="D30" s="213" t="s">
        <v>122</v>
      </c>
      <c r="E30" s="179">
        <f t="shared" si="0"/>
        <v>0.33333333333333331</v>
      </c>
      <c r="I30" s="183"/>
      <c r="J30" s="184"/>
      <c r="K30" s="184"/>
      <c r="L30" s="185"/>
      <c r="M30" s="185"/>
      <c r="N30" s="185"/>
    </row>
    <row r="31" spans="2:14" x14ac:dyDescent="0.25">
      <c r="B31" s="178">
        <v>9</v>
      </c>
      <c r="C31" s="377" t="s">
        <v>883</v>
      </c>
      <c r="D31" s="213" t="s">
        <v>123</v>
      </c>
      <c r="E31" s="179">
        <f t="shared" si="0"/>
        <v>0.375</v>
      </c>
      <c r="I31" s="183"/>
      <c r="J31" s="184"/>
      <c r="K31" s="184"/>
      <c r="L31" s="185"/>
      <c r="M31" s="185"/>
      <c r="N31" s="185"/>
    </row>
    <row r="32" spans="2:14" x14ac:dyDescent="0.25">
      <c r="B32" s="178">
        <v>9.5</v>
      </c>
      <c r="C32" s="377" t="s">
        <v>884</v>
      </c>
      <c r="D32" s="213" t="s">
        <v>125</v>
      </c>
      <c r="E32" s="179">
        <f t="shared" si="0"/>
        <v>0.39583333333333331</v>
      </c>
      <c r="I32" s="181"/>
      <c r="J32" s="183"/>
      <c r="K32" s="184"/>
      <c r="L32" s="185"/>
      <c r="M32" s="185"/>
      <c r="N32" s="185"/>
    </row>
    <row r="33" spans="2:14" x14ac:dyDescent="0.25">
      <c r="B33" s="178">
        <v>10</v>
      </c>
      <c r="C33" s="377" t="s">
        <v>885</v>
      </c>
      <c r="D33" s="213"/>
      <c r="E33" s="179">
        <f t="shared" si="0"/>
        <v>0.41666666666666669</v>
      </c>
      <c r="I33" s="183"/>
      <c r="J33" s="184"/>
      <c r="K33" s="184"/>
      <c r="L33" s="185"/>
      <c r="M33" s="185"/>
      <c r="N33" s="185"/>
    </row>
    <row r="34" spans="2:14" x14ac:dyDescent="0.25">
      <c r="B34" s="178">
        <v>10.5</v>
      </c>
      <c r="C34" s="377" t="s">
        <v>886</v>
      </c>
      <c r="D34" s="213"/>
      <c r="E34" s="179">
        <f t="shared" si="0"/>
        <v>0.4375</v>
      </c>
      <c r="I34" s="183"/>
      <c r="J34" s="184"/>
      <c r="K34" s="184"/>
      <c r="L34" s="185"/>
      <c r="M34" s="185"/>
      <c r="N34" s="185"/>
    </row>
    <row r="35" spans="2:14" x14ac:dyDescent="0.25">
      <c r="B35" s="178">
        <v>11</v>
      </c>
      <c r="C35" s="377" t="s">
        <v>887</v>
      </c>
      <c r="D35" s="213"/>
      <c r="E35" s="179">
        <f t="shared" si="0"/>
        <v>0.45833333333333331</v>
      </c>
      <c r="I35" s="183"/>
      <c r="J35" s="184"/>
      <c r="K35" s="184"/>
      <c r="L35" s="185"/>
      <c r="M35" s="185"/>
      <c r="N35" s="185"/>
    </row>
    <row r="36" spans="2:14" x14ac:dyDescent="0.25">
      <c r="B36" s="178">
        <v>12</v>
      </c>
      <c r="C36" s="377" t="s">
        <v>888</v>
      </c>
      <c r="D36" s="213" t="s">
        <v>124</v>
      </c>
      <c r="E36" s="179">
        <f t="shared" si="0"/>
        <v>0.5</v>
      </c>
      <c r="I36" s="183"/>
      <c r="J36" s="184"/>
      <c r="K36" s="184"/>
      <c r="L36" s="185"/>
      <c r="M36" s="185"/>
      <c r="N36" s="185"/>
    </row>
    <row r="37" spans="2:14" x14ac:dyDescent="0.25">
      <c r="B37" s="178">
        <v>12.75</v>
      </c>
      <c r="C37" s="377" t="s">
        <v>889</v>
      </c>
      <c r="D37" s="213"/>
      <c r="E37" s="179">
        <f t="shared" si="0"/>
        <v>0.53125</v>
      </c>
      <c r="I37" s="183"/>
      <c r="J37" s="184"/>
      <c r="K37" s="184"/>
      <c r="L37" s="185"/>
      <c r="M37" s="185"/>
      <c r="N37" s="185"/>
    </row>
    <row r="38" spans="2:14" x14ac:dyDescent="0.25">
      <c r="B38" s="178">
        <v>13</v>
      </c>
      <c r="C38" s="377" t="s">
        <v>890</v>
      </c>
      <c r="D38" s="213"/>
      <c r="E38" s="179">
        <f t="shared" si="0"/>
        <v>0.54166666666666663</v>
      </c>
      <c r="I38" s="183"/>
      <c r="J38" s="184"/>
      <c r="K38" s="184"/>
      <c r="L38" s="185"/>
      <c r="M38" s="185"/>
      <c r="N38" s="185"/>
    </row>
    <row r="39" spans="2:14" x14ac:dyDescent="0.25">
      <c r="B39" s="178">
        <v>14</v>
      </c>
      <c r="C39" s="377" t="s">
        <v>891</v>
      </c>
      <c r="D39" s="213"/>
      <c r="E39" s="179">
        <f t="shared" si="0"/>
        <v>0.58333333333333337</v>
      </c>
      <c r="I39" s="181"/>
      <c r="J39" s="184"/>
      <c r="K39" s="184"/>
      <c r="L39" s="185"/>
      <c r="M39" s="185"/>
      <c r="N39" s="185"/>
    </row>
    <row r="40" spans="2:14" x14ac:dyDescent="0.25">
      <c r="I40" s="183"/>
      <c r="J40" s="184"/>
      <c r="K40" s="184"/>
      <c r="L40" s="185"/>
      <c r="M40" s="185"/>
      <c r="N40" s="185"/>
    </row>
    <row r="41" spans="2:14" x14ac:dyDescent="0.25">
      <c r="I41" s="183"/>
      <c r="J41" s="184"/>
      <c r="K41" s="184"/>
      <c r="L41" s="185"/>
      <c r="M41" s="185"/>
      <c r="N41" s="185"/>
    </row>
    <row r="42" spans="2:14" x14ac:dyDescent="0.25">
      <c r="I42" s="183"/>
      <c r="J42" s="184"/>
      <c r="K42" s="184"/>
      <c r="L42" s="185"/>
      <c r="M42" s="185"/>
      <c r="N42" s="185"/>
    </row>
    <row r="43" spans="2:14" x14ac:dyDescent="0.25">
      <c r="I43" s="183"/>
      <c r="J43" s="184"/>
      <c r="K43" s="184"/>
      <c r="L43" s="185"/>
      <c r="M43" s="185"/>
      <c r="N43" s="185"/>
    </row>
    <row r="44" spans="2:14" x14ac:dyDescent="0.25">
      <c r="I44" s="183"/>
      <c r="J44" s="184"/>
      <c r="K44" s="184"/>
      <c r="L44" s="185"/>
      <c r="M44" s="185"/>
      <c r="N44" s="185"/>
    </row>
    <row r="45" spans="2:14" x14ac:dyDescent="0.25">
      <c r="I45" s="183"/>
      <c r="J45" s="184"/>
      <c r="K45" s="184"/>
      <c r="L45" s="185"/>
      <c r="M45" s="185"/>
      <c r="N45" s="185"/>
    </row>
    <row r="46" spans="2:14" x14ac:dyDescent="0.25">
      <c r="I46" s="181"/>
      <c r="J46" s="183"/>
      <c r="K46" s="184"/>
      <c r="L46" s="185"/>
      <c r="M46" s="185"/>
      <c r="N46" s="185"/>
    </row>
    <row r="47" spans="2:14" x14ac:dyDescent="0.25">
      <c r="I47" s="183"/>
      <c r="J47" s="184"/>
      <c r="K47" s="184"/>
      <c r="L47" s="185"/>
      <c r="M47" s="185"/>
      <c r="N47" s="185"/>
    </row>
    <row r="48" spans="2:14" x14ac:dyDescent="0.25">
      <c r="I48" s="183"/>
      <c r="J48" s="184"/>
      <c r="K48" s="184"/>
      <c r="L48" s="185"/>
      <c r="M48" s="185"/>
      <c r="N48" s="185"/>
    </row>
    <row r="49" spans="9:14" x14ac:dyDescent="0.25">
      <c r="I49" s="183"/>
      <c r="J49" s="184"/>
      <c r="K49" s="184"/>
      <c r="L49" s="185"/>
      <c r="M49" s="185"/>
      <c r="N49" s="185"/>
    </row>
    <row r="50" spans="9:14" x14ac:dyDescent="0.25">
      <c r="I50" s="183"/>
      <c r="J50" s="184"/>
      <c r="K50" s="184"/>
      <c r="L50" s="185"/>
      <c r="M50" s="185"/>
      <c r="N50" s="185"/>
    </row>
    <row r="51" spans="9:14" x14ac:dyDescent="0.25">
      <c r="I51" s="183"/>
      <c r="J51" s="184"/>
      <c r="K51" s="184"/>
      <c r="L51" s="185"/>
      <c r="M51" s="185"/>
      <c r="N51" s="185"/>
    </row>
    <row r="52" spans="9:14" x14ac:dyDescent="0.25">
      <c r="I52" s="183"/>
      <c r="J52" s="184"/>
      <c r="K52" s="184"/>
      <c r="L52" s="185"/>
      <c r="M52" s="185"/>
      <c r="N52" s="185"/>
    </row>
    <row r="53" spans="9:14" x14ac:dyDescent="0.25">
      <c r="I53" s="181"/>
      <c r="J53" s="183"/>
      <c r="K53" s="184"/>
      <c r="L53" s="185"/>
      <c r="M53" s="185"/>
      <c r="N53" s="185"/>
    </row>
    <row r="54" spans="9:14" x14ac:dyDescent="0.25">
      <c r="I54" s="183"/>
      <c r="J54" s="184"/>
      <c r="K54" s="184"/>
      <c r="L54" s="185"/>
      <c r="M54" s="185"/>
      <c r="N54" s="185"/>
    </row>
    <row r="55" spans="9:14" x14ac:dyDescent="0.25">
      <c r="I55" s="183"/>
      <c r="J55" s="184"/>
      <c r="K55" s="184"/>
      <c r="L55" s="185"/>
      <c r="M55" s="185"/>
      <c r="N55" s="185"/>
    </row>
    <row r="56" spans="9:14" x14ac:dyDescent="0.25">
      <c r="I56" s="183"/>
      <c r="J56" s="184"/>
      <c r="K56" s="184"/>
      <c r="L56" s="185"/>
      <c r="M56" s="185"/>
      <c r="N56" s="185"/>
    </row>
    <row r="57" spans="9:14" x14ac:dyDescent="0.25">
      <c r="I57" s="183"/>
      <c r="J57" s="184"/>
      <c r="K57" s="184"/>
      <c r="L57" s="185"/>
      <c r="M57" s="185"/>
      <c r="N57" s="185"/>
    </row>
    <row r="58" spans="9:14" x14ac:dyDescent="0.25">
      <c r="I58" s="183"/>
      <c r="J58" s="184"/>
      <c r="K58" s="184"/>
      <c r="L58" s="185"/>
      <c r="M58" s="185"/>
      <c r="N58" s="185"/>
    </row>
    <row r="59" spans="9:14" x14ac:dyDescent="0.25">
      <c r="I59" s="183"/>
      <c r="J59" s="184"/>
      <c r="K59" s="184"/>
      <c r="L59" s="185"/>
      <c r="M59" s="185"/>
      <c r="N59" s="185"/>
    </row>
    <row r="60" spans="9:14" x14ac:dyDescent="0.25">
      <c r="I60" s="186"/>
      <c r="J60" s="183"/>
      <c r="K60" s="184"/>
      <c r="L60" s="185"/>
      <c r="M60" s="185"/>
      <c r="N60" s="185"/>
    </row>
    <row r="61" spans="9:14" x14ac:dyDescent="0.25">
      <c r="I61" s="183"/>
      <c r="J61" s="184"/>
      <c r="K61" s="184"/>
      <c r="L61" s="185"/>
      <c r="M61" s="185"/>
      <c r="N61" s="185"/>
    </row>
    <row r="62" spans="9:14" x14ac:dyDescent="0.25">
      <c r="I62" s="183"/>
      <c r="J62" s="184"/>
      <c r="K62" s="184"/>
      <c r="L62" s="185"/>
      <c r="M62" s="185"/>
      <c r="N62" s="185"/>
    </row>
    <row r="63" spans="9:14" x14ac:dyDescent="0.25">
      <c r="I63" s="183"/>
      <c r="J63" s="184"/>
      <c r="K63" s="184"/>
      <c r="L63" s="185"/>
      <c r="M63" s="185"/>
      <c r="N63" s="185"/>
    </row>
    <row r="64" spans="9:14" x14ac:dyDescent="0.25">
      <c r="I64" s="183"/>
      <c r="J64" s="184"/>
      <c r="K64" s="184"/>
      <c r="L64" s="185"/>
      <c r="M64" s="185"/>
      <c r="N64" s="185"/>
    </row>
    <row r="65" spans="9:14" x14ac:dyDescent="0.25">
      <c r="I65" s="183"/>
      <c r="J65" s="184"/>
      <c r="K65" s="184"/>
      <c r="L65" s="185"/>
      <c r="M65" s="185"/>
      <c r="N65" s="185"/>
    </row>
    <row r="66" spans="9:14" x14ac:dyDescent="0.25">
      <c r="I66" s="183"/>
      <c r="J66" s="184"/>
      <c r="K66" s="184"/>
      <c r="L66" s="185"/>
      <c r="M66" s="185"/>
      <c r="N66" s="185"/>
    </row>
    <row r="67" spans="9:14" x14ac:dyDescent="0.25">
      <c r="I67" s="183"/>
      <c r="J67" s="184"/>
      <c r="K67" s="184"/>
      <c r="L67" s="185"/>
      <c r="M67" s="185"/>
      <c r="N67" s="185"/>
    </row>
    <row r="68" spans="9:14" x14ac:dyDescent="0.25">
      <c r="I68" s="183"/>
      <c r="J68" s="184"/>
      <c r="K68" s="184"/>
      <c r="L68" s="185"/>
      <c r="M68" s="185"/>
      <c r="N68" s="185"/>
    </row>
    <row r="69" spans="9:14" x14ac:dyDescent="0.25">
      <c r="I69" s="186"/>
      <c r="J69" s="183"/>
      <c r="K69" s="184"/>
      <c r="L69" s="185"/>
      <c r="M69" s="185"/>
      <c r="N69" s="185"/>
    </row>
    <row r="70" spans="9:14" x14ac:dyDescent="0.25">
      <c r="I70" s="183"/>
      <c r="J70" s="184"/>
      <c r="K70" s="184"/>
      <c r="L70" s="185"/>
      <c r="M70" s="185"/>
      <c r="N70" s="185"/>
    </row>
    <row r="71" spans="9:14" x14ac:dyDescent="0.25">
      <c r="I71" s="183"/>
      <c r="J71" s="184"/>
      <c r="K71" s="184"/>
      <c r="L71" s="185"/>
      <c r="M71" s="185"/>
      <c r="N71" s="185"/>
    </row>
    <row r="72" spans="9:14" x14ac:dyDescent="0.25">
      <c r="I72" s="183"/>
      <c r="J72" s="184"/>
      <c r="K72" s="184"/>
      <c r="L72" s="185"/>
      <c r="M72" s="185"/>
      <c r="N72" s="185"/>
    </row>
    <row r="73" spans="9:14" x14ac:dyDescent="0.25">
      <c r="I73" s="183"/>
      <c r="J73" s="184"/>
      <c r="K73" s="184"/>
      <c r="L73" s="185"/>
      <c r="M73" s="185"/>
      <c r="N73" s="185"/>
    </row>
    <row r="74" spans="9:14" x14ac:dyDescent="0.25">
      <c r="I74" s="186"/>
      <c r="J74" s="183"/>
      <c r="K74" s="184"/>
      <c r="L74" s="185"/>
      <c r="M74" s="185"/>
      <c r="N74" s="185"/>
    </row>
    <row r="75" spans="9:14" x14ac:dyDescent="0.25">
      <c r="I75" s="183"/>
      <c r="J75" s="184"/>
      <c r="K75" s="184"/>
      <c r="L75" s="185"/>
      <c r="M75" s="185"/>
      <c r="N75" s="185"/>
    </row>
    <row r="76" spans="9:14" x14ac:dyDescent="0.25">
      <c r="I76" s="183"/>
      <c r="J76" s="184"/>
      <c r="K76" s="184"/>
      <c r="L76" s="185"/>
      <c r="M76" s="185"/>
      <c r="N76" s="185"/>
    </row>
    <row r="77" spans="9:14" x14ac:dyDescent="0.25">
      <c r="I77" s="186"/>
      <c r="J77" s="183"/>
      <c r="K77" s="184"/>
      <c r="L77" s="185"/>
      <c r="M77" s="185"/>
      <c r="N77" s="185"/>
    </row>
    <row r="78" spans="9:14" x14ac:dyDescent="0.25">
      <c r="I78" s="183"/>
      <c r="J78" s="184"/>
      <c r="K78" s="184"/>
      <c r="L78" s="185"/>
      <c r="M78" s="185"/>
      <c r="N78" s="185"/>
    </row>
    <row r="79" spans="9:14" x14ac:dyDescent="0.25">
      <c r="I79" s="186"/>
      <c r="J79" s="183"/>
      <c r="K79" s="184"/>
      <c r="L79" s="185"/>
      <c r="M79" s="185"/>
      <c r="N79" s="185"/>
    </row>
    <row r="80" spans="9:14" x14ac:dyDescent="0.25">
      <c r="I80" s="183"/>
      <c r="J80" s="184"/>
      <c r="K80" s="184"/>
      <c r="L80" s="185"/>
      <c r="M80" s="185"/>
      <c r="N80" s="185"/>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457" t="str">
        <f>Language!$E$91</f>
        <v>Gruppen</v>
      </c>
      <c r="C2" s="457"/>
      <c r="D2" s="457"/>
    </row>
    <row r="3" spans="2:4" ht="15.75" thickBot="1" x14ac:dyDescent="0.3"/>
    <row r="4" spans="2:4" ht="15.75" thickTop="1" x14ac:dyDescent="0.25">
      <c r="B4" s="459" t="s">
        <v>349</v>
      </c>
      <c r="C4" s="472" t="s">
        <v>348</v>
      </c>
      <c r="D4" s="474" t="s">
        <v>347</v>
      </c>
    </row>
    <row r="5" spans="2:4" x14ac:dyDescent="0.25">
      <c r="B5" s="471"/>
      <c r="C5" s="473"/>
      <c r="D5" s="475"/>
    </row>
    <row r="6" spans="2:4" ht="15.75" x14ac:dyDescent="0.25">
      <c r="B6" s="139"/>
      <c r="C6" s="219"/>
      <c r="D6" s="220" t="s">
        <v>30</v>
      </c>
    </row>
    <row r="7" spans="2:4" x14ac:dyDescent="0.25">
      <c r="B7" s="140" t="s">
        <v>168</v>
      </c>
      <c r="C7" s="296">
        <v>14</v>
      </c>
      <c r="D7" s="216" t="str">
        <f>VLOOKUP($C7,Language!$D$5:$E$63,2,0)</f>
        <v>Türkei</v>
      </c>
    </row>
    <row r="8" spans="2:4" x14ac:dyDescent="0.25">
      <c r="B8" s="140" t="s">
        <v>169</v>
      </c>
      <c r="C8" s="297">
        <v>2</v>
      </c>
      <c r="D8" s="216" t="str">
        <f>VLOOKUP($C8,Language!$D$5:$E$63,2,0)</f>
        <v>Italien</v>
      </c>
    </row>
    <row r="9" spans="2:4" x14ac:dyDescent="0.25">
      <c r="B9" s="140" t="s">
        <v>170</v>
      </c>
      <c r="C9" s="297">
        <v>19</v>
      </c>
      <c r="D9" s="216" t="str">
        <f>VLOOKUP($C9,Language!$D$5:$E$63,2,0)</f>
        <v>Wales</v>
      </c>
    </row>
    <row r="10" spans="2:4" x14ac:dyDescent="0.25">
      <c r="B10" s="141" t="s">
        <v>171</v>
      </c>
      <c r="C10" s="296">
        <v>9</v>
      </c>
      <c r="D10" s="216" t="str">
        <f>VLOOKUP($C10,Language!$D$5:$E$63,2,0)</f>
        <v>Schweiz</v>
      </c>
    </row>
    <row r="11" spans="2:4" ht="15.75" x14ac:dyDescent="0.25">
      <c r="B11" s="142"/>
      <c r="C11" s="219"/>
      <c r="D11" s="220" t="s">
        <v>26</v>
      </c>
    </row>
    <row r="12" spans="2:4" x14ac:dyDescent="0.25">
      <c r="B12" s="140" t="s">
        <v>172</v>
      </c>
      <c r="C12" s="297">
        <v>15</v>
      </c>
      <c r="D12" s="216" t="str">
        <f>VLOOKUP($C12,Language!$D$5:$E$63,2,0)</f>
        <v>Dänemark</v>
      </c>
    </row>
    <row r="13" spans="2:4" x14ac:dyDescent="0.25">
      <c r="B13" s="140" t="s">
        <v>173</v>
      </c>
      <c r="C13" s="296">
        <v>20</v>
      </c>
      <c r="D13" s="216" t="str">
        <f>VLOOKUP($C13,Language!$D$5:$E$63,2,0)</f>
        <v>Finnland</v>
      </c>
    </row>
    <row r="14" spans="2:4" x14ac:dyDescent="0.25">
      <c r="B14" s="140" t="s">
        <v>174</v>
      </c>
      <c r="C14" s="297">
        <v>1</v>
      </c>
      <c r="D14" s="216" t="str">
        <f>VLOOKUP($C14,Language!$D$5:$E$63,2,0)</f>
        <v>Belgien</v>
      </c>
    </row>
    <row r="15" spans="2:4" x14ac:dyDescent="0.25">
      <c r="B15" s="141" t="s">
        <v>175</v>
      </c>
      <c r="C15" s="297">
        <v>12</v>
      </c>
      <c r="D15" s="216" t="str">
        <f>VLOOKUP($C15,Language!$D$5:$E$63,2,0)</f>
        <v>Russland</v>
      </c>
    </row>
    <row r="16" spans="2:4" ht="15.75" x14ac:dyDescent="0.25">
      <c r="B16" s="142"/>
      <c r="C16" s="219"/>
      <c r="D16" s="220" t="s">
        <v>27</v>
      </c>
    </row>
    <row r="17" spans="2:4" x14ac:dyDescent="0.25">
      <c r="B17" s="140" t="s">
        <v>176</v>
      </c>
      <c r="C17" s="297">
        <v>11</v>
      </c>
      <c r="D17" s="216" t="str">
        <f>VLOOKUP($C17,Language!$D$5:$E$63,2,0)</f>
        <v>Niederlande</v>
      </c>
    </row>
    <row r="18" spans="2:4" x14ac:dyDescent="0.25">
      <c r="B18" s="140" t="s">
        <v>177</v>
      </c>
      <c r="C18" s="297">
        <v>6</v>
      </c>
      <c r="D18" s="216" t="str">
        <f>VLOOKUP($C18,Language!$D$5:$E$63,2,0)</f>
        <v>Ukraine</v>
      </c>
    </row>
    <row r="19" spans="2:4" x14ac:dyDescent="0.25">
      <c r="B19" s="140" t="s">
        <v>178</v>
      </c>
      <c r="C19" s="297">
        <v>16</v>
      </c>
      <c r="D19" s="216" t="str">
        <f>VLOOKUP($C19,Language!$D$5:$E$63,2,0)</f>
        <v>Österreich</v>
      </c>
    </row>
    <row r="20" spans="2:4" x14ac:dyDescent="0.25">
      <c r="B20" s="141" t="s">
        <v>179</v>
      </c>
      <c r="C20" s="297">
        <v>30</v>
      </c>
      <c r="D20" s="216" t="str">
        <f>VLOOKUP($C20,Language!$D$5:$E$63,2,0)</f>
        <v>Nordmazedonien</v>
      </c>
    </row>
    <row r="21" spans="2:4" ht="15.75" x14ac:dyDescent="0.25">
      <c r="B21" s="142"/>
      <c r="C21" s="219"/>
      <c r="D21" s="220" t="s">
        <v>31</v>
      </c>
    </row>
    <row r="22" spans="2:4" x14ac:dyDescent="0.25">
      <c r="B22" s="140" t="s">
        <v>180</v>
      </c>
      <c r="C22" s="297">
        <v>3</v>
      </c>
      <c r="D22" s="216" t="str">
        <f>VLOOKUP($C22,Language!$D$5:$E$63,2,0)</f>
        <v>England</v>
      </c>
    </row>
    <row r="23" spans="2:4" x14ac:dyDescent="0.25">
      <c r="B23" s="140" t="s">
        <v>181</v>
      </c>
      <c r="C23" s="297">
        <v>10</v>
      </c>
      <c r="D23" s="216" t="str">
        <f>VLOOKUP($C23,Language!$D$5:$E$63,2,0)</f>
        <v>Kroatien</v>
      </c>
    </row>
    <row r="24" spans="2:4" x14ac:dyDescent="0.25">
      <c r="B24" s="140" t="s">
        <v>182</v>
      </c>
      <c r="C24" s="297">
        <v>29</v>
      </c>
      <c r="D24" s="216" t="str">
        <f>VLOOKUP($C24,Language!$D$5:$E$63,2,0)</f>
        <v>Schottland</v>
      </c>
    </row>
    <row r="25" spans="2:4" x14ac:dyDescent="0.25">
      <c r="B25" s="141" t="s">
        <v>183</v>
      </c>
      <c r="C25" s="296">
        <v>18</v>
      </c>
      <c r="D25" s="216" t="str">
        <f>VLOOKUP($C25,Language!$D$5:$E$63,2,0)</f>
        <v>Tschechien</v>
      </c>
    </row>
    <row r="26" spans="2:4" ht="15.75" x14ac:dyDescent="0.25">
      <c r="B26" s="142"/>
      <c r="C26" s="219"/>
      <c r="D26" s="220" t="s">
        <v>28</v>
      </c>
    </row>
    <row r="27" spans="2:4" x14ac:dyDescent="0.25">
      <c r="B27" s="140" t="s">
        <v>184</v>
      </c>
      <c r="C27" s="297">
        <v>5</v>
      </c>
      <c r="D27" s="216" t="str">
        <f>VLOOKUP($C27,Language!$D$5:$E$63,2,0)</f>
        <v>Spanien</v>
      </c>
    </row>
    <row r="28" spans="2:4" x14ac:dyDescent="0.25">
      <c r="B28" s="140" t="s">
        <v>185</v>
      </c>
      <c r="C28" s="296">
        <v>17</v>
      </c>
      <c r="D28" s="216" t="str">
        <f>VLOOKUP($C28,Language!$D$5:$E$63,2,0)</f>
        <v>Schweden</v>
      </c>
    </row>
    <row r="29" spans="2:4" x14ac:dyDescent="0.25">
      <c r="B29" s="140" t="s">
        <v>186</v>
      </c>
      <c r="C29" s="297">
        <v>8</v>
      </c>
      <c r="D29" s="216" t="str">
        <f>VLOOKUP($C29,Language!$D$5:$E$63,2,0)</f>
        <v>Polen</v>
      </c>
    </row>
    <row r="30" spans="2:4" x14ac:dyDescent="0.25">
      <c r="B30" s="141" t="s">
        <v>187</v>
      </c>
      <c r="C30" s="296">
        <v>22</v>
      </c>
      <c r="D30" s="216" t="str">
        <f>VLOOKUP($C30,Language!$D$5:$E$63,2,0)</f>
        <v>Slowakei</v>
      </c>
    </row>
    <row r="31" spans="2:4" ht="15.75" x14ac:dyDescent="0.25">
      <c r="B31" s="142"/>
      <c r="C31" s="219"/>
      <c r="D31" s="220" t="s">
        <v>29</v>
      </c>
    </row>
    <row r="32" spans="2:4" x14ac:dyDescent="0.25">
      <c r="B32" s="140" t="s">
        <v>253</v>
      </c>
      <c r="C32" s="296">
        <v>31</v>
      </c>
      <c r="D32" s="216" t="str">
        <f>VLOOKUP($C32,Language!$D$5:$E$63,2,0)</f>
        <v>Ungarn</v>
      </c>
    </row>
    <row r="33" spans="2:4" x14ac:dyDescent="0.25">
      <c r="B33" s="140" t="s">
        <v>254</v>
      </c>
      <c r="C33" s="297">
        <v>13</v>
      </c>
      <c r="D33" s="216" t="str">
        <f>VLOOKUP($C33,Language!$D$5:$E$63,2,0)</f>
        <v>Portugal</v>
      </c>
    </row>
    <row r="34" spans="2:4" x14ac:dyDescent="0.25">
      <c r="B34" s="140" t="s">
        <v>255</v>
      </c>
      <c r="C34" s="296">
        <v>7</v>
      </c>
      <c r="D34" s="216" t="str">
        <f>VLOOKUP($C34,Language!$D$5:$E$63,2,0)</f>
        <v>Frankreich</v>
      </c>
    </row>
    <row r="35" spans="2:4" ht="15.75" thickBot="1" x14ac:dyDescent="0.3">
      <c r="B35" s="143" t="s">
        <v>256</v>
      </c>
      <c r="C35" s="298">
        <v>4</v>
      </c>
      <c r="D35" s="259" t="str">
        <f>VLOOKUP($C35,Language!$D$5:$E$63,2,0)</f>
        <v>Deutschland</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137" customWidth="1"/>
    <col min="4" max="4" width="9.28515625" style="137"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137" customWidth="1"/>
    <col min="14" max="14" width="23" style="137" customWidth="1"/>
    <col min="15" max="26" width="4.7109375" style="137" customWidth="1"/>
    <col min="27" max="27" width="5.140625" customWidth="1"/>
  </cols>
  <sheetData>
    <row r="1" spans="1:26" ht="28.5" x14ac:dyDescent="0.45">
      <c r="A1" s="134"/>
      <c r="B1" s="476" t="str">
        <f>Language!$E$88</f>
        <v>Spiele</v>
      </c>
      <c r="C1" s="476"/>
      <c r="D1" s="476"/>
      <c r="E1" s="476"/>
      <c r="F1" s="476"/>
      <c r="G1" s="476"/>
      <c r="H1" s="476"/>
      <c r="I1" s="476"/>
      <c r="J1" s="476"/>
    </row>
    <row r="2" spans="1:26" ht="18.75" customHeight="1" thickBot="1" x14ac:dyDescent="0.5">
      <c r="A2" s="133"/>
      <c r="B2" s="85"/>
      <c r="C2" s="85"/>
      <c r="D2" s="85"/>
      <c r="E2" s="85"/>
      <c r="F2" s="85"/>
      <c r="G2" s="85"/>
      <c r="H2" s="85"/>
      <c r="I2" s="85"/>
      <c r="J2" s="85"/>
      <c r="M2" s="214"/>
      <c r="N2" s="214"/>
      <c r="O2" s="214"/>
      <c r="P2" s="214"/>
      <c r="Q2" s="214"/>
      <c r="R2" s="214"/>
      <c r="S2" s="214"/>
      <c r="T2" s="214"/>
      <c r="U2" s="214"/>
      <c r="V2" s="214"/>
      <c r="W2" s="214"/>
      <c r="X2" s="214"/>
      <c r="Y2" s="214"/>
      <c r="Z2" s="214"/>
    </row>
    <row r="3" spans="1:26" ht="30" customHeight="1" thickTop="1" thickBot="1" x14ac:dyDescent="0.3">
      <c r="A3" s="133"/>
      <c r="B3" s="132" t="s">
        <v>340</v>
      </c>
      <c r="C3" s="477" t="s">
        <v>298</v>
      </c>
      <c r="D3" s="477"/>
      <c r="E3" s="122" t="s">
        <v>345</v>
      </c>
      <c r="F3" s="122" t="s">
        <v>272</v>
      </c>
      <c r="G3" s="196" t="s">
        <v>338</v>
      </c>
      <c r="H3" s="122" t="s">
        <v>339</v>
      </c>
      <c r="I3" s="122" t="s">
        <v>269</v>
      </c>
      <c r="J3" s="122" t="s">
        <v>270</v>
      </c>
      <c r="K3" s="123" t="s">
        <v>346</v>
      </c>
    </row>
    <row r="4" spans="1:26" x14ac:dyDescent="0.25">
      <c r="B4" s="208">
        <v>1</v>
      </c>
      <c r="C4" s="204" t="s">
        <v>168</v>
      </c>
      <c r="D4" s="205" t="s">
        <v>169</v>
      </c>
      <c r="E4" s="299">
        <v>44358.875</v>
      </c>
      <c r="F4" s="93">
        <f>E4-VLOOKUP(TimeZone!$L$5,TimeZone!$C$4:$E$39,3,0)+VLOOKUP(TimeZone!$H$1,TimeZone!$C$4:$E$39,3,0)</f>
        <v>44358.875</v>
      </c>
      <c r="G4" s="302">
        <v>1</v>
      </c>
      <c r="H4" s="198" t="str">
        <f>_xlfn.IFNA(VLOOKUP($G4,Language!$D$66:$E$81,2,0),"")</f>
        <v>London</v>
      </c>
      <c r="I4" s="130" t="str">
        <f>VLOOKUP(C4,Groups!$B$7:$D$35,3,0)</f>
        <v>Türkei</v>
      </c>
      <c r="J4" s="130" t="str">
        <f>VLOOKUP(D4,Groups!$B$7:$D$35,3,0)</f>
        <v>Italien</v>
      </c>
      <c r="K4" s="124"/>
      <c r="N4" s="116"/>
    </row>
    <row r="5" spans="1:26" x14ac:dyDescent="0.25">
      <c r="B5" s="208">
        <v>2</v>
      </c>
      <c r="C5" s="204" t="s">
        <v>170</v>
      </c>
      <c r="D5" s="205" t="s">
        <v>171</v>
      </c>
      <c r="E5" s="299">
        <v>44359.625</v>
      </c>
      <c r="F5" s="93">
        <f>E5-VLOOKUP(TimeZone!$L$5,TimeZone!$C$4:$E$39,3,0)+VLOOKUP(TimeZone!$H$1,TimeZone!$C$4:$E$39,3,0)</f>
        <v>44359.625</v>
      </c>
      <c r="G5" s="304">
        <v>2</v>
      </c>
      <c r="H5" s="198" t="str">
        <f>_xlfn.IFNA(VLOOKUP($G5,Language!$D$66:$E$81,2,0),"")</f>
        <v>Baku</v>
      </c>
      <c r="I5" s="130" t="str">
        <f>VLOOKUP(C5,Groups!$B$7:$D$35,3,0)</f>
        <v>Wales</v>
      </c>
      <c r="J5" s="130" t="str">
        <f>VLOOKUP(D5,Groups!$B$7:$D$35,3,0)</f>
        <v>Schweiz</v>
      </c>
      <c r="K5" s="124"/>
    </row>
    <row r="6" spans="1:26" x14ac:dyDescent="0.25">
      <c r="B6" s="208">
        <v>3</v>
      </c>
      <c r="C6" s="204" t="s">
        <v>172</v>
      </c>
      <c r="D6" s="205" t="s">
        <v>173</v>
      </c>
      <c r="E6" s="299">
        <v>44359.75</v>
      </c>
      <c r="F6" s="93">
        <f>E6-VLOOKUP(TimeZone!$L$5,TimeZone!$C$4:$E$39,3,0)+VLOOKUP(TimeZone!$H$1,TimeZone!$C$4:$E$39,3,0)</f>
        <v>44359.75</v>
      </c>
      <c r="G6" s="304">
        <v>7</v>
      </c>
      <c r="H6" s="198" t="str">
        <f>_xlfn.IFNA(VLOOKUP($G6,Language!$D$66:$E$81,2,0),"")</f>
        <v>Kopenhagen</v>
      </c>
      <c r="I6" s="130" t="str">
        <f>VLOOKUP(C6,Groups!$B$7:$D$35,3,0)</f>
        <v>Dänemark</v>
      </c>
      <c r="J6" s="130" t="str">
        <f>VLOOKUP(D6,Groups!$B$7:$D$35,3,0)</f>
        <v>Finnland</v>
      </c>
      <c r="K6" s="124"/>
    </row>
    <row r="7" spans="1:26" x14ac:dyDescent="0.25">
      <c r="B7" s="208">
        <v>4</v>
      </c>
      <c r="C7" s="204" t="s">
        <v>174</v>
      </c>
      <c r="D7" s="205" t="s">
        <v>175</v>
      </c>
      <c r="E7" s="299">
        <v>44359.875</v>
      </c>
      <c r="F7" s="93">
        <f>E7-VLOOKUP(TimeZone!$L$5,TimeZone!$C$4:$E$39,3,0)+VLOOKUP(TimeZone!$H$1,TimeZone!$C$4:$E$39,3,0)</f>
        <v>44359.875</v>
      </c>
      <c r="G7" s="304">
        <v>6</v>
      </c>
      <c r="H7" s="198" t="str">
        <f>_xlfn.IFNA(VLOOKUP($G7,Language!$D$66:$E$81,2,0),"")</f>
        <v>Sankt Petersburg</v>
      </c>
      <c r="I7" s="130" t="str">
        <f>VLOOKUP(C7,Groups!$B$7:$D$35,3,0)</f>
        <v>Belgien</v>
      </c>
      <c r="J7" s="130" t="str">
        <f>VLOOKUP(D7,Groups!$B$7:$D$35,3,0)</f>
        <v>Russland</v>
      </c>
      <c r="K7" s="124"/>
    </row>
    <row r="8" spans="1:26" x14ac:dyDescent="0.25">
      <c r="B8" s="208">
        <v>5</v>
      </c>
      <c r="C8" s="204" t="s">
        <v>176</v>
      </c>
      <c r="D8" s="205" t="s">
        <v>177</v>
      </c>
      <c r="E8" s="299">
        <v>44360.75</v>
      </c>
      <c r="F8" s="93">
        <f>E8-VLOOKUP(TimeZone!$L$5,TimeZone!$C$4:$E$39,3,0)+VLOOKUP(TimeZone!$H$1,TimeZone!$C$4:$E$39,3,0)</f>
        <v>44360.75</v>
      </c>
      <c r="G8" s="304">
        <v>11</v>
      </c>
      <c r="H8" s="198" t="str">
        <f>_xlfn.IFNA(VLOOKUP($G8,Language!$D$66:$E$81,2,0),"")</f>
        <v>Bukarest</v>
      </c>
      <c r="I8" s="130" t="str">
        <f>VLOOKUP(C8,Groups!$B$7:$D$35,3,0)</f>
        <v>Niederlande</v>
      </c>
      <c r="J8" s="130" t="str">
        <f>VLOOKUP(D8,Groups!$B$7:$D$35,3,0)</f>
        <v>Ukraine</v>
      </c>
      <c r="K8" s="124"/>
    </row>
    <row r="9" spans="1:26" x14ac:dyDescent="0.25">
      <c r="B9" s="208">
        <v>6</v>
      </c>
      <c r="C9" s="204" t="s">
        <v>178</v>
      </c>
      <c r="D9" s="205" t="s">
        <v>179</v>
      </c>
      <c r="E9" s="299">
        <v>44360.875</v>
      </c>
      <c r="F9" s="93">
        <f>E9-VLOOKUP(TimeZone!$L$5,TimeZone!$C$4:$E$39,3,0)+VLOOKUP(TimeZone!$H$1,TimeZone!$C$4:$E$39,3,0)</f>
        <v>44360.875</v>
      </c>
      <c r="G9" s="304">
        <v>9</v>
      </c>
      <c r="H9" s="198" t="str">
        <f>_xlfn.IFNA(VLOOKUP($G9,Language!$D$66:$E$81,2,0),"")</f>
        <v>Amsterdam</v>
      </c>
      <c r="I9" s="130" t="str">
        <f>VLOOKUP(C9,Groups!$B$7:$D$35,3,0)</f>
        <v>Österreich</v>
      </c>
      <c r="J9" s="130" t="str">
        <f>VLOOKUP(D9,Groups!$B$7:$D$35,3,0)</f>
        <v>Nordmazedonien</v>
      </c>
      <c r="K9" s="124"/>
    </row>
    <row r="10" spans="1:26" x14ac:dyDescent="0.25">
      <c r="B10" s="208">
        <v>7</v>
      </c>
      <c r="C10" s="204" t="s">
        <v>180</v>
      </c>
      <c r="D10" s="205" t="s">
        <v>181</v>
      </c>
      <c r="E10" s="299">
        <v>44360.625</v>
      </c>
      <c r="F10" s="93">
        <f>E10-VLOOKUP(TimeZone!$L$5,TimeZone!$C$4:$E$39,3,0)+VLOOKUP(TimeZone!$H$1,TimeZone!$C$4:$E$39,3,0)</f>
        <v>44360.625</v>
      </c>
      <c r="G10" s="304">
        <v>1</v>
      </c>
      <c r="H10" s="198" t="str">
        <f>_xlfn.IFNA(VLOOKUP($G10,Language!$D$66:$E$81,2,0),"")</f>
        <v>London</v>
      </c>
      <c r="I10" s="130" t="str">
        <f>VLOOKUP(C10,Groups!$B$7:$D$35,3,0)</f>
        <v>England</v>
      </c>
      <c r="J10" s="130" t="str">
        <f>VLOOKUP(D10,Groups!$B$7:$D$35,3,0)</f>
        <v>Kroatien</v>
      </c>
      <c r="K10" s="124"/>
    </row>
    <row r="11" spans="1:26" x14ac:dyDescent="0.25">
      <c r="B11" s="208">
        <v>8</v>
      </c>
      <c r="C11" s="204" t="s">
        <v>182</v>
      </c>
      <c r="D11" s="205" t="s">
        <v>183</v>
      </c>
      <c r="E11" s="299">
        <v>44361.625</v>
      </c>
      <c r="F11" s="93">
        <f>E11-VLOOKUP(TimeZone!$L$5,TimeZone!$C$4:$E$39,3,0)+VLOOKUP(TimeZone!$H$1,TimeZone!$C$4:$E$39,3,0)</f>
        <v>44361.625</v>
      </c>
      <c r="G11" s="304">
        <v>5</v>
      </c>
      <c r="H11" s="198" t="str">
        <f>_xlfn.IFNA(VLOOKUP($G11,Language!$D$66:$E$81,2,0),"")</f>
        <v>Glasgow</v>
      </c>
      <c r="I11" s="130" t="str">
        <f>VLOOKUP(C11,Groups!$B$7:$D$35,3,0)</f>
        <v>Schottland</v>
      </c>
      <c r="J11" s="130" t="str">
        <f>VLOOKUP(D11,Groups!$B$7:$D$35,3,0)</f>
        <v>Tschechien</v>
      </c>
      <c r="K11" s="124"/>
    </row>
    <row r="12" spans="1:26" x14ac:dyDescent="0.25">
      <c r="B12" s="208">
        <v>9</v>
      </c>
      <c r="C12" s="204" t="s">
        <v>184</v>
      </c>
      <c r="D12" s="205" t="s">
        <v>185</v>
      </c>
      <c r="E12" s="299">
        <v>44361.75</v>
      </c>
      <c r="F12" s="93">
        <f>E12-VLOOKUP(TimeZone!$L$5,TimeZone!$C$4:$E$39,3,0)+VLOOKUP(TimeZone!$H$1,TimeZone!$C$4:$E$39,3,0)</f>
        <v>44361.75</v>
      </c>
      <c r="G12" s="304">
        <v>6</v>
      </c>
      <c r="H12" s="198" t="str">
        <f>_xlfn.IFNA(VLOOKUP($G12,Language!$D$66:$E$81,2,0),"")</f>
        <v>Sankt Petersburg</v>
      </c>
      <c r="I12" s="130" t="str">
        <f>VLOOKUP(C12,Groups!$B$7:$D$35,3,0)</f>
        <v>Spanien</v>
      </c>
      <c r="J12" s="130" t="str">
        <f>VLOOKUP(D12,Groups!$B$7:$D$35,3,0)</f>
        <v>Schweden</v>
      </c>
      <c r="K12" s="124"/>
    </row>
    <row r="13" spans="1:26" x14ac:dyDescent="0.25">
      <c r="B13" s="208">
        <v>10</v>
      </c>
      <c r="C13" s="204" t="s">
        <v>186</v>
      </c>
      <c r="D13" s="205" t="s">
        <v>187</v>
      </c>
      <c r="E13" s="299">
        <v>44361.875</v>
      </c>
      <c r="F13" s="93">
        <f>E13-VLOOKUP(TimeZone!$L$5,TimeZone!$C$4:$E$39,3,0)+VLOOKUP(TimeZone!$H$1,TimeZone!$C$4:$E$39,3,0)</f>
        <v>44361.875</v>
      </c>
      <c r="G13" s="304">
        <v>8</v>
      </c>
      <c r="H13" s="198" t="str">
        <f>_xlfn.IFNA(VLOOKUP($G13,Language!$D$66:$E$81,2,0),"")</f>
        <v>Sevilla</v>
      </c>
      <c r="I13" s="130" t="str">
        <f>VLOOKUP(C13,Groups!$B$7:$D$35,3,0)</f>
        <v>Polen</v>
      </c>
      <c r="J13" s="130" t="str">
        <f>VLOOKUP(D13,Groups!$B$7:$D$35,3,0)</f>
        <v>Slowakei</v>
      </c>
      <c r="K13" s="124"/>
    </row>
    <row r="14" spans="1:26" x14ac:dyDescent="0.25">
      <c r="B14" s="208">
        <v>11</v>
      </c>
      <c r="C14" s="204" t="s">
        <v>253</v>
      </c>
      <c r="D14" s="205" t="s">
        <v>254</v>
      </c>
      <c r="E14" s="299">
        <v>44362.75</v>
      </c>
      <c r="F14" s="93">
        <f>E14-VLOOKUP(TimeZone!$L$5,TimeZone!$C$4:$E$39,3,0)+VLOOKUP(TimeZone!$H$1,TimeZone!$C$4:$E$39,3,0)</f>
        <v>44362.75</v>
      </c>
      <c r="G14" s="304">
        <v>10</v>
      </c>
      <c r="H14" s="198" t="str">
        <f>_xlfn.IFNA(VLOOKUP($G14,Language!$D$66:$E$81,2,0),"")</f>
        <v>Budapest</v>
      </c>
      <c r="I14" s="130" t="str">
        <f>VLOOKUP(C14,Groups!$B$7:$D$35,3,0)</f>
        <v>Ungarn</v>
      </c>
      <c r="J14" s="130" t="str">
        <f>VLOOKUP(D14,Groups!$B$7:$D$35,3,0)</f>
        <v>Portugal</v>
      </c>
      <c r="K14" s="124"/>
    </row>
    <row r="15" spans="1:26" x14ac:dyDescent="0.25">
      <c r="B15" s="208">
        <v>12</v>
      </c>
      <c r="C15" s="204" t="s">
        <v>255</v>
      </c>
      <c r="D15" s="205" t="s">
        <v>256</v>
      </c>
      <c r="E15" s="299">
        <v>44362.875</v>
      </c>
      <c r="F15" s="93">
        <f>E15-VLOOKUP(TimeZone!$L$5,TimeZone!$C$4:$E$39,3,0)+VLOOKUP(TimeZone!$H$1,TimeZone!$C$4:$E$39,3,0)</f>
        <v>44362.875</v>
      </c>
      <c r="G15" s="304">
        <v>3</v>
      </c>
      <c r="H15" s="198" t="str">
        <f>_xlfn.IFNA(VLOOKUP($G15,Language!$D$66:$E$81,2,0),"")</f>
        <v>München</v>
      </c>
      <c r="I15" s="130" t="str">
        <f>VLOOKUP(C15,Groups!$B$7:$D$35,3,0)</f>
        <v>Frankreich</v>
      </c>
      <c r="J15" s="130" t="str">
        <f>VLOOKUP(D15,Groups!$B$7:$D$35,3,0)</f>
        <v>Deutschland</v>
      </c>
      <c r="K15" s="124"/>
    </row>
    <row r="16" spans="1:26" x14ac:dyDescent="0.25">
      <c r="B16" s="208">
        <v>13</v>
      </c>
      <c r="C16" s="204" t="s">
        <v>168</v>
      </c>
      <c r="D16" s="205" t="s">
        <v>170</v>
      </c>
      <c r="E16" s="299">
        <v>44363.75</v>
      </c>
      <c r="F16" s="93">
        <f>E16-VLOOKUP(TimeZone!$L$5,TimeZone!$C$4:$E$39,3,0)+VLOOKUP(TimeZone!$H$1,TimeZone!$C$4:$E$39,3,0)</f>
        <v>44363.75</v>
      </c>
      <c r="G16" s="304">
        <v>2</v>
      </c>
      <c r="H16" s="198" t="str">
        <f>_xlfn.IFNA(VLOOKUP($G16,Language!$D$66:$E$81,2,0),"")</f>
        <v>Baku</v>
      </c>
      <c r="I16" s="130" t="str">
        <f>VLOOKUP(C16,Groups!$B$7:$D$35,3,0)</f>
        <v>Türkei</v>
      </c>
      <c r="J16" s="130" t="str">
        <f>VLOOKUP(D16,Groups!$B$7:$D$35,3,0)</f>
        <v>Wales</v>
      </c>
      <c r="K16" s="124"/>
      <c r="M16" s="214"/>
      <c r="N16" s="214"/>
      <c r="O16" s="214"/>
      <c r="P16" s="214"/>
      <c r="Q16" s="214"/>
      <c r="R16" s="214"/>
      <c r="S16" s="214"/>
      <c r="T16" s="214"/>
      <c r="U16" s="214"/>
      <c r="V16" s="214"/>
      <c r="W16" s="214"/>
      <c r="X16" s="214"/>
      <c r="Y16" s="214"/>
      <c r="Z16" s="214"/>
    </row>
    <row r="17" spans="2:26" x14ac:dyDescent="0.25">
      <c r="B17" s="208">
        <v>14</v>
      </c>
      <c r="C17" s="204" t="s">
        <v>169</v>
      </c>
      <c r="D17" s="205" t="s">
        <v>171</v>
      </c>
      <c r="E17" s="299">
        <v>44363.875</v>
      </c>
      <c r="F17" s="93">
        <f>E17-VLOOKUP(TimeZone!$L$5,TimeZone!$C$4:$E$39,3,0)+VLOOKUP(TimeZone!$H$1,TimeZone!$C$4:$E$39,3,0)</f>
        <v>44363.875</v>
      </c>
      <c r="G17" s="304">
        <v>1</v>
      </c>
      <c r="H17" s="198" t="str">
        <f>_xlfn.IFNA(VLOOKUP($G17,Language!$D$66:$E$81,2,0),"")</f>
        <v>London</v>
      </c>
      <c r="I17" s="130" t="str">
        <f>VLOOKUP(C17,Groups!$B$7:$D$35,3,0)</f>
        <v>Italien</v>
      </c>
      <c r="J17" s="130" t="str">
        <f>VLOOKUP(D17,Groups!$B$7:$D$35,3,0)</f>
        <v>Schweiz</v>
      </c>
      <c r="K17" s="124"/>
      <c r="M17" s="214"/>
      <c r="N17" s="214"/>
      <c r="O17" s="214"/>
      <c r="P17" s="214"/>
      <c r="Q17" s="214"/>
      <c r="R17" s="214"/>
      <c r="S17" s="214"/>
      <c r="T17" s="214"/>
      <c r="U17" s="214"/>
      <c r="V17" s="214"/>
      <c r="W17" s="214"/>
      <c r="X17" s="214"/>
      <c r="Y17" s="214"/>
      <c r="Z17" s="214"/>
    </row>
    <row r="18" spans="2:26" x14ac:dyDescent="0.25">
      <c r="B18" s="208">
        <v>15</v>
      </c>
      <c r="C18" s="204" t="s">
        <v>172</v>
      </c>
      <c r="D18" s="205" t="s">
        <v>174</v>
      </c>
      <c r="E18" s="299">
        <v>44364.75</v>
      </c>
      <c r="F18" s="93">
        <f>E18-VLOOKUP(TimeZone!$L$5,TimeZone!$C$4:$E$39,3,0)+VLOOKUP(TimeZone!$H$1,TimeZone!$C$4:$E$39,3,0)</f>
        <v>44364.75</v>
      </c>
      <c r="G18" s="304">
        <v>7</v>
      </c>
      <c r="H18" s="198" t="str">
        <f>_xlfn.IFNA(VLOOKUP($G18,Language!$D$66:$E$81,2,0),"")</f>
        <v>Kopenhagen</v>
      </c>
      <c r="I18" s="130" t="str">
        <f>VLOOKUP(C18,Groups!$B$7:$D$35,3,0)</f>
        <v>Dänemark</v>
      </c>
      <c r="J18" s="130" t="str">
        <f>VLOOKUP(D18,Groups!$B$7:$D$35,3,0)</f>
        <v>Belgien</v>
      </c>
      <c r="K18" s="124"/>
      <c r="M18" s="214"/>
      <c r="N18" s="214"/>
      <c r="O18" s="214"/>
      <c r="P18" s="214"/>
      <c r="Q18" s="214"/>
      <c r="R18" s="214"/>
      <c r="S18" s="214"/>
      <c r="T18" s="214"/>
      <c r="U18" s="214"/>
      <c r="V18" s="214"/>
      <c r="W18" s="214"/>
      <c r="X18" s="214"/>
      <c r="Y18" s="214"/>
      <c r="Z18" s="214"/>
    </row>
    <row r="19" spans="2:26" x14ac:dyDescent="0.25">
      <c r="B19" s="208">
        <v>16</v>
      </c>
      <c r="C19" s="204" t="s">
        <v>173</v>
      </c>
      <c r="D19" s="205" t="s">
        <v>175</v>
      </c>
      <c r="E19" s="299">
        <v>44363.625</v>
      </c>
      <c r="F19" s="93">
        <f>E19-VLOOKUP(TimeZone!$L$5,TimeZone!$C$4:$E$39,3,0)+VLOOKUP(TimeZone!$H$1,TimeZone!$C$4:$E$39,3,0)</f>
        <v>44363.625</v>
      </c>
      <c r="G19" s="304">
        <v>6</v>
      </c>
      <c r="H19" s="198" t="str">
        <f>_xlfn.IFNA(VLOOKUP($G19,Language!$D$66:$E$81,2,0),"")</f>
        <v>Sankt Petersburg</v>
      </c>
      <c r="I19" s="130" t="str">
        <f>VLOOKUP(C19,Groups!$B$7:$D$35,3,0)</f>
        <v>Finnland</v>
      </c>
      <c r="J19" s="130" t="str">
        <f>VLOOKUP(D19,Groups!$B$7:$D$35,3,0)</f>
        <v>Russland</v>
      </c>
      <c r="K19" s="124"/>
      <c r="M19" s="214"/>
      <c r="N19" s="214"/>
      <c r="O19" s="214"/>
      <c r="P19" s="214"/>
      <c r="Q19" s="214"/>
      <c r="R19" s="214"/>
      <c r="S19" s="214"/>
      <c r="T19" s="214"/>
      <c r="U19" s="214"/>
      <c r="V19" s="214"/>
      <c r="W19" s="214"/>
      <c r="X19" s="214"/>
      <c r="Y19" s="214"/>
      <c r="Z19" s="214"/>
    </row>
    <row r="20" spans="2:26" x14ac:dyDescent="0.25">
      <c r="B20" s="208">
        <v>17</v>
      </c>
      <c r="C20" s="204" t="s">
        <v>176</v>
      </c>
      <c r="D20" s="205" t="s">
        <v>178</v>
      </c>
      <c r="E20" s="299">
        <v>44364.875</v>
      </c>
      <c r="F20" s="93">
        <f>E20-VLOOKUP(TimeZone!$L$5,TimeZone!$C$4:$E$39,3,0)+VLOOKUP(TimeZone!$H$1,TimeZone!$C$4:$E$39,3,0)</f>
        <v>44364.875</v>
      </c>
      <c r="G20" s="304">
        <v>9</v>
      </c>
      <c r="H20" s="198" t="str">
        <f>_xlfn.IFNA(VLOOKUP($G20,Language!$D$66:$E$81,2,0),"")</f>
        <v>Amsterdam</v>
      </c>
      <c r="I20" s="130" t="str">
        <f>VLOOKUP(C20,Groups!$B$7:$D$35,3,0)</f>
        <v>Niederlande</v>
      </c>
      <c r="J20" s="130" t="str">
        <f>VLOOKUP(D20,Groups!$B$7:$D$35,3,0)</f>
        <v>Österreich</v>
      </c>
      <c r="K20" s="124"/>
      <c r="M20" s="214"/>
      <c r="N20" s="214"/>
      <c r="O20" s="214"/>
      <c r="P20" s="214"/>
      <c r="Q20" s="214"/>
      <c r="R20" s="214"/>
      <c r="S20" s="214"/>
      <c r="T20" s="214"/>
      <c r="U20" s="214"/>
      <c r="V20" s="214"/>
      <c r="W20" s="214"/>
      <c r="X20" s="214"/>
      <c r="Y20" s="214"/>
      <c r="Z20" s="214"/>
    </row>
    <row r="21" spans="2:26" x14ac:dyDescent="0.25">
      <c r="B21" s="208">
        <v>18</v>
      </c>
      <c r="C21" s="204" t="s">
        <v>177</v>
      </c>
      <c r="D21" s="205" t="s">
        <v>179</v>
      </c>
      <c r="E21" s="299">
        <v>44364.625</v>
      </c>
      <c r="F21" s="93">
        <f>E21-VLOOKUP(TimeZone!$L$5,TimeZone!$C$4:$E$39,3,0)+VLOOKUP(TimeZone!$H$1,TimeZone!$C$4:$E$39,3,0)</f>
        <v>44364.625</v>
      </c>
      <c r="G21" s="304">
        <v>11</v>
      </c>
      <c r="H21" s="198" t="str">
        <f>_xlfn.IFNA(VLOOKUP($G21,Language!$D$66:$E$81,2,0),"")</f>
        <v>Bukarest</v>
      </c>
      <c r="I21" s="130" t="str">
        <f>VLOOKUP(C21,Groups!$B$7:$D$35,3,0)</f>
        <v>Ukraine</v>
      </c>
      <c r="J21" s="130" t="str">
        <f>VLOOKUP(D21,Groups!$B$7:$D$35,3,0)</f>
        <v>Nordmazedonien</v>
      </c>
      <c r="K21" s="124"/>
      <c r="M21" s="214"/>
      <c r="N21" s="214"/>
      <c r="O21" s="214"/>
      <c r="P21" s="214"/>
      <c r="Q21" s="214"/>
      <c r="R21" s="214"/>
      <c r="S21" s="214"/>
      <c r="T21" s="214"/>
      <c r="U21" s="214"/>
      <c r="V21" s="214"/>
      <c r="W21" s="214"/>
      <c r="X21" s="214"/>
      <c r="Y21" s="214"/>
      <c r="Z21" s="214"/>
    </row>
    <row r="22" spans="2:26" x14ac:dyDescent="0.25">
      <c r="B22" s="208">
        <v>19</v>
      </c>
      <c r="C22" s="204" t="s">
        <v>180</v>
      </c>
      <c r="D22" s="205" t="s">
        <v>182</v>
      </c>
      <c r="E22" s="299">
        <v>44365.875</v>
      </c>
      <c r="F22" s="93">
        <f>E22-VLOOKUP(TimeZone!$L$5,TimeZone!$C$4:$E$39,3,0)+VLOOKUP(TimeZone!$H$1,TimeZone!$C$4:$E$39,3,0)</f>
        <v>44365.875</v>
      </c>
      <c r="G22" s="304">
        <v>1</v>
      </c>
      <c r="H22" s="198" t="str">
        <f>_xlfn.IFNA(VLOOKUP($G22,Language!$D$66:$E$81,2,0),"")</f>
        <v>London</v>
      </c>
      <c r="I22" s="130" t="str">
        <f>VLOOKUP(C22,Groups!$B$7:$D$35,3,0)</f>
        <v>England</v>
      </c>
      <c r="J22" s="130" t="str">
        <f>VLOOKUP(D22,Groups!$B$7:$D$35,3,0)</f>
        <v>Schottland</v>
      </c>
      <c r="K22" s="124"/>
      <c r="M22" s="214"/>
      <c r="N22" s="214"/>
      <c r="O22" s="214"/>
      <c r="P22" s="214"/>
      <c r="Q22" s="214"/>
      <c r="R22" s="214"/>
      <c r="S22" s="214"/>
      <c r="T22" s="214"/>
      <c r="U22" s="214"/>
      <c r="V22" s="214"/>
      <c r="W22" s="214"/>
      <c r="X22" s="214"/>
      <c r="Y22" s="214"/>
      <c r="Z22" s="214"/>
    </row>
    <row r="23" spans="2:26" x14ac:dyDescent="0.25">
      <c r="B23" s="208">
        <v>20</v>
      </c>
      <c r="C23" s="204" t="s">
        <v>181</v>
      </c>
      <c r="D23" s="205" t="s">
        <v>183</v>
      </c>
      <c r="E23" s="299">
        <v>44365.75</v>
      </c>
      <c r="F23" s="93">
        <f>E23-VLOOKUP(TimeZone!$L$5,TimeZone!$C$4:$E$39,3,0)+VLOOKUP(TimeZone!$H$1,TimeZone!$C$4:$E$39,3,0)</f>
        <v>44365.75</v>
      </c>
      <c r="G23" s="304">
        <v>5</v>
      </c>
      <c r="H23" s="198" t="str">
        <f>_xlfn.IFNA(VLOOKUP($G23,Language!$D$66:$E$81,2,0),"")</f>
        <v>Glasgow</v>
      </c>
      <c r="I23" s="130" t="str">
        <f>VLOOKUP(C23,Groups!$B$7:$D$35,3,0)</f>
        <v>Kroatien</v>
      </c>
      <c r="J23" s="130" t="str">
        <f>VLOOKUP(D23,Groups!$B$7:$D$35,3,0)</f>
        <v>Tschechien</v>
      </c>
      <c r="K23" s="124"/>
      <c r="M23" s="214"/>
      <c r="N23" s="214"/>
      <c r="O23" s="214"/>
      <c r="P23" s="214"/>
      <c r="Q23" s="214"/>
      <c r="R23" s="214"/>
      <c r="S23" s="214"/>
      <c r="T23" s="214"/>
      <c r="U23" s="214"/>
      <c r="V23" s="214"/>
      <c r="W23" s="214"/>
      <c r="X23" s="214"/>
      <c r="Y23" s="214"/>
      <c r="Z23" s="214"/>
    </row>
    <row r="24" spans="2:26" x14ac:dyDescent="0.25">
      <c r="B24" s="208">
        <v>21</v>
      </c>
      <c r="C24" s="204" t="s">
        <v>184</v>
      </c>
      <c r="D24" s="205" t="s">
        <v>186</v>
      </c>
      <c r="E24" s="299">
        <v>44366.875</v>
      </c>
      <c r="F24" s="93">
        <f>E24-VLOOKUP(TimeZone!$L$5,TimeZone!$C$4:$E$39,3,0)+VLOOKUP(TimeZone!$H$1,TimeZone!$C$4:$E$39,3,0)</f>
        <v>44366.875</v>
      </c>
      <c r="G24" s="304">
        <v>8</v>
      </c>
      <c r="H24" s="198" t="str">
        <f>_xlfn.IFNA(VLOOKUP($G24,Language!$D$66:$E$81,2,0),"")</f>
        <v>Sevilla</v>
      </c>
      <c r="I24" s="130" t="str">
        <f>VLOOKUP(C24,Groups!$B$7:$D$35,3,0)</f>
        <v>Spanien</v>
      </c>
      <c r="J24" s="130" t="str">
        <f>VLOOKUP(D24,Groups!$B$7:$D$35,3,0)</f>
        <v>Polen</v>
      </c>
      <c r="K24" s="124"/>
      <c r="M24" s="214"/>
      <c r="N24" s="214"/>
      <c r="O24" s="214"/>
      <c r="P24" s="214"/>
      <c r="Q24" s="214"/>
      <c r="R24" s="214"/>
      <c r="S24" s="214"/>
      <c r="T24" s="214"/>
      <c r="U24" s="214"/>
      <c r="V24" s="214"/>
      <c r="W24" s="214"/>
      <c r="X24" s="214"/>
      <c r="Y24" s="214"/>
      <c r="Z24" s="214"/>
    </row>
    <row r="25" spans="2:26" x14ac:dyDescent="0.25">
      <c r="B25" s="208">
        <v>22</v>
      </c>
      <c r="C25" s="204" t="s">
        <v>185</v>
      </c>
      <c r="D25" s="205" t="s">
        <v>187</v>
      </c>
      <c r="E25" s="299">
        <v>44365.625</v>
      </c>
      <c r="F25" s="93">
        <f>E25-VLOOKUP(TimeZone!$L$5,TimeZone!$C$4:$E$39,3,0)+VLOOKUP(TimeZone!$H$1,TimeZone!$C$4:$E$39,3,0)</f>
        <v>44365.625</v>
      </c>
      <c r="G25" s="304">
        <v>6</v>
      </c>
      <c r="H25" s="198" t="str">
        <f>_xlfn.IFNA(VLOOKUP($G25,Language!$D$66:$E$81,2,0),"")</f>
        <v>Sankt Petersburg</v>
      </c>
      <c r="I25" s="130" t="str">
        <f>VLOOKUP(C25,Groups!$B$7:$D$35,3,0)</f>
        <v>Schweden</v>
      </c>
      <c r="J25" s="130" t="str">
        <f>VLOOKUP(D25,Groups!$B$7:$D$35,3,0)</f>
        <v>Slowakei</v>
      </c>
      <c r="K25" s="124"/>
      <c r="M25" s="214"/>
      <c r="N25" s="214"/>
      <c r="O25" s="214"/>
      <c r="P25" s="214"/>
      <c r="Q25" s="214"/>
      <c r="R25" s="214"/>
      <c r="S25" s="214"/>
      <c r="T25" s="214"/>
      <c r="U25" s="214"/>
      <c r="V25" s="214"/>
      <c r="W25" s="214"/>
      <c r="X25" s="214"/>
      <c r="Y25" s="214"/>
      <c r="Z25" s="214"/>
    </row>
    <row r="26" spans="2:26" x14ac:dyDescent="0.25">
      <c r="B26" s="208">
        <v>23</v>
      </c>
      <c r="C26" s="204" t="s">
        <v>253</v>
      </c>
      <c r="D26" s="205" t="s">
        <v>255</v>
      </c>
      <c r="E26" s="299">
        <v>44366.625</v>
      </c>
      <c r="F26" s="93">
        <f>E26-VLOOKUP(TimeZone!$L$5,TimeZone!$C$4:$E$39,3,0)+VLOOKUP(TimeZone!$H$1,TimeZone!$C$4:$E$39,3,0)</f>
        <v>44366.625</v>
      </c>
      <c r="G26" s="304">
        <v>10</v>
      </c>
      <c r="H26" s="198" t="str">
        <f>_xlfn.IFNA(VLOOKUP($G26,Language!$D$66:$E$81,2,0),"")</f>
        <v>Budapest</v>
      </c>
      <c r="I26" s="130" t="str">
        <f>VLOOKUP(C26,Groups!$B$7:$D$35,3,0)</f>
        <v>Ungarn</v>
      </c>
      <c r="J26" s="130" t="str">
        <f>VLOOKUP(D26,Groups!$B$7:$D$35,3,0)</f>
        <v>Frankreich</v>
      </c>
      <c r="K26" s="124"/>
      <c r="M26" s="214"/>
      <c r="N26" s="214"/>
      <c r="O26" s="214"/>
      <c r="P26" s="214"/>
      <c r="Q26" s="214"/>
      <c r="R26" s="214"/>
      <c r="S26" s="214"/>
      <c r="T26" s="214"/>
      <c r="U26" s="214"/>
      <c r="V26" s="214"/>
      <c r="W26" s="214"/>
      <c r="X26" s="214"/>
      <c r="Y26" s="214"/>
      <c r="Z26" s="214"/>
    </row>
    <row r="27" spans="2:26" x14ac:dyDescent="0.25">
      <c r="B27" s="208">
        <v>24</v>
      </c>
      <c r="C27" s="204" t="s">
        <v>254</v>
      </c>
      <c r="D27" s="205" t="s">
        <v>256</v>
      </c>
      <c r="E27" s="299">
        <v>44366.75</v>
      </c>
      <c r="F27" s="93">
        <f>E27-VLOOKUP(TimeZone!$L$5,TimeZone!$C$4:$E$39,3,0)+VLOOKUP(TimeZone!$H$1,TimeZone!$C$4:$E$39,3,0)</f>
        <v>44366.75</v>
      </c>
      <c r="G27" s="304">
        <v>3</v>
      </c>
      <c r="H27" s="198" t="str">
        <f>_xlfn.IFNA(VLOOKUP($G27,Language!$D$66:$E$81,2,0),"")</f>
        <v>München</v>
      </c>
      <c r="I27" s="130" t="str">
        <f>VLOOKUP(C27,Groups!$B$7:$D$35,3,0)</f>
        <v>Portugal</v>
      </c>
      <c r="J27" s="130" t="str">
        <f>VLOOKUP(D27,Groups!$B$7:$D$35,3,0)</f>
        <v>Deutschland</v>
      </c>
      <c r="K27" s="124"/>
      <c r="M27" s="214"/>
      <c r="N27" s="214"/>
      <c r="O27" s="214"/>
      <c r="P27" s="214"/>
      <c r="Q27" s="214"/>
      <c r="R27" s="214"/>
      <c r="S27" s="214"/>
      <c r="T27" s="214"/>
      <c r="U27" s="214"/>
      <c r="V27" s="214"/>
      <c r="W27" s="214"/>
      <c r="X27" s="214"/>
      <c r="Y27" s="214"/>
      <c r="Z27" s="214"/>
    </row>
    <row r="28" spans="2:26" x14ac:dyDescent="0.25">
      <c r="B28" s="208">
        <v>25</v>
      </c>
      <c r="C28" s="204" t="s">
        <v>171</v>
      </c>
      <c r="D28" s="205" t="s">
        <v>168</v>
      </c>
      <c r="E28" s="299">
        <v>44367.75</v>
      </c>
      <c r="F28" s="93">
        <f>E28-VLOOKUP(TimeZone!$L$5,TimeZone!$C$4:$E$39,3,0)+VLOOKUP(TimeZone!$H$1,TimeZone!$C$4:$E$39,3,0)</f>
        <v>44367.75</v>
      </c>
      <c r="G28" s="304">
        <v>2</v>
      </c>
      <c r="H28" s="198" t="str">
        <f>_xlfn.IFNA(VLOOKUP($G28,Language!$D$66:$E$81,2,0),"")</f>
        <v>Baku</v>
      </c>
      <c r="I28" s="130" t="str">
        <f>VLOOKUP(C28,Groups!$B$7:$D$35,3,0)</f>
        <v>Schweiz</v>
      </c>
      <c r="J28" s="130" t="str">
        <f>VLOOKUP(D28,Groups!$B$7:$D$35,3,0)</f>
        <v>Türkei</v>
      </c>
      <c r="K28" s="124"/>
    </row>
    <row r="29" spans="2:26" x14ac:dyDescent="0.25">
      <c r="B29" s="208">
        <v>26</v>
      </c>
      <c r="C29" s="204" t="s">
        <v>169</v>
      </c>
      <c r="D29" s="205" t="s">
        <v>170</v>
      </c>
      <c r="E29" s="299">
        <v>44367.75</v>
      </c>
      <c r="F29" s="93">
        <f>E29-VLOOKUP(TimeZone!$L$5,TimeZone!$C$4:$E$39,3,0)+VLOOKUP(TimeZone!$H$1,TimeZone!$C$4:$E$39,3,0)</f>
        <v>44367.75</v>
      </c>
      <c r="G29" s="304">
        <v>1</v>
      </c>
      <c r="H29" s="198" t="str">
        <f>_xlfn.IFNA(VLOOKUP($G29,Language!$D$66:$E$81,2,0),"")</f>
        <v>London</v>
      </c>
      <c r="I29" s="130" t="str">
        <f>VLOOKUP(C29,Groups!$B$7:$D$35,3,0)</f>
        <v>Italien</v>
      </c>
      <c r="J29" s="130" t="str">
        <f>VLOOKUP(D29,Groups!$B$7:$D$35,3,0)</f>
        <v>Wales</v>
      </c>
      <c r="K29" s="124"/>
    </row>
    <row r="30" spans="2:26" x14ac:dyDescent="0.25">
      <c r="B30" s="208">
        <v>27</v>
      </c>
      <c r="C30" s="204" t="s">
        <v>175</v>
      </c>
      <c r="D30" s="205" t="s">
        <v>172</v>
      </c>
      <c r="E30" s="299">
        <v>44368.875</v>
      </c>
      <c r="F30" s="93">
        <f>E30-VLOOKUP(TimeZone!$L$5,TimeZone!$C$4:$E$39,3,0)+VLOOKUP(TimeZone!$H$1,TimeZone!$C$4:$E$39,3,0)</f>
        <v>44368.875</v>
      </c>
      <c r="G30" s="304">
        <v>7</v>
      </c>
      <c r="H30" s="198" t="str">
        <f>_xlfn.IFNA(VLOOKUP($G30,Language!$D$66:$E$81,2,0),"")</f>
        <v>Kopenhagen</v>
      </c>
      <c r="I30" s="130" t="str">
        <f>VLOOKUP(C30,Groups!$B$7:$D$35,3,0)</f>
        <v>Russland</v>
      </c>
      <c r="J30" s="130" t="str">
        <f>VLOOKUP(D30,Groups!$B$7:$D$35,3,0)</f>
        <v>Dänemark</v>
      </c>
      <c r="K30" s="124"/>
    </row>
    <row r="31" spans="2:26" x14ac:dyDescent="0.25">
      <c r="B31" s="208">
        <v>28</v>
      </c>
      <c r="C31" s="204" t="s">
        <v>173</v>
      </c>
      <c r="D31" s="205" t="s">
        <v>174</v>
      </c>
      <c r="E31" s="299">
        <v>44368.875</v>
      </c>
      <c r="F31" s="93">
        <f>E31-VLOOKUP(TimeZone!$L$5,TimeZone!$C$4:$E$39,3,0)+VLOOKUP(TimeZone!$H$1,TimeZone!$C$4:$E$39,3,0)</f>
        <v>44368.875</v>
      </c>
      <c r="G31" s="304">
        <v>6</v>
      </c>
      <c r="H31" s="198" t="str">
        <f>_xlfn.IFNA(VLOOKUP($G31,Language!$D$66:$E$81,2,0),"")</f>
        <v>Sankt Petersburg</v>
      </c>
      <c r="I31" s="130" t="str">
        <f>VLOOKUP(C31,Groups!$B$7:$D$35,3,0)</f>
        <v>Finnland</v>
      </c>
      <c r="J31" s="130" t="str">
        <f>VLOOKUP(D31,Groups!$B$7:$D$35,3,0)</f>
        <v>Belgien</v>
      </c>
      <c r="K31" s="124"/>
    </row>
    <row r="32" spans="2:26" x14ac:dyDescent="0.25">
      <c r="B32" s="208">
        <v>29</v>
      </c>
      <c r="C32" s="204" t="s">
        <v>179</v>
      </c>
      <c r="D32" s="205" t="s">
        <v>176</v>
      </c>
      <c r="E32" s="299">
        <v>44368.75</v>
      </c>
      <c r="F32" s="93">
        <f>E32-VLOOKUP(TimeZone!$L$5,TimeZone!$C$4:$E$39,3,0)+VLOOKUP(TimeZone!$H$1,TimeZone!$C$4:$E$39,3,0)</f>
        <v>44368.75</v>
      </c>
      <c r="G32" s="304">
        <v>11</v>
      </c>
      <c r="H32" s="198" t="str">
        <f>_xlfn.IFNA(VLOOKUP($G32,Language!$D$66:$E$81,2,0),"")</f>
        <v>Bukarest</v>
      </c>
      <c r="I32" s="130" t="str">
        <f>VLOOKUP(C32,Groups!$B$7:$D$35,3,0)</f>
        <v>Nordmazedonien</v>
      </c>
      <c r="J32" s="130" t="str">
        <f>VLOOKUP(D32,Groups!$B$7:$D$35,3,0)</f>
        <v>Niederlande</v>
      </c>
      <c r="K32" s="124"/>
    </row>
    <row r="33" spans="2:14" x14ac:dyDescent="0.25">
      <c r="B33" s="208">
        <v>30</v>
      </c>
      <c r="C33" s="204" t="s">
        <v>177</v>
      </c>
      <c r="D33" s="205" t="s">
        <v>178</v>
      </c>
      <c r="E33" s="299">
        <v>44368.75</v>
      </c>
      <c r="F33" s="93">
        <f>E33-VLOOKUP(TimeZone!$L$5,TimeZone!$C$4:$E$39,3,0)+VLOOKUP(TimeZone!$H$1,TimeZone!$C$4:$E$39,3,0)</f>
        <v>44368.75</v>
      </c>
      <c r="G33" s="304">
        <v>9</v>
      </c>
      <c r="H33" s="198" t="str">
        <f>_xlfn.IFNA(VLOOKUP($G33,Language!$D$66:$E$81,2,0),"")</f>
        <v>Amsterdam</v>
      </c>
      <c r="I33" s="130" t="str">
        <f>VLOOKUP(C33,Groups!$B$7:$D$35,3,0)</f>
        <v>Ukraine</v>
      </c>
      <c r="J33" s="130" t="str">
        <f>VLOOKUP(D33,Groups!$B$7:$D$35,3,0)</f>
        <v>Österreich</v>
      </c>
      <c r="K33" s="124"/>
    </row>
    <row r="34" spans="2:14" x14ac:dyDescent="0.25">
      <c r="B34" s="208">
        <v>31</v>
      </c>
      <c r="C34" s="204" t="s">
        <v>183</v>
      </c>
      <c r="D34" s="205" t="s">
        <v>180</v>
      </c>
      <c r="E34" s="299">
        <v>44369.875</v>
      </c>
      <c r="F34" s="93">
        <f>E34-VLOOKUP(TimeZone!$L$5,TimeZone!$C$4:$E$39,3,0)+VLOOKUP(TimeZone!$H$1,TimeZone!$C$4:$E$39,3,0)</f>
        <v>44369.875</v>
      </c>
      <c r="G34" s="304">
        <v>1</v>
      </c>
      <c r="H34" s="198" t="str">
        <f>_xlfn.IFNA(VLOOKUP($G34,Language!$D$66:$E$81,2,0),"")</f>
        <v>London</v>
      </c>
      <c r="I34" s="130" t="str">
        <f>VLOOKUP(C34,Groups!$B$7:$D$35,3,0)</f>
        <v>Tschechien</v>
      </c>
      <c r="J34" s="130" t="str">
        <f>VLOOKUP(D34,Groups!$B$7:$D$35,3,0)</f>
        <v>England</v>
      </c>
      <c r="K34" s="124"/>
    </row>
    <row r="35" spans="2:14" x14ac:dyDescent="0.25">
      <c r="B35" s="208">
        <v>32</v>
      </c>
      <c r="C35" s="204" t="s">
        <v>181</v>
      </c>
      <c r="D35" s="205" t="s">
        <v>182</v>
      </c>
      <c r="E35" s="299">
        <v>44369.875</v>
      </c>
      <c r="F35" s="93">
        <f>E35-VLOOKUP(TimeZone!$L$5,TimeZone!$C$4:$E$39,3,0)+VLOOKUP(TimeZone!$H$1,TimeZone!$C$4:$E$39,3,0)</f>
        <v>44369.875</v>
      </c>
      <c r="G35" s="304">
        <v>5</v>
      </c>
      <c r="H35" s="198" t="str">
        <f>_xlfn.IFNA(VLOOKUP($G35,Language!$D$66:$E$81,2,0),"")</f>
        <v>Glasgow</v>
      </c>
      <c r="I35" s="130" t="str">
        <f>VLOOKUP(C35,Groups!$B$7:$D$35,3,0)</f>
        <v>Kroatien</v>
      </c>
      <c r="J35" s="130" t="str">
        <f>VLOOKUP(D35,Groups!$B$7:$D$35,3,0)</f>
        <v>Schottland</v>
      </c>
      <c r="K35" s="124"/>
    </row>
    <row r="36" spans="2:14" x14ac:dyDescent="0.25">
      <c r="B36" s="208">
        <v>33</v>
      </c>
      <c r="C36" s="204" t="s">
        <v>187</v>
      </c>
      <c r="D36" s="205" t="s">
        <v>184</v>
      </c>
      <c r="E36" s="299">
        <v>44370.75</v>
      </c>
      <c r="F36" s="93">
        <f>E36-VLOOKUP(TimeZone!$L$5,TimeZone!$C$4:$E$39,3,0)+VLOOKUP(TimeZone!$H$1,TimeZone!$C$4:$E$39,3,0)</f>
        <v>44370.75</v>
      </c>
      <c r="G36" s="304">
        <v>6</v>
      </c>
      <c r="H36" s="198" t="str">
        <f>_xlfn.IFNA(VLOOKUP($G36,Language!$D$66:$E$81,2,0),"")</f>
        <v>Sankt Petersburg</v>
      </c>
      <c r="I36" s="130" t="str">
        <f>VLOOKUP(C36,Groups!$B$7:$D$35,3,0)</f>
        <v>Slowakei</v>
      </c>
      <c r="J36" s="130" t="str">
        <f>VLOOKUP(D36,Groups!$B$7:$D$35,3,0)</f>
        <v>Spanien</v>
      </c>
      <c r="K36" s="124"/>
    </row>
    <row r="37" spans="2:14" x14ac:dyDescent="0.25">
      <c r="B37" s="208">
        <v>34</v>
      </c>
      <c r="C37" s="204" t="s">
        <v>185</v>
      </c>
      <c r="D37" s="205" t="s">
        <v>186</v>
      </c>
      <c r="E37" s="299">
        <v>44370.75</v>
      </c>
      <c r="F37" s="93">
        <f>E37-VLOOKUP(TimeZone!$L$5,TimeZone!$C$4:$E$39,3,0)+VLOOKUP(TimeZone!$H$1,TimeZone!$C$4:$E$39,3,0)</f>
        <v>44370.75</v>
      </c>
      <c r="G37" s="304">
        <v>8</v>
      </c>
      <c r="H37" s="198" t="str">
        <f>_xlfn.IFNA(VLOOKUP($G37,Language!$D$66:$E$81,2,0),"")</f>
        <v>Sevilla</v>
      </c>
      <c r="I37" s="130" t="str">
        <f>VLOOKUP(C37,Groups!$B$7:$D$35,3,0)</f>
        <v>Schweden</v>
      </c>
      <c r="J37" s="130" t="str">
        <f>VLOOKUP(D37,Groups!$B$7:$D$35,3,0)</f>
        <v>Polen</v>
      </c>
      <c r="K37" s="124"/>
    </row>
    <row r="38" spans="2:14" x14ac:dyDescent="0.25">
      <c r="B38" s="208">
        <v>35</v>
      </c>
      <c r="C38" s="204" t="s">
        <v>256</v>
      </c>
      <c r="D38" s="205" t="s">
        <v>253</v>
      </c>
      <c r="E38" s="299">
        <v>44370.875</v>
      </c>
      <c r="F38" s="93">
        <f>E38-VLOOKUP(TimeZone!$L$5,TimeZone!$C$4:$E$39,3,0)+VLOOKUP(TimeZone!$H$1,TimeZone!$C$4:$E$39,3,0)</f>
        <v>44370.875</v>
      </c>
      <c r="G38" s="304">
        <v>3</v>
      </c>
      <c r="H38" s="198" t="str">
        <f>_xlfn.IFNA(VLOOKUP($G38,Language!$D$66:$E$81,2,0),"")</f>
        <v>München</v>
      </c>
      <c r="I38" s="130" t="str">
        <f>VLOOKUP(C38,Groups!$B$7:$D$35,3,0)</f>
        <v>Deutschland</v>
      </c>
      <c r="J38" s="130" t="str">
        <f>VLOOKUP(D38,Groups!$B$7:$D$35,3,0)</f>
        <v>Ungarn</v>
      </c>
      <c r="K38" s="124"/>
    </row>
    <row r="39" spans="2:14" x14ac:dyDescent="0.25">
      <c r="B39" s="208">
        <v>36</v>
      </c>
      <c r="C39" s="204" t="s">
        <v>254</v>
      </c>
      <c r="D39" s="205" t="s">
        <v>255</v>
      </c>
      <c r="E39" s="299">
        <v>44370.875</v>
      </c>
      <c r="F39" s="93">
        <f>E39-VLOOKUP(TimeZone!$L$5,TimeZone!$C$4:$E$39,3,0)+VLOOKUP(TimeZone!$H$1,TimeZone!$C$4:$E$39,3,0)</f>
        <v>44370.875</v>
      </c>
      <c r="G39" s="304">
        <v>10</v>
      </c>
      <c r="H39" s="198" t="str">
        <f>_xlfn.IFNA(VLOOKUP($G39,Language!$D$66:$E$81,2,0),"")</f>
        <v>Budapest</v>
      </c>
      <c r="I39" s="130" t="str">
        <f>VLOOKUP(C39,Groups!$B$7:$D$35,3,0)</f>
        <v>Portugal</v>
      </c>
      <c r="J39" s="130" t="str">
        <f>VLOOKUP(D39,Groups!$B$7:$D$35,3,0)</f>
        <v>Frankreich</v>
      </c>
      <c r="K39" s="124"/>
    </row>
    <row r="40" spans="2:14" x14ac:dyDescent="0.25">
      <c r="B40" s="94" t="s">
        <v>129</v>
      </c>
      <c r="C40" s="115"/>
      <c r="D40" s="115"/>
      <c r="E40" s="71"/>
      <c r="F40" s="72"/>
      <c r="G40" s="197"/>
      <c r="H40" s="199"/>
      <c r="I40" s="72"/>
      <c r="J40" s="72"/>
      <c r="K40" s="125"/>
    </row>
    <row r="41" spans="2:14" x14ac:dyDescent="0.25">
      <c r="B41" s="208">
        <v>37</v>
      </c>
      <c r="C41" s="204" t="s">
        <v>8</v>
      </c>
      <c r="D41" s="205" t="s">
        <v>9</v>
      </c>
      <c r="E41" s="299">
        <v>44373.75</v>
      </c>
      <c r="F41" s="93">
        <f>E41-VLOOKUP(TimeZone!$L$5,TimeZone!$C$4:$E$39,3,0)+VLOOKUP(TimeZone!$H$1,TimeZone!$C$4:$E$39,3,0)</f>
        <v>44373.75</v>
      </c>
      <c r="G41" s="302">
        <v>9</v>
      </c>
      <c r="H41" s="198" t="str">
        <f>_xlfn.IFNA(VLOOKUP($G41,Language!$D$66:$E$81,2,0),"")</f>
        <v>Amsterdam</v>
      </c>
      <c r="I41" s="130"/>
      <c r="J41" s="130"/>
      <c r="K41" s="305"/>
      <c r="L41" s="69"/>
      <c r="M41" s="49"/>
      <c r="N41" s="69"/>
    </row>
    <row r="42" spans="2:14" x14ac:dyDescent="0.25">
      <c r="B42" s="208">
        <v>38</v>
      </c>
      <c r="C42" s="204" t="s">
        <v>2</v>
      </c>
      <c r="D42" s="205" t="s">
        <v>10</v>
      </c>
      <c r="E42" s="299">
        <v>44373.875</v>
      </c>
      <c r="F42" s="93">
        <f>E42-VLOOKUP(TimeZone!$L$5,TimeZone!$C$4:$E$39,3,0)+VLOOKUP(TimeZone!$H$1,TimeZone!$C$4:$E$39,3,0)</f>
        <v>44373.875</v>
      </c>
      <c r="G42" s="304">
        <v>1</v>
      </c>
      <c r="H42" s="198" t="str">
        <f>_xlfn.IFNA(VLOOKUP($G42,Language!$D$66:$E$81,2,0),"")</f>
        <v>London</v>
      </c>
      <c r="I42" s="130"/>
      <c r="J42" s="130"/>
      <c r="K42" s="305"/>
      <c r="L42" s="69"/>
      <c r="M42" s="49"/>
      <c r="N42" s="69"/>
    </row>
    <row r="43" spans="2:14" x14ac:dyDescent="0.25">
      <c r="B43" s="208">
        <v>39</v>
      </c>
      <c r="C43" s="204" t="s">
        <v>4</v>
      </c>
      <c r="D43" s="205" t="s">
        <v>601</v>
      </c>
      <c r="E43" s="299">
        <v>44374.75</v>
      </c>
      <c r="F43" s="93">
        <f>E43-VLOOKUP(TimeZone!$L$5,TimeZone!$C$4:$E$39,3,0)+VLOOKUP(TimeZone!$H$1,TimeZone!$C$4:$E$39,3,0)</f>
        <v>44374.75</v>
      </c>
      <c r="G43" s="304">
        <v>10</v>
      </c>
      <c r="H43" s="198" t="str">
        <f>_xlfn.IFNA(VLOOKUP($G43,Language!$D$66:$E$81,2,0),"")</f>
        <v>Budapest</v>
      </c>
      <c r="I43" s="130"/>
      <c r="J43" s="130"/>
      <c r="K43" s="305"/>
      <c r="L43" s="69"/>
      <c r="M43" s="49"/>
      <c r="N43" s="69"/>
    </row>
    <row r="44" spans="2:14" x14ac:dyDescent="0.25">
      <c r="B44" s="208">
        <v>40</v>
      </c>
      <c r="C44" s="204" t="s">
        <v>3</v>
      </c>
      <c r="D44" s="205" t="s">
        <v>600</v>
      </c>
      <c r="E44" s="299">
        <v>44374.875</v>
      </c>
      <c r="F44" s="93">
        <f>E44-VLOOKUP(TimeZone!$L$5,TimeZone!$C$4:$E$39,3,0)+VLOOKUP(TimeZone!$H$1,TimeZone!$C$4:$E$39,3,0)</f>
        <v>44374.875</v>
      </c>
      <c r="G44" s="304">
        <v>8</v>
      </c>
      <c r="H44" s="198" t="str">
        <f>_xlfn.IFNA(VLOOKUP($G44,Language!$D$66:$E$81,2,0),"")</f>
        <v>Sevilla</v>
      </c>
      <c r="I44" s="130"/>
      <c r="J44" s="130"/>
      <c r="K44" s="305"/>
      <c r="L44" s="69"/>
      <c r="M44" s="49"/>
      <c r="N44" s="69"/>
    </row>
    <row r="45" spans="2:14" x14ac:dyDescent="0.25">
      <c r="B45" s="208">
        <v>41</v>
      </c>
      <c r="C45" s="204" t="s">
        <v>11</v>
      </c>
      <c r="D45" s="205" t="s">
        <v>12</v>
      </c>
      <c r="E45" s="299">
        <v>44375.75</v>
      </c>
      <c r="F45" s="93">
        <f>E45-VLOOKUP(TimeZone!$L$5,TimeZone!$C$4:$E$39,3,0)+VLOOKUP(TimeZone!$H$1,TimeZone!$C$4:$E$39,3,0)</f>
        <v>44375.75</v>
      </c>
      <c r="G45" s="304">
        <v>7</v>
      </c>
      <c r="H45" s="198" t="str">
        <f>_xlfn.IFNA(VLOOKUP($G45,Language!$D$66:$E$81,2,0),"")</f>
        <v>Kopenhagen</v>
      </c>
      <c r="I45" s="130"/>
      <c r="J45" s="130"/>
      <c r="K45" s="305"/>
      <c r="L45" s="69"/>
      <c r="M45" s="49"/>
      <c r="N45" s="69"/>
    </row>
    <row r="46" spans="2:14" x14ac:dyDescent="0.25">
      <c r="B46" s="208">
        <v>42</v>
      </c>
      <c r="C46" s="204" t="s">
        <v>7</v>
      </c>
      <c r="D46" s="205" t="s">
        <v>599</v>
      </c>
      <c r="E46" s="299">
        <v>44375.875</v>
      </c>
      <c r="F46" s="93">
        <f>E46-VLOOKUP(TimeZone!$L$5,TimeZone!$C$4:$E$39,3,0)+VLOOKUP(TimeZone!$H$1,TimeZone!$C$4:$E$39,3,0)</f>
        <v>44375.875</v>
      </c>
      <c r="G46" s="304">
        <v>11</v>
      </c>
      <c r="H46" s="198" t="str">
        <f>_xlfn.IFNA(VLOOKUP($G46,Language!$D$66:$E$81,2,0),"")</f>
        <v>Bukarest</v>
      </c>
      <c r="I46" s="130"/>
      <c r="J46" s="130"/>
      <c r="K46" s="305"/>
      <c r="L46" s="69"/>
      <c r="M46" s="49"/>
      <c r="N46" s="69"/>
    </row>
    <row r="47" spans="2:14" x14ac:dyDescent="0.25">
      <c r="B47" s="208">
        <v>43</v>
      </c>
      <c r="C47" s="204" t="s">
        <v>5</v>
      </c>
      <c r="D47" s="205" t="s">
        <v>13</v>
      </c>
      <c r="E47" s="299">
        <v>44376.75</v>
      </c>
      <c r="F47" s="93">
        <f>E47-VLOOKUP(TimeZone!$L$5,TimeZone!$C$4:$E$39,3,0)+VLOOKUP(TimeZone!$H$1,TimeZone!$C$4:$E$39,3,0)</f>
        <v>44376.75</v>
      </c>
      <c r="G47" s="304">
        <v>1</v>
      </c>
      <c r="H47" s="198" t="str">
        <f>_xlfn.IFNA(VLOOKUP($G47,Language!$D$66:$E$81,2,0),"")</f>
        <v>London</v>
      </c>
      <c r="I47" s="130"/>
      <c r="J47" s="130"/>
      <c r="K47" s="305"/>
      <c r="L47" s="69"/>
      <c r="M47" s="49"/>
      <c r="N47" s="69"/>
    </row>
    <row r="48" spans="2:14" x14ac:dyDescent="0.25">
      <c r="B48" s="208">
        <v>44</v>
      </c>
      <c r="C48" s="204" t="s">
        <v>6</v>
      </c>
      <c r="D48" s="205" t="s">
        <v>602</v>
      </c>
      <c r="E48" s="299">
        <v>44376.875</v>
      </c>
      <c r="F48" s="93">
        <f>E48-VLOOKUP(TimeZone!$L$5,TimeZone!$C$4:$E$39,3,0)+VLOOKUP(TimeZone!$H$1,TimeZone!$C$4:$E$39,3,0)</f>
        <v>44376.875</v>
      </c>
      <c r="G48" s="303">
        <v>5</v>
      </c>
      <c r="H48" s="198" t="str">
        <f>_xlfn.IFNA(VLOOKUP($G48,Language!$D$66:$E$81,2,0),"")</f>
        <v>Glasgow</v>
      </c>
      <c r="I48" s="130"/>
      <c r="J48" s="130"/>
      <c r="K48" s="305"/>
      <c r="L48" s="69"/>
      <c r="M48" s="49"/>
      <c r="N48" s="69"/>
    </row>
    <row r="49" spans="2:27" x14ac:dyDescent="0.25">
      <c r="B49" s="94" t="s">
        <v>130</v>
      </c>
      <c r="C49" s="115"/>
      <c r="D49" s="115"/>
      <c r="E49" s="71"/>
      <c r="F49" s="72"/>
      <c r="G49" s="197"/>
      <c r="H49" s="199"/>
      <c r="I49" s="72"/>
      <c r="J49" s="72"/>
      <c r="K49" s="127"/>
      <c r="M49" s="49"/>
      <c r="N49" s="69"/>
    </row>
    <row r="50" spans="2:27" x14ac:dyDescent="0.25">
      <c r="B50" s="208">
        <v>45</v>
      </c>
      <c r="C50" s="204" t="s">
        <v>604</v>
      </c>
      <c r="D50" s="205" t="s">
        <v>603</v>
      </c>
      <c r="E50" s="299">
        <v>44379.75</v>
      </c>
      <c r="F50" s="93">
        <f>E50-VLOOKUP(TimeZone!$L$5,TimeZone!$C$4:$E$39,3,0)+VLOOKUP(TimeZone!$H$1,TimeZone!$C$4:$E$39,3,0)</f>
        <v>44379.75</v>
      </c>
      <c r="G50" s="302">
        <v>6</v>
      </c>
      <c r="H50" s="198" t="str">
        <f>_xlfn.IFNA(VLOOKUP($G50,Language!$D$66:$E$81,2,0),"")</f>
        <v>Sankt Petersburg</v>
      </c>
      <c r="I50" s="70"/>
      <c r="J50" s="70"/>
      <c r="K50" s="305"/>
      <c r="M50" s="49"/>
      <c r="N50" s="69"/>
    </row>
    <row r="51" spans="2:27" x14ac:dyDescent="0.25">
      <c r="B51" s="208">
        <v>46</v>
      </c>
      <c r="C51" s="204" t="s">
        <v>605</v>
      </c>
      <c r="D51" s="205" t="s">
        <v>606</v>
      </c>
      <c r="E51" s="299">
        <v>44379.875</v>
      </c>
      <c r="F51" s="93">
        <f>E51-VLOOKUP(TimeZone!$L$5,TimeZone!$C$4:$E$39,3,0)+VLOOKUP(TimeZone!$H$1,TimeZone!$C$4:$E$39,3,0)</f>
        <v>44379.875</v>
      </c>
      <c r="G51" s="304">
        <v>3</v>
      </c>
      <c r="H51" s="198" t="str">
        <f>_xlfn.IFNA(VLOOKUP($G51,Language!$D$66:$E$81,2,0),"")</f>
        <v>München</v>
      </c>
      <c r="I51" s="69"/>
      <c r="J51" s="70"/>
      <c r="K51" s="305"/>
      <c r="M51" s="49"/>
      <c r="N51" s="69"/>
    </row>
    <row r="52" spans="2:27" x14ac:dyDescent="0.25">
      <c r="B52" s="208">
        <v>47</v>
      </c>
      <c r="C52" s="204" t="s">
        <v>609</v>
      </c>
      <c r="D52" s="205" t="s">
        <v>610</v>
      </c>
      <c r="E52" s="299">
        <v>44380.75</v>
      </c>
      <c r="F52" s="93">
        <f>E52-VLOOKUP(TimeZone!$L$5,TimeZone!$C$4:$E$39,3,0)+VLOOKUP(TimeZone!$H$1,TimeZone!$C$4:$E$39,3,0)</f>
        <v>44380.75</v>
      </c>
      <c r="G52" s="304">
        <v>2</v>
      </c>
      <c r="H52" s="198" t="str">
        <f>_xlfn.IFNA(VLOOKUP($G52,Language!$D$66:$E$81,2,0),"")</f>
        <v>Baku</v>
      </c>
      <c r="I52" s="70"/>
      <c r="J52" s="70"/>
      <c r="K52" s="305"/>
      <c r="M52" s="49"/>
      <c r="N52" s="69"/>
    </row>
    <row r="53" spans="2:27" x14ac:dyDescent="0.25">
      <c r="B53" s="208">
        <v>48</v>
      </c>
      <c r="C53" s="204" t="s">
        <v>608</v>
      </c>
      <c r="D53" s="205" t="s">
        <v>607</v>
      </c>
      <c r="E53" s="299">
        <v>44380.875</v>
      </c>
      <c r="F53" s="93">
        <f>E53-VLOOKUP(TimeZone!$L$5,TimeZone!$C$4:$E$39,3,0)+VLOOKUP(TimeZone!$H$1,TimeZone!$C$4:$E$39,3,0)</f>
        <v>44380.875</v>
      </c>
      <c r="G53" s="303">
        <v>4</v>
      </c>
      <c r="H53" s="198" t="str">
        <f>_xlfn.IFNA(VLOOKUP($G53,Language!$D$66:$E$81,2,0),"")</f>
        <v>Rom</v>
      </c>
      <c r="I53" s="70"/>
      <c r="J53" s="70"/>
      <c r="K53" s="305"/>
      <c r="M53" s="49"/>
      <c r="N53" s="341"/>
      <c r="Q53" s="119"/>
      <c r="R53" s="119"/>
      <c r="S53" s="119"/>
      <c r="T53" s="119"/>
      <c r="U53" s="119"/>
      <c r="V53" s="119"/>
      <c r="W53" s="119"/>
      <c r="X53" s="119"/>
      <c r="Y53" s="119"/>
      <c r="Z53" s="119"/>
      <c r="AA53" s="119"/>
    </row>
    <row r="54" spans="2:27" x14ac:dyDescent="0.25">
      <c r="B54" s="94" t="s">
        <v>131</v>
      </c>
      <c r="C54" s="115"/>
      <c r="D54" s="115"/>
      <c r="E54" s="71"/>
      <c r="F54" s="72"/>
      <c r="G54" s="197"/>
      <c r="H54" s="199"/>
      <c r="I54" s="72"/>
      <c r="J54" s="72"/>
      <c r="K54" s="127"/>
      <c r="M54" s="49"/>
      <c r="N54" s="69"/>
      <c r="Q54" s="119"/>
      <c r="R54" s="119"/>
      <c r="S54" s="119"/>
      <c r="T54" s="119"/>
      <c r="U54" s="119"/>
      <c r="V54" s="119"/>
      <c r="W54" s="119"/>
      <c r="X54" s="119"/>
      <c r="Y54" s="119"/>
      <c r="Z54" s="119"/>
      <c r="AA54" s="119"/>
    </row>
    <row r="55" spans="2:27" x14ac:dyDescent="0.25">
      <c r="B55" s="208">
        <v>49</v>
      </c>
      <c r="C55" s="204" t="s">
        <v>612</v>
      </c>
      <c r="D55" s="205" t="s">
        <v>611</v>
      </c>
      <c r="E55" s="299">
        <v>44383.875</v>
      </c>
      <c r="F55" s="93">
        <f>E55-VLOOKUP(TimeZone!$L$5,TimeZone!$C$4:$E$39,3,0)+VLOOKUP(TimeZone!$H$1,TimeZone!$C$4:$E$39,3,0)</f>
        <v>44383.875</v>
      </c>
      <c r="G55" s="302">
        <v>1</v>
      </c>
      <c r="H55" s="198" t="str">
        <f>_xlfn.IFNA(VLOOKUP($G55,Language!$D$66:$E$81,2,0),"")</f>
        <v>London</v>
      </c>
      <c r="I55" s="70"/>
      <c r="J55" s="70"/>
      <c r="K55" s="306"/>
      <c r="M55" s="49"/>
      <c r="N55" s="69"/>
      <c r="P55" s="119"/>
      <c r="Q55" s="119"/>
      <c r="R55" s="119"/>
      <c r="S55" s="119"/>
      <c r="T55" s="119"/>
      <c r="U55" s="119"/>
      <c r="V55" s="119"/>
      <c r="W55" s="119"/>
      <c r="X55" s="119"/>
      <c r="Y55" s="119"/>
      <c r="Z55" s="119"/>
      <c r="AA55" s="119"/>
    </row>
    <row r="56" spans="2:27" x14ac:dyDescent="0.25">
      <c r="B56" s="208">
        <v>50</v>
      </c>
      <c r="C56" s="204" t="s">
        <v>614</v>
      </c>
      <c r="D56" s="205" t="s">
        <v>613</v>
      </c>
      <c r="E56" s="299">
        <v>44384.875</v>
      </c>
      <c r="F56" s="93">
        <f>E56-VLOOKUP(TimeZone!$L$5,TimeZone!$C$4:$E$39,3,0)+VLOOKUP(TimeZone!$H$1,TimeZone!$C$4:$E$39,3,0)</f>
        <v>44384.875</v>
      </c>
      <c r="G56" s="303">
        <v>1</v>
      </c>
      <c r="H56" s="198" t="str">
        <f>_xlfn.IFNA(VLOOKUP($G56,Language!$D$66:$E$81,2,0),"")</f>
        <v>London</v>
      </c>
      <c r="I56" s="70"/>
      <c r="J56" s="70"/>
      <c r="K56" s="306"/>
      <c r="M56" s="49"/>
      <c r="N56" s="69"/>
      <c r="P56" s="119"/>
      <c r="Q56" s="119"/>
      <c r="R56" s="119"/>
      <c r="S56" s="119"/>
      <c r="T56" s="119"/>
      <c r="U56" s="119"/>
      <c r="V56" s="119"/>
      <c r="W56" s="119"/>
      <c r="X56" s="119"/>
      <c r="Y56" s="119"/>
      <c r="Z56" s="119"/>
      <c r="AA56" s="120"/>
    </row>
    <row r="57" spans="2:27" x14ac:dyDescent="0.25">
      <c r="B57" s="94" t="s">
        <v>58</v>
      </c>
      <c r="C57" s="115"/>
      <c r="D57" s="115"/>
      <c r="E57" s="71"/>
      <c r="F57" s="72"/>
      <c r="G57" s="197"/>
      <c r="H57" s="199"/>
      <c r="I57" s="72"/>
      <c r="J57" s="72"/>
      <c r="K57" s="127"/>
      <c r="M57" s="138"/>
      <c r="N57" s="138"/>
    </row>
    <row r="58" spans="2:27" ht="15.75" thickBot="1" x14ac:dyDescent="0.3">
      <c r="B58" s="209">
        <v>51</v>
      </c>
      <c r="C58" s="206" t="s">
        <v>296</v>
      </c>
      <c r="D58" s="207" t="s">
        <v>297</v>
      </c>
      <c r="E58" s="300">
        <v>44388.875</v>
      </c>
      <c r="F58" s="210">
        <f>E58-VLOOKUP(TimeZone!$L$5,TimeZone!$C$4:$E$39,3,0)+VLOOKUP(TimeZone!$H$1,TimeZone!$C$4:$E$39,3,0)</f>
        <v>44388.875</v>
      </c>
      <c r="G58" s="301">
        <v>1</v>
      </c>
      <c r="H58" s="211" t="str">
        <f>_xlfn.IFNA(VLOOKUP($G58,Language!$D$66:$E$81,2,0),"")</f>
        <v>London</v>
      </c>
      <c r="I58" s="92"/>
      <c r="J58" s="126"/>
      <c r="K58" s="131"/>
      <c r="M58" s="138"/>
      <c r="N58" s="138"/>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14C46-CEEA-4263-A490-56BB89862C2B}">
  <sheetPr codeName="Tabelle5"/>
  <dimension ref="B1:E15"/>
  <sheetViews>
    <sheetView workbookViewId="0">
      <selection activeCell="D7" sqref="D7"/>
    </sheetView>
  </sheetViews>
  <sheetFormatPr baseColWidth="10" defaultRowHeight="15" x14ac:dyDescent="0.25"/>
  <cols>
    <col min="2" max="2" width="14.28515625" customWidth="1"/>
    <col min="3" max="3" width="15.28515625" customWidth="1"/>
    <col min="4" max="4" width="7.28515625" customWidth="1"/>
    <col min="5" max="5" width="18.28515625" customWidth="1"/>
  </cols>
  <sheetData>
    <row r="1" spans="2:5" ht="28.5" x14ac:dyDescent="0.45">
      <c r="B1" s="478" t="s">
        <v>653</v>
      </c>
      <c r="C1" s="478"/>
    </row>
    <row r="3" spans="2:5" ht="15.75" thickBot="1" x14ac:dyDescent="0.3">
      <c r="B3" s="53" t="s">
        <v>653</v>
      </c>
      <c r="C3" s="53" t="s">
        <v>892</v>
      </c>
    </row>
    <row r="4" spans="2:5" ht="15.75" thickTop="1" x14ac:dyDescent="0.25">
      <c r="B4" s="52">
        <v>10000000</v>
      </c>
      <c r="C4" s="240" t="s">
        <v>190</v>
      </c>
    </row>
    <row r="5" spans="2:5" x14ac:dyDescent="0.25">
      <c r="B5" s="51">
        <v>1000000</v>
      </c>
      <c r="C5" s="241" t="s">
        <v>199</v>
      </c>
    </row>
    <row r="6" spans="2:5" x14ac:dyDescent="0.25">
      <c r="B6" s="51">
        <v>100000</v>
      </c>
      <c r="C6" s="241" t="s">
        <v>200</v>
      </c>
    </row>
    <row r="7" spans="2:5" x14ac:dyDescent="0.25">
      <c r="B7" s="51">
        <v>1000</v>
      </c>
      <c r="C7" s="241" t="s">
        <v>197</v>
      </c>
      <c r="D7" s="51">
        <v>50</v>
      </c>
      <c r="E7" s="241" t="s">
        <v>477</v>
      </c>
    </row>
    <row r="8" spans="2:5" x14ac:dyDescent="0.25">
      <c r="B8" s="51">
        <v>10</v>
      </c>
      <c r="C8" s="241" t="s">
        <v>198</v>
      </c>
    </row>
    <row r="9" spans="2:5" x14ac:dyDescent="0.25">
      <c r="B9" s="51">
        <v>1</v>
      </c>
      <c r="C9" s="241" t="s">
        <v>467</v>
      </c>
    </row>
    <row r="10" spans="2:5" x14ac:dyDescent="0.25">
      <c r="B10" s="51">
        <v>0.1</v>
      </c>
      <c r="C10" s="241" t="s">
        <v>474</v>
      </c>
    </row>
    <row r="11" spans="2:5" x14ac:dyDescent="0.25">
      <c r="B11" s="51">
        <v>0.01</v>
      </c>
      <c r="C11" s="241" t="s">
        <v>472</v>
      </c>
    </row>
    <row r="12" spans="2:5" x14ac:dyDescent="0.25">
      <c r="B12" s="51">
        <v>1E-3</v>
      </c>
      <c r="C12" s="241" t="s">
        <v>709</v>
      </c>
    </row>
    <row r="13" spans="2:5" x14ac:dyDescent="0.25">
      <c r="B13" s="51">
        <v>1E-4</v>
      </c>
      <c r="C13" s="241" t="s">
        <v>37</v>
      </c>
    </row>
    <row r="14" spans="2:5" x14ac:dyDescent="0.25">
      <c r="B14" s="51">
        <v>9.9999999999999995E-7</v>
      </c>
      <c r="C14" s="241" t="s">
        <v>572</v>
      </c>
    </row>
    <row r="15" spans="2:5" x14ac:dyDescent="0.25">
      <c r="B15" s="51">
        <v>9.9999999999999995E-8</v>
      </c>
      <c r="C15" s="241" t="s">
        <v>651</v>
      </c>
    </row>
  </sheetData>
  <sheetProtection selectLockedCells="1"/>
  <sortState ref="B7:C13">
    <sortCondition descending="1" ref="B7"/>
  </sortState>
  <mergeCells count="1">
    <mergeCell ref="B1:C1"/>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12325-276B-4471-AA31-98322DF2B178}">
  <sheetPr codeName="Tabelle6"/>
  <dimension ref="A1:AG36"/>
  <sheetViews>
    <sheetView zoomScaleNormal="100"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2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42578125" customWidth="1"/>
  </cols>
  <sheetData>
    <row r="1" spans="1:33" ht="23.25" x14ac:dyDescent="0.35">
      <c r="A1" s="47"/>
      <c r="B1" s="191" t="s">
        <v>202</v>
      </c>
      <c r="C1" s="380" t="s">
        <v>30</v>
      </c>
      <c r="D1" s="46"/>
      <c r="Q1" s="192"/>
    </row>
    <row r="2" spans="1:33" ht="8.25" customHeight="1" x14ac:dyDescent="0.25"/>
    <row r="3" spans="1:33" x14ac:dyDescent="0.25">
      <c r="B3" s="483" t="s">
        <v>194</v>
      </c>
      <c r="C3" s="483"/>
      <c r="D3" s="483"/>
      <c r="E3" s="483" t="s">
        <v>195</v>
      </c>
      <c r="F3" s="483"/>
      <c r="G3" s="483"/>
      <c r="H3" s="483" t="s">
        <v>190</v>
      </c>
      <c r="I3" s="483"/>
      <c r="J3" s="483" t="s">
        <v>895</v>
      </c>
      <c r="K3" s="483"/>
      <c r="L3" s="483"/>
      <c r="M3" s="250" t="s">
        <v>167</v>
      </c>
      <c r="N3" s="82"/>
      <c r="O3" s="45"/>
      <c r="P3" s="44"/>
      <c r="Q3" s="250" t="s">
        <v>190</v>
      </c>
      <c r="R3" s="250" t="s">
        <v>189</v>
      </c>
      <c r="S3" s="378" t="s">
        <v>893</v>
      </c>
      <c r="T3" s="378" t="s">
        <v>894</v>
      </c>
      <c r="U3" s="309" t="s">
        <v>709</v>
      </c>
      <c r="V3" s="269" t="s">
        <v>191</v>
      </c>
      <c r="W3" s="250" t="s">
        <v>192</v>
      </c>
      <c r="X3" s="250" t="s">
        <v>193</v>
      </c>
      <c r="Y3" s="250" t="s">
        <v>475</v>
      </c>
      <c r="Z3" s="250" t="s">
        <v>476</v>
      </c>
      <c r="AA3" s="250" t="s">
        <v>473</v>
      </c>
      <c r="AB3" s="250" t="s">
        <v>37</v>
      </c>
      <c r="AC3" s="356" t="s">
        <v>757</v>
      </c>
      <c r="AD3" s="250" t="s">
        <v>196</v>
      </c>
      <c r="AE3" s="256" t="s">
        <v>488</v>
      </c>
      <c r="AF3" s="256" t="s">
        <v>572</v>
      </c>
    </row>
    <row r="4" spans="1:33" x14ac:dyDescent="0.25">
      <c r="B4" s="227" t="str">
        <f>INDEX(EURO!$B$13:$R$40,1,1+(CODE($C$1)-65)*3)</f>
        <v>Türkei</v>
      </c>
      <c r="C4" s="226" t="s">
        <v>36</v>
      </c>
      <c r="D4" s="227" t="str">
        <f>INDEX(EURO!$B$13:$R$40,1,2+(CODE($C$1)-65)*3)</f>
        <v>Italien</v>
      </c>
      <c r="E4" s="225">
        <f>IF(OR(INDEX(EURO!$B$14:$R$41,1,1+(CODE($C$1)-65)*3)="",INDEX(EURO!$B$14:$R$41,1,2+(CODE($C$1)-65)*3)=""),"",INDEX(EURO!$B$14:$R$41,1,1+(CODE($C$1)-65)*3))</f>
        <v>0</v>
      </c>
      <c r="F4" s="226" t="s">
        <v>36</v>
      </c>
      <c r="G4" s="231">
        <f>IF(OR(INDEX(EURO!$B$14:$R$41,1,1+(CODE($C$1)-65)*3)="",INDEX(EURO!$B$14:$R$41,1,2+(CODE($C$1)-65)*3)=""),"",INDEX(EURO!$B$14:$R$41,1,2+(CODE($C$1)-65)*3))</f>
        <v>3</v>
      </c>
      <c r="H4" s="249">
        <f t="shared" ref="H4:H9" si="0">IF($M4&gt;0,IF($E4&gt;$G4,3,IF($E4=$G4,1,0)),0)</f>
        <v>0</v>
      </c>
      <c r="I4" s="249">
        <f t="shared" ref="I4:I9" si="1">IF($M4&gt;0,IF($E4&lt;$G4,3,IF($E4=$G4,1,0)),0)</f>
        <v>3</v>
      </c>
      <c r="L4" s="34"/>
      <c r="M4" s="249">
        <f t="shared" ref="M4:M9" si="2">IF(AND($E4&lt;&gt;"",$G4&lt;&gt;""),1,0)</f>
        <v>1</v>
      </c>
      <c r="N4" s="308"/>
      <c r="O4" s="249" t="s">
        <v>32</v>
      </c>
      <c r="P4" s="43" t="str">
        <f>VLOOKUP($C$1&amp;1,Groups!$B$7:$D$35,3,0)</f>
        <v>Türkei</v>
      </c>
      <c r="Q4" s="249">
        <f>SUMIF($B$4:$B$9,P4,$H$4:$H$9)+SUMIF($D$4:$D$9,P4,$I$4:$I$9)</f>
        <v>0</v>
      </c>
      <c r="R4" s="249">
        <f>S4-T4</f>
        <v>-7</v>
      </c>
      <c r="S4" s="329">
        <f>SUMIF($B$4:$B$9,$P4,$E$4:$E$9)+SUMIF($D$4:$D$9,$P4,$G$4:$G$9)</f>
        <v>1</v>
      </c>
      <c r="T4" s="329">
        <f>SUMIF($B$4:$B$9,$P4,$G$4:$G$9)+SUMIF($D$4:$D$9,$P4,$E$4:$E$9)</f>
        <v>8</v>
      </c>
      <c r="U4" s="308">
        <f>COUNTIFS($B$4:$B$9,$P4,$H$4:$H$9,"=3")+COUNTIFS($D$4:$D$9,$P4,$I$4:$I$9,"=3")</f>
        <v>0</v>
      </c>
      <c r="V4" s="351">
        <f>$Q4*FactorPts+(GDzero+$R4)*FactorGD+$S4*FactorFor+$U4*FactorWins+$W4*FactorDirC3+$X4*FactorDirC2+$Y4*FactorDirC43+$Z4*FactorDirC42+$AA4*FactorDirC42+$AB4*FactorFairPlay+$AE4*FactorPenalty+(100-$AF4)*($M$10&gt;0)*FactorRank+(8-ROW())*FactorRow</f>
        <v>43010.000086400003</v>
      </c>
      <c r="W4" s="251">
        <f>SUMIFS($X$18:$X$35,$P$18:$P$35,$P4)</f>
        <v>0</v>
      </c>
      <c r="X4" s="251">
        <f>IF($L18="",0,$L18)+SUMIFS($Z$18:$Z$35,$P$18:$P$35,$P4)</f>
        <v>0</v>
      </c>
      <c r="Y4">
        <f>SUMIFS($AD$18:$AD$35,$P$18:$P$35,$P4)</f>
        <v>0</v>
      </c>
      <c r="Z4">
        <f>SUMIFS($AE$18:$AE$35,$P$18:$P$35,$P4)</f>
        <v>0</v>
      </c>
      <c r="AA4" s="249">
        <f>IF($M18="",0,$M18)</f>
        <v>0</v>
      </c>
      <c r="AB4" s="249">
        <f>SUMIFS(FairPlayPoints1,FairPlayTeams1,$P4)+SUMIFS(FairPlayPoints2,FairPlayTeams2,$P4)</f>
        <v>0</v>
      </c>
      <c r="AC4" s="329" t="b">
        <f>(Q4+T4&gt;0)</f>
        <v>1</v>
      </c>
      <c r="AD4" s="254">
        <f>$Q4*FactorPts+(GDzero+$R4)*FactorGD+$S4*FactorFor</f>
        <v>43010</v>
      </c>
      <c r="AE4" s="255">
        <f>IF(OR(AND($Y$11&gt;0,OR(AND($B$8=$P4,$J$8&gt;$L$8),AND($D$8=$P4,$J$8&lt;$L$8))),AND($Y$12&gt;0,OR(AND($B$9=$P4,$J$9&gt;$L$9),AND($D$9=$P4,$J$9&lt;$L$9)))),1,0)</f>
        <v>0</v>
      </c>
      <c r="AF4" s="255">
        <f>INDEX(Language!$D$5:$D$59,MATCH($P4,Language!$E$5:$E$59,0),1)</f>
        <v>14</v>
      </c>
      <c r="AG4" s="255"/>
    </row>
    <row r="5" spans="1:33" x14ac:dyDescent="0.25">
      <c r="B5" s="230" t="str">
        <f>INDEX(EURO!$B$13:$R$40,6,1+(CODE($C$1)-65)*3)</f>
        <v>Wales</v>
      </c>
      <c r="C5" s="229" t="s">
        <v>36</v>
      </c>
      <c r="D5" s="230" t="str">
        <f>INDEX(EURO!$B$13:$R$40,6,2+(CODE($C$1)-65)*3)</f>
        <v>Schweiz</v>
      </c>
      <c r="E5" s="228">
        <f>IF(OR(INDEX(EURO!$B$14:$R$41,6,1+(CODE($C$1)-65)*3)="",INDEX(EURO!$B$14:$R$41,6,2+(CODE($C$1)-65)*3)=""),"",INDEX(EURO!$B$14:$R$41,6,1+(CODE($C$1)-65)*3))</f>
        <v>1</v>
      </c>
      <c r="F5" s="229" t="s">
        <v>36</v>
      </c>
      <c r="G5" s="232">
        <f>IF(OR(INDEX(EURO!$B$14:$R$41,6,1+(CODE($C$1)-65)*3)="",INDEX(EURO!$B$14:$R$41,6,2+(CODE($C$1)-65)*3)=""),"",INDEX(EURO!$B$14:$R$41,6,2+(CODE($C$1)-65)*3))</f>
        <v>1</v>
      </c>
      <c r="H5" s="249">
        <f t="shared" si="0"/>
        <v>1</v>
      </c>
      <c r="I5" s="249">
        <f t="shared" si="1"/>
        <v>1</v>
      </c>
      <c r="L5" s="34"/>
      <c r="M5" s="249">
        <f t="shared" si="2"/>
        <v>1</v>
      </c>
      <c r="N5" s="308"/>
      <c r="O5" s="249" t="s">
        <v>33</v>
      </c>
      <c r="P5" s="43" t="str">
        <f>VLOOKUP($C$1&amp;2,Groups!$B$7:$D$35,3,0)</f>
        <v>Italien</v>
      </c>
      <c r="Q5" s="249">
        <f t="shared" ref="Q5:Q7" si="3">SUMIF($B$4:$B$9,P5,$H$4:$H$9)+SUMIF($D$4:$D$9,P5,$I$4:$I$9)</f>
        <v>9</v>
      </c>
      <c r="R5" s="249">
        <f>S5-T5</f>
        <v>5</v>
      </c>
      <c r="S5" s="329">
        <f>SUMIF($B$4:$B$9,$P5,$E$4:$E$9)+SUMIF($D$4:$D$9,$P5,$G$4:$G$9)</f>
        <v>5</v>
      </c>
      <c r="T5" s="329">
        <f>SUMIF($B$4:$B$9,$P5,$G$4:$G$9)+SUMIF($D$4:$D$9,$P5,$E$4:$E$9)</f>
        <v>0</v>
      </c>
      <c r="U5" s="308">
        <f t="shared" ref="U5:U7" si="4">COUNTIFS($B$4:$B$9,$P5,$H$4:$H$9,"=3")+COUNTIFS($D$4:$D$9,$P5,$I$4:$I$9,"=3")</f>
        <v>3</v>
      </c>
      <c r="V5" s="351">
        <f>$Q5*FactorPts+(GDzero+$R5)*FactorGD+$S5*FactorFor+$U5*FactorWins+$W5*FactorDirC3+$X5*FactorDirC2+$Y5*FactorDirC43+$Z5*FactorDirC42+$AA5*FactorDirC42+$AB5*FactorFairPlay+$AE5*FactorPenalty+(100-$AF5)*($M$10&gt;0)*FactorRank+(8-ROW())*FactorRow</f>
        <v>90055050.003098309</v>
      </c>
      <c r="W5" s="251">
        <f t="shared" ref="W5:W7" si="5">SUMIFS($X$18:$X$35,$P$18:$P$35,$P5)</f>
        <v>0</v>
      </c>
      <c r="X5" s="251">
        <f>IF($L19="",0,$L19)+SUMIFS($Z$18:$Z$35,$P$18:$P$35,$P5)</f>
        <v>0</v>
      </c>
      <c r="Y5">
        <f t="shared" ref="Y5:Y7" si="6">SUMIFS($AD$18:$AD$35,$P$18:$P$35,$P5)</f>
        <v>0</v>
      </c>
      <c r="Z5">
        <f t="shared" ref="Z5:Z7" si="7">SUMIFS($AE$18:$AE$35,$P$18:$P$35,$P5)</f>
        <v>0</v>
      </c>
      <c r="AA5" s="249">
        <f>IF($M19="",0,$M19)</f>
        <v>0</v>
      </c>
      <c r="AB5" s="255">
        <f>SUMIFS(FairPlayPoints1,FairPlayTeams1,$P5)+SUMIFS(FairPlayPoints2,FairPlayTeams2,$P5)</f>
        <v>0</v>
      </c>
      <c r="AC5" s="329" t="b">
        <f>(Q5+T5&gt;0)</f>
        <v>1</v>
      </c>
      <c r="AD5" s="254">
        <f>$Q5*FactorPts+(GDzero+$R5)*FactorGD+$S5*FactorFor</f>
        <v>90055050</v>
      </c>
      <c r="AE5" s="255">
        <f>IF(OR(AND($Y$11&gt;0,OR(AND($B$8=$P5,$J$8&gt;$L$8),AND($D$8=$P5,$J$8&lt;$L$8))),AND($Y$12&gt;0,OR(AND($B$9=$P5,$J$9&gt;$L$9),AND($D$9=$P5,$J$9&lt;$L$9)))),1,0)</f>
        <v>0</v>
      </c>
      <c r="AF5" s="255">
        <f>INDEX(Language!$D$5:$D$59,MATCH($P5,Language!$E$5:$E$59,0),1)</f>
        <v>2</v>
      </c>
    </row>
    <row r="6" spans="1:33" x14ac:dyDescent="0.25">
      <c r="B6" s="230" t="str">
        <f>INDEX(EURO!$B$13:$R$40,11,1+(CODE($C$1)-65)*3)</f>
        <v>Türkei</v>
      </c>
      <c r="C6" s="229" t="s">
        <v>36</v>
      </c>
      <c r="D6" s="230" t="str">
        <f>INDEX(EURO!$B$13:$R$40,11,2+(CODE($C$1)-65)*3)</f>
        <v>Wales</v>
      </c>
      <c r="E6" s="228">
        <f>IF(OR(INDEX(EURO!$B$14:$R$41,11,1+(CODE($C$1)-65)*3)="",INDEX(EURO!$B$14:$R$41,11,2+(CODE($C$1)-65)*3)=""),"",INDEX(EURO!$B$14:$R$41,11,1+(CODE($C$1)-65)*3))</f>
        <v>0</v>
      </c>
      <c r="F6" s="229" t="s">
        <v>36</v>
      </c>
      <c r="G6" s="232">
        <f>IF(OR(INDEX(EURO!$B$14:$R$41,11,1+(CODE($C$1)-65)*3)="",INDEX(EURO!$B$14:$R$41,11,2+(CODE($C$1)-65)*3)=""),"",INDEX(EURO!$B$14:$R$41,11,2+(CODE($C$1)-65)*3))</f>
        <v>2</v>
      </c>
      <c r="H6" s="249">
        <f t="shared" si="0"/>
        <v>0</v>
      </c>
      <c r="I6" s="249">
        <f t="shared" si="1"/>
        <v>3</v>
      </c>
      <c r="L6" s="34"/>
      <c r="M6" s="249">
        <f t="shared" si="2"/>
        <v>1</v>
      </c>
      <c r="N6" s="308"/>
      <c r="O6" s="249" t="s">
        <v>34</v>
      </c>
      <c r="P6" s="43" t="str">
        <f>VLOOKUP($C$1&amp;3,Groups!$B$7:$D$35,3,0)</f>
        <v>Wales</v>
      </c>
      <c r="Q6" s="249">
        <f t="shared" si="3"/>
        <v>4</v>
      </c>
      <c r="R6" s="249">
        <f>S6-T6</f>
        <v>1</v>
      </c>
      <c r="S6" s="329">
        <f>SUMIF($B$4:$B$9,$P6,$E$4:$E$9)+SUMIF($D$4:$D$9,$P6,$G$4:$G$9)</f>
        <v>3</v>
      </c>
      <c r="T6" s="329">
        <f>SUMIF($B$4:$B$9,$P6,$G$4:$G$9)+SUMIF($D$4:$D$9,$P6,$E$4:$E$9)</f>
        <v>2</v>
      </c>
      <c r="U6" s="308">
        <f t="shared" si="4"/>
        <v>1</v>
      </c>
      <c r="V6" s="351">
        <f>$Q6*FactorPts+(GDzero+$R6)*FactorGD+$S6*FactorFor+$U6*FactorWins+$W6*FactorDirC3+$X6*FactorDirC2+$Y6*FactorDirC43+$Z6*FactorDirC42+$AA6*FactorDirC42+$AB6*FactorFairPlay+$AE6*FactorPenalty+(100-$AF6)*($M$10&gt;0)*FactorRank+(8-ROW())*FactorRow</f>
        <v>40151030.001081206</v>
      </c>
      <c r="W6" s="251">
        <f t="shared" si="5"/>
        <v>0</v>
      </c>
      <c r="X6" s="251">
        <f>IF($L20="",0,$L20)+SUMIFS($Z$18:$Z$35,$P$18:$P$35,$P6)</f>
        <v>1</v>
      </c>
      <c r="Y6">
        <f t="shared" si="6"/>
        <v>0</v>
      </c>
      <c r="Z6">
        <f t="shared" si="7"/>
        <v>0</v>
      </c>
      <c r="AA6" s="249">
        <f>IF($M20="",0,$M20)</f>
        <v>0</v>
      </c>
      <c r="AB6" s="255">
        <f>SUMIFS(FairPlayPoints1,FairPlayTeams1,$P6)+SUMIFS(FairPlayPoints2,FairPlayTeams2,$P6)</f>
        <v>0</v>
      </c>
      <c r="AC6" s="329" t="b">
        <f>(Q6+T6&gt;0)</f>
        <v>1</v>
      </c>
      <c r="AD6" s="254">
        <f>$Q6*FactorPts+(GDzero+$R6)*FactorGD+$S6*FactorFor</f>
        <v>40051030</v>
      </c>
      <c r="AE6" s="255">
        <f>IF(OR(AND($Y$11&gt;0,OR(AND($B$8=$P6,$J$8&gt;$L$8),AND($D$8=$P6,$J$8&lt;$L$8))),AND($Y$12&gt;0,OR(AND($B$9=$P6,$J$9&gt;$L$9),AND($D$9=$P6,$J$9&lt;$L$9)))),1,0)</f>
        <v>0</v>
      </c>
      <c r="AF6" s="255">
        <f>INDEX(Language!$D$5:$D$59,MATCH($P6,Language!$E$5:$E$59,0),1)</f>
        <v>19</v>
      </c>
    </row>
    <row r="7" spans="1:33" x14ac:dyDescent="0.25">
      <c r="B7" s="230" t="str">
        <f>INDEX(EURO!$B$13:$R$40,16,1+(CODE($C$1)-65)*3)</f>
        <v>Italien</v>
      </c>
      <c r="C7" s="229" t="s">
        <v>36</v>
      </c>
      <c r="D7" s="230" t="str">
        <f>INDEX(EURO!$B$13:$R$40,16,2+(CODE($C$1)-65)*3)</f>
        <v>Schweiz</v>
      </c>
      <c r="E7" s="228">
        <f>IF(OR(INDEX(EURO!$B$14:$R$41,16,1+(CODE($C$1)-65)*3)="",INDEX(EURO!$B$14:$R$41,16,2+(CODE($C$1)-65)*3)=""),"",INDEX(EURO!$B$14:$R$41,16,1+(CODE($C$1)-65)*3))</f>
        <v>1</v>
      </c>
      <c r="F7" s="229" t="s">
        <v>36</v>
      </c>
      <c r="G7" s="232">
        <f>IF(OR(INDEX(EURO!$B$14:$R$41,16,1+(CODE($C$1)-65)*3)="",INDEX(EURO!$B$14:$R$41,16,2+(CODE($C$1)-65)*3)=""),"",INDEX(EURO!$B$14:$R$41,16,2+(CODE($C$1)-65)*3))</f>
        <v>0</v>
      </c>
      <c r="H7" s="249">
        <f t="shared" si="0"/>
        <v>3</v>
      </c>
      <c r="I7" s="249">
        <f t="shared" si="1"/>
        <v>0</v>
      </c>
      <c r="L7" s="34"/>
      <c r="M7" s="249">
        <f t="shared" si="2"/>
        <v>1</v>
      </c>
      <c r="N7" s="308"/>
      <c r="O7" s="249" t="s">
        <v>35</v>
      </c>
      <c r="P7" s="43" t="str">
        <f>VLOOKUP($C$1&amp;4,Groups!$B$7:$D$35,3,0)</f>
        <v>Schweiz</v>
      </c>
      <c r="Q7" s="249">
        <f t="shared" si="3"/>
        <v>4</v>
      </c>
      <c r="R7" s="249">
        <f>S7-T7</f>
        <v>1</v>
      </c>
      <c r="S7" s="329">
        <f>SUMIF($B$4:$B$9,$P7,$E$4:$E$9)+SUMIF($D$4:$D$9,$P7,$G$4:$G$9)</f>
        <v>4</v>
      </c>
      <c r="T7" s="329">
        <f>SUMIF($B$4:$B$9,$P7,$G$4:$G$9)+SUMIF($D$4:$D$9,$P7,$E$4:$E$9)</f>
        <v>3</v>
      </c>
      <c r="U7" s="308">
        <f t="shared" si="4"/>
        <v>1</v>
      </c>
      <c r="V7" s="351">
        <f>$Q7*FactorPts+(GDzero+$R7)*FactorGD+$S7*FactorFor+$U7*FactorWins+$W7*FactorDirC3+$X7*FactorDirC2+$Y7*FactorDirC43+$Z7*FactorDirC42+$AA7*FactorDirC42+$AB7*FactorFairPlay+$AE7*FactorPenalty+(100-$AF7)*($M$10&gt;0)*FactorRank+(8-ROW())*FactorRow</f>
        <v>40151040.0010911</v>
      </c>
      <c r="W7" s="251">
        <f t="shared" si="5"/>
        <v>0</v>
      </c>
      <c r="X7" s="251">
        <f>IF($L21="",0,$L21)+SUMIFS($Z$18:$Z$35,$P$18:$P$35,$P7)</f>
        <v>1</v>
      </c>
      <c r="Y7">
        <f t="shared" si="6"/>
        <v>0</v>
      </c>
      <c r="Z7">
        <f t="shared" si="7"/>
        <v>0</v>
      </c>
      <c r="AA7" s="249">
        <f>IF($M21="",0,$M21)</f>
        <v>0</v>
      </c>
      <c r="AB7" s="255">
        <f>SUMIFS(FairPlayPoints1,FairPlayTeams1,$P7)+SUMIFS(FairPlayPoints2,FairPlayTeams2,$P7)</f>
        <v>0</v>
      </c>
      <c r="AC7" s="329" t="b">
        <f>(Q7+T7&gt;0)</f>
        <v>1</v>
      </c>
      <c r="AD7" s="254">
        <f>$Q7*FactorPts+(GDzero+$R7)*FactorGD+$S7*FactorFor</f>
        <v>40051040</v>
      </c>
      <c r="AE7" s="255">
        <f>IF(OR(AND($Y$11&gt;0,OR(AND($B$8=$P7,$J$8&gt;$L$8),AND($D$8=$P7,$J$8&lt;$L$8))),AND($Y$12&gt;0,OR(AND($B$9=$P7,$J$9&gt;$L$9),AND($D$9=$P7,$J$9&lt;$L$9)))),1,0)</f>
        <v>0</v>
      </c>
      <c r="AF7" s="255">
        <f>INDEX(Language!$D$5:$D$59,MATCH($P7,Language!$E$5:$E$59,0),1)</f>
        <v>9</v>
      </c>
    </row>
    <row r="8" spans="1:33" x14ac:dyDescent="0.25">
      <c r="B8" s="230" t="str">
        <f>INDEX(EURO!$B$13:$R$40,21,1+(CODE($C$1)-65)*3)</f>
        <v>Schweiz</v>
      </c>
      <c r="C8" s="229" t="s">
        <v>36</v>
      </c>
      <c r="D8" s="230" t="str">
        <f>INDEX(EURO!$B$13:$R$40,21,2+(CODE($C$1)-65)*3)</f>
        <v>Türkei</v>
      </c>
      <c r="E8" s="228">
        <f>IF(OR(INDEX(EURO!$B$14:$R$41,21,1+(CODE($C$1)-65)*3)="",INDEX(EURO!$B$14:$R$41,21,2+(CODE($C$1)-65)*3)=""),"",INDEX(EURO!$B$14:$R$41,21,1+(CODE($C$1)-65)*3))</f>
        <v>3</v>
      </c>
      <c r="F8" s="229" t="s">
        <v>36</v>
      </c>
      <c r="G8" s="232">
        <f>IF(OR(INDEX(EURO!$B$14:$R$41,21,1+(CODE($C$1)-65)*3)="",INDEX(EURO!$B$14:$R$41,21,2+(CODE($C$1)-65)*3)=""),"",INDEX(EURO!$B$14:$R$41,21,2+(CODE($C$1)-65)*3))</f>
        <v>1</v>
      </c>
      <c r="H8" s="249">
        <f t="shared" si="0"/>
        <v>3</v>
      </c>
      <c r="I8" s="249">
        <f t="shared" si="1"/>
        <v>0</v>
      </c>
      <c r="J8" s="228" t="str">
        <f>IF(OR(INDEX(EURO!$B$36:$R$36,1,1+(CODE($C$1)-65)*3)="",INDEX(EURO!$B$36:$R$36,1,2+(CODE($C$1)-65)*3)=""),"",INDEX(EURO!$B$36:$R$36,1,1+(CODE($C$1)-65)*3))</f>
        <v/>
      </c>
      <c r="K8" s="229" t="s">
        <v>485</v>
      </c>
      <c r="L8" s="232" t="str">
        <f>IF(OR(INDEX(EURO!$B$36:$R$36,1,1+(CODE($C$1)-65)*3)="",INDEX(EURO!$B$36:$R$36,1,2+(CODE($C$1)-65)*3)=""),"",INDEX(EURO!$B$36:$R$36,1,2+(CODE($C$1)-65)*3))</f>
        <v/>
      </c>
      <c r="M8" s="249">
        <f t="shared" si="2"/>
        <v>1</v>
      </c>
      <c r="N8" s="308"/>
      <c r="O8" s="249"/>
      <c r="Z8" s="54"/>
    </row>
    <row r="9" spans="1:33" x14ac:dyDescent="0.25">
      <c r="B9" s="230" t="str">
        <f>INDEX(EURO!$B$13:$R$40,28,1+(CODE($C$1)-65)*3)</f>
        <v>Italien</v>
      </c>
      <c r="C9" s="229" t="s">
        <v>36</v>
      </c>
      <c r="D9" s="230" t="str">
        <f>INDEX(EURO!$B$13:$R$40,28,2+(CODE($C$1)-65)*3)</f>
        <v>Wales</v>
      </c>
      <c r="E9" s="228">
        <f>IF(OR(INDEX(EURO!$B$14:$R$41,28,1+(CODE($C$1)-65)*3)="",INDEX(EURO!$B$14:$R$41,28,2+(CODE($C$1)-65)*3)=""),"",INDEX(EURO!$B$14:$R$41,28,1+(CODE($C$1)-65)*3))</f>
        <v>1</v>
      </c>
      <c r="F9" s="229" t="s">
        <v>36</v>
      </c>
      <c r="G9" s="232">
        <f>IF(OR(INDEX(EURO!$B$14:$R$41,28,1+(CODE($C$1)-65)*3)="",INDEX(EURO!$B$14:$R$41,28,2+(CODE($C$1)-65)*3)=""),"",INDEX(EURO!$B$14:$R$41,28,2+(CODE($C$1)-65)*3))</f>
        <v>0</v>
      </c>
      <c r="H9" s="249">
        <f t="shared" si="0"/>
        <v>3</v>
      </c>
      <c r="I9" s="249">
        <f t="shared" si="1"/>
        <v>0</v>
      </c>
      <c r="J9" s="228" t="str">
        <f>IF(OR(INDEX(EURO!$B$43:$R$43,1,1+(CODE($C$1)-65)*3)="",INDEX(EURO!$B$43:$R$43,1,2+(CODE($C$1)-65)*3)=""),"",INDEX(EURO!$B$43:$R$43,1,1+(CODE($C$1)-65)*3))</f>
        <v/>
      </c>
      <c r="K9" s="229" t="s">
        <v>485</v>
      </c>
      <c r="L9" s="232" t="str">
        <f>IF(OR(INDEX(EURO!$B$43:$R$43,1,1+(CODE($C$1)-65)*3)="",INDEX(EURO!$B$43:$R$43,1,2+(CODE($C$1)-65)*3)=""),"",INDEX(EURO!$B$43:$R$43,1,2+(CODE($C$1)-65)*3))</f>
        <v/>
      </c>
      <c r="M9" s="249">
        <f t="shared" si="2"/>
        <v>1</v>
      </c>
      <c r="N9" s="308"/>
      <c r="O9" s="249"/>
      <c r="Z9" s="358"/>
      <c r="AA9" s="358"/>
      <c r="AB9" s="358"/>
      <c r="AC9" s="358"/>
      <c r="AD9" s="358"/>
      <c r="AE9" s="358"/>
    </row>
    <row r="10" spans="1:33" ht="15.75" thickBot="1" x14ac:dyDescent="0.3">
      <c r="L10" s="57" t="s">
        <v>188</v>
      </c>
      <c r="M10" s="59">
        <f>SUM($M$4:$M$9)</f>
        <v>6</v>
      </c>
      <c r="N10" s="119"/>
      <c r="O10" s="24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249"/>
      <c r="D11" s="81"/>
      <c r="O11" s="41" t="s">
        <v>32</v>
      </c>
      <c r="P11" s="40" t="str">
        <f t="shared" ref="P11:U14" si="8">INDEX(P$4:P$7,MATCH($V11,$V$4:$V$7,0))</f>
        <v>Italien</v>
      </c>
      <c r="Q11" s="221">
        <f t="shared" si="8"/>
        <v>9</v>
      </c>
      <c r="R11" s="39">
        <f t="shared" si="8"/>
        <v>5</v>
      </c>
      <c r="S11" s="39">
        <f t="shared" si="8"/>
        <v>5</v>
      </c>
      <c r="T11" s="39">
        <f t="shared" si="8"/>
        <v>0</v>
      </c>
      <c r="U11" s="39">
        <f t="shared" si="8"/>
        <v>3</v>
      </c>
      <c r="V11" s="352">
        <f>LARGE($V$4:$V$7,ROW(A1))</f>
        <v>90055050.003098309</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249"/>
      <c r="C12" s="249"/>
      <c r="D12" s="249"/>
      <c r="O12" s="38" t="s">
        <v>33</v>
      </c>
      <c r="P12" s="29" t="str">
        <f t="shared" si="8"/>
        <v>Schweiz</v>
      </c>
      <c r="Q12" s="222">
        <f t="shared" si="8"/>
        <v>4</v>
      </c>
      <c r="R12" s="251">
        <f t="shared" si="8"/>
        <v>1</v>
      </c>
      <c r="S12" s="329">
        <f t="shared" si="8"/>
        <v>4</v>
      </c>
      <c r="T12" s="329">
        <f t="shared" si="8"/>
        <v>3</v>
      </c>
      <c r="U12" s="327">
        <f t="shared" si="8"/>
        <v>1</v>
      </c>
      <c r="V12" s="353">
        <f>LARGE($V$4:$V$7,ROW(A2))</f>
        <v>40151040.0010911</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249"/>
      <c r="C13" s="249"/>
      <c r="D13" s="58"/>
      <c r="O13" s="38" t="s">
        <v>34</v>
      </c>
      <c r="P13" s="29" t="str">
        <f t="shared" si="8"/>
        <v>Wales</v>
      </c>
      <c r="Q13" s="222">
        <f t="shared" si="8"/>
        <v>4</v>
      </c>
      <c r="R13" s="251">
        <f t="shared" si="8"/>
        <v>1</v>
      </c>
      <c r="S13" s="329">
        <f t="shared" si="8"/>
        <v>3</v>
      </c>
      <c r="T13" s="329">
        <f t="shared" si="8"/>
        <v>2</v>
      </c>
      <c r="U13" s="327">
        <f t="shared" si="8"/>
        <v>1</v>
      </c>
      <c r="V13" s="353">
        <f>LARGE($V$4:$V$7,ROW(A3))</f>
        <v>40151030.001081206</v>
      </c>
      <c r="Z13" s="29"/>
      <c r="AA13" s="355"/>
      <c r="AB13" s="29"/>
      <c r="AC13" s="29"/>
      <c r="AD13" s="330"/>
      <c r="AE13" s="355"/>
    </row>
    <row r="14" spans="1:33" ht="15.75" thickBot="1" x14ac:dyDescent="0.3">
      <c r="B14" s="249"/>
      <c r="C14" s="249"/>
      <c r="D14" s="58"/>
      <c r="F14" s="249"/>
      <c r="G14" s="34"/>
      <c r="O14" s="37" t="s">
        <v>35</v>
      </c>
      <c r="P14" s="36" t="str">
        <f t="shared" si="8"/>
        <v>Türkei</v>
      </c>
      <c r="Q14" s="223">
        <f t="shared" si="8"/>
        <v>0</v>
      </c>
      <c r="R14" s="35">
        <f t="shared" si="8"/>
        <v>-7</v>
      </c>
      <c r="S14" s="35">
        <f t="shared" si="8"/>
        <v>1</v>
      </c>
      <c r="T14" s="35">
        <f t="shared" si="8"/>
        <v>8</v>
      </c>
      <c r="U14" s="35">
        <f t="shared" si="8"/>
        <v>0</v>
      </c>
      <c r="V14" s="354">
        <f>LARGE($V$4:$V$7,ROW(A4))</f>
        <v>43010.000086400003</v>
      </c>
      <c r="Z14" s="29"/>
      <c r="AA14" s="355"/>
      <c r="AB14" s="29"/>
      <c r="AC14" s="29"/>
      <c r="AD14" s="330"/>
      <c r="AE14" s="355"/>
    </row>
    <row r="15" spans="1:33" ht="16.5" thickTop="1" thickBot="1" x14ac:dyDescent="0.3">
      <c r="B15" s="249"/>
      <c r="C15" s="249"/>
      <c r="D15" s="83"/>
      <c r="E15" s="29"/>
      <c r="F15" s="251"/>
      <c r="G15" s="76"/>
      <c r="H15" s="29"/>
      <c r="I15" s="29"/>
      <c r="J15" s="29"/>
      <c r="K15" s="29"/>
      <c r="L15" s="79"/>
      <c r="M15" s="55"/>
      <c r="N15" s="55"/>
      <c r="O15" s="249"/>
    </row>
    <row r="16" spans="1:33" ht="15.75" thickBot="1" x14ac:dyDescent="0.3">
      <c r="B16" s="249"/>
      <c r="C16" s="249"/>
      <c r="D16" s="82"/>
      <c r="E16" s="80"/>
      <c r="F16" s="80"/>
      <c r="G16" s="488" t="s">
        <v>463</v>
      </c>
      <c r="H16" s="488"/>
      <c r="I16" s="488"/>
      <c r="J16" s="488"/>
      <c r="K16" s="488"/>
      <c r="L16" s="488"/>
      <c r="M16" s="64"/>
      <c r="N16" s="64"/>
      <c r="O16" s="249"/>
      <c r="W16" s="479" t="s">
        <v>464</v>
      </c>
      <c r="X16" s="479"/>
      <c r="Y16" s="479"/>
      <c r="Z16" s="479"/>
      <c r="AD16" s="479" t="s">
        <v>465</v>
      </c>
      <c r="AE16" s="479"/>
      <c r="AF16" s="253" t="b">
        <f>AND($Q$4=$Q$5,$Q$4=$Q$6,$Q$4=$Q$7)</f>
        <v>0</v>
      </c>
    </row>
    <row r="17" spans="2:31" ht="16.5" thickTop="1" thickBot="1" x14ac:dyDescent="0.3">
      <c r="B17" s="249"/>
      <c r="C17" s="249"/>
      <c r="D17" s="251"/>
      <c r="E17" s="325"/>
      <c r="F17" s="325"/>
      <c r="G17" s="326"/>
      <c r="H17" s="39" t="str">
        <f>LEFT($P$4,3)</f>
        <v>Tür</v>
      </c>
      <c r="I17" s="39" t="str">
        <f>LEFT($P$5,3)</f>
        <v>Ita</v>
      </c>
      <c r="J17" s="39" t="str">
        <f>LEFT($P$6,3)</f>
        <v>Wal</v>
      </c>
      <c r="K17" s="114" t="str">
        <f>LEFT($P$7,3)</f>
        <v>Sch</v>
      </c>
      <c r="L17" s="55" t="s">
        <v>462</v>
      </c>
      <c r="M17" s="55" t="s">
        <v>471</v>
      </c>
      <c r="N17" s="55"/>
      <c r="O17" s="24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249"/>
      <c r="C18" s="249"/>
      <c r="D18" s="251"/>
      <c r="E18" s="484" t="str">
        <f>$P$4</f>
        <v>Türkei</v>
      </c>
      <c r="F18" s="485"/>
      <c r="G18" s="485"/>
      <c r="H18" s="113"/>
      <c r="I18" s="39">
        <f>SUMIFS($E$4:$E$9,$B$4:$B$9,$P$4,$D$4:$D$9,$P$5)+SUMIFS($G$4:$G$9,$B$4:$B$9,$P$5,$D$4:$D$9,$P$4)</f>
        <v>0</v>
      </c>
      <c r="J18" s="39">
        <f>SUMIFS($E$4:$E$9,$B$4:$B$9,$P$4,$D$4:$D$9,$P$6)+SUMIFS($G$4:$G$9,$B$4:$B$9,$P$6,$D$4:$D$9,$P$4)</f>
        <v>0</v>
      </c>
      <c r="K18" s="114">
        <f>SUMIFS($E$4:$E$9,$B$4:$B$9,$P$4,$D$4:$D$9,$P$7)+SUMIFS($G$4:$G$9,$B$4:$B$9,$P$7,$D$4:$D$9,$P$4)</f>
        <v>1</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249" t="s">
        <v>32</v>
      </c>
      <c r="P18" t="str">
        <f>$P$4</f>
        <v>Türkei</v>
      </c>
      <c r="Q18" s="249">
        <f>SUMIFS($H$4:$H$9,$B$4:$B$9,$P18,$D$4:$D$9,"&lt;&gt;"&amp;$P$21)+SUMIFS($I$4:$I$9,$B$4:$B$9,"&lt;&gt;"&amp;$P$21,$D$4:$D$9,$P18)</f>
        <v>0</v>
      </c>
      <c r="R18" s="249">
        <f>S18-T18</f>
        <v>-5</v>
      </c>
      <c r="S18" s="249">
        <f>SUMIFS($E$4:$E$9,$B$4:$B$9,$P18,$D$4:$D$9,"&lt;&gt;"&amp;$P$21)+SUMIFS($G$4:$G$9,$B$4:$B$9,"&lt;&gt;"&amp;$P$21,$D$4:$D$9,$P18)</f>
        <v>0</v>
      </c>
      <c r="T18" s="249">
        <f>SUMIFS($G$4:$G$9,$B$4:$B$9,$P18,$D$4:$D$9,"&lt;&gt;"&amp;$P$21)+SUMIFS($E$4:$E$9,$B$4:$B$9,"&lt;&gt;"&amp;$P$21,$D$4:$D$9,$P18)</f>
        <v>5</v>
      </c>
      <c r="U18" s="308"/>
      <c r="V18" s="248">
        <f>Q18*FactorPts+(GDzero+R18)*FactorGD+S18*FactorFor</f>
        <v>45000</v>
      </c>
      <c r="W18" s="249">
        <f>RANK(V18,V$18:V$20,1)</f>
        <v>1</v>
      </c>
      <c r="X18" s="249">
        <f>IF(AND($Q$4=$Q$5,$Q$4=$Q$6,$Q$4&lt;&gt;$Q$7),W18,0)</f>
        <v>0</v>
      </c>
      <c r="Y18" s="249" t="str">
        <f>IF(AND(V18=V19,V18&lt;&gt;V20),IF(AA18&gt;AA19,3,IF(AA18=AA19,1,0)),IF(AND(V18=V20,V18&lt;&gt;V19),IF(AB18&gt;AB20,3,IF(AB18=AB20,1,0)),""))</f>
        <v/>
      </c>
      <c r="Z18" s="251" t="str">
        <f>IF(X18&gt;0,Y18,"")</f>
        <v/>
      </c>
      <c r="AA18" s="233">
        <f>$I$18</f>
        <v>0</v>
      </c>
      <c r="AB18" s="234">
        <f>$J$18</f>
        <v>0</v>
      </c>
      <c r="AC18" s="235"/>
      <c r="AD18" s="251">
        <f>IF(AND($AF$16,$AD$4=$AD$5,$AD$4=$AD$6,$AD$4&lt;&gt;$AD$7),W18,0)</f>
        <v>0</v>
      </c>
      <c r="AE18" s="251" t="str">
        <f>IF(AD18&gt;0,Y18,"")</f>
        <v/>
      </c>
    </row>
    <row r="19" spans="2:31" x14ac:dyDescent="0.25">
      <c r="B19" s="249"/>
      <c r="C19" s="249"/>
      <c r="D19" s="251"/>
      <c r="E19" s="486" t="str">
        <f>$P$5</f>
        <v>Italien</v>
      </c>
      <c r="F19" s="487"/>
      <c r="G19" s="487"/>
      <c r="H19" s="38">
        <f>SUMIFS($E$4:$E$9,$B$4:$B$9,$P$5,$D$4:$D$9,$P$4)+SUMIFS($G$4:$G$9,$B$4:$B$9,$P$4,$D$4:$D$9,$P$5)</f>
        <v>3</v>
      </c>
      <c r="I19" s="77"/>
      <c r="J19" s="251">
        <f>SUMIFS($E$4:$E$9,$B$4:$B$9,$P$5,$D$4:$D$9,$P$6)+SUMIFS($G$4:$G$9,$B$4:$B$9,$P$6,$D$4:$D$9,$P$5)</f>
        <v>1</v>
      </c>
      <c r="K19" s="56">
        <f>SUMIFS($E$4:$E$9,$B$4:$B$9,$P$5,$D$4:$D$9,$P$7)+SUMIFS($G$4:$G$9,$B$4:$B$9,$P$7,$D$4:$D$9,$P$5)</f>
        <v>1</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249" t="s">
        <v>33</v>
      </c>
      <c r="P19" t="str">
        <f>$P$5</f>
        <v>Italien</v>
      </c>
      <c r="Q19" s="249">
        <f>SUMIFS($H$4:$H$9,$B$4:$B$9,$P19,$D$4:$D$9,"&lt;&gt;"&amp;$P$21)+SUMIFS($I$4:$I$9,$B$4:$B$9,"&lt;&gt;"&amp;$P$21,$D$4:$D$9,$P19)</f>
        <v>6</v>
      </c>
      <c r="R19" s="249">
        <f>S19-T19</f>
        <v>4</v>
      </c>
      <c r="S19" s="249">
        <f>SUMIFS($E$4:$E$9,$B$4:$B$9,$P19,$D$4:$D$9,"&lt;&gt;"&amp;$P$21)+SUMIFS($G$4:$G$9,$B$4:$B$9,"&lt;&gt;"&amp;$P$21,$D$4:$D$9,$P19)</f>
        <v>4</v>
      </c>
      <c r="T19" s="249">
        <f>SUMIFS($G$4:$G$9,$B$4:$B$9,$P19,$D$4:$D$9,"&lt;&gt;"&amp;$P$21)+SUMIFS($E$4:$E$9,$B$4:$B$9,"&lt;&gt;"&amp;$P$21,$D$4:$D$9,$P19)</f>
        <v>0</v>
      </c>
      <c r="U19" s="308"/>
      <c r="V19" s="248">
        <f>Q19*FactorPts+(GDzero+R19)*FactorGD+S19*FactorFor</f>
        <v>60054040</v>
      </c>
      <c r="W19" s="249">
        <f>RANK(V19,V$18:V$20,1)</f>
        <v>3</v>
      </c>
      <c r="X19" s="249">
        <f>IF(AND($Q$4=$Q$5,$Q$4=$Q$6,$Q$4&lt;&gt;$Q$7),W19,0)</f>
        <v>0</v>
      </c>
      <c r="Y19" s="249" t="str">
        <f>IF(AND(V19=V18,V19&lt;&gt;V20),IF(AA19&gt;AA18,3,IF(AA19=AA18,1,0)),IF(AND(V19=V20,V19&lt;&gt;V18),IF(AC19&gt;AC20,3,IF(AC19=AC20,1,0)),""))</f>
        <v/>
      </c>
      <c r="Z19" s="251" t="str">
        <f t="shared" ref="Z19:Z20" si="9">IF(X19&gt;0,Y19,"")</f>
        <v/>
      </c>
      <c r="AA19" s="236">
        <f>$H$19</f>
        <v>3</v>
      </c>
      <c r="AB19" s="251"/>
      <c r="AC19" s="252">
        <f>$J$19</f>
        <v>1</v>
      </c>
      <c r="AD19" s="251">
        <f>IF(AND($AF$16,$AD$4=$AD$5,$AD$4=$AD$6,$AD$4&lt;&gt;$AD$7),W19,0)</f>
        <v>0</v>
      </c>
      <c r="AE19" s="251" t="str">
        <f t="shared" ref="AE19:AE20" si="10">IF(AD19&gt;0,Y19,"")</f>
        <v/>
      </c>
    </row>
    <row r="20" spans="2:31" x14ac:dyDescent="0.25">
      <c r="D20" s="29"/>
      <c r="E20" s="486" t="str">
        <f>$P$6</f>
        <v>Wales</v>
      </c>
      <c r="F20" s="487"/>
      <c r="G20" s="487"/>
      <c r="H20" s="38">
        <f>SUMIFS($E$4:$E$9,$B$4:$B$9,$P$6,$D$4:$D$9,$P$4)+SUMIFS($G$4:$G$9,$B$4:$B$9,$P$4,$D$4:$D$9,$P$6)</f>
        <v>2</v>
      </c>
      <c r="I20" s="251">
        <f>SUMIFS($E$4:$E$9,$B$4:$B$9,$P$6,$D$4:$D$9,$P$5)+SUMIFS($G$4:$G$9,$B$4:$B$9,$P$5,$D$4:$D$9,$P$6)</f>
        <v>0</v>
      </c>
      <c r="J20" s="77"/>
      <c r="K20" s="56">
        <f>SUMIFS($E$4:$E$9,$B$4:$B$9,$P$6,$D$4:$D$9,$P$7)+SUMIFS($G$4:$G$9,$B$4:$B$9,$P$7,$D$4:$D$9,$P$6)</f>
        <v>1</v>
      </c>
      <c r="L20" s="74">
        <f>IF(AND($Q$6=$Q$4,$Q$6&lt;&gt;$Q$5,$Q$6&lt;&gt;$Q$7),IF(H20&gt;J18,3,IF(H20=J18,1,0)),IF(AND($Q$6=$Q$5,$Q$6&lt;&gt;$Q$4,$Q$6&lt;&gt;$Q$7),IF(I20&gt;J19,3,IF(I20=J19,1,0)),IF(AND($Q$6=$Q$7,$Q$6&lt;&gt;$Q$4,$Q$6&lt;&gt;$Q$5),IF(K20&gt;J21,3,IF(K20=J21,1,0)),"")))</f>
        <v>1</v>
      </c>
      <c r="M20" s="74" t="str">
        <f>IF($AF$16,IF(AND($AD$6=$AD$4,$AD$6&lt;&gt;$AD$5,$AD$6&lt;&gt;$AD$7),IF(H20&gt;J18,3,IF(H20=J18,1,0)),IF(AND($AD$6&lt;&gt;$AD$4,$AD$6=$AD$5,$AD$6&lt;&gt;$AD$7),IF(I20&gt;J19,3,IF(I20=J19,1,0)),IF(AND($AD$6&lt;&gt;$AD$4,$AD$6&lt;&gt;$AD$5,$AD$6=$AD$7),IF(K20&gt;J21,3,IF(K20=J21,1,0)),""))),"")</f>
        <v/>
      </c>
      <c r="N20" s="307"/>
      <c r="O20" s="249" t="s">
        <v>34</v>
      </c>
      <c r="P20" t="str">
        <f>$P$6</f>
        <v>Wales</v>
      </c>
      <c r="Q20" s="249">
        <f>SUMIFS($H$4:$H$9,$B$4:$B$9,$P20,$D$4:$D$9,"&lt;&gt;"&amp;$P$21)+SUMIFS($I$4:$I$9,$B$4:$B$9,"&lt;&gt;"&amp;$P$21,$D$4:$D$9,$P20)</f>
        <v>3</v>
      </c>
      <c r="R20" s="249">
        <f>S20-T20</f>
        <v>1</v>
      </c>
      <c r="S20" s="249">
        <f>SUMIFS($E$4:$E$9,$B$4:$B$9,$P20,$D$4:$D$9,"&lt;&gt;"&amp;$P$21)+SUMIFS($G$4:$G$9,$B$4:$B$9,"&lt;&gt;"&amp;$P$21,$D$4:$D$9,$P20)</f>
        <v>2</v>
      </c>
      <c r="T20" s="249">
        <f>SUMIFS($G$4:$G$9,$B$4:$B$9,$P20,$D$4:$D$9,"&lt;&gt;"&amp;$P$21)+SUMIFS($E$4:$E$9,$B$4:$B$9,"&lt;&gt;"&amp;$P$21,$D$4:$D$9,$P20)</f>
        <v>1</v>
      </c>
      <c r="U20" s="308"/>
      <c r="V20" s="248">
        <f>Q20*FactorPts+(GDzero+R20)*FactorGD+S20*FactorFor</f>
        <v>30051020</v>
      </c>
      <c r="W20" s="249">
        <f>RANK(V20,V$18:V$20,1)</f>
        <v>2</v>
      </c>
      <c r="X20" s="249">
        <f>IF(AND($Q$4=$Q$5,$Q$4=$Q$6,$Q$4&lt;&gt;$Q$7),W20,0)</f>
        <v>0</v>
      </c>
      <c r="Y20" s="249" t="str">
        <f>IF(AND(V20=V18,V20&lt;&gt;V19),IF(AB20&gt;AB18,3,IF(AB20=AB18,1,0)),IF(AND(V20=V19,V20&lt;&gt;V18),IF(AC20&gt;AC19,3,IF(AC20=AC19,1,0)),""))</f>
        <v/>
      </c>
      <c r="Z20" s="251" t="str">
        <f t="shared" si="9"/>
        <v/>
      </c>
      <c r="AA20" s="236"/>
      <c r="AB20" s="251">
        <f>$H$20</f>
        <v>2</v>
      </c>
      <c r="AC20" s="252">
        <f>$I$20</f>
        <v>0</v>
      </c>
      <c r="AD20" s="251">
        <f>IF(AND($AF$16,$AD$4=$AD$5,$AD$4=$AD$6,$AD$4&lt;&gt;$AD$7),W20,0)</f>
        <v>0</v>
      </c>
      <c r="AE20" s="251" t="str">
        <f t="shared" si="10"/>
        <v/>
      </c>
    </row>
    <row r="21" spans="2:31" ht="15.75" thickBot="1" x14ac:dyDescent="0.3">
      <c r="B21" s="48"/>
      <c r="C21" s="49"/>
      <c r="D21" s="50"/>
      <c r="E21" s="481" t="str">
        <f>$P$7</f>
        <v>Schweiz</v>
      </c>
      <c r="F21" s="482"/>
      <c r="G21" s="482"/>
      <c r="H21" s="37">
        <f>SUMIFS($E$4:$E$9,$B$4:$B$9,$P$7,$D$4:$D$9,$P$4)+SUMIFS($G$4:$G$9,$B$4:$B$9,$P$4,$D$4:$D$9,$P$7)</f>
        <v>3</v>
      </c>
      <c r="I21" s="35">
        <f>SUMIFS($E$4:$E$9,$B$4:$B$9,$P$7,$D$4:$D$9,$P$5)+SUMIFS($G$4:$G$9,$B$4:$B$9,$P$5,$D$4:$D$9,$P$7)</f>
        <v>0</v>
      </c>
      <c r="J21" s="35">
        <f>SUMIFS($E$4:$E$9,$B$4:$B$9,$P$7,$D$4:$D$9,$P$6)+SUMIFS($G$4:$G$9,$B$4:$B$9,$P$6,$D$4:$D$9,$P$7)</f>
        <v>1</v>
      </c>
      <c r="K21" s="78"/>
      <c r="L21" s="75">
        <f>IF(AND($Q$7=$Q$4,$Q$7&lt;&gt;$Q$5,$Q$7&lt;&gt;$Q$6),IF(H21&gt;K18,3,IF(H21=K18,1,0)),IF(AND($Q$7=$Q$5,$Q$7&lt;&gt;$Q$4,$Q$7&lt;&gt;$Q$6),IF(I21&gt;K19,3,IF(I21=K19,1,0)),IF(AND($Q$7=$Q$6,$Q$7&lt;&gt;$Q$4,$Q$7&lt;&gt;$Q$5),IF(J21&gt;K20,3,IF(J21=K20,1,0)),"")))</f>
        <v>1</v>
      </c>
      <c r="M21" s="75" t="str">
        <f>IF($AF$16,IF(AND($AD$7=$AD$4,$AD$7&lt;&gt;$AD$5,$AD$7&lt;&gt;$AD$6),IF(H21&gt;K18,3,IF(H21=K18,1,0)),IF(AND($AD$7&lt;&gt;$AD$4,$AD$7=$AD$5,$AD$7&lt;&gt;$AD$6),IF(I21&gt;K19,3,IF(I21=K19,1,0)),IF(AND($AD$7&lt;&gt;$AD$4,$AD$7&lt;&gt;$AD$5,$AD$7=$AD$6),IF(J21&gt;K20,3,IF(J21=K20,1,0)),""))),"")</f>
        <v/>
      </c>
      <c r="N21" s="307"/>
      <c r="O21" s="249"/>
      <c r="P21" s="33" t="str">
        <f>$P$7</f>
        <v>Schweiz</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249"/>
      <c r="G22" s="34"/>
      <c r="L22" s="55"/>
      <c r="O22" s="249"/>
      <c r="Q22" s="243"/>
      <c r="R22" s="243"/>
      <c r="S22" s="243"/>
      <c r="T22" s="243"/>
      <c r="U22" s="243"/>
      <c r="V22" s="243"/>
      <c r="W22" s="243"/>
      <c r="X22" s="242"/>
      <c r="Y22" s="242"/>
      <c r="Z22" s="244"/>
      <c r="AA22" s="245"/>
      <c r="AB22" s="244"/>
      <c r="AC22" s="246"/>
      <c r="AD22" s="247"/>
      <c r="AE22" s="244"/>
    </row>
    <row r="23" spans="2:31" x14ac:dyDescent="0.25">
      <c r="B23" s="42"/>
      <c r="C23" s="249"/>
      <c r="O23" s="249" t="s">
        <v>32</v>
      </c>
      <c r="P23" t="str">
        <f>$P$4</f>
        <v>Türkei</v>
      </c>
      <c r="Q23" s="249">
        <f>SUMIFS($H$4:$H$9,$B$4:$B$9,$P23,$D$4:$D$9,"&lt;&gt;"&amp;$P$26)+SUMIFS($I$4:$I$9,$B$4:$B$9,"&lt;&gt;"&amp;$P$26,$D$4:$D$9,$P23)</f>
        <v>0</v>
      </c>
      <c r="R23" s="249">
        <f>S23-T23</f>
        <v>-5</v>
      </c>
      <c r="S23" s="249">
        <f>SUMIFS($E$4:$E$9,$B$4:$B$9,$P23,$D$4:$D$9,"&lt;&gt;"&amp;$P$26)+SUMIFS($G$4:$G$9,$B$4:$B$9,"&lt;&gt;"&amp;$P$26,$D$4:$D$9,$P23)</f>
        <v>1</v>
      </c>
      <c r="T23" s="249">
        <f>SUMIFS($G$4:$G$9,$B$4:$B$9,$P23,$D$4:$D$9,"&lt;&gt;"&amp;$P$26)+SUMIFS($E$4:$E$9,$B$4:$B$9,"&lt;&gt;"&amp;$P$26,$D$4:$D$9,$P23)</f>
        <v>6</v>
      </c>
      <c r="U23" s="308"/>
      <c r="V23" s="248">
        <f>Q23*FactorPts+(GDzero+R23)*FactorGD+S23*FactorFor</f>
        <v>45010</v>
      </c>
      <c r="W23" s="249">
        <f>RANK(V23,V$23:V$25,1)</f>
        <v>1</v>
      </c>
      <c r="X23" s="249">
        <f>IF(AND($Q$4=$Q$5,$Q$4=$Q$7,$Q$4&lt;&gt;$Q$6),W23,0)</f>
        <v>0</v>
      </c>
      <c r="Y23" s="249" t="str">
        <f>IF(AND(V23=V24,V23&lt;&gt;V25),IF(AA23&gt;AA24,3,IF(AA23=AA24,1,0)),IF(AND(V23=V25,V23&lt;&gt;V24),IF(AB23&gt;AB25,3,IF(AB23=AB25,1,0)),""))</f>
        <v/>
      </c>
      <c r="Z23" s="251" t="str">
        <f>IF(X23&gt;0,Y23,"")</f>
        <v/>
      </c>
      <c r="AA23" s="236">
        <f>$I$18</f>
        <v>0</v>
      </c>
      <c r="AB23" s="251">
        <f>$K$18</f>
        <v>1</v>
      </c>
      <c r="AC23" s="252"/>
      <c r="AD23" s="251">
        <f>IF(AND($AF$16,$AD$4=$AD$5,$AD$4=$AD$7,$AD$4&lt;&gt;$AD$6),W23,0)</f>
        <v>0</v>
      </c>
      <c r="AE23" s="251" t="str">
        <f>IF(AD23&gt;0,Y23,"")</f>
        <v/>
      </c>
    </row>
    <row r="24" spans="2:31" x14ac:dyDescent="0.25">
      <c r="B24" s="42"/>
      <c r="C24" s="249"/>
      <c r="O24" s="249" t="s">
        <v>33</v>
      </c>
      <c r="P24" t="str">
        <f>$P$5</f>
        <v>Italien</v>
      </c>
      <c r="Q24" s="249">
        <f>SUMIFS($H$4:$H$9,$B$4:$B$9,$P24,$D$4:$D$9,"&lt;&gt;"&amp;$P$26)+SUMIFS($I$4:$I$9,$B$4:$B$9,"&lt;&gt;"&amp;$P$26,$D$4:$D$9,$P24)</f>
        <v>6</v>
      </c>
      <c r="R24" s="249">
        <f>S24-T24</f>
        <v>4</v>
      </c>
      <c r="S24" s="249">
        <f>SUMIFS($E$4:$E$9,$B$4:$B$9,$P24,$D$4:$D$9,"&lt;&gt;"&amp;$P$26)+SUMIFS($G$4:$G$9,$B$4:$B$9,"&lt;&gt;"&amp;$P$26,$D$4:$D$9,$P24)</f>
        <v>4</v>
      </c>
      <c r="T24" s="249">
        <f>SUMIFS($G$4:$G$9,$B$4:$B$9,$P24,$D$4:$D$9,"&lt;&gt;"&amp;$P$26)+SUMIFS($E$4:$E$9,$B$4:$B$9,"&lt;&gt;"&amp;$P$26,$D$4:$D$9,$P24)</f>
        <v>0</v>
      </c>
      <c r="U24" s="308"/>
      <c r="V24" s="248">
        <f>Q24*FactorPts+(GDzero+R24)*FactorGD+S24*FactorFor</f>
        <v>60054040</v>
      </c>
      <c r="W24" s="249">
        <f>RANK(V24,V$23:V$25,1)</f>
        <v>3</v>
      </c>
      <c r="X24" s="249">
        <f>IF(AND($Q$4=$Q$5,$Q$4=$Q$7,$Q$4&lt;&gt;$Q$6),W24,0)</f>
        <v>0</v>
      </c>
      <c r="Y24" s="249" t="str">
        <f>IF(AND(V24=V23,V24&lt;&gt;V25),IF(AA24&gt;AA23,3,IF(AA24=AA23,1,0)),IF(AND(V24=V25,V24&lt;&gt;V23),IF(AC24&gt;AC25,3,IF(AC24=AC25,1,0)),""))</f>
        <v/>
      </c>
      <c r="Z24" s="251" t="str">
        <f t="shared" ref="Z24:Z25" si="11">IF(X24&gt;0,Y24,"")</f>
        <v/>
      </c>
      <c r="AA24" s="236">
        <f>$H$19</f>
        <v>3</v>
      </c>
      <c r="AB24" s="251"/>
      <c r="AC24" s="252">
        <f>$K$19</f>
        <v>1</v>
      </c>
      <c r="AD24" s="251">
        <f>IF(AND($AF$16,$AD$4=$AD$5,$AD$4=$AD$7,$AD$4&lt;&gt;$AD$6),W24,0)</f>
        <v>0</v>
      </c>
      <c r="AE24" s="251" t="str">
        <f t="shared" ref="AE24:AE25" si="12">IF(AD24&gt;0,Y24,"")</f>
        <v/>
      </c>
    </row>
    <row r="25" spans="2:31" x14ac:dyDescent="0.25">
      <c r="B25" s="42"/>
      <c r="C25" s="249"/>
      <c r="O25" s="249" t="s">
        <v>34</v>
      </c>
      <c r="P25" t="str">
        <f>$P$7</f>
        <v>Schweiz</v>
      </c>
      <c r="Q25" s="249">
        <f>SUMIFS($H$4:$H$9,$B$4:$B$9,$P25,$D$4:$D$9,"&lt;&gt;"&amp;$P$26)+SUMIFS($I$4:$I$9,$B$4:$B$9,"&lt;&gt;"&amp;$P$26,$D$4:$D$9,$P25)</f>
        <v>3</v>
      </c>
      <c r="R25" s="249">
        <f>S25-T25</f>
        <v>1</v>
      </c>
      <c r="S25" s="249">
        <f>SUMIFS($E$4:$E$9,$B$4:$B$9,$P25,$D$4:$D$9,"&lt;&gt;"&amp;$P$26)+SUMIFS($G$4:$G$9,$B$4:$B$9,"&lt;&gt;"&amp;$P$26,$D$4:$D$9,$P25)</f>
        <v>3</v>
      </c>
      <c r="T25" s="249">
        <f>SUMIFS($G$4:$G$9,$B$4:$B$9,$P25,$D$4:$D$9,"&lt;&gt;"&amp;$P$26)+SUMIFS($E$4:$E$9,$B$4:$B$9,"&lt;&gt;"&amp;$P$26,$D$4:$D$9,$P25)</f>
        <v>2</v>
      </c>
      <c r="U25" s="308"/>
      <c r="V25" s="248">
        <f>Q25*FactorPts+(GDzero+R25)*FactorGD+S25*FactorFor</f>
        <v>30051030</v>
      </c>
      <c r="W25" s="249">
        <f>RANK(V25,V$23:V$25,1)</f>
        <v>2</v>
      </c>
      <c r="X25" s="249">
        <f>IF(AND($Q$4=$Q$5,$Q$4=$Q$7,$Q$4&lt;&gt;$Q$6),W25,0)</f>
        <v>0</v>
      </c>
      <c r="Y25" s="249" t="str">
        <f>IF(AND(V25=V23,V25&lt;&gt;V24),IF(AB25&gt;AB23,3,IF(AB25=AB23,1,0)),IF(AND(V25=V24,V25&lt;&gt;V23),IF(AC25&gt;AC24,3,IF(AC25=AC24,1,0)),""))</f>
        <v/>
      </c>
      <c r="Z25" s="251" t="str">
        <f t="shared" si="11"/>
        <v/>
      </c>
      <c r="AA25" s="236"/>
      <c r="AB25" s="251">
        <f>$H$21</f>
        <v>3</v>
      </c>
      <c r="AC25" s="252">
        <f>$I$21</f>
        <v>0</v>
      </c>
      <c r="AD25" s="251">
        <f>IF(AND($AF$16,$AD$4=$AD$5,$AD$4=$AD$7,$AD$4&lt;&gt;$AD$6),W25,0)</f>
        <v>0</v>
      </c>
      <c r="AE25" s="251" t="str">
        <f t="shared" si="12"/>
        <v/>
      </c>
    </row>
    <row r="26" spans="2:31" x14ac:dyDescent="0.25">
      <c r="B26" s="42"/>
      <c r="C26" s="249"/>
      <c r="O26" s="249"/>
      <c r="P26" s="33" t="str">
        <f>$P$6</f>
        <v>Wales</v>
      </c>
      <c r="Q26" s="242"/>
      <c r="R26" s="242"/>
      <c r="S26" s="242"/>
      <c r="T26" s="242"/>
      <c r="U26" s="242"/>
      <c r="V26" s="243"/>
      <c r="W26" s="243"/>
      <c r="X26" s="242"/>
      <c r="Y26" s="242"/>
      <c r="Z26" s="244"/>
      <c r="AA26" s="245"/>
      <c r="AB26" s="244"/>
      <c r="AC26" s="246"/>
      <c r="AD26" s="247"/>
      <c r="AE26" s="244"/>
    </row>
    <row r="27" spans="2:31" x14ac:dyDescent="0.25">
      <c r="O27" s="249"/>
      <c r="Q27" s="243"/>
      <c r="R27" s="243"/>
      <c r="S27" s="243"/>
      <c r="T27" s="243"/>
      <c r="U27" s="243"/>
      <c r="V27" s="243"/>
      <c r="W27" s="243"/>
      <c r="X27" s="242"/>
      <c r="Y27" s="242"/>
      <c r="Z27" s="244"/>
      <c r="AA27" s="245"/>
      <c r="AB27" s="244"/>
      <c r="AC27" s="246"/>
      <c r="AD27" s="247"/>
      <c r="AE27" s="244"/>
    </row>
    <row r="28" spans="2:31" x14ac:dyDescent="0.25">
      <c r="O28" s="249" t="s">
        <v>32</v>
      </c>
      <c r="P28" t="str">
        <f>$P$4</f>
        <v>Türkei</v>
      </c>
      <c r="Q28" s="249">
        <f>SUMIFS($H$4:$H$9,$B$4:$B$9,$P28,$D$4:$D$9,"&lt;&gt;"&amp;$P$31)+SUMIFS($I$4:$I$9,$B$4:$B$9,"&lt;&gt;"&amp;$P$31,$D$4:$D$9,$P28)</f>
        <v>0</v>
      </c>
      <c r="R28" s="249">
        <f>S28-T28</f>
        <v>-4</v>
      </c>
      <c r="S28" s="249">
        <f>SUMIFS($E$4:$E$9,$B$4:$B$9,$P28,$D$4:$D$9,"&lt;&gt;"&amp;$P$31)+SUMIFS($G$4:$G$9,$B$4:$B$9,"&lt;&gt;"&amp;$P$31,$D$4:$D$9,$P28)</f>
        <v>1</v>
      </c>
      <c r="T28" s="249">
        <f>SUMIFS($G$4:$G$9,$B$4:$B$9,$P28,$D$4:$D$9,"&lt;&gt;"&amp;$P$31)+SUMIFS($E$4:$E$9,$B$4:$B$9,"&lt;&gt;"&amp;$P$31,$D$4:$D$9,$P28)</f>
        <v>5</v>
      </c>
      <c r="U28" s="308"/>
      <c r="V28" s="248">
        <f>Q28*FactorPts+(GDzero+R28)*FactorGD+S28*FactorFor</f>
        <v>46010</v>
      </c>
      <c r="W28" s="249">
        <f>_xlfn.RANK.EQ(V28,V$28:V$30,1)</f>
        <v>1</v>
      </c>
      <c r="X28" s="249">
        <f>IF(AND($Q$4=$Q$6,$Q$4=$Q$7,$Q$4&lt;&gt;$Q$5),W28,0)</f>
        <v>0</v>
      </c>
      <c r="Y28" s="249" t="str">
        <f>IF(AND(V28=V29,V28&lt;&gt;V30),IF(AA28&gt;AA29,3,IF(AA28=AA29,1,0)),IF(AND(V28=V30,V28&lt;&gt;V29),IF(AB28&gt;AB30,3,IF(AB28=AB30,1,0)),""))</f>
        <v/>
      </c>
      <c r="Z28" s="251" t="str">
        <f>IF(X28&gt;0,Y28,"")</f>
        <v/>
      </c>
      <c r="AA28" s="236">
        <f>$J$18</f>
        <v>0</v>
      </c>
      <c r="AB28" s="251">
        <f>$K$18</f>
        <v>1</v>
      </c>
      <c r="AC28" s="252"/>
      <c r="AD28" s="251">
        <f>IF(AND($AF$16,$AD$4=$AD$6,$AD$4=$AD$7,$AD$4&lt;&gt;$AD$5),W28,0)</f>
        <v>0</v>
      </c>
      <c r="AE28" s="251" t="str">
        <f>IF(AD28&gt;0,Y28,"")</f>
        <v/>
      </c>
    </row>
    <row r="29" spans="2:31" x14ac:dyDescent="0.25">
      <c r="O29" s="249" t="s">
        <v>33</v>
      </c>
      <c r="P29" t="str">
        <f>$P$6</f>
        <v>Wales</v>
      </c>
      <c r="Q29" s="249">
        <f>SUMIFS($H$4:$H$9,$B$4:$B$9,$P29,$D$4:$D$9,"&lt;&gt;"&amp;$P$31)+SUMIFS($I$4:$I$9,$B$4:$B$9,"&lt;&gt;"&amp;$P$31,$D$4:$D$9,$P29)</f>
        <v>4</v>
      </c>
      <c r="R29" s="249">
        <f>S29-T29</f>
        <v>2</v>
      </c>
      <c r="S29" s="249">
        <f>SUMIFS($E$4:$E$9,$B$4:$B$9,$P29,$D$4:$D$9,"&lt;&gt;"&amp;$P$31)+SUMIFS($G$4:$G$9,$B$4:$B$9,"&lt;&gt;"&amp;$P$31,$D$4:$D$9,$P29)</f>
        <v>3</v>
      </c>
      <c r="T29" s="249">
        <f>SUMIFS($G$4:$G$9,$B$4:$B$9,$P29,$D$4:$D$9,"&lt;&gt;"&amp;$P$31)+SUMIFS($E$4:$E$9,$B$4:$B$9,"&lt;&gt;"&amp;$P$31,$D$4:$D$9,$P29)</f>
        <v>1</v>
      </c>
      <c r="U29" s="308"/>
      <c r="V29" s="248">
        <f>Q29*FactorPts+(GDzero+R29)*FactorGD+S29*FactorFor</f>
        <v>40052030</v>
      </c>
      <c r="W29" s="249">
        <f>_xlfn.RANK.EQ(V29,V$28:V$30,1)</f>
        <v>2</v>
      </c>
      <c r="X29" s="249">
        <f>IF(AND($Q$4=$Q$6,$Q$4=$Q$7,$Q$4&lt;&gt;$Q$5),W29,0)</f>
        <v>0</v>
      </c>
      <c r="Y29" s="249" t="str">
        <f>IF(AND(V29=V28,V29&lt;&gt;V30),IF(AA29&gt;AA28,3,IF(AA29=AA28,1,0)),IF(AND(V29=V30,V29&lt;&gt;V28),IF(AC29&gt;AC30,3,IF(AC29=AC30,1,0)),""))</f>
        <v/>
      </c>
      <c r="Z29" s="251" t="str">
        <f t="shared" ref="Z29:Z30" si="13">IF(X29&gt;0,Y29,"")</f>
        <v/>
      </c>
      <c r="AA29" s="236">
        <f>$H$20</f>
        <v>2</v>
      </c>
      <c r="AB29" s="251"/>
      <c r="AC29" s="252">
        <f>$K$20</f>
        <v>1</v>
      </c>
      <c r="AD29" s="251">
        <f>IF(AND($AF$16,$AD$4=$AD$6,$AD$4=$AD$7,$AD$4&lt;&gt;$AD$5),W29,0)</f>
        <v>0</v>
      </c>
      <c r="AE29" s="251" t="str">
        <f t="shared" ref="AE29:AE30" si="14">IF(AD29&gt;0,Y29,"")</f>
        <v/>
      </c>
    </row>
    <row r="30" spans="2:31" x14ac:dyDescent="0.25">
      <c r="O30" s="249" t="s">
        <v>34</v>
      </c>
      <c r="P30" t="str">
        <f>$P$7</f>
        <v>Schweiz</v>
      </c>
      <c r="Q30" s="249">
        <f>SUMIFS($H$4:$H$9,$B$4:$B$9,$P30,$D$4:$D$9,"&lt;&gt;"&amp;$P$31)+SUMIFS($I$4:$I$9,$B$4:$B$9,"&lt;&gt;"&amp;$P$31,$D$4:$D$9,$P30)</f>
        <v>4</v>
      </c>
      <c r="R30" s="249">
        <f>S30-T30</f>
        <v>2</v>
      </c>
      <c r="S30" s="249">
        <f>SUMIFS($E$4:$E$9,$B$4:$B$9,$P30,$D$4:$D$9,"&lt;&gt;"&amp;$P$31)+SUMIFS($G$4:$G$9,$B$4:$B$9,"&lt;&gt;"&amp;$P$31,$D$4:$D$9,$P30)</f>
        <v>4</v>
      </c>
      <c r="T30" s="249">
        <f>SUMIFS($G$4:$G$9,$B$4:$B$9,$P30,$D$4:$D$9,"&lt;&gt;"&amp;$P$31)+SUMIFS($E$4:$E$9,$B$4:$B$9,"&lt;&gt;"&amp;$P$31,$D$4:$D$9,$P30)</f>
        <v>2</v>
      </c>
      <c r="U30" s="308"/>
      <c r="V30" s="248">
        <f>Q30*FactorPts+(GDzero+R30)*FactorGD+S30*FactorFor</f>
        <v>40052040</v>
      </c>
      <c r="W30" s="249">
        <f>_xlfn.RANK.EQ(V30,V$28:V$30,1)</f>
        <v>3</v>
      </c>
      <c r="X30" s="249">
        <f>IF(AND($Q$4=$Q$6,$Q$4=$Q$7,$Q$4&lt;&gt;$Q$5),W30,0)</f>
        <v>0</v>
      </c>
      <c r="Y30" s="249" t="str">
        <f>IF(AND(V30=V28,V30&lt;&gt;V29),IF(AB30&gt;AB28,3,IF(AB30=AB28,1,0)),IF(AND(V30=V29,V30&lt;&gt;V28),IF(AC30&gt;AC29,3,IF(AC30=AC29,1,0)),""))</f>
        <v/>
      </c>
      <c r="Z30" s="251" t="str">
        <f t="shared" si="13"/>
        <v/>
      </c>
      <c r="AA30" s="236"/>
      <c r="AB30" s="251">
        <f>$H$21</f>
        <v>3</v>
      </c>
      <c r="AC30" s="252">
        <f>$J$21</f>
        <v>1</v>
      </c>
      <c r="AD30" s="251">
        <f>IF(AND($AF$16,$AD$4=$AD$6,$AD$4=$AD$7,$AD$4&lt;&gt;$AD$5),W30,0)</f>
        <v>0</v>
      </c>
      <c r="AE30" s="251" t="str">
        <f t="shared" si="14"/>
        <v/>
      </c>
    </row>
    <row r="31" spans="2:31" x14ac:dyDescent="0.25">
      <c r="O31" s="249"/>
      <c r="P31" s="33" t="str">
        <f>$P$5</f>
        <v>Italien</v>
      </c>
      <c r="Q31" s="242"/>
      <c r="R31" s="242"/>
      <c r="S31" s="242"/>
      <c r="T31" s="242"/>
      <c r="U31" s="242"/>
      <c r="V31" s="243"/>
      <c r="W31" s="243"/>
      <c r="X31" s="242"/>
      <c r="Y31" s="242"/>
      <c r="Z31" s="244"/>
      <c r="AA31" s="245"/>
      <c r="AB31" s="244"/>
      <c r="AC31" s="246"/>
      <c r="AD31" s="247"/>
      <c r="AE31" s="244"/>
    </row>
    <row r="32" spans="2:31" x14ac:dyDescent="0.25">
      <c r="O32" s="249"/>
      <c r="Q32" s="243"/>
      <c r="R32" s="243"/>
      <c r="S32" s="243"/>
      <c r="T32" s="243"/>
      <c r="U32" s="243"/>
      <c r="V32" s="243"/>
      <c r="W32" s="243"/>
      <c r="X32" s="242"/>
      <c r="Y32" s="242"/>
      <c r="Z32" s="244"/>
      <c r="AA32" s="245"/>
      <c r="AB32" s="244"/>
      <c r="AC32" s="246"/>
      <c r="AD32" s="247"/>
      <c r="AE32" s="244"/>
    </row>
    <row r="33" spans="15:31" x14ac:dyDescent="0.25">
      <c r="O33" s="249" t="s">
        <v>32</v>
      </c>
      <c r="P33" t="str">
        <f>$P$5</f>
        <v>Italien</v>
      </c>
      <c r="Q33" s="249">
        <f>SUMIFS($H$4:$H$9,$B$4:$B$9,$P33,$D$4:$D$9,"&lt;&gt;"&amp;$P$36)+SUMIFS($I$4:$I$9,$B$4:$B$9,"&lt;&gt;"&amp;$P$36,$D$4:$D$9,$P33)</f>
        <v>6</v>
      </c>
      <c r="R33" s="249">
        <f>S33-T33</f>
        <v>2</v>
      </c>
      <c r="S33" s="249">
        <f>SUMIFS($E$4:$E$9,$B$4:$B$9,$P33,$D$4:$D$9,"&lt;&gt;"&amp;$P$36)+SUMIFS($G$4:$G$9,$B$4:$B$9,"&lt;&gt;"&amp;$P$36,$D$4:$D$9,$P33)</f>
        <v>2</v>
      </c>
      <c r="T33" s="249">
        <f>SUMIFS($G$4:$G$9,$B$4:$B$9,$P33,$D$4:$D$9,"&lt;&gt;"&amp;$P$36)+SUMIFS($E$4:$E$9,$B$4:$B$9,"&lt;&gt;"&amp;$P$36,$D$4:$D$9,$P33)</f>
        <v>0</v>
      </c>
      <c r="U33" s="308"/>
      <c r="V33" s="248">
        <f>Q33*FactorPts+(GDzero+R33)*FactorGD+S33*FactorFor</f>
        <v>60052020</v>
      </c>
      <c r="W33" s="249">
        <f>RANK(V33,V$33:V$35,1)</f>
        <v>3</v>
      </c>
      <c r="X33" s="249">
        <f>IF(AND($Q$5=$Q$6,$Q$5=$Q$7,$Q$5&lt;&gt;$Q$4),W33,0)</f>
        <v>0</v>
      </c>
      <c r="Y33" s="249" t="str">
        <f>IF(AND(V33=V34,V33&lt;&gt;V35),IF(AA33&gt;AA34,3,IF(AA33=AA34,1,0)),IF(AND(V33=V35,V33&lt;&gt;V34),IF(AB33&gt;AB35,3,IF(AB33=AB35,1,0)),""))</f>
        <v/>
      </c>
      <c r="Z33" s="251" t="str">
        <f>IF(X33&gt;0,Y33,"")</f>
        <v/>
      </c>
      <c r="AA33" s="236">
        <f>$J$19</f>
        <v>1</v>
      </c>
      <c r="AB33" s="251">
        <f>$K$19</f>
        <v>1</v>
      </c>
      <c r="AC33" s="252"/>
      <c r="AD33" s="251">
        <f>IF(AND($AF$16,$AD$5=$AD$6,$AD$5=$AD$7,$AD$5&lt;&gt;$AD$4),W33,0)</f>
        <v>0</v>
      </c>
      <c r="AE33" s="251" t="str">
        <f>IF(AD33&gt;0,Y33,"")</f>
        <v/>
      </c>
    </row>
    <row r="34" spans="15:31" x14ac:dyDescent="0.25">
      <c r="O34" s="249" t="s">
        <v>33</v>
      </c>
      <c r="P34" t="str">
        <f>$P$6</f>
        <v>Wales</v>
      </c>
      <c r="Q34" s="249">
        <f>SUMIFS($H$4:$H$9,$B$4:$B$9,$P34,$D$4:$D$9,"&lt;&gt;"&amp;$P$36)+SUMIFS($I$4:$I$9,$B$4:$B$9,"&lt;&gt;"&amp;$P$36,$D$4:$D$9,$P34)</f>
        <v>1</v>
      </c>
      <c r="R34" s="249">
        <f>S34-T34</f>
        <v>-1</v>
      </c>
      <c r="S34" s="249">
        <f>SUMIFS($E$4:$E$9,$B$4:$B$9,$P34,$D$4:$D$9,"&lt;&gt;"&amp;$P$36)+SUMIFS($G$4:$G$9,$B$4:$B$9,"&lt;&gt;"&amp;$P$36,$D$4:$D$9,$P34)</f>
        <v>1</v>
      </c>
      <c r="T34" s="249">
        <f>SUMIFS($G$4:$G$9,$B$4:$B$9,$P34,$D$4:$D$9,"&lt;&gt;"&amp;$P$36)+SUMIFS($E$4:$E$9,$B$4:$B$9,"&lt;&gt;"&amp;$P$36,$D$4:$D$9,$P34)</f>
        <v>2</v>
      </c>
      <c r="U34" s="308"/>
      <c r="V34" s="248">
        <f>Q34*FactorPts+(GDzero+R34)*FactorGD+S34*FactorFor</f>
        <v>10049010</v>
      </c>
      <c r="W34" s="249">
        <f>RANK(V34,V$33:V$35,1)</f>
        <v>1</v>
      </c>
      <c r="X34" s="249">
        <f>IF(AND($Q$5=$Q$6,$Q$5=$Q$7,$Q$5&lt;&gt;$Q$4),W34,0)</f>
        <v>0</v>
      </c>
      <c r="Y34" s="249">
        <f>IF(AND(V34=V33,V34&lt;&gt;V35),IF(AA34&gt;AA33,3,IF(AA34=AA33,1,0)),IF(AND(V34=V35,V34&lt;&gt;V33),IF(AC34&gt;AC35,3,IF(AC34=AC35,1,0)),""))</f>
        <v>1</v>
      </c>
      <c r="Z34" s="251" t="str">
        <f t="shared" ref="Z34:Z35" si="15">IF(X34&gt;0,Y34,"")</f>
        <v/>
      </c>
      <c r="AA34" s="236">
        <f>$I$20</f>
        <v>0</v>
      </c>
      <c r="AB34" s="251"/>
      <c r="AC34" s="252">
        <f>$K$20</f>
        <v>1</v>
      </c>
      <c r="AD34" s="251">
        <f>IF(AND($AF$16,$AD$5=$AD$6,$AD$5=$AD$7,$AD$5&lt;&gt;$AD$4),W34,0)</f>
        <v>0</v>
      </c>
      <c r="AE34" s="251" t="str">
        <f t="shared" ref="AE34:AE35" si="16">IF(AD34&gt;0,Y34,"")</f>
        <v/>
      </c>
    </row>
    <row r="35" spans="15:31" ht="15.75" thickBot="1" x14ac:dyDescent="0.3">
      <c r="O35" s="249" t="s">
        <v>34</v>
      </c>
      <c r="P35" t="str">
        <f>$P$7</f>
        <v>Schweiz</v>
      </c>
      <c r="Q35" s="249">
        <f>SUMIFS($H$4:$H$9,$B$4:$B$9,$P35,$D$4:$D$9,"&lt;&gt;"&amp;$P$36)+SUMIFS($I$4:$I$9,$B$4:$B$9,"&lt;&gt;"&amp;$P$36,$D$4:$D$9,$P35)</f>
        <v>1</v>
      </c>
      <c r="R35" s="249">
        <f>S35-T35</f>
        <v>-1</v>
      </c>
      <c r="S35" s="249">
        <f>SUMIFS($E$4:$E$9,$B$4:$B$9,$P35,$D$4:$D$9,"&lt;&gt;"&amp;$P$36)+SUMIFS($G$4:$G$9,$B$4:$B$9,"&lt;&gt;"&amp;$P$36,$D$4:$D$9,$P35)</f>
        <v>1</v>
      </c>
      <c r="T35" s="249">
        <f>SUMIFS($G$4:$G$9,$B$4:$B$9,$P35,$D$4:$D$9,"&lt;&gt;"&amp;$P$36)+SUMIFS($E$4:$E$9,$B$4:$B$9,"&lt;&gt;"&amp;$P$36,$D$4:$D$9,$P35)</f>
        <v>2</v>
      </c>
      <c r="U35" s="308"/>
      <c r="V35" s="248">
        <f>Q35*FactorPts+(GDzero+R35)*FactorGD+S35*FactorFor</f>
        <v>10049010</v>
      </c>
      <c r="W35" s="249">
        <f>RANK(V35,V$33:V$35,1)</f>
        <v>1</v>
      </c>
      <c r="X35" s="249">
        <f>IF(AND($Q$5=$Q$6,$Q$5=$Q$7,$Q$5&lt;&gt;$Q$4),W35,0)</f>
        <v>0</v>
      </c>
      <c r="Y35" s="249">
        <f>IF(AND(V35=V33,V35&lt;&gt;V34),IF(AB35&gt;AB33,3,IF(AB35=AB33,1,0)),IF(AND(V35=V34,V35&lt;&gt;V33),IF(AC35&gt;AC34,3,IF(AC35=AC34,1,0)),""))</f>
        <v>1</v>
      </c>
      <c r="Z35" s="251" t="str">
        <f t="shared" si="15"/>
        <v/>
      </c>
      <c r="AA35" s="237"/>
      <c r="AB35" s="238">
        <f>$I$21</f>
        <v>0</v>
      </c>
      <c r="AC35" s="239">
        <f>$J$21</f>
        <v>1</v>
      </c>
      <c r="AD35" s="251">
        <f>IF(AND($AF$16,$AD$5=$AD$6,$AD$5=$AD$7,$AD$5&lt;&gt;$AD$4),W35,0)</f>
        <v>0</v>
      </c>
      <c r="AE35" s="251" t="str">
        <f t="shared" si="16"/>
        <v/>
      </c>
    </row>
    <row r="36" spans="15:31" x14ac:dyDescent="0.25">
      <c r="O36" s="249"/>
      <c r="P36" s="33" t="str">
        <f>$P$4</f>
        <v>Türkei</v>
      </c>
      <c r="Q36" s="249"/>
      <c r="R36" s="249"/>
      <c r="S36" s="249"/>
      <c r="T36" s="249"/>
      <c r="U36" s="308"/>
    </row>
  </sheetData>
  <mergeCells count="12">
    <mergeCell ref="AD16:AE16"/>
    <mergeCell ref="AA17:AC17"/>
    <mergeCell ref="E21:G21"/>
    <mergeCell ref="B3:D3"/>
    <mergeCell ref="E3:G3"/>
    <mergeCell ref="H3:I3"/>
    <mergeCell ref="E18:G18"/>
    <mergeCell ref="E19:G19"/>
    <mergeCell ref="E20:G20"/>
    <mergeCell ref="G16:L16"/>
    <mergeCell ref="W16:Z16"/>
    <mergeCell ref="J3:L3"/>
  </mergeCells>
  <pageMargins left="0.7" right="0.7" top="0.78740157499999996" bottom="0.78740157499999996"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011E2-22C9-4566-82DF-19CCE707C855}">
  <sheetPr codeName="Tabelle7"/>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26</v>
      </c>
      <c r="D1" s="46"/>
      <c r="O1" s="329"/>
      <c r="Q1" s="192"/>
    </row>
    <row r="2" spans="1:33" ht="8.25" customHeight="1" x14ac:dyDescent="0.25">
      <c r="O2" s="329"/>
    </row>
    <row r="3" spans="1:33" x14ac:dyDescent="0.25">
      <c r="B3" s="483" t="s">
        <v>194</v>
      </c>
      <c r="C3" s="483"/>
      <c r="D3" s="483"/>
      <c r="E3" s="483" t="s">
        <v>195</v>
      </c>
      <c r="F3" s="483"/>
      <c r="G3" s="483"/>
      <c r="H3" s="483" t="s">
        <v>190</v>
      </c>
      <c r="I3" s="483"/>
      <c r="J3" s="483" t="s">
        <v>895</v>
      </c>
      <c r="K3" s="483"/>
      <c r="L3" s="483"/>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Dänemark</v>
      </c>
      <c r="C4" s="226" t="s">
        <v>36</v>
      </c>
      <c r="D4" s="227" t="str">
        <f>INDEX(EURO!$B$13:$R$40,1,2+(CODE($C$1)-65)*3)</f>
        <v>Finnland</v>
      </c>
      <c r="E4" s="225">
        <f>IF(OR(INDEX(EURO!$B$14:$R$41,1,1+(CODE($C$1)-65)*3)="",INDEX(EURO!$B$14:$R$41,1,2+(CODE($C$1)-65)*3)=""),"",INDEX(EURO!$B$14:$R$41,1,1+(CODE($C$1)-65)*3))</f>
        <v>0</v>
      </c>
      <c r="F4" s="226" t="s">
        <v>36</v>
      </c>
      <c r="G4" s="231">
        <f>IF(OR(INDEX(EURO!$B$14:$R$41,1,1+(CODE($C$1)-65)*3)="",INDEX(EURO!$B$14:$R$41,1,2+(CODE($C$1)-65)*3)=""),"",INDEX(EURO!$B$14:$R$41,1,2+(CODE($C$1)-65)*3))</f>
        <v>1</v>
      </c>
      <c r="H4" s="329">
        <f t="shared" ref="H4:H9" si="0">IF($M4&gt;0,IF($E4&gt;$G4,3,IF($E4=$G4,1,0)),0)</f>
        <v>0</v>
      </c>
      <c r="I4" s="329">
        <f t="shared" ref="I4:I9" si="1">IF($M4&gt;0,IF($E4&lt;$G4,3,IF($E4=$G4,1,0)),0)</f>
        <v>3</v>
      </c>
      <c r="L4" s="34"/>
      <c r="M4" s="329">
        <f t="shared" ref="M4:M9" si="2">IF(AND($E4&lt;&gt;"",$G4&lt;&gt;""),1,0)</f>
        <v>1</v>
      </c>
      <c r="N4" s="329"/>
      <c r="O4" s="329" t="s">
        <v>32</v>
      </c>
      <c r="P4" s="43" t="str">
        <f>VLOOKUP($C$1&amp;1,Groups!$B$7:$D$35,3,0)</f>
        <v>Dänemark</v>
      </c>
      <c r="Q4" s="329">
        <f>SUMIF($B$4:$B$9,P4,$H$4:$H$9)+SUMIF($D$4:$D$9,P4,$I$4:$I$9)</f>
        <v>3</v>
      </c>
      <c r="R4" s="329">
        <f>S4-T4</f>
        <v>1</v>
      </c>
      <c r="S4" s="329">
        <f>SUMIF($B$4:$B$9,$P4,$E$4:$E$9)+SUMIF($D$4:$D$9,$P4,$G$4:$G$9)</f>
        <v>5</v>
      </c>
      <c r="T4" s="329">
        <f>SUMIF($B$4:$B$9,$P4,$G$4:$G$9)+SUMIF($D$4:$D$9,$P4,$E$4:$E$9)</f>
        <v>4</v>
      </c>
      <c r="U4" s="308">
        <f>COUNTIFS($B$4:$B$9,$P4,$H$4:$H$9,"=3")+COUNTIFS($D$4:$D$9,$P4,$I$4:$I$9,"=3")</f>
        <v>1</v>
      </c>
      <c r="V4" s="351">
        <f>$Q4*FactorPts+(GDzero+$R4)*FactorGD+$S4*FactorFor+$U4*FactorWins+$W4*FactorDirC3+$X4*FactorDirC2+$Y4*FactorDirC43+$Z4*FactorDirC42+$AA4*FactorDirC42+$AB4*FactorFairPlay+$AE4*FactorPenalty+(100-$AF4)*($M$10&gt;0)*FactorRank+(8-ROW())*FactorRow</f>
        <v>33051050.001085397</v>
      </c>
      <c r="W4" s="307">
        <f>SUMIFS($X$18:$X$35,$P$18:$P$35,$P4)</f>
        <v>3</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30051050</v>
      </c>
      <c r="AE4" s="308">
        <f>IF(OR(AND($Y$11&gt;0,OR(AND($B$8=$P4,$J$8&gt;$L$8),AND($D$8=$P4,$J$8&lt;$L$8))),AND($Y$12&gt;0,OR(AND($B$9=$P4,$J$9&gt;$L$9),AND($D$9=$P4,$J$9&lt;$L$9)))),1,0)</f>
        <v>0</v>
      </c>
      <c r="AF4" s="308">
        <f>INDEX(Language!$D$5:$D$59,MATCH($P4,Language!$E$5:$E$59,0),1)</f>
        <v>15</v>
      </c>
      <c r="AG4" s="308"/>
    </row>
    <row r="5" spans="1:33" x14ac:dyDescent="0.25">
      <c r="B5" s="230" t="str">
        <f>INDEX(EURO!$B$13:$R$40,6,1+(CODE($C$1)-65)*3)</f>
        <v>Belgien</v>
      </c>
      <c r="C5" s="229" t="s">
        <v>36</v>
      </c>
      <c r="D5" s="230" t="str">
        <f>INDEX(EURO!$B$13:$R$40,6,2+(CODE($C$1)-65)*3)</f>
        <v>Russland</v>
      </c>
      <c r="E5" s="228">
        <f>IF(OR(INDEX(EURO!$B$14:$R$41,6,1+(CODE($C$1)-65)*3)="",INDEX(EURO!$B$14:$R$41,6,2+(CODE($C$1)-65)*3)=""),"",INDEX(EURO!$B$14:$R$41,6,1+(CODE($C$1)-65)*3))</f>
        <v>3</v>
      </c>
      <c r="F5" s="229" t="s">
        <v>36</v>
      </c>
      <c r="G5" s="232">
        <f>IF(OR(INDEX(EURO!$B$14:$R$41,6,1+(CODE($C$1)-65)*3)="",INDEX(EURO!$B$14:$R$41,6,2+(CODE($C$1)-65)*3)=""),"",INDEX(EURO!$B$14:$R$41,6,2+(CODE($C$1)-65)*3))</f>
        <v>0</v>
      </c>
      <c r="H5" s="329">
        <f t="shared" si="0"/>
        <v>3</v>
      </c>
      <c r="I5" s="329">
        <f t="shared" si="1"/>
        <v>0</v>
      </c>
      <c r="L5" s="34"/>
      <c r="M5" s="329">
        <f t="shared" si="2"/>
        <v>1</v>
      </c>
      <c r="N5" s="329"/>
      <c r="O5" s="329" t="s">
        <v>33</v>
      </c>
      <c r="P5" s="43" t="str">
        <f>VLOOKUP($C$1&amp;2,Groups!$B$7:$D$35,3,0)</f>
        <v>Finnland</v>
      </c>
      <c r="Q5" s="329">
        <f t="shared" ref="Q5:Q7" si="3">SUMIF($B$4:$B$9,P5,$H$4:$H$9)+SUMIF($D$4:$D$9,P5,$I$4:$I$9)</f>
        <v>3</v>
      </c>
      <c r="R5" s="329">
        <f>S5-T5</f>
        <v>-2</v>
      </c>
      <c r="S5" s="329">
        <f>SUMIF($B$4:$B$9,$P5,$E$4:$E$9)+SUMIF($D$4:$D$9,$P5,$G$4:$G$9)</f>
        <v>1</v>
      </c>
      <c r="T5" s="329">
        <f>SUMIF($B$4:$B$9,$P5,$G$4:$G$9)+SUMIF($D$4:$D$9,$P5,$E$4:$E$9)</f>
        <v>3</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32048010.001080301</v>
      </c>
      <c r="W5" s="307">
        <f t="shared" ref="W5:W7" si="5">SUMIFS($X$18:$X$35,$P$18:$P$35,$P5)</f>
        <v>2</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30048010</v>
      </c>
      <c r="AE5" s="308">
        <f>IF(OR(AND($Y$11&gt;0,OR(AND($B$8=$P5,$J$8&gt;$L$8),AND($D$8=$P5,$J$8&lt;$L$8))),AND($Y$12&gt;0,OR(AND($B$9=$P5,$J$9&gt;$L$9),AND($D$9=$P5,$J$9&lt;$L$9)))),1,0)</f>
        <v>0</v>
      </c>
      <c r="AF5" s="308">
        <f>INDEX(Language!$D$5:$D$59,MATCH($P5,Language!$E$5:$E$59,0),1)</f>
        <v>20</v>
      </c>
    </row>
    <row r="6" spans="1:33" x14ac:dyDescent="0.25">
      <c r="B6" s="230" t="str">
        <f>INDEX(EURO!$B$13:$R$40,11,1+(CODE($C$1)-65)*3)</f>
        <v>Dänemark</v>
      </c>
      <c r="C6" s="229" t="s">
        <v>36</v>
      </c>
      <c r="D6" s="230" t="str">
        <f>INDEX(EURO!$B$13:$R$40,11,2+(CODE($C$1)-65)*3)</f>
        <v>Belgien</v>
      </c>
      <c r="E6" s="228">
        <f>IF(OR(INDEX(EURO!$B$14:$R$41,11,1+(CODE($C$1)-65)*3)="",INDEX(EURO!$B$14:$R$41,11,2+(CODE($C$1)-65)*3)=""),"",INDEX(EURO!$B$14:$R$41,11,1+(CODE($C$1)-65)*3))</f>
        <v>1</v>
      </c>
      <c r="F6" s="229" t="s">
        <v>36</v>
      </c>
      <c r="G6" s="232">
        <f>IF(OR(INDEX(EURO!$B$14:$R$41,11,1+(CODE($C$1)-65)*3)="",INDEX(EURO!$B$14:$R$41,11,2+(CODE($C$1)-65)*3)=""),"",INDEX(EURO!$B$14:$R$41,11,2+(CODE($C$1)-65)*3))</f>
        <v>2</v>
      </c>
      <c r="H6" s="329">
        <f t="shared" si="0"/>
        <v>0</v>
      </c>
      <c r="I6" s="329">
        <f t="shared" si="1"/>
        <v>3</v>
      </c>
      <c r="L6" s="34"/>
      <c r="M6" s="329">
        <f t="shared" si="2"/>
        <v>1</v>
      </c>
      <c r="N6" s="329"/>
      <c r="O6" s="329" t="s">
        <v>34</v>
      </c>
      <c r="P6" s="43" t="str">
        <f>VLOOKUP($C$1&amp;3,Groups!$B$7:$D$35,3,0)</f>
        <v>Belgien</v>
      </c>
      <c r="Q6" s="329">
        <f t="shared" si="3"/>
        <v>9</v>
      </c>
      <c r="R6" s="329">
        <f>S6-T6</f>
        <v>6</v>
      </c>
      <c r="S6" s="329">
        <f>SUMIF($B$4:$B$9,$P6,$E$4:$E$9)+SUMIF($D$4:$D$9,$P6,$G$4:$G$9)</f>
        <v>7</v>
      </c>
      <c r="T6" s="329">
        <f>SUMIF($B$4:$B$9,$P6,$G$4:$G$9)+SUMIF($D$4:$D$9,$P6,$E$4:$E$9)</f>
        <v>1</v>
      </c>
      <c r="U6" s="308">
        <f t="shared" si="4"/>
        <v>3</v>
      </c>
      <c r="V6" s="351">
        <f>$Q6*FactorPts+(GDzero+$R6)*FactorGD+$S6*FactorFor+$U6*FactorWins+$W6*FactorDirC3+$X6*FactorDirC2+$Y6*FactorDirC43+$Z6*FactorDirC42+$AA6*FactorDirC42+$AB6*FactorFairPlay+$AE6*FactorPenalty+(100-$AF6)*($M$10&gt;0)*FactorRank+(8-ROW())*FactorRow</f>
        <v>90056070.003099203</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90056070</v>
      </c>
      <c r="AE6" s="308">
        <f>IF(OR(AND($Y$11&gt;0,OR(AND($B$8=$P6,$J$8&gt;$L$8),AND($D$8=$P6,$J$8&lt;$L$8))),AND($Y$12&gt;0,OR(AND($B$9=$P6,$J$9&gt;$L$9),AND($D$9=$P6,$J$9&lt;$L$9)))),1,0)</f>
        <v>0</v>
      </c>
      <c r="AF6" s="308">
        <f>INDEX(Language!$D$5:$D$59,MATCH($P6,Language!$E$5:$E$59,0),1)</f>
        <v>1</v>
      </c>
    </row>
    <row r="7" spans="1:33" x14ac:dyDescent="0.25">
      <c r="B7" s="230" t="str">
        <f>INDEX(EURO!$B$13:$R$40,16,1+(CODE($C$1)-65)*3)</f>
        <v>Finnland</v>
      </c>
      <c r="C7" s="229" t="s">
        <v>36</v>
      </c>
      <c r="D7" s="230" t="str">
        <f>INDEX(EURO!$B$13:$R$40,16,2+(CODE($C$1)-65)*3)</f>
        <v>Russland</v>
      </c>
      <c r="E7" s="228">
        <f>IF(OR(INDEX(EURO!$B$14:$R$41,16,1+(CODE($C$1)-65)*3)="",INDEX(EURO!$B$14:$R$41,16,2+(CODE($C$1)-65)*3)=""),"",INDEX(EURO!$B$14:$R$41,16,1+(CODE($C$1)-65)*3))</f>
        <v>0</v>
      </c>
      <c r="F7" s="229" t="s">
        <v>36</v>
      </c>
      <c r="G7" s="232">
        <f>IF(OR(INDEX(EURO!$B$14:$R$41,16,1+(CODE($C$1)-65)*3)="",INDEX(EURO!$B$14:$R$41,16,2+(CODE($C$1)-65)*3)=""),"",INDEX(EURO!$B$14:$R$41,16,2+(CODE($C$1)-65)*3))</f>
        <v>1</v>
      </c>
      <c r="H7" s="329">
        <f t="shared" si="0"/>
        <v>0</v>
      </c>
      <c r="I7" s="329">
        <f t="shared" si="1"/>
        <v>3</v>
      </c>
      <c r="L7" s="34"/>
      <c r="M7" s="329">
        <f t="shared" si="2"/>
        <v>1</v>
      </c>
      <c r="N7" s="329"/>
      <c r="O7" s="329" t="s">
        <v>35</v>
      </c>
      <c r="P7" s="43" t="str">
        <f>VLOOKUP($C$1&amp;4,Groups!$B$7:$D$35,3,0)</f>
        <v>Russland</v>
      </c>
      <c r="Q7" s="329">
        <f t="shared" si="3"/>
        <v>3</v>
      </c>
      <c r="R7" s="329">
        <f>S7-T7</f>
        <v>-5</v>
      </c>
      <c r="S7" s="329">
        <f>SUMIF($B$4:$B$9,$P7,$E$4:$E$9)+SUMIF($D$4:$D$9,$P7,$G$4:$G$9)</f>
        <v>2</v>
      </c>
      <c r="T7" s="329">
        <f>SUMIF($B$4:$B$9,$P7,$G$4:$G$9)+SUMIF($D$4:$D$9,$P7,$E$4:$E$9)</f>
        <v>7</v>
      </c>
      <c r="U7" s="308">
        <f t="shared" si="4"/>
        <v>1</v>
      </c>
      <c r="V7" s="351">
        <f>$Q7*FactorPts+(GDzero+$R7)*FactorGD+$S7*FactorFor+$U7*FactorWins+$W7*FactorDirC3+$X7*FactorDirC2+$Y7*FactorDirC43+$Z7*FactorDirC42+$AA7*FactorDirC42+$AB7*FactorFairPlay+$AE7*FactorPenalty+(100-$AF7)*($M$10&gt;0)*FactorRank+(8-ROW())*FactorRow</f>
        <v>31045020.001088098</v>
      </c>
      <c r="W7" s="307">
        <f t="shared" si="5"/>
        <v>1</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30045020</v>
      </c>
      <c r="AE7" s="308">
        <f>IF(OR(AND($Y$11&gt;0,OR(AND($B$8=$P7,$J$8&gt;$L$8),AND($D$8=$P7,$J$8&lt;$L$8))),AND($Y$12&gt;0,OR(AND($B$9=$P7,$J$9&gt;$L$9),AND($D$9=$P7,$J$9&lt;$L$9)))),1,0)</f>
        <v>0</v>
      </c>
      <c r="AF7" s="308">
        <f>INDEX(Language!$D$5:$D$59,MATCH($P7,Language!$E$5:$E$59,0),1)</f>
        <v>12</v>
      </c>
    </row>
    <row r="8" spans="1:33" x14ac:dyDescent="0.25">
      <c r="B8" s="230" t="str">
        <f>INDEX(EURO!$B$13:$R$40,21,1+(CODE($C$1)-65)*3)</f>
        <v>Russland</v>
      </c>
      <c r="C8" s="229" t="s">
        <v>36</v>
      </c>
      <c r="D8" s="230" t="str">
        <f>INDEX(EURO!$B$13:$R$40,21,2+(CODE($C$1)-65)*3)</f>
        <v>Dänemark</v>
      </c>
      <c r="E8" s="228">
        <f>IF(OR(INDEX(EURO!$B$14:$R$41,21,1+(CODE($C$1)-65)*3)="",INDEX(EURO!$B$14:$R$41,21,2+(CODE($C$1)-65)*3)=""),"",INDEX(EURO!$B$14:$R$41,21,1+(CODE($C$1)-65)*3))</f>
        <v>1</v>
      </c>
      <c r="F8" s="229" t="s">
        <v>36</v>
      </c>
      <c r="G8" s="232">
        <f>IF(OR(INDEX(EURO!$B$14:$R$41,21,1+(CODE($C$1)-65)*3)="",INDEX(EURO!$B$14:$R$41,21,2+(CODE($C$1)-65)*3)=""),"",INDEX(EURO!$B$14:$R$41,21,2+(CODE($C$1)-65)*3))</f>
        <v>4</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Finnland</v>
      </c>
      <c r="C9" s="229" t="s">
        <v>36</v>
      </c>
      <c r="D9" s="230" t="str">
        <f>INDEX(EURO!$B$13:$R$40,28,2+(CODE($C$1)-65)*3)</f>
        <v>Belgien</v>
      </c>
      <c r="E9" s="228">
        <f>IF(OR(INDEX(EURO!$B$14:$R$41,28,1+(CODE($C$1)-65)*3)="",INDEX(EURO!$B$14:$R$41,28,2+(CODE($C$1)-65)*3)=""),"",INDEX(EURO!$B$14:$R$41,28,1+(CODE($C$1)-65)*3))</f>
        <v>0</v>
      </c>
      <c r="F9" s="229" t="s">
        <v>36</v>
      </c>
      <c r="G9" s="232">
        <f>IF(OR(INDEX(EURO!$B$14:$R$41,28,1+(CODE($C$1)-65)*3)="",INDEX(EURO!$B$14:$R$41,28,2+(CODE($C$1)-65)*3)=""),"",INDEX(EURO!$B$14:$R$41,28,2+(CODE($C$1)-65)*3))</f>
        <v>2</v>
      </c>
      <c r="H9" s="329">
        <f t="shared" si="0"/>
        <v>0</v>
      </c>
      <c r="I9" s="329">
        <f t="shared" si="1"/>
        <v>3</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Belgien</v>
      </c>
      <c r="Q11" s="221">
        <f t="shared" si="8"/>
        <v>9</v>
      </c>
      <c r="R11" s="39">
        <f t="shared" si="8"/>
        <v>6</v>
      </c>
      <c r="S11" s="39">
        <f t="shared" si="8"/>
        <v>7</v>
      </c>
      <c r="T11" s="39">
        <f t="shared" si="8"/>
        <v>1</v>
      </c>
      <c r="U11" s="39">
        <f t="shared" ref="U11:U12" si="9">INDEX(U$4:U$7,MATCH($V11,$V$4:$V$7,0))</f>
        <v>3</v>
      </c>
      <c r="V11" s="352">
        <f>LARGE($V$4:$V$7,ROW(A1))</f>
        <v>90056070.003099203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Dänemark</v>
      </c>
      <c r="Q12" s="222">
        <f t="shared" si="8"/>
        <v>3</v>
      </c>
      <c r="R12" s="355">
        <f t="shared" si="8"/>
        <v>1</v>
      </c>
      <c r="S12" s="329">
        <f t="shared" si="8"/>
        <v>5</v>
      </c>
      <c r="T12" s="329">
        <f t="shared" si="8"/>
        <v>4</v>
      </c>
      <c r="U12" s="328">
        <f t="shared" si="9"/>
        <v>1</v>
      </c>
      <c r="V12" s="353">
        <f>LARGE($V$4:$V$7,ROW(A2))</f>
        <v>33051050.001085397</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Finnland</v>
      </c>
      <c r="Q13" s="222">
        <f t="shared" si="8"/>
        <v>3</v>
      </c>
      <c r="R13" s="355">
        <f t="shared" si="8"/>
        <v>-2</v>
      </c>
      <c r="S13" s="329">
        <f t="shared" si="8"/>
        <v>1</v>
      </c>
      <c r="T13" s="329">
        <f t="shared" si="8"/>
        <v>3</v>
      </c>
      <c r="U13" s="327">
        <f t="shared" ref="U13:U14" si="10">INDEX(U$4:U$7,MATCH($V13,$V$4:$V$7,0))</f>
        <v>1</v>
      </c>
      <c r="V13" s="353">
        <f>LARGE($V$4:$V$7,ROW(A3))</f>
        <v>32048010.001080301</v>
      </c>
      <c r="Z13" s="29"/>
      <c r="AA13" s="355"/>
      <c r="AB13" s="29"/>
      <c r="AC13" s="29"/>
      <c r="AD13" s="330"/>
      <c r="AE13" s="355"/>
    </row>
    <row r="14" spans="1:33" ht="15.75" thickBot="1" x14ac:dyDescent="0.3">
      <c r="B14" s="312"/>
      <c r="C14" s="312"/>
      <c r="D14" s="58"/>
      <c r="F14" s="329"/>
      <c r="G14" s="34"/>
      <c r="O14" s="37" t="s">
        <v>35</v>
      </c>
      <c r="P14" s="36" t="str">
        <f t="shared" si="8"/>
        <v>Russland</v>
      </c>
      <c r="Q14" s="223">
        <f t="shared" si="8"/>
        <v>3</v>
      </c>
      <c r="R14" s="35">
        <f t="shared" si="8"/>
        <v>-5</v>
      </c>
      <c r="S14" s="35">
        <f t="shared" si="8"/>
        <v>2</v>
      </c>
      <c r="T14" s="35">
        <f t="shared" si="8"/>
        <v>7</v>
      </c>
      <c r="U14" s="35">
        <f t="shared" si="10"/>
        <v>1</v>
      </c>
      <c r="V14" s="354">
        <f>LARGE($V$4:$V$7,ROW(A4))</f>
        <v>31045020.001088098</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8" t="s">
        <v>463</v>
      </c>
      <c r="H16" s="488"/>
      <c r="I16" s="488"/>
      <c r="J16" s="488"/>
      <c r="K16" s="488"/>
      <c r="L16" s="488"/>
      <c r="M16" s="64"/>
      <c r="N16" s="64"/>
      <c r="O16" s="329"/>
      <c r="W16" s="479" t="s">
        <v>464</v>
      </c>
      <c r="X16" s="479"/>
      <c r="Y16" s="479"/>
      <c r="Z16" s="479"/>
      <c r="AD16" s="479" t="s">
        <v>465</v>
      </c>
      <c r="AE16" s="479"/>
      <c r="AF16" s="253" t="b">
        <f>AND($Q$4=$Q$5,$Q$4=$Q$6,$Q$4=$Q$7)</f>
        <v>0</v>
      </c>
    </row>
    <row r="17" spans="2:31" ht="16.5" thickTop="1" thickBot="1" x14ac:dyDescent="0.3">
      <c r="B17" s="312"/>
      <c r="C17" s="312"/>
      <c r="D17" s="311"/>
      <c r="E17" s="325"/>
      <c r="F17" s="325"/>
      <c r="G17" s="326"/>
      <c r="H17" s="39" t="str">
        <f>LEFT($P$4,3)</f>
        <v>Dän</v>
      </c>
      <c r="I17" s="39" t="str">
        <f>LEFT($P$5,3)</f>
        <v>Fin</v>
      </c>
      <c r="J17" s="39" t="str">
        <f>LEFT($P$6,3)</f>
        <v>Bel</v>
      </c>
      <c r="K17" s="114" t="str">
        <f>LEFT($P$7,3)</f>
        <v>Rus</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80" t="s">
        <v>461</v>
      </c>
      <c r="AB17" s="480"/>
      <c r="AC17" s="480"/>
      <c r="AD17" s="64" t="s">
        <v>468</v>
      </c>
      <c r="AE17" s="55" t="s">
        <v>469</v>
      </c>
    </row>
    <row r="18" spans="2:31" ht="15.75" thickTop="1" x14ac:dyDescent="0.25">
      <c r="B18" s="308"/>
      <c r="C18" s="308"/>
      <c r="D18" s="307"/>
      <c r="E18" s="484" t="str">
        <f>$P$4</f>
        <v>Dänemark</v>
      </c>
      <c r="F18" s="485"/>
      <c r="G18" s="485"/>
      <c r="H18" s="113"/>
      <c r="I18" s="39">
        <f>SUMIFS($E$4:$E$9,$B$4:$B$9,$P$4,$D$4:$D$9,$P$5)+SUMIFS($G$4:$G$9,$B$4:$B$9,$P$5,$D$4:$D$9,$P$4)</f>
        <v>0</v>
      </c>
      <c r="J18" s="39">
        <f>SUMIFS($E$4:$E$9,$B$4:$B$9,$P$4,$D$4:$D$9,$P$6)+SUMIFS($G$4:$G$9,$B$4:$B$9,$P$6,$D$4:$D$9,$P$4)</f>
        <v>1</v>
      </c>
      <c r="K18" s="114">
        <f>SUMIFS($E$4:$E$9,$B$4:$B$9,$P$4,$D$4:$D$9,$P$7)+SUMIFS($G$4:$G$9,$B$4:$B$9,$P$7,$D$4:$D$9,$P$4)</f>
        <v>4</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Dänemark</v>
      </c>
      <c r="Q18" s="308">
        <f>SUMIFS($H$4:$H$9,$B$4:$B$9,$P18,$D$4:$D$9,"&lt;&gt;"&amp;$P$21)+SUMIFS($I$4:$I$9,$B$4:$B$9,"&lt;&gt;"&amp;$P$21,$D$4:$D$9,$P18)</f>
        <v>0</v>
      </c>
      <c r="R18" s="308">
        <f>S18-T18</f>
        <v>-2</v>
      </c>
      <c r="S18" s="308">
        <f>SUMIFS($E$4:$E$9,$B$4:$B$9,$P18,$D$4:$D$9,"&lt;&gt;"&amp;$P$21)+SUMIFS($G$4:$G$9,$B$4:$B$9,"&lt;&gt;"&amp;$P$21,$D$4:$D$9,$P18)</f>
        <v>1</v>
      </c>
      <c r="T18" s="308">
        <f>SUMIFS($G$4:$G$9,$B$4:$B$9,$P18,$D$4:$D$9,"&lt;&gt;"&amp;$P$21)+SUMIFS($E$4:$E$9,$B$4:$B$9,"&lt;&gt;"&amp;$P$21,$D$4:$D$9,$P18)</f>
        <v>3</v>
      </c>
      <c r="U18" s="308"/>
      <c r="V18" s="248">
        <f>Q18*FactorPts+(GDzero+R18)*FactorGD+S18*FactorFor</f>
        <v>48010</v>
      </c>
      <c r="W18" s="308">
        <f>RANK(V18,V$18:V$20,1)</f>
        <v>1</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6" t="str">
        <f>$P$5</f>
        <v>Finnland</v>
      </c>
      <c r="F19" s="487"/>
      <c r="G19" s="487"/>
      <c r="H19" s="38">
        <f>SUMIFS($E$4:$E$9,$B$4:$B$9,$P$5,$D$4:$D$9,$P$4)+SUMIFS($G$4:$G$9,$B$4:$B$9,$P$4,$D$4:$D$9,$P$5)</f>
        <v>1</v>
      </c>
      <c r="I19" s="77"/>
      <c r="J19" s="307">
        <f>SUMIFS($E$4:$E$9,$B$4:$B$9,$P$5,$D$4:$D$9,$P$6)+SUMIFS($G$4:$G$9,$B$4:$B$9,$P$6,$D$4:$D$9,$P$5)</f>
        <v>0</v>
      </c>
      <c r="K19" s="56">
        <f>SUMIFS($E$4:$E$9,$B$4:$B$9,$P$5,$D$4:$D$9,$P$7)+SUMIFS($G$4:$G$9,$B$4:$B$9,$P$7,$D$4:$D$9,$P$5)</f>
        <v>0</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Finnland</v>
      </c>
      <c r="Q19" s="308">
        <f>SUMIFS($H$4:$H$9,$B$4:$B$9,$P19,$D$4:$D$9,"&lt;&gt;"&amp;$P$21)+SUMIFS($I$4:$I$9,$B$4:$B$9,"&lt;&gt;"&amp;$P$21,$D$4:$D$9,$P19)</f>
        <v>3</v>
      </c>
      <c r="R19" s="308">
        <f>S19-T19</f>
        <v>-1</v>
      </c>
      <c r="S19" s="308">
        <f>SUMIFS($E$4:$E$9,$B$4:$B$9,$P19,$D$4:$D$9,"&lt;&gt;"&amp;$P$21)+SUMIFS($G$4:$G$9,$B$4:$B$9,"&lt;&gt;"&amp;$P$21,$D$4:$D$9,$P19)</f>
        <v>1</v>
      </c>
      <c r="T19" s="308">
        <f>SUMIFS($G$4:$G$9,$B$4:$B$9,$P19,$D$4:$D$9,"&lt;&gt;"&amp;$P$21)+SUMIFS($E$4:$E$9,$B$4:$B$9,"&lt;&gt;"&amp;$P$21,$D$4:$D$9,$P19)</f>
        <v>2</v>
      </c>
      <c r="U19" s="308"/>
      <c r="V19" s="248">
        <f>Q19*FactorPts+(GDzero+R19)*FactorGD+S19*FactorFor</f>
        <v>30049010</v>
      </c>
      <c r="W19" s="308">
        <f>RANK(V19,V$18:V$20,1)</f>
        <v>2</v>
      </c>
      <c r="X19" s="308">
        <f>IF(AND($Q$4=$Q$5,$Q$4=$Q$6,$Q$4&lt;&gt;$Q$7),W19,0)</f>
        <v>0</v>
      </c>
      <c r="Y19" s="308" t="str">
        <f>IF(AND(V19=V18,V19&lt;&gt;V20),IF(AA19&gt;AA18,3,IF(AA19=AA18,1,0)),IF(AND(V19=V20,V19&lt;&gt;V18),IF(AC19&gt;AC20,3,IF(AC19=AC20,1,0)),""))</f>
        <v/>
      </c>
      <c r="Z19" s="307" t="str">
        <f t="shared" ref="Z19:Z20" si="11">IF(X19&gt;0,Y19,"")</f>
        <v/>
      </c>
      <c r="AA19" s="236">
        <f>$H$19</f>
        <v>1</v>
      </c>
      <c r="AB19" s="307"/>
      <c r="AC19" s="310">
        <f>$J$19</f>
        <v>0</v>
      </c>
      <c r="AD19" s="307">
        <f>IF(AND($AF$16,$AD$4=$AD$5,$AD$4=$AD$6,$AD$4&lt;&gt;$AD$7),W19,0)</f>
        <v>0</v>
      </c>
      <c r="AE19" s="307" t="str">
        <f t="shared" ref="AE19:AE20" si="12">IF(AD19&gt;0,Y19,"")</f>
        <v/>
      </c>
    </row>
    <row r="20" spans="2:31" x14ac:dyDescent="0.25">
      <c r="D20" s="29"/>
      <c r="E20" s="486" t="str">
        <f>$P$6</f>
        <v>Belgien</v>
      </c>
      <c r="F20" s="487"/>
      <c r="G20" s="487"/>
      <c r="H20" s="38">
        <f>SUMIFS($E$4:$E$9,$B$4:$B$9,$P$6,$D$4:$D$9,$P$4)+SUMIFS($G$4:$G$9,$B$4:$B$9,$P$4,$D$4:$D$9,$P$6)</f>
        <v>2</v>
      </c>
      <c r="I20" s="307">
        <f>SUMIFS($E$4:$E$9,$B$4:$B$9,$P$6,$D$4:$D$9,$P$5)+SUMIFS($G$4:$G$9,$B$4:$B$9,$P$5,$D$4:$D$9,$P$6)</f>
        <v>2</v>
      </c>
      <c r="J20" s="77"/>
      <c r="K20" s="56">
        <f>SUMIFS($E$4:$E$9,$B$4:$B$9,$P$6,$D$4:$D$9,$P$7)+SUMIFS($G$4:$G$9,$B$4:$B$9,$P$7,$D$4:$D$9,$P$6)</f>
        <v>3</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Belgien</v>
      </c>
      <c r="Q20" s="308">
        <f>SUMIFS($H$4:$H$9,$B$4:$B$9,$P20,$D$4:$D$9,"&lt;&gt;"&amp;$P$21)+SUMIFS($I$4:$I$9,$B$4:$B$9,"&lt;&gt;"&amp;$P$21,$D$4:$D$9,$P20)</f>
        <v>6</v>
      </c>
      <c r="R20" s="308">
        <f>S20-T20</f>
        <v>3</v>
      </c>
      <c r="S20" s="308">
        <f>SUMIFS($E$4:$E$9,$B$4:$B$9,$P20,$D$4:$D$9,"&lt;&gt;"&amp;$P$21)+SUMIFS($G$4:$G$9,$B$4:$B$9,"&lt;&gt;"&amp;$P$21,$D$4:$D$9,$P20)</f>
        <v>4</v>
      </c>
      <c r="T20" s="308">
        <f>SUMIFS($G$4:$G$9,$B$4:$B$9,$P20,$D$4:$D$9,"&lt;&gt;"&amp;$P$21)+SUMIFS($E$4:$E$9,$B$4:$B$9,"&lt;&gt;"&amp;$P$21,$D$4:$D$9,$P20)</f>
        <v>1</v>
      </c>
      <c r="U20" s="308"/>
      <c r="V20" s="248">
        <f>Q20*FactorPts+(GDzero+R20)*FactorGD+S20*FactorFor</f>
        <v>60053040</v>
      </c>
      <c r="W20" s="308">
        <f>RANK(V20,V$18:V$20,1)</f>
        <v>3</v>
      </c>
      <c r="X20" s="308">
        <f>IF(AND($Q$4=$Q$5,$Q$4=$Q$6,$Q$4&lt;&gt;$Q$7),W20,0)</f>
        <v>0</v>
      </c>
      <c r="Y20" s="308" t="str">
        <f>IF(AND(V20=V18,V20&lt;&gt;V19),IF(AB20&gt;AB18,3,IF(AB20=AB18,1,0)),IF(AND(V20=V19,V20&lt;&gt;V18),IF(AC20&gt;AC19,3,IF(AC20=AC19,1,0)),""))</f>
        <v/>
      </c>
      <c r="Z20" s="307" t="str">
        <f t="shared" si="11"/>
        <v/>
      </c>
      <c r="AA20" s="236"/>
      <c r="AB20" s="307">
        <f>$H$20</f>
        <v>2</v>
      </c>
      <c r="AC20" s="310">
        <f>$I$20</f>
        <v>2</v>
      </c>
      <c r="AD20" s="307">
        <f>IF(AND($AF$16,$AD$4=$AD$5,$AD$4=$AD$6,$AD$4&lt;&gt;$AD$7),W20,0)</f>
        <v>0</v>
      </c>
      <c r="AE20" s="307" t="str">
        <f t="shared" si="12"/>
        <v/>
      </c>
    </row>
    <row r="21" spans="2:31" ht="15.75" thickBot="1" x14ac:dyDescent="0.3">
      <c r="B21" s="48"/>
      <c r="C21" s="49"/>
      <c r="D21" s="50"/>
      <c r="E21" s="481" t="str">
        <f>$P$7</f>
        <v>Russland</v>
      </c>
      <c r="F21" s="482"/>
      <c r="G21" s="482"/>
      <c r="H21" s="37">
        <f>SUMIFS($E$4:$E$9,$B$4:$B$9,$P$7,$D$4:$D$9,$P$4)+SUMIFS($G$4:$G$9,$B$4:$B$9,$P$4,$D$4:$D$9,$P$7)</f>
        <v>1</v>
      </c>
      <c r="I21" s="35">
        <f>SUMIFS($E$4:$E$9,$B$4:$B$9,$P$7,$D$4:$D$9,$P$5)+SUMIFS($G$4:$G$9,$B$4:$B$9,$P$5,$D$4:$D$9,$P$7)</f>
        <v>1</v>
      </c>
      <c r="J21" s="35">
        <f>SUMIFS($E$4:$E$9,$B$4:$B$9,$P$7,$D$4:$D$9,$P$6)+SUMIFS($G$4:$G$9,$B$4:$B$9,$P$6,$D$4:$D$9,$P$7)</f>
        <v>0</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Russland</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Dänemark</v>
      </c>
      <c r="Q23" s="308">
        <f>SUMIFS($H$4:$H$9,$B$4:$B$9,$P23,$D$4:$D$9,"&lt;&gt;"&amp;$P$26)+SUMIFS($I$4:$I$9,$B$4:$B$9,"&lt;&gt;"&amp;$P$26,$D$4:$D$9,$P23)</f>
        <v>3</v>
      </c>
      <c r="R23" s="308">
        <f>S23-T23</f>
        <v>2</v>
      </c>
      <c r="S23" s="308">
        <f>SUMIFS($E$4:$E$9,$B$4:$B$9,$P23,$D$4:$D$9,"&lt;&gt;"&amp;$P$26)+SUMIFS($G$4:$G$9,$B$4:$B$9,"&lt;&gt;"&amp;$P$26,$D$4:$D$9,$P23)</f>
        <v>4</v>
      </c>
      <c r="T23" s="308">
        <f>SUMIFS($G$4:$G$9,$B$4:$B$9,$P23,$D$4:$D$9,"&lt;&gt;"&amp;$P$26)+SUMIFS($E$4:$E$9,$B$4:$B$9,"&lt;&gt;"&amp;$P$26,$D$4:$D$9,$P23)</f>
        <v>2</v>
      </c>
      <c r="U23" s="308"/>
      <c r="V23" s="248">
        <f>Q23*FactorPts+(GDzero+R23)*FactorGD+S23*FactorFor</f>
        <v>30052040</v>
      </c>
      <c r="W23" s="308">
        <f>RANK(V23,V$23:V$25,1)</f>
        <v>3</v>
      </c>
      <c r="X23" s="308">
        <f>IF(AND($Q$4=$Q$5,$Q$4=$Q$7,$Q$4&lt;&gt;$Q$6),W23,0)</f>
        <v>3</v>
      </c>
      <c r="Y23" s="308" t="str">
        <f>IF(AND(V23=V24,V23&lt;&gt;V25),IF(AA23&gt;AA24,3,IF(AA23=AA24,1,0)),IF(AND(V23=V25,V23&lt;&gt;V24),IF(AB23&gt;AB25,3,IF(AB23=AB25,1,0)),""))</f>
        <v/>
      </c>
      <c r="Z23" s="307" t="str">
        <f>IF(X23&gt;0,Y23,"")</f>
        <v/>
      </c>
      <c r="AA23" s="236">
        <f>$I$18</f>
        <v>0</v>
      </c>
      <c r="AB23" s="307">
        <f>$K$18</f>
        <v>4</v>
      </c>
      <c r="AC23" s="310"/>
      <c r="AD23" s="307">
        <f>IF(AND($AF$16,$AD$4=$AD$5,$AD$4=$AD$7,$AD$4&lt;&gt;$AD$6),W23,0)</f>
        <v>0</v>
      </c>
      <c r="AE23" s="307" t="str">
        <f>IF(AD23&gt;0,Y23,"")</f>
        <v/>
      </c>
    </row>
    <row r="24" spans="2:31" x14ac:dyDescent="0.25">
      <c r="B24" s="42"/>
      <c r="C24" s="308"/>
      <c r="O24" s="308" t="s">
        <v>33</v>
      </c>
      <c r="P24" t="str">
        <f>$P$5</f>
        <v>Finnland</v>
      </c>
      <c r="Q24" s="308">
        <f>SUMIFS($H$4:$H$9,$B$4:$B$9,$P24,$D$4:$D$9,"&lt;&gt;"&amp;$P$26)+SUMIFS($I$4:$I$9,$B$4:$B$9,"&lt;&gt;"&amp;$P$26,$D$4:$D$9,$P24)</f>
        <v>3</v>
      </c>
      <c r="R24" s="308">
        <f>S24-T24</f>
        <v>0</v>
      </c>
      <c r="S24" s="308">
        <f>SUMIFS($E$4:$E$9,$B$4:$B$9,$P24,$D$4:$D$9,"&lt;&gt;"&amp;$P$26)+SUMIFS($G$4:$G$9,$B$4:$B$9,"&lt;&gt;"&amp;$P$26,$D$4:$D$9,$P24)</f>
        <v>1</v>
      </c>
      <c r="T24" s="308">
        <f>SUMIFS($G$4:$G$9,$B$4:$B$9,$P24,$D$4:$D$9,"&lt;&gt;"&amp;$P$26)+SUMIFS($E$4:$E$9,$B$4:$B$9,"&lt;&gt;"&amp;$P$26,$D$4:$D$9,$P24)</f>
        <v>1</v>
      </c>
      <c r="U24" s="308"/>
      <c r="V24" s="248">
        <f>Q24*FactorPts+(GDzero+R24)*FactorGD+S24*FactorFor</f>
        <v>30050010</v>
      </c>
      <c r="W24" s="308">
        <f>RANK(V24,V$23:V$25,1)</f>
        <v>2</v>
      </c>
      <c r="X24" s="308">
        <f>IF(AND($Q$4=$Q$5,$Q$4=$Q$7,$Q$4&lt;&gt;$Q$6),W24,0)</f>
        <v>2</v>
      </c>
      <c r="Y24" s="308" t="str">
        <f>IF(AND(V24=V23,V24&lt;&gt;V25),IF(AA24&gt;AA23,3,IF(AA24=AA23,1,0)),IF(AND(V24=V25,V24&lt;&gt;V23),IF(AC24&gt;AC25,3,IF(AC24=AC25,1,0)),""))</f>
        <v/>
      </c>
      <c r="Z24" s="307" t="str">
        <f t="shared" ref="Z24:Z25" si="13">IF(X24&gt;0,Y24,"")</f>
        <v/>
      </c>
      <c r="AA24" s="236">
        <f>$H$19</f>
        <v>1</v>
      </c>
      <c r="AB24" s="307"/>
      <c r="AC24" s="310">
        <f>$K$19</f>
        <v>0</v>
      </c>
      <c r="AD24" s="307">
        <f>IF(AND($AF$16,$AD$4=$AD$5,$AD$4=$AD$7,$AD$4&lt;&gt;$AD$6),W24,0)</f>
        <v>0</v>
      </c>
      <c r="AE24" s="307" t="str">
        <f t="shared" ref="AE24:AE25" si="14">IF(AD24&gt;0,Y24,"")</f>
        <v/>
      </c>
    </row>
    <row r="25" spans="2:31" x14ac:dyDescent="0.25">
      <c r="B25" s="42"/>
      <c r="C25" s="308"/>
      <c r="O25" s="308" t="s">
        <v>34</v>
      </c>
      <c r="P25" t="str">
        <f>$P$7</f>
        <v>Russland</v>
      </c>
      <c r="Q25" s="308">
        <f>SUMIFS($H$4:$H$9,$B$4:$B$9,$P25,$D$4:$D$9,"&lt;&gt;"&amp;$P$26)+SUMIFS($I$4:$I$9,$B$4:$B$9,"&lt;&gt;"&amp;$P$26,$D$4:$D$9,$P25)</f>
        <v>3</v>
      </c>
      <c r="R25" s="308">
        <f>S25-T25</f>
        <v>-2</v>
      </c>
      <c r="S25" s="308">
        <f>SUMIFS($E$4:$E$9,$B$4:$B$9,$P25,$D$4:$D$9,"&lt;&gt;"&amp;$P$26)+SUMIFS($G$4:$G$9,$B$4:$B$9,"&lt;&gt;"&amp;$P$26,$D$4:$D$9,$P25)</f>
        <v>2</v>
      </c>
      <c r="T25" s="308">
        <f>SUMIFS($G$4:$G$9,$B$4:$B$9,$P25,$D$4:$D$9,"&lt;&gt;"&amp;$P$26)+SUMIFS($E$4:$E$9,$B$4:$B$9,"&lt;&gt;"&amp;$P$26,$D$4:$D$9,$P25)</f>
        <v>4</v>
      </c>
      <c r="U25" s="308"/>
      <c r="V25" s="248">
        <f>Q25*FactorPts+(GDzero+R25)*FactorGD+S25*FactorFor</f>
        <v>30048020</v>
      </c>
      <c r="W25" s="308">
        <f>RANK(V25,V$23:V$25,1)</f>
        <v>1</v>
      </c>
      <c r="X25" s="308">
        <f>IF(AND($Q$4=$Q$5,$Q$4=$Q$7,$Q$4&lt;&gt;$Q$6),W25,0)</f>
        <v>1</v>
      </c>
      <c r="Y25" s="308" t="str">
        <f>IF(AND(V25=V23,V25&lt;&gt;V24),IF(AB25&gt;AB23,3,IF(AB25=AB23,1,0)),IF(AND(V25=V24,V25&lt;&gt;V23),IF(AC25&gt;AC24,3,IF(AC25=AC24,1,0)),""))</f>
        <v/>
      </c>
      <c r="Z25" s="307" t="str">
        <f t="shared" si="13"/>
        <v/>
      </c>
      <c r="AA25" s="236"/>
      <c r="AB25" s="307">
        <f>$H$21</f>
        <v>1</v>
      </c>
      <c r="AC25" s="310">
        <f>$I$21</f>
        <v>1</v>
      </c>
      <c r="AD25" s="307">
        <f>IF(AND($AF$16,$AD$4=$AD$5,$AD$4=$AD$7,$AD$4&lt;&gt;$AD$6),W25,0)</f>
        <v>0</v>
      </c>
      <c r="AE25" s="307" t="str">
        <f t="shared" si="14"/>
        <v/>
      </c>
    </row>
    <row r="26" spans="2:31" x14ac:dyDescent="0.25">
      <c r="B26" s="42"/>
      <c r="C26" s="308"/>
      <c r="P26" s="33" t="str">
        <f>$P$6</f>
        <v>Belgien</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Dänemark</v>
      </c>
      <c r="Q28" s="308">
        <f>SUMIFS($H$4:$H$9,$B$4:$B$9,$P28,$D$4:$D$9,"&lt;&gt;"&amp;$P$31)+SUMIFS($I$4:$I$9,$B$4:$B$9,"&lt;&gt;"&amp;$P$31,$D$4:$D$9,$P28)</f>
        <v>3</v>
      </c>
      <c r="R28" s="308">
        <f>S28-T28</f>
        <v>2</v>
      </c>
      <c r="S28" s="308">
        <f>SUMIFS($E$4:$E$9,$B$4:$B$9,$P28,$D$4:$D$9,"&lt;&gt;"&amp;$P$31)+SUMIFS($G$4:$G$9,$B$4:$B$9,"&lt;&gt;"&amp;$P$31,$D$4:$D$9,$P28)</f>
        <v>5</v>
      </c>
      <c r="T28" s="308">
        <f>SUMIFS($G$4:$G$9,$B$4:$B$9,$P28,$D$4:$D$9,"&lt;&gt;"&amp;$P$31)+SUMIFS($E$4:$E$9,$B$4:$B$9,"&lt;&gt;"&amp;$P$31,$D$4:$D$9,$P28)</f>
        <v>3</v>
      </c>
      <c r="U28" s="308"/>
      <c r="V28" s="248">
        <f>Q28*FactorPts+(GDzero+R28)*FactorGD+S28*FactorFor</f>
        <v>30052050</v>
      </c>
      <c r="W28" s="308">
        <f>_xlfn.RANK.EQ(V28,V$28:V$30,1)</f>
        <v>2</v>
      </c>
      <c r="X28" s="308">
        <f>IF(AND($Q$4=$Q$6,$Q$4=$Q$7,$Q$4&lt;&gt;$Q$5),W28,0)</f>
        <v>0</v>
      </c>
      <c r="Y28" s="308" t="str">
        <f>IF(AND(V28=V29,V28&lt;&gt;V30),IF(AA28&gt;AA29,3,IF(AA28=AA29,1,0)),IF(AND(V28=V30,V28&lt;&gt;V29),IF(AB28&gt;AB30,3,IF(AB28=AB30,1,0)),""))</f>
        <v/>
      </c>
      <c r="Z28" s="307" t="str">
        <f>IF(X28&gt;0,Y28,"")</f>
        <v/>
      </c>
      <c r="AA28" s="236">
        <f>$J$18</f>
        <v>1</v>
      </c>
      <c r="AB28" s="307">
        <f>$K$18</f>
        <v>4</v>
      </c>
      <c r="AC28" s="310"/>
      <c r="AD28" s="307">
        <f>IF(AND($AF$16,$AD$4=$AD$6,$AD$4=$AD$7,$AD$4&lt;&gt;$AD$5),W28,0)</f>
        <v>0</v>
      </c>
      <c r="AE28" s="307" t="str">
        <f>IF(AD28&gt;0,Y28,"")</f>
        <v/>
      </c>
    </row>
    <row r="29" spans="2:31" x14ac:dyDescent="0.25">
      <c r="O29" s="308" t="s">
        <v>33</v>
      </c>
      <c r="P29" t="str">
        <f>$P$6</f>
        <v>Belgien</v>
      </c>
      <c r="Q29" s="308">
        <f>SUMIFS($H$4:$H$9,$B$4:$B$9,$P29,$D$4:$D$9,"&lt;&gt;"&amp;$P$31)+SUMIFS($I$4:$I$9,$B$4:$B$9,"&lt;&gt;"&amp;$P$31,$D$4:$D$9,$P29)</f>
        <v>6</v>
      </c>
      <c r="R29" s="308">
        <f>S29-T29</f>
        <v>4</v>
      </c>
      <c r="S29" s="308">
        <f>SUMIFS($E$4:$E$9,$B$4:$B$9,$P29,$D$4:$D$9,"&lt;&gt;"&amp;$P$31)+SUMIFS($G$4:$G$9,$B$4:$B$9,"&lt;&gt;"&amp;$P$31,$D$4:$D$9,$P29)</f>
        <v>5</v>
      </c>
      <c r="T29" s="308">
        <f>SUMIFS($G$4:$G$9,$B$4:$B$9,$P29,$D$4:$D$9,"&lt;&gt;"&amp;$P$31)+SUMIFS($E$4:$E$9,$B$4:$B$9,"&lt;&gt;"&amp;$P$31,$D$4:$D$9,$P29)</f>
        <v>1</v>
      </c>
      <c r="U29" s="308"/>
      <c r="V29" s="248">
        <f>Q29*FactorPts+(GDzero+R29)*FactorGD+S29*FactorFor</f>
        <v>60054050</v>
      </c>
      <c r="W29" s="308">
        <f>_xlfn.RANK.EQ(V29,V$28:V$30,1)</f>
        <v>3</v>
      </c>
      <c r="X29" s="308">
        <f>IF(AND($Q$4=$Q$6,$Q$4=$Q$7,$Q$4&lt;&gt;$Q$5),W29,0)</f>
        <v>0</v>
      </c>
      <c r="Y29" s="308" t="str">
        <f>IF(AND(V29=V28,V29&lt;&gt;V30),IF(AA29&gt;AA28,3,IF(AA29=AA28,1,0)),IF(AND(V29=V30,V29&lt;&gt;V28),IF(AC29&gt;AC30,3,IF(AC29=AC30,1,0)),""))</f>
        <v/>
      </c>
      <c r="Z29" s="307" t="str">
        <f t="shared" ref="Z29:Z30" si="15">IF(X29&gt;0,Y29,"")</f>
        <v/>
      </c>
      <c r="AA29" s="236">
        <f>$H$20</f>
        <v>2</v>
      </c>
      <c r="AB29" s="307"/>
      <c r="AC29" s="310">
        <f>$K$20</f>
        <v>3</v>
      </c>
      <c r="AD29" s="307">
        <f>IF(AND($AF$16,$AD$4=$AD$6,$AD$4=$AD$7,$AD$4&lt;&gt;$AD$5),W29,0)</f>
        <v>0</v>
      </c>
      <c r="AE29" s="307" t="str">
        <f t="shared" ref="AE29:AE30" si="16">IF(AD29&gt;0,Y29,"")</f>
        <v/>
      </c>
    </row>
    <row r="30" spans="2:31" x14ac:dyDescent="0.25">
      <c r="O30" s="308" t="s">
        <v>34</v>
      </c>
      <c r="P30" t="str">
        <f>$P$7</f>
        <v>Russland</v>
      </c>
      <c r="Q30" s="308">
        <f>SUMIFS($H$4:$H$9,$B$4:$B$9,$P30,$D$4:$D$9,"&lt;&gt;"&amp;$P$31)+SUMIFS($I$4:$I$9,$B$4:$B$9,"&lt;&gt;"&amp;$P$31,$D$4:$D$9,$P30)</f>
        <v>0</v>
      </c>
      <c r="R30" s="308">
        <f>S30-T30</f>
        <v>-6</v>
      </c>
      <c r="S30" s="308">
        <f>SUMIFS($E$4:$E$9,$B$4:$B$9,$P30,$D$4:$D$9,"&lt;&gt;"&amp;$P$31)+SUMIFS($G$4:$G$9,$B$4:$B$9,"&lt;&gt;"&amp;$P$31,$D$4:$D$9,$P30)</f>
        <v>1</v>
      </c>
      <c r="T30" s="308">
        <f>SUMIFS($G$4:$G$9,$B$4:$B$9,$P30,$D$4:$D$9,"&lt;&gt;"&amp;$P$31)+SUMIFS($E$4:$E$9,$B$4:$B$9,"&lt;&gt;"&amp;$P$31,$D$4:$D$9,$P30)</f>
        <v>7</v>
      </c>
      <c r="U30" s="308"/>
      <c r="V30" s="248">
        <f>Q30*FactorPts+(GDzero+R30)*FactorGD+S30*FactorFor</f>
        <v>44010</v>
      </c>
      <c r="W30" s="308">
        <f>_xlfn.RANK.EQ(V30,V$28:V$30,1)</f>
        <v>1</v>
      </c>
      <c r="X30" s="308">
        <f>IF(AND($Q$4=$Q$6,$Q$4=$Q$7,$Q$4&lt;&gt;$Q$5),W30,0)</f>
        <v>0</v>
      </c>
      <c r="Y30" s="308" t="str">
        <f>IF(AND(V30=V28,V30&lt;&gt;V29),IF(AB30&gt;AB28,3,IF(AB30=AB28,1,0)),IF(AND(V30=V29,V30&lt;&gt;V28),IF(AC30&gt;AC29,3,IF(AC30=AC29,1,0)),""))</f>
        <v/>
      </c>
      <c r="Z30" s="307" t="str">
        <f t="shared" si="15"/>
        <v/>
      </c>
      <c r="AA30" s="236"/>
      <c r="AB30" s="307">
        <f>$H$21</f>
        <v>1</v>
      </c>
      <c r="AC30" s="310">
        <f>$J$21</f>
        <v>0</v>
      </c>
      <c r="AD30" s="307">
        <f>IF(AND($AF$16,$AD$4=$AD$6,$AD$4=$AD$7,$AD$4&lt;&gt;$AD$5),W30,0)</f>
        <v>0</v>
      </c>
      <c r="AE30" s="307" t="str">
        <f t="shared" si="16"/>
        <v/>
      </c>
    </row>
    <row r="31" spans="2:31" x14ac:dyDescent="0.25">
      <c r="P31" s="33" t="str">
        <f>$P$5</f>
        <v>Finnland</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Finnland</v>
      </c>
      <c r="Q33" s="308">
        <f>SUMIFS($H$4:$H$9,$B$4:$B$9,$P33,$D$4:$D$9,"&lt;&gt;"&amp;$P$36)+SUMIFS($I$4:$I$9,$B$4:$B$9,"&lt;&gt;"&amp;$P$36,$D$4:$D$9,$P33)</f>
        <v>0</v>
      </c>
      <c r="R33" s="308">
        <f>S33-T33</f>
        <v>-3</v>
      </c>
      <c r="S33" s="308">
        <f>SUMIFS($E$4:$E$9,$B$4:$B$9,$P33,$D$4:$D$9,"&lt;&gt;"&amp;$P$36)+SUMIFS($G$4:$G$9,$B$4:$B$9,"&lt;&gt;"&amp;$P$36,$D$4:$D$9,$P33)</f>
        <v>0</v>
      </c>
      <c r="T33" s="308">
        <f>SUMIFS($G$4:$G$9,$B$4:$B$9,$P33,$D$4:$D$9,"&lt;&gt;"&amp;$P$36)+SUMIFS($E$4:$E$9,$B$4:$B$9,"&lt;&gt;"&amp;$P$36,$D$4:$D$9,$P33)</f>
        <v>3</v>
      </c>
      <c r="U33" s="308"/>
      <c r="V33" s="248">
        <f>Q33*FactorPts+(GDzero+R33)*FactorGD+S33*FactorFor</f>
        <v>47000</v>
      </c>
      <c r="W33" s="308">
        <f>RANK(V33,V$33:V$35,1)</f>
        <v>1</v>
      </c>
      <c r="X33" s="308">
        <f>IF(AND($Q$5=$Q$6,$Q$5=$Q$7,$Q$5&lt;&gt;$Q$4),W33,0)</f>
        <v>0</v>
      </c>
      <c r="Y33" s="308" t="str">
        <f>IF(AND(V33=V34,V33&lt;&gt;V35),IF(AA33&gt;AA34,3,IF(AA33=AA34,1,0)),IF(AND(V33=V35,V33&lt;&gt;V34),IF(AB33&gt;AB35,3,IF(AB33=AB35,1,0)),""))</f>
        <v/>
      </c>
      <c r="Z33" s="307" t="str">
        <f>IF(X33&gt;0,Y33,"")</f>
        <v/>
      </c>
      <c r="AA33" s="236">
        <f>$J$19</f>
        <v>0</v>
      </c>
      <c r="AB33" s="307">
        <f>$K$19</f>
        <v>0</v>
      </c>
      <c r="AC33" s="310"/>
      <c r="AD33" s="307">
        <f>IF(AND($AF$16,$AD$5=$AD$6,$AD$5=$AD$7,$AD$5&lt;&gt;$AD$4),W33,0)</f>
        <v>0</v>
      </c>
      <c r="AE33" s="307" t="str">
        <f>IF(AD33&gt;0,Y33,"")</f>
        <v/>
      </c>
    </row>
    <row r="34" spans="15:31" x14ac:dyDescent="0.25">
      <c r="O34" s="308" t="s">
        <v>33</v>
      </c>
      <c r="P34" t="str">
        <f>$P$6</f>
        <v>Belgien</v>
      </c>
      <c r="Q34" s="308">
        <f>SUMIFS($H$4:$H$9,$B$4:$B$9,$P34,$D$4:$D$9,"&lt;&gt;"&amp;$P$36)+SUMIFS($I$4:$I$9,$B$4:$B$9,"&lt;&gt;"&amp;$P$36,$D$4:$D$9,$P34)</f>
        <v>6</v>
      </c>
      <c r="R34" s="308">
        <f>S34-T34</f>
        <v>5</v>
      </c>
      <c r="S34" s="308">
        <f>SUMIFS($E$4:$E$9,$B$4:$B$9,$P34,$D$4:$D$9,"&lt;&gt;"&amp;$P$36)+SUMIFS($G$4:$G$9,$B$4:$B$9,"&lt;&gt;"&amp;$P$36,$D$4:$D$9,$P34)</f>
        <v>5</v>
      </c>
      <c r="T34" s="308">
        <f>SUMIFS($G$4:$G$9,$B$4:$B$9,$P34,$D$4:$D$9,"&lt;&gt;"&amp;$P$36)+SUMIFS($E$4:$E$9,$B$4:$B$9,"&lt;&gt;"&amp;$P$36,$D$4:$D$9,$P34)</f>
        <v>0</v>
      </c>
      <c r="U34" s="308"/>
      <c r="V34" s="248">
        <f>Q34*FactorPts+(GDzero+R34)*FactorGD+S34*FactorFor</f>
        <v>60055050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3</v>
      </c>
      <c r="AD34" s="307">
        <f>IF(AND($AF$16,$AD$5=$AD$6,$AD$5=$AD$7,$AD$5&lt;&gt;$AD$4),W34,0)</f>
        <v>0</v>
      </c>
      <c r="AE34" s="307" t="str">
        <f t="shared" ref="AE34:AE35" si="18">IF(AD34&gt;0,Y34,"")</f>
        <v/>
      </c>
    </row>
    <row r="35" spans="15:31" ht="15.75" thickBot="1" x14ac:dyDescent="0.3">
      <c r="O35" s="308" t="s">
        <v>34</v>
      </c>
      <c r="P35" t="str">
        <f>$P$7</f>
        <v>Russland</v>
      </c>
      <c r="Q35" s="308">
        <f>SUMIFS($H$4:$H$9,$B$4:$B$9,$P35,$D$4:$D$9,"&lt;&gt;"&amp;$P$36)+SUMIFS($I$4:$I$9,$B$4:$B$9,"&lt;&gt;"&amp;$P$36,$D$4:$D$9,$P35)</f>
        <v>3</v>
      </c>
      <c r="R35" s="308">
        <f>S35-T35</f>
        <v>-2</v>
      </c>
      <c r="S35" s="308">
        <f>SUMIFS($E$4:$E$9,$B$4:$B$9,$P35,$D$4:$D$9,"&lt;&gt;"&amp;$P$36)+SUMIFS($G$4:$G$9,$B$4:$B$9,"&lt;&gt;"&amp;$P$36,$D$4:$D$9,$P35)</f>
        <v>1</v>
      </c>
      <c r="T35" s="308">
        <f>SUMIFS($G$4:$G$9,$B$4:$B$9,$P35,$D$4:$D$9,"&lt;&gt;"&amp;$P$36)+SUMIFS($E$4:$E$9,$B$4:$B$9,"&lt;&gt;"&amp;$P$36,$D$4:$D$9,$P35)</f>
        <v>3</v>
      </c>
      <c r="U35" s="308"/>
      <c r="V35" s="248">
        <f>Q35*FactorPts+(GDzero+R35)*FactorGD+S35*FactorFor</f>
        <v>30048010</v>
      </c>
      <c r="W35" s="308">
        <f>RANK(V35,V$33:V$35,1)</f>
        <v>2</v>
      </c>
      <c r="X35" s="308">
        <f>IF(AND($Q$5=$Q$6,$Q$5=$Q$7,$Q$5&lt;&gt;$Q$4),W35,0)</f>
        <v>0</v>
      </c>
      <c r="Y35" s="308" t="str">
        <f>IF(AND(V35=V33,V35&lt;&gt;V34),IF(AB35&gt;AB33,3,IF(AB35=AB33,1,0)),IF(AND(V35=V34,V35&lt;&gt;V33),IF(AC35&gt;AC34,3,IF(AC35=AC34,1,0)),""))</f>
        <v/>
      </c>
      <c r="Z35" s="307" t="str">
        <f t="shared" si="17"/>
        <v/>
      </c>
      <c r="AA35" s="237"/>
      <c r="AB35" s="238">
        <f>$I$21</f>
        <v>1</v>
      </c>
      <c r="AC35" s="239">
        <f>$J$21</f>
        <v>0</v>
      </c>
      <c r="AD35" s="307">
        <f>IF(AND($AF$16,$AD$5=$AD$6,$AD$5=$AD$7,$AD$5&lt;&gt;$AD$4),W35,0)</f>
        <v>0</v>
      </c>
      <c r="AE35" s="307" t="str">
        <f t="shared" si="18"/>
        <v/>
      </c>
    </row>
    <row r="36" spans="15:31" x14ac:dyDescent="0.25">
      <c r="P36" s="33" t="str">
        <f>$P$4</f>
        <v>Dänemark</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17</vt:i4>
      </vt:variant>
    </vt:vector>
  </HeadingPairs>
  <TitlesOfParts>
    <vt:vector size="30" baseType="lpstr">
      <vt:lpstr>EURO</vt:lpstr>
      <vt:lpstr>FairPlay</vt:lpstr>
      <vt:lpstr>Language</vt:lpstr>
      <vt:lpstr>TimeZone</vt:lpstr>
      <vt:lpstr>Groups</vt:lpstr>
      <vt:lpstr>Matches</vt:lpstr>
      <vt:lpstr>Factors</vt:lpstr>
      <vt:lpstr>GrpA</vt:lpstr>
      <vt:lpstr>GrpB</vt:lpstr>
      <vt:lpstr>GrpC</vt:lpstr>
      <vt:lpstr>GrpD</vt:lpstr>
      <vt:lpstr>GrpE</vt:lpstr>
      <vt:lpstr>GrpF</vt:lpstr>
      <vt:lpstr>FactorDirC2</vt:lpstr>
      <vt:lpstr>FactorDirC3</vt:lpstr>
      <vt:lpstr>FactorDirC42</vt:lpstr>
      <vt:lpstr>FactorDirC43</vt:lpstr>
      <vt:lpstr>FactorFairPlay</vt:lpstr>
      <vt:lpstr>FactorFor</vt:lpstr>
      <vt:lpstr>FactorGD</vt:lpstr>
      <vt:lpstr>FactorPenalty</vt:lpstr>
      <vt:lpstr>FactorPts</vt:lpstr>
      <vt:lpstr>FactorRank</vt:lpstr>
      <vt:lpstr>FactorRow</vt:lpstr>
      <vt:lpstr>FactorWins</vt:lpstr>
      <vt:lpstr>FairPlayPoints1</vt:lpstr>
      <vt:lpstr>FairPlayPoints2</vt:lpstr>
      <vt:lpstr>FairPlayTeams1</vt:lpstr>
      <vt:lpstr>FairPlayTeams2</vt:lpstr>
      <vt:lpstr>GDzero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2025-01-18T20:37:44Z</dcterms:modified>
</cp:coreProperties>
</file>