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DieseArbeitsmappe"/>
  <mc:AlternateContent xmlns:mc="http://schemas.openxmlformats.org/markup-compatibility/2006">
    <mc:Choice Requires="x15">
      <x15ac:absPath xmlns:x15ac="http://schemas.microsoft.com/office/spreadsheetml/2010/11/ac" url="E:\Excel\Spielpläne\2024 EURO\"/>
    </mc:Choice>
  </mc:AlternateContent>
  <xr:revisionPtr revIDLastSave="0" documentId="13_ncr:1_{4673A370-50DF-4558-8C5B-059C4EE2FEAD}" xr6:coauthVersionLast="36" xr6:coauthVersionMax="36" xr10:uidLastSave="{00000000-0000-0000-0000-000000000000}"/>
  <bookViews>
    <workbookView xWindow="-120" yWindow="-120" windowWidth="19320" windowHeight="12120" tabRatio="637" xr2:uid="{00000000-000D-0000-FFFF-FFFF00000000}"/>
  </bookViews>
  <sheets>
    <sheet name="EURO" sheetId="36" r:id="rId1"/>
    <sheet name="FairPlay" sheetId="3" r:id="rId2"/>
    <sheet name="AssignThird" sheetId="29" r:id="rId3"/>
    <sheet name="Language" sheetId="18" r:id="rId4"/>
    <sheet name="TimeZone" sheetId="19" r:id="rId5"/>
    <sheet name="ThirdPlaced" sheetId="27" state="hidden" r:id="rId6"/>
    <sheet name="Groups" sheetId="26" state="hidden" r:id="rId7"/>
    <sheet name="Matches" sheetId="22" state="hidden" r:id="rId8"/>
    <sheet name="Factors" sheetId="6" state="hidden" r:id="rId9"/>
    <sheet name="Distinctness" sheetId="16" state="hidden" r:id="rId10"/>
    <sheet name="References" sheetId="24" state="hidden" r:id="rId11"/>
    <sheet name="GrpA" sheetId="8" state="hidden" r:id="rId12"/>
    <sheet name="GrpB" sheetId="10" state="hidden" r:id="rId13"/>
    <sheet name="GrpC" sheetId="11" state="hidden" r:id="rId14"/>
    <sheet name="GrpD" sheetId="12" state="hidden" r:id="rId15"/>
    <sheet name="GrpE" sheetId="13" state="hidden" r:id="rId16"/>
    <sheet name="GrpF" sheetId="14" state="hidden" r:id="rId17"/>
  </sheets>
  <definedNames>
    <definedName name="FactorDirC2">Factors!$B$6</definedName>
    <definedName name="FactorDirC3">Factors!$B$5</definedName>
    <definedName name="FactorDirC42">Factors!$B$11</definedName>
    <definedName name="FactorDirC43">Factors!$B$10</definedName>
    <definedName name="FactorFairPlay">Factors!$B$13</definedName>
    <definedName name="FactorFor">Factors!$B$8</definedName>
    <definedName name="FactorGD">Factors!$B$7</definedName>
    <definedName name="FactorPenalty">Factors!$B$9</definedName>
    <definedName name="FactorPts">Factors!$B$4</definedName>
    <definedName name="FactorRank">Factors!$B$14</definedName>
    <definedName name="FactorRow">Factors!$B$15</definedName>
    <definedName name="FactorWins">Factors!$B$12</definedName>
    <definedName name="FairPlayPoints1">FairPlay!$C$6:$C$21</definedName>
    <definedName name="FairPlayPoints2">FairPlay!$F$6:$F$21</definedName>
    <definedName name="FairPlayTeams1">FairPlay!$B$6:$B$21</definedName>
    <definedName name="FairPlayTeams2">FairPlay!$E$6:$E$21</definedName>
    <definedName name="GDzero">Factors!$D$7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8" l="1"/>
  <c r="C3" i="18" l="1"/>
  <c r="C11" i="18"/>
  <c r="C10" i="18" l="1"/>
  <c r="D43" i="22" l="1"/>
  <c r="D44" i="22"/>
  <c r="D47" i="22"/>
  <c r="D45" i="22"/>
  <c r="M56" i="22"/>
  <c r="M55" i="22"/>
  <c r="M54" i="22"/>
  <c r="M53" i="22"/>
  <c r="B1" i="8" l="1"/>
  <c r="D1" i="8"/>
  <c r="B1" i="10"/>
  <c r="D1" i="10"/>
  <c r="B1" i="11"/>
  <c r="D1" i="11"/>
  <c r="B1" i="12"/>
  <c r="D1" i="12"/>
  <c r="B1" i="13"/>
  <c r="D1" i="13"/>
  <c r="B1" i="14"/>
  <c r="D1" i="14"/>
  <c r="C4" i="18"/>
  <c r="C5" i="18"/>
  <c r="C6" i="18"/>
  <c r="C7" i="18"/>
  <c r="C8" i="18"/>
  <c r="L89" i="36"/>
  <c r="N88" i="36"/>
  <c r="L88" i="36"/>
  <c r="E19" i="19"/>
  <c r="F58" i="22"/>
  <c r="L83" i="36"/>
  <c r="R79" i="36"/>
  <c r="F79" i="36"/>
  <c r="F56" i="22"/>
  <c r="F55" i="22"/>
  <c r="U69" i="36"/>
  <c r="O69" i="36"/>
  <c r="I69" i="36"/>
  <c r="C69" i="36"/>
  <c r="F53" i="22"/>
  <c r="F52" i="22"/>
  <c r="F51" i="22"/>
  <c r="F50" i="22"/>
  <c r="W59" i="36"/>
  <c r="T59" i="36"/>
  <c r="Q59" i="36"/>
  <c r="N59" i="36"/>
  <c r="K59" i="36"/>
  <c r="H59" i="36"/>
  <c r="E59" i="36"/>
  <c r="B59" i="36"/>
  <c r="F42" i="22"/>
  <c r="F44" i="22"/>
  <c r="F48" i="22"/>
  <c r="F47" i="22"/>
  <c r="F46" i="22"/>
  <c r="F45" i="22"/>
  <c r="F41" i="22"/>
  <c r="F43" i="22"/>
  <c r="Q44" i="36"/>
  <c r="N44" i="36"/>
  <c r="K44" i="36"/>
  <c r="H44" i="36"/>
  <c r="E44" i="36"/>
  <c r="B44" i="36"/>
  <c r="F39" i="22"/>
  <c r="Q39" i="36" s="1"/>
  <c r="F37" i="22"/>
  <c r="N39" i="36" s="1"/>
  <c r="F35" i="22"/>
  <c r="K39" i="36"/>
  <c r="F33" i="22"/>
  <c r="H39" i="36" s="1"/>
  <c r="F31" i="22"/>
  <c r="E39" i="36"/>
  <c r="F29" i="22"/>
  <c r="B39" i="36" s="1"/>
  <c r="Q37" i="36"/>
  <c r="N37" i="36"/>
  <c r="K37" i="36"/>
  <c r="H37" i="36"/>
  <c r="E37" i="36"/>
  <c r="B37" i="36"/>
  <c r="F38" i="22"/>
  <c r="Q32" i="36" s="1"/>
  <c r="F36" i="22"/>
  <c r="N32" i="36" s="1"/>
  <c r="F34" i="22"/>
  <c r="F32" i="22"/>
  <c r="H32" i="36" s="1"/>
  <c r="F30" i="22"/>
  <c r="E32" i="36" s="1"/>
  <c r="F28" i="22"/>
  <c r="B32" i="36" s="1"/>
  <c r="F27" i="22"/>
  <c r="Q27" i="36" s="1"/>
  <c r="F25" i="22"/>
  <c r="N27" i="36" s="1"/>
  <c r="F23" i="22"/>
  <c r="K27" i="36"/>
  <c r="F21" i="22"/>
  <c r="H22" i="36" s="1"/>
  <c r="F19" i="22"/>
  <c r="F17" i="22"/>
  <c r="F26" i="22"/>
  <c r="Q22" i="36"/>
  <c r="F24" i="22"/>
  <c r="N22" i="36" s="1"/>
  <c r="F22" i="22"/>
  <c r="K22" i="36" s="1"/>
  <c r="F20" i="22"/>
  <c r="H27" i="36" s="1"/>
  <c r="F18" i="22"/>
  <c r="E22" i="36" s="1"/>
  <c r="F16" i="22"/>
  <c r="B27" i="36" s="1"/>
  <c r="B22" i="36"/>
  <c r="F15" i="22"/>
  <c r="Q17" i="36" s="1"/>
  <c r="F13" i="22"/>
  <c r="F11" i="22"/>
  <c r="K17" i="36" s="1"/>
  <c r="F9" i="22"/>
  <c r="F7" i="22"/>
  <c r="E17" i="36" s="1"/>
  <c r="F5" i="22"/>
  <c r="B17" i="36" s="1"/>
  <c r="F14" i="22"/>
  <c r="Q12" i="36" s="1"/>
  <c r="F12" i="22"/>
  <c r="N12" i="36"/>
  <c r="F10" i="22"/>
  <c r="K12" i="36" s="1"/>
  <c r="F8" i="22"/>
  <c r="H17" i="36" s="1"/>
  <c r="H12" i="36"/>
  <c r="F6" i="22"/>
  <c r="E12" i="36" s="1"/>
  <c r="F4" i="22"/>
  <c r="B12" i="36"/>
  <c r="C9" i="18"/>
  <c r="E16" i="19"/>
  <c r="O1" i="18"/>
  <c r="E5" i="19"/>
  <c r="E6" i="19"/>
  <c r="E7" i="19"/>
  <c r="E8" i="19"/>
  <c r="E9" i="19"/>
  <c r="E10" i="19"/>
  <c r="E11" i="19"/>
  <c r="E12" i="19"/>
  <c r="E13" i="19"/>
  <c r="E14" i="19"/>
  <c r="E15" i="19"/>
  <c r="E17" i="19"/>
  <c r="E18" i="19"/>
  <c r="E20" i="19"/>
  <c r="E21" i="19"/>
  <c r="E22" i="19"/>
  <c r="E23" i="19"/>
  <c r="E24" i="19"/>
  <c r="E25" i="19"/>
  <c r="E26" i="19"/>
  <c r="E27" i="19"/>
  <c r="E28" i="19"/>
  <c r="E29" i="19"/>
  <c r="E30" i="19"/>
  <c r="E31" i="19"/>
  <c r="E32" i="19"/>
  <c r="E33" i="19"/>
  <c r="E34" i="19"/>
  <c r="E35" i="19"/>
  <c r="E36" i="19"/>
  <c r="E37" i="19"/>
  <c r="E38" i="19"/>
  <c r="E39" i="19"/>
  <c r="E4" i="19"/>
  <c r="E211" i="18" l="1"/>
  <c r="E212" i="18"/>
  <c r="E209" i="18"/>
  <c r="E210" i="18"/>
  <c r="E6" i="18"/>
  <c r="E72" i="18"/>
  <c r="E140" i="18"/>
  <c r="E216" i="18"/>
  <c r="E31" i="18"/>
  <c r="E100" i="18"/>
  <c r="E173" i="18"/>
  <c r="E150" i="18"/>
  <c r="E127" i="18"/>
  <c r="E16" i="18"/>
  <c r="E84" i="18"/>
  <c r="E1" i="36" s="1"/>
  <c r="E190" i="18"/>
  <c r="E154" i="18"/>
  <c r="E155" i="18"/>
  <c r="E49" i="18"/>
  <c r="E118" i="18"/>
  <c r="E191" i="18"/>
  <c r="E34" i="18"/>
  <c r="E184" i="18"/>
  <c r="E195" i="18"/>
  <c r="E69" i="18"/>
  <c r="E136" i="18"/>
  <c r="E213" i="18"/>
  <c r="E52" i="18"/>
  <c r="E121" i="18"/>
  <c r="E53" i="18"/>
  <c r="E8" i="18"/>
  <c r="E14" i="18"/>
  <c r="E80" i="18"/>
  <c r="E148" i="18"/>
  <c r="E226" i="18"/>
  <c r="E39" i="18"/>
  <c r="E108" i="18"/>
  <c r="E181" i="18"/>
  <c r="E174" i="18"/>
  <c r="E144" i="18"/>
  <c r="K5" i="19" s="1"/>
  <c r="E24" i="18"/>
  <c r="E92" i="18"/>
  <c r="E206" i="18"/>
  <c r="E202" i="18"/>
  <c r="E187" i="18"/>
  <c r="E57" i="18"/>
  <c r="E126" i="18"/>
  <c r="E199" i="18"/>
  <c r="E50" i="18"/>
  <c r="E208" i="18"/>
  <c r="E11" i="18"/>
  <c r="E77" i="18"/>
  <c r="E145" i="18"/>
  <c r="E223" i="18"/>
  <c r="E60" i="18"/>
  <c r="E129" i="18"/>
  <c r="W45" i="36" s="1"/>
  <c r="E89" i="18"/>
  <c r="E185" i="18"/>
  <c r="E36" i="18"/>
  <c r="E204" i="18"/>
  <c r="E158" i="18"/>
  <c r="E26" i="18"/>
  <c r="E44" i="18"/>
  <c r="E22" i="18"/>
  <c r="E90" i="18"/>
  <c r="E156" i="18"/>
  <c r="E61" i="18"/>
  <c r="E47" i="18"/>
  <c r="E116" i="18"/>
  <c r="E189" i="18"/>
  <c r="E182" i="18"/>
  <c r="E176" i="18"/>
  <c r="E32" i="18"/>
  <c r="E101" i="18"/>
  <c r="E228" i="18"/>
  <c r="E13" i="18"/>
  <c r="E215" i="18"/>
  <c r="E67" i="18"/>
  <c r="E134" i="18"/>
  <c r="T31" i="36" s="1"/>
  <c r="E207" i="18"/>
  <c r="E68" i="18"/>
  <c r="E146" i="18"/>
  <c r="E19" i="18"/>
  <c r="E87" i="18"/>
  <c r="A1" i="19" s="1"/>
  <c r="E153" i="18"/>
  <c r="E231" i="18"/>
  <c r="E70" i="18"/>
  <c r="E138" i="18"/>
  <c r="E106" i="18"/>
  <c r="E28" i="18"/>
  <c r="E105" i="18"/>
  <c r="E91" i="18"/>
  <c r="B2" i="26" s="1"/>
  <c r="E74" i="18"/>
  <c r="E183" i="18"/>
  <c r="E201" i="18"/>
  <c r="E30" i="18"/>
  <c r="D22" i="26" s="1"/>
  <c r="E99" i="18"/>
  <c r="E172" i="18"/>
  <c r="E163" i="18"/>
  <c r="E55" i="18"/>
  <c r="E124" i="18"/>
  <c r="E197" i="18"/>
  <c r="E198" i="18"/>
  <c r="E200" i="18"/>
  <c r="E40" i="18"/>
  <c r="E109" i="18"/>
  <c r="R82" i="36" s="1"/>
  <c r="E58" i="18"/>
  <c r="E45" i="18"/>
  <c r="E9" i="18"/>
  <c r="E75" i="18"/>
  <c r="E143" i="18"/>
  <c r="G1" i="19" s="1"/>
  <c r="E221" i="18"/>
  <c r="E76" i="18"/>
  <c r="E214" i="18"/>
  <c r="E27" i="18"/>
  <c r="E96" i="18"/>
  <c r="E161" i="18"/>
  <c r="E12" i="18"/>
  <c r="E78" i="18"/>
  <c r="E162" i="18"/>
  <c r="T33" i="36" s="1"/>
  <c r="E122" i="18"/>
  <c r="E21" i="18"/>
  <c r="E179" i="18"/>
  <c r="E62" i="18"/>
  <c r="E41" i="18"/>
  <c r="E128" i="18"/>
  <c r="E38" i="18"/>
  <c r="E107" i="18"/>
  <c r="E180" i="18"/>
  <c r="E233" i="18"/>
  <c r="E63" i="18"/>
  <c r="E132" i="18"/>
  <c r="E205" i="18"/>
  <c r="E218" i="18"/>
  <c r="E230" i="18"/>
  <c r="E48" i="18"/>
  <c r="E117" i="18"/>
  <c r="E119" i="18"/>
  <c r="E79" i="18"/>
  <c r="E17" i="18"/>
  <c r="E85" i="18"/>
  <c r="E151" i="18"/>
  <c r="E229" i="18"/>
  <c r="E95" i="18"/>
  <c r="E232" i="18"/>
  <c r="E35" i="18"/>
  <c r="E104" i="18"/>
  <c r="E177" i="18"/>
  <c r="E20" i="18"/>
  <c r="E88" i="18"/>
  <c r="B1" i="22" s="1"/>
  <c r="E194" i="18"/>
  <c r="E147" i="18"/>
  <c r="G4" i="19" s="1"/>
  <c r="E43" i="18"/>
  <c r="E224" i="18"/>
  <c r="E203" i="18"/>
  <c r="E157" i="18"/>
  <c r="E125" i="18"/>
  <c r="E139" i="18"/>
  <c r="J5" i="16" s="1"/>
  <c r="E152" i="18"/>
  <c r="E113" i="18"/>
  <c r="E46" i="18"/>
  <c r="E115" i="18"/>
  <c r="E188" i="18"/>
  <c r="E7" i="18"/>
  <c r="E73" i="18"/>
  <c r="E141" i="18"/>
  <c r="E217" i="18"/>
  <c r="E42" i="18"/>
  <c r="E178" i="18"/>
  <c r="E56" i="18"/>
  <c r="E133" i="18"/>
  <c r="E160" i="18"/>
  <c r="E98" i="18"/>
  <c r="E25" i="18"/>
  <c r="E93" i="18"/>
  <c r="E159" i="18"/>
  <c r="E10" i="18"/>
  <c r="E111" i="18"/>
  <c r="E112" i="18"/>
  <c r="E97" i="18"/>
  <c r="E29" i="18"/>
  <c r="E23" i="18"/>
  <c r="E103" i="18"/>
  <c r="E110" i="18"/>
  <c r="E59" i="18"/>
  <c r="E37" i="18"/>
  <c r="E54" i="18"/>
  <c r="E123" i="18"/>
  <c r="K56" i="22" s="1"/>
  <c r="E196" i="18"/>
  <c r="E15" i="18"/>
  <c r="E81" i="18"/>
  <c r="E149" i="18"/>
  <c r="T14" i="36" s="1"/>
  <c r="E227" i="18"/>
  <c r="E86" i="18"/>
  <c r="B2" i="3" s="1"/>
  <c r="E186" i="18"/>
  <c r="E66" i="18"/>
  <c r="E142" i="18"/>
  <c r="B3" i="3" s="1"/>
  <c r="E192" i="18"/>
  <c r="E114" i="18"/>
  <c r="E33" i="18"/>
  <c r="E102" i="18"/>
  <c r="E175" i="18"/>
  <c r="E18" i="18"/>
  <c r="E135" i="18"/>
  <c r="E71" i="18"/>
  <c r="E51" i="18"/>
  <c r="E120" i="18"/>
  <c r="E193" i="18"/>
  <c r="E131" i="18"/>
  <c r="C5" i="29" s="1"/>
  <c r="E222" i="18"/>
  <c r="E130" i="18"/>
  <c r="W47" i="36" s="1"/>
  <c r="E225" i="18"/>
  <c r="E5" i="18"/>
  <c r="M1" i="18"/>
  <c r="K55" i="22"/>
  <c r="F1" i="18"/>
  <c r="A2" i="29"/>
  <c r="N17" i="36"/>
  <c r="E27" i="36"/>
  <c r="K32" i="36"/>
  <c r="Q72" i="36"/>
  <c r="E72" i="36"/>
  <c r="T11" i="36"/>
  <c r="H38" i="22" l="1"/>
  <c r="H44" i="22"/>
  <c r="H19" i="22"/>
  <c r="H8" i="22"/>
  <c r="H14" i="22"/>
  <c r="H56" i="22"/>
  <c r="H35" i="22"/>
  <c r="H41" i="22"/>
  <c r="H26" i="22"/>
  <c r="H7" i="22"/>
  <c r="H48" i="22"/>
  <c r="H31" i="22"/>
  <c r="H23" i="22"/>
  <c r="H15" i="22"/>
  <c r="H58" i="22"/>
  <c r="H22" i="22"/>
  <c r="H6" i="22"/>
  <c r="H52" i="22"/>
  <c r="H34" i="22"/>
  <c r="H42" i="22"/>
  <c r="H32" i="22"/>
  <c r="H5" i="22"/>
  <c r="H16" i="22"/>
  <c r="H43" i="22"/>
  <c r="H25" i="22"/>
  <c r="H37" i="22"/>
  <c r="H29" i="22"/>
  <c r="H17" i="22"/>
  <c r="H9" i="22"/>
  <c r="H50" i="22"/>
  <c r="H18" i="22"/>
  <c r="H27" i="22"/>
  <c r="H10" i="22"/>
  <c r="H51" i="22"/>
  <c r="H39" i="22"/>
  <c r="H30" i="22"/>
  <c r="H46" i="22"/>
  <c r="H24" i="22"/>
  <c r="H53" i="22"/>
  <c r="H11" i="22"/>
  <c r="H45" i="22"/>
  <c r="H36" i="22"/>
  <c r="H28" i="22"/>
  <c r="H20" i="22"/>
  <c r="H12" i="22"/>
  <c r="H47" i="22"/>
  <c r="H4" i="22"/>
  <c r="H21" i="22"/>
  <c r="H13" i="22"/>
  <c r="H55" i="22"/>
  <c r="H33" i="22"/>
  <c r="H78" i="36"/>
  <c r="T78" i="36"/>
  <c r="D33" i="26"/>
  <c r="P5" i="14" s="1"/>
  <c r="AF5" i="14" s="1"/>
  <c r="D7" i="26"/>
  <c r="D12" i="26"/>
  <c r="D15" i="26"/>
  <c r="J18" i="22" s="1"/>
  <c r="D17" i="26"/>
  <c r="B18" i="3" s="1"/>
  <c r="D35" i="26"/>
  <c r="P7" i="14" s="1"/>
  <c r="AF7" i="14" s="1"/>
  <c r="D32" i="26"/>
  <c r="P4" i="14" s="1"/>
  <c r="AF4" i="14" s="1"/>
  <c r="D9" i="26"/>
  <c r="J29" i="22" s="1"/>
  <c r="D34" i="26"/>
  <c r="D18" i="26"/>
  <c r="P5" i="11" s="1"/>
  <c r="AF5" i="11" s="1"/>
  <c r="D25" i="26"/>
  <c r="D10" i="26"/>
  <c r="J5" i="22" s="1"/>
  <c r="D23" i="26"/>
  <c r="P5" i="12" s="1"/>
  <c r="AF5" i="12" s="1"/>
  <c r="D8" i="26"/>
  <c r="J4" i="22" s="1"/>
  <c r="D14" i="26"/>
  <c r="J19" i="22" s="1"/>
  <c r="D20" i="26"/>
  <c r="B21" i="3" s="1"/>
  <c r="D30" i="26"/>
  <c r="P7" i="13" s="1"/>
  <c r="AF7" i="13" s="1"/>
  <c r="D13" i="26"/>
  <c r="P5" i="10" s="1"/>
  <c r="AF5" i="10" s="1"/>
  <c r="D28" i="26"/>
  <c r="I36" i="22" s="1"/>
  <c r="D29" i="26"/>
  <c r="J25" i="22" s="1"/>
  <c r="D19" i="26"/>
  <c r="B20" i="3" s="1"/>
  <c r="D27" i="26"/>
  <c r="D24" i="26"/>
  <c r="E8" i="3" s="1"/>
  <c r="K58" i="22"/>
  <c r="L81" i="36" s="1"/>
  <c r="F73" i="36"/>
  <c r="F71" i="36"/>
  <c r="R73" i="36"/>
  <c r="R78" i="36"/>
  <c r="F78" i="36"/>
  <c r="R71" i="36"/>
  <c r="K31" i="36"/>
  <c r="F2" i="36"/>
  <c r="I2" i="36"/>
  <c r="R2" i="36"/>
  <c r="O2" i="36"/>
  <c r="C2" i="36"/>
  <c r="L2" i="36"/>
  <c r="B45" i="36"/>
  <c r="E45" i="36"/>
  <c r="N45" i="36"/>
  <c r="Q45" i="36"/>
  <c r="H45" i="36"/>
  <c r="K45" i="36"/>
  <c r="R72" i="36"/>
  <c r="Q16" i="36"/>
  <c r="T16" i="36"/>
  <c r="V45" i="36"/>
  <c r="Y47" i="36"/>
  <c r="I22" i="22"/>
  <c r="J35" i="22"/>
  <c r="E6" i="3"/>
  <c r="P4" i="12"/>
  <c r="AF4" i="12" s="1"/>
  <c r="I10" i="22"/>
  <c r="K56" i="36"/>
  <c r="L86" i="36"/>
  <c r="F76" i="36"/>
  <c r="I66" i="36"/>
  <c r="W56" i="36"/>
  <c r="N56" i="36"/>
  <c r="U66" i="36"/>
  <c r="C66" i="36"/>
  <c r="T56" i="36"/>
  <c r="E56" i="36"/>
  <c r="B56" i="36"/>
  <c r="Q56" i="36"/>
  <c r="H35" i="36"/>
  <c r="K42" i="36"/>
  <c r="E35" i="36"/>
  <c r="H42" i="36"/>
  <c r="Q35" i="36"/>
  <c r="O66" i="36"/>
  <c r="E42" i="36"/>
  <c r="Q42" i="36"/>
  <c r="N35" i="36"/>
  <c r="R76" i="36"/>
  <c r="H56" i="36"/>
  <c r="B35" i="36"/>
  <c r="K35" i="36"/>
  <c r="N42" i="36"/>
  <c r="B42" i="36"/>
  <c r="B11" i="36"/>
  <c r="E5" i="29"/>
  <c r="F5" i="29"/>
  <c r="D5" i="29"/>
  <c r="G5" i="29"/>
  <c r="K11" i="36"/>
  <c r="K9" i="36"/>
  <c r="B5" i="3"/>
  <c r="E5" i="3"/>
  <c r="Q9" i="36"/>
  <c r="B11" i="3"/>
  <c r="E9" i="36"/>
  <c r="N9" i="36"/>
  <c r="E11" i="3"/>
  <c r="H9" i="36"/>
  <c r="B9" i="36"/>
  <c r="E17" i="3"/>
  <c r="B17" i="3"/>
  <c r="C1" i="27"/>
  <c r="T45" i="36"/>
  <c r="C11" i="3"/>
  <c r="C17" i="3"/>
  <c r="F11" i="3"/>
  <c r="F17" i="3"/>
  <c r="C5" i="3"/>
  <c r="F5" i="3"/>
  <c r="E7" i="29"/>
  <c r="G7" i="29"/>
  <c r="F7" i="29"/>
  <c r="D7" i="29"/>
  <c r="E26" i="36" l="1"/>
  <c r="K38" i="36"/>
  <c r="E21" i="36"/>
  <c r="E38" i="36"/>
  <c r="N26" i="36"/>
  <c r="E11" i="36"/>
  <c r="B16" i="36"/>
  <c r="J7" i="22"/>
  <c r="F18" i="36" s="1"/>
  <c r="Q26" i="36"/>
  <c r="K16" i="36"/>
  <c r="K26" i="36"/>
  <c r="Q31" i="36"/>
  <c r="Q11" i="36"/>
  <c r="F72" i="36"/>
  <c r="B21" i="36"/>
  <c r="B15" i="3"/>
  <c r="E31" i="36"/>
  <c r="N31" i="36"/>
  <c r="P7" i="10"/>
  <c r="AF7" i="10" s="1"/>
  <c r="H31" i="36"/>
  <c r="I30" i="22"/>
  <c r="H38" i="36"/>
  <c r="Q38" i="36"/>
  <c r="K21" i="36"/>
  <c r="B38" i="36"/>
  <c r="N21" i="36"/>
  <c r="B31" i="36"/>
  <c r="E16" i="36"/>
  <c r="L82" i="36"/>
  <c r="J23" i="22"/>
  <c r="N38" i="36"/>
  <c r="P4" i="8"/>
  <c r="AF4" i="8" s="1"/>
  <c r="I17" i="22"/>
  <c r="N62" i="36"/>
  <c r="O62" i="36" s="1"/>
  <c r="T62" i="36"/>
  <c r="B62" i="36"/>
  <c r="C68" i="36" s="1"/>
  <c r="H62" i="36"/>
  <c r="N11" i="36"/>
  <c r="H21" i="36"/>
  <c r="P4" i="10"/>
  <c r="AF4" i="10" s="1"/>
  <c r="I39" i="22"/>
  <c r="E21" i="3"/>
  <c r="J27" i="22"/>
  <c r="J15" i="22"/>
  <c r="J28" i="22"/>
  <c r="B6" i="3"/>
  <c r="I4" i="22"/>
  <c r="P6" i="14"/>
  <c r="AF6" i="14" s="1"/>
  <c r="I19" i="22"/>
  <c r="P4" i="11"/>
  <c r="AF4" i="11" s="1"/>
  <c r="J14" i="22"/>
  <c r="I15" i="22"/>
  <c r="I27" i="22"/>
  <c r="E19" i="3"/>
  <c r="I38" i="22"/>
  <c r="Q33" i="36" s="1"/>
  <c r="J30" i="22"/>
  <c r="I6" i="22"/>
  <c r="E13" i="36" s="1"/>
  <c r="B12" i="3"/>
  <c r="J32" i="22"/>
  <c r="I9" i="22"/>
  <c r="I21" i="22"/>
  <c r="H23" i="36" s="1"/>
  <c r="H11" i="36"/>
  <c r="B26" i="36"/>
  <c r="Q21" i="36"/>
  <c r="H26" i="36"/>
  <c r="H16" i="36"/>
  <c r="N16" i="36"/>
  <c r="J17" i="22"/>
  <c r="J38" i="22"/>
  <c r="R33" i="36" s="1"/>
  <c r="E20" i="3"/>
  <c r="I13" i="22"/>
  <c r="J26" i="22"/>
  <c r="R28" i="36" s="1"/>
  <c r="B19" i="3"/>
  <c r="B8" i="3"/>
  <c r="P6" i="8"/>
  <c r="I5" i="22"/>
  <c r="B18" i="36" s="1"/>
  <c r="J8" i="22"/>
  <c r="J9" i="22"/>
  <c r="I33" i="22"/>
  <c r="I20" i="22"/>
  <c r="I35" i="22"/>
  <c r="E9" i="3"/>
  <c r="E13" i="3"/>
  <c r="J12" i="22"/>
  <c r="O18" i="36" s="1"/>
  <c r="I24" i="22"/>
  <c r="N23" i="36" s="1"/>
  <c r="J11" i="22"/>
  <c r="L18" i="36" s="1"/>
  <c r="P5" i="13"/>
  <c r="P7" i="12"/>
  <c r="J20" i="22"/>
  <c r="I28" i="36" s="1"/>
  <c r="I26" i="22"/>
  <c r="Q28" i="36" s="1"/>
  <c r="J39" i="22"/>
  <c r="I14" i="22"/>
  <c r="E18" i="3"/>
  <c r="I23" i="22"/>
  <c r="J36" i="22"/>
  <c r="J16" i="22"/>
  <c r="C28" i="36" s="1"/>
  <c r="P6" i="13"/>
  <c r="I28" i="22"/>
  <c r="E14" i="3"/>
  <c r="B9" i="3"/>
  <c r="P7" i="8"/>
  <c r="I29" i="22"/>
  <c r="I16" i="22"/>
  <c r="B28" i="36" s="1"/>
  <c r="P5" i="8"/>
  <c r="AF5" i="8" s="1"/>
  <c r="P4" i="13"/>
  <c r="B7" i="3"/>
  <c r="I25" i="22"/>
  <c r="N28" i="36" s="1"/>
  <c r="E7" i="3"/>
  <c r="J10" i="22"/>
  <c r="I34" i="22"/>
  <c r="K33" i="36" s="1"/>
  <c r="J33" i="22"/>
  <c r="I40" i="36" s="1"/>
  <c r="P6" i="11"/>
  <c r="AF6" i="11" s="1"/>
  <c r="B14" i="3"/>
  <c r="J21" i="22"/>
  <c r="I23" i="36" s="1"/>
  <c r="I8" i="22"/>
  <c r="P6" i="12"/>
  <c r="AF6" i="12" s="1"/>
  <c r="I12" i="22"/>
  <c r="N18" i="36" s="1"/>
  <c r="J37" i="22"/>
  <c r="P6" i="10"/>
  <c r="E12" i="3"/>
  <c r="J31" i="22"/>
  <c r="F40" i="36" s="1"/>
  <c r="I11" i="22"/>
  <c r="J34" i="22"/>
  <c r="I7" i="22"/>
  <c r="E18" i="36" s="1"/>
  <c r="J22" i="22"/>
  <c r="L23" i="36" s="1"/>
  <c r="B13" i="3"/>
  <c r="J6" i="22"/>
  <c r="F13" i="36" s="1"/>
  <c r="I37" i="22"/>
  <c r="N40" i="36" s="1"/>
  <c r="E15" i="3"/>
  <c r="J24" i="22"/>
  <c r="J13" i="22"/>
  <c r="I32" i="22"/>
  <c r="P7" i="11"/>
  <c r="I18" i="22"/>
  <c r="E23" i="36" s="1"/>
  <c r="I31" i="22"/>
  <c r="E40" i="36" s="1"/>
  <c r="R23" i="36"/>
  <c r="K13" i="36"/>
  <c r="F23" i="36"/>
  <c r="F28" i="36"/>
  <c r="O28" i="36"/>
  <c r="L40" i="36"/>
  <c r="C13" i="36"/>
  <c r="K23" i="36"/>
  <c r="C18" i="36"/>
  <c r="N33" i="36"/>
  <c r="C40" i="36"/>
  <c r="P19" i="11"/>
  <c r="P31" i="11"/>
  <c r="P33" i="11"/>
  <c r="P24" i="11"/>
  <c r="E19" i="11"/>
  <c r="I17" i="11"/>
  <c r="E18" i="12"/>
  <c r="P18" i="12"/>
  <c r="P28" i="12"/>
  <c r="P23" i="12"/>
  <c r="P36" i="12"/>
  <c r="H17" i="12"/>
  <c r="P35" i="14"/>
  <c r="P25" i="14"/>
  <c r="K17" i="14"/>
  <c r="P21" i="14"/>
  <c r="E21" i="14"/>
  <c r="P30" i="14"/>
  <c r="P31" i="10"/>
  <c r="P33" i="10"/>
  <c r="P24" i="10"/>
  <c r="P19" i="10"/>
  <c r="I17" i="10"/>
  <c r="E19" i="10"/>
  <c r="P30" i="10"/>
  <c r="E21" i="10"/>
  <c r="P25" i="10"/>
  <c r="P21" i="10"/>
  <c r="P35" i="10"/>
  <c r="K17" i="10"/>
  <c r="P31" i="12"/>
  <c r="P24" i="12"/>
  <c r="P33" i="12"/>
  <c r="I17" i="12"/>
  <c r="E19" i="12"/>
  <c r="P19" i="12"/>
  <c r="P30" i="13"/>
  <c r="E21" i="13"/>
  <c r="P21" i="13"/>
  <c r="P25" i="13"/>
  <c r="P35" i="13"/>
  <c r="K17" i="13"/>
  <c r="I17" i="14"/>
  <c r="E19" i="14"/>
  <c r="P24" i="14"/>
  <c r="P19" i="14"/>
  <c r="P31" i="14"/>
  <c r="P33" i="14"/>
  <c r="P18" i="14"/>
  <c r="P23" i="14"/>
  <c r="P28" i="14"/>
  <c r="P36" i="14"/>
  <c r="E18" i="14"/>
  <c r="H17" i="14"/>
  <c r="P20" i="14" l="1"/>
  <c r="O61" i="36"/>
  <c r="O68" i="36"/>
  <c r="O63" i="36"/>
  <c r="L28" i="36"/>
  <c r="E33" i="36"/>
  <c r="P18" i="11"/>
  <c r="P18" i="10"/>
  <c r="P23" i="10"/>
  <c r="P28" i="10"/>
  <c r="P36" i="10"/>
  <c r="H17" i="10"/>
  <c r="E18" i="10"/>
  <c r="B23" i="36"/>
  <c r="E18" i="8"/>
  <c r="P28" i="11"/>
  <c r="P23" i="11"/>
  <c r="Q40" i="36"/>
  <c r="E28" i="36"/>
  <c r="C63" i="36"/>
  <c r="E18" i="11"/>
  <c r="H17" i="11"/>
  <c r="P36" i="11"/>
  <c r="C61" i="36"/>
  <c r="H17" i="8"/>
  <c r="P23" i="8"/>
  <c r="P28" i="8"/>
  <c r="P36" i="8"/>
  <c r="P18" i="8"/>
  <c r="A52" i="36"/>
  <c r="B53" i="36" s="1"/>
  <c r="I63" i="36"/>
  <c r="I68" i="36"/>
  <c r="K68" i="36"/>
  <c r="I61" i="36"/>
  <c r="I62" i="36"/>
  <c r="E68" i="36"/>
  <c r="C62" i="36"/>
  <c r="W68" i="36"/>
  <c r="U61" i="36"/>
  <c r="U68" i="36"/>
  <c r="U62" i="36"/>
  <c r="U63" i="36"/>
  <c r="Q68" i="36"/>
  <c r="Q23" i="36"/>
  <c r="C33" i="36"/>
  <c r="R18" i="36"/>
  <c r="B13" i="36"/>
  <c r="P34" i="14"/>
  <c r="P26" i="14"/>
  <c r="E20" i="14"/>
  <c r="J17" i="14"/>
  <c r="P29" i="14"/>
  <c r="H13" i="36"/>
  <c r="Q18" i="36"/>
  <c r="R13" i="36"/>
  <c r="I33" i="36"/>
  <c r="F33" i="36"/>
  <c r="P31" i="8"/>
  <c r="H28" i="36"/>
  <c r="K40" i="36"/>
  <c r="N13" i="36"/>
  <c r="C23" i="36"/>
  <c r="E21" i="8"/>
  <c r="AF7" i="8"/>
  <c r="K17" i="11"/>
  <c r="AF7" i="11"/>
  <c r="J17" i="8"/>
  <c r="AF6" i="8"/>
  <c r="P18" i="13"/>
  <c r="AF4" i="13"/>
  <c r="J17" i="13"/>
  <c r="AF6" i="13"/>
  <c r="K17" i="12"/>
  <c r="AF7" i="12"/>
  <c r="E20" i="10"/>
  <c r="AF6" i="10"/>
  <c r="P19" i="13"/>
  <c r="AF5" i="13"/>
  <c r="E21" i="12"/>
  <c r="P26" i="11"/>
  <c r="P30" i="12"/>
  <c r="I17" i="8"/>
  <c r="P29" i="11"/>
  <c r="P33" i="8"/>
  <c r="P24" i="8"/>
  <c r="P25" i="12"/>
  <c r="P35" i="12"/>
  <c r="P19" i="8"/>
  <c r="E20" i="11"/>
  <c r="E19" i="8"/>
  <c r="J17" i="11"/>
  <c r="P21" i="12"/>
  <c r="P20" i="11"/>
  <c r="P34" i="8"/>
  <c r="E20" i="8"/>
  <c r="P20" i="8"/>
  <c r="P26" i="8"/>
  <c r="P29" i="8"/>
  <c r="P34" i="11"/>
  <c r="I18" i="36"/>
  <c r="P23" i="13"/>
  <c r="P33" i="13"/>
  <c r="K28" i="36"/>
  <c r="O33" i="36"/>
  <c r="J17" i="10"/>
  <c r="P24" i="13"/>
  <c r="P20" i="10"/>
  <c r="H40" i="36"/>
  <c r="P29" i="10"/>
  <c r="I17" i="13"/>
  <c r="P34" i="10"/>
  <c r="E19" i="13"/>
  <c r="P26" i="10"/>
  <c r="P31" i="13"/>
  <c r="I13" i="36"/>
  <c r="P35" i="11"/>
  <c r="P28" i="13"/>
  <c r="E21" i="11"/>
  <c r="Q13" i="36"/>
  <c r="P26" i="13"/>
  <c r="P36" i="13"/>
  <c r="E18" i="13"/>
  <c r="P29" i="13"/>
  <c r="P20" i="13"/>
  <c r="H17" i="13"/>
  <c r="P34" i="13"/>
  <c r="E20" i="13"/>
  <c r="B33" i="36"/>
  <c r="R40" i="36"/>
  <c r="P25" i="8"/>
  <c r="K17" i="8"/>
  <c r="P30" i="8"/>
  <c r="P35" i="8"/>
  <c r="J17" i="12"/>
  <c r="P21" i="8"/>
  <c r="H18" i="36"/>
  <c r="AB5" i="14"/>
  <c r="P21" i="11"/>
  <c r="AB4" i="8"/>
  <c r="B40" i="36"/>
  <c r="P30" i="11"/>
  <c r="AB5" i="12"/>
  <c r="O40" i="36"/>
  <c r="AB7" i="14"/>
  <c r="P25" i="11"/>
  <c r="AB6" i="10"/>
  <c r="AB7" i="10"/>
  <c r="AB6" i="8"/>
  <c r="AB5" i="8"/>
  <c r="P26" i="12"/>
  <c r="AB5" i="11"/>
  <c r="E20" i="12"/>
  <c r="AB6" i="11"/>
  <c r="AB7" i="12"/>
  <c r="AB4" i="10"/>
  <c r="AB6" i="12"/>
  <c r="AB6" i="14"/>
  <c r="AB7" i="11"/>
  <c r="P34" i="12"/>
  <c r="AB4" i="11"/>
  <c r="AB7" i="13"/>
  <c r="AB7" i="8"/>
  <c r="P20" i="12"/>
  <c r="AB5" i="10"/>
  <c r="AB5" i="13"/>
  <c r="AB4" i="14"/>
  <c r="P29" i="12"/>
  <c r="AB6" i="13"/>
  <c r="AB4" i="12"/>
  <c r="AB4" i="13"/>
  <c r="L13" i="36"/>
  <c r="K18" i="36"/>
  <c r="O13" i="36"/>
  <c r="L33" i="36"/>
  <c r="O23" i="36"/>
  <c r="H33" i="36"/>
  <c r="M52" i="36" l="1"/>
  <c r="N58" i="36" s="1"/>
  <c r="C58" i="36"/>
  <c r="B52" i="36"/>
  <c r="B58" i="36"/>
  <c r="P52" i="36"/>
  <c r="V52" i="36"/>
  <c r="J52" i="36"/>
  <c r="G52" i="36"/>
  <c r="D52" i="36"/>
  <c r="S52" i="36"/>
  <c r="B51" i="36"/>
  <c r="N51" i="36" l="1"/>
  <c r="N53" i="36"/>
  <c r="N52" i="36"/>
  <c r="O58" i="36"/>
  <c r="H53" i="36"/>
  <c r="H51" i="36"/>
  <c r="H52" i="36"/>
  <c r="I58" i="36"/>
  <c r="H58" i="36"/>
  <c r="K51" i="36"/>
  <c r="K52" i="36"/>
  <c r="L58" i="36"/>
  <c r="K53" i="36"/>
  <c r="K58" i="36"/>
  <c r="T51" i="36"/>
  <c r="T58" i="36"/>
  <c r="T52" i="36"/>
  <c r="U58" i="36"/>
  <c r="T53" i="36"/>
  <c r="X58" i="36"/>
  <c r="W52" i="36"/>
  <c r="W51" i="36"/>
  <c r="W58" i="36"/>
  <c r="W53" i="36"/>
  <c r="E51" i="36"/>
  <c r="E52" i="36"/>
  <c r="F58" i="36"/>
  <c r="E53" i="36"/>
  <c r="E58" i="36"/>
  <c r="R58" i="36"/>
  <c r="Q52" i="36"/>
  <c r="Q51" i="36"/>
  <c r="Q58" i="36"/>
  <c r="Q53" i="36"/>
  <c r="D5" i="11"/>
  <c r="B6" i="12"/>
  <c r="D5" i="10"/>
  <c r="D4" i="13"/>
  <c r="D4" i="10"/>
  <c r="E8" i="12"/>
  <c r="B8" i="14"/>
  <c r="E9" i="14"/>
  <c r="E6" i="10"/>
  <c r="B4" i="13"/>
  <c r="J8" i="14"/>
  <c r="G7" i="14"/>
  <c r="J8" i="11"/>
  <c r="G8" i="10"/>
  <c r="E6" i="11"/>
  <c r="B5" i="13"/>
  <c r="G8" i="14"/>
  <c r="L8" i="14"/>
  <c r="B8" i="11"/>
  <c r="E8" i="13"/>
  <c r="D7" i="10"/>
  <c r="G4" i="8"/>
  <c r="G6" i="8"/>
  <c r="B9" i="13"/>
  <c r="D9" i="12"/>
  <c r="D9" i="10"/>
  <c r="B4" i="14"/>
  <c r="G5" i="10"/>
  <c r="D8" i="14"/>
  <c r="B4" i="12"/>
  <c r="G9" i="8"/>
  <c r="L9" i="14"/>
  <c r="E4" i="14"/>
  <c r="G7" i="12"/>
  <c r="G8" i="13"/>
  <c r="E7" i="14"/>
  <c r="D6" i="8"/>
  <c r="D8" i="11"/>
  <c r="D7" i="8"/>
  <c r="E7" i="10"/>
  <c r="E9" i="11"/>
  <c r="E8" i="14"/>
  <c r="B5" i="8"/>
  <c r="L8" i="8"/>
  <c r="D9" i="13"/>
  <c r="L9" i="8"/>
  <c r="L8" i="10"/>
  <c r="D7" i="11"/>
  <c r="B5" i="10"/>
  <c r="E5" i="8"/>
  <c r="E5" i="10"/>
  <c r="J9" i="12"/>
  <c r="D5" i="12"/>
  <c r="D9" i="8"/>
  <c r="D8" i="10"/>
  <c r="B8" i="12"/>
  <c r="B7" i="8"/>
  <c r="B8" i="8"/>
  <c r="E6" i="13"/>
  <c r="G5" i="11"/>
  <c r="B6" i="11"/>
  <c r="G4" i="13"/>
  <c r="B8" i="10"/>
  <c r="D5" i="14"/>
  <c r="G9" i="14"/>
  <c r="J9" i="13"/>
  <c r="G9" i="13"/>
  <c r="G4" i="10"/>
  <c r="B8" i="13"/>
  <c r="G5" i="13"/>
  <c r="E4" i="8"/>
  <c r="D6" i="10"/>
  <c r="B6" i="14"/>
  <c r="D7" i="13"/>
  <c r="E8" i="11"/>
  <c r="B9" i="12"/>
  <c r="B6" i="10"/>
  <c r="L8" i="13"/>
  <c r="D5" i="8"/>
  <c r="L9" i="10"/>
  <c r="B4" i="8"/>
  <c r="L8" i="11"/>
  <c r="E4" i="13"/>
  <c r="E8" i="8"/>
  <c r="J8" i="8"/>
  <c r="B9" i="11"/>
  <c r="B5" i="11"/>
  <c r="E5" i="14"/>
  <c r="D6" i="13"/>
  <c r="G9" i="12"/>
  <c r="D9" i="14"/>
  <c r="G7" i="11"/>
  <c r="L9" i="13"/>
  <c r="B6" i="8"/>
  <c r="E5" i="13"/>
  <c r="E9" i="13"/>
  <c r="L9" i="11"/>
  <c r="E6" i="14"/>
  <c r="E7" i="11"/>
  <c r="E7" i="13"/>
  <c r="G9" i="11"/>
  <c r="J8" i="10"/>
  <c r="G6" i="11"/>
  <c r="D7" i="14"/>
  <c r="B6" i="13"/>
  <c r="E6" i="12"/>
  <c r="G9" i="10"/>
  <c r="E7" i="8"/>
  <c r="B7" i="10"/>
  <c r="D4" i="11"/>
  <c r="D8" i="12"/>
  <c r="D6" i="12"/>
  <c r="B9" i="8"/>
  <c r="E8" i="10"/>
  <c r="G7" i="13"/>
  <c r="B7" i="13"/>
  <c r="J9" i="14"/>
  <c r="D4" i="12"/>
  <c r="E4" i="11"/>
  <c r="G4" i="12"/>
  <c r="G6" i="10"/>
  <c r="J8" i="13"/>
  <c r="J9" i="11"/>
  <c r="B9" i="10"/>
  <c r="B5" i="14"/>
  <c r="G6" i="14"/>
  <c r="E4" i="10"/>
  <c r="E5" i="11"/>
  <c r="J8" i="12"/>
  <c r="G5" i="12"/>
  <c r="B5" i="12"/>
  <c r="G5" i="14"/>
  <c r="L8" i="12"/>
  <c r="B7" i="11"/>
  <c r="B9" i="14"/>
  <c r="E5" i="12"/>
  <c r="B4" i="11"/>
  <c r="D5" i="13"/>
  <c r="E6" i="8"/>
  <c r="D7" i="12"/>
  <c r="D9" i="11"/>
  <c r="D6" i="14"/>
  <c r="B7" i="14"/>
  <c r="G6" i="12"/>
  <c r="E9" i="8"/>
  <c r="G8" i="8"/>
  <c r="G4" i="14"/>
  <c r="G6" i="13"/>
  <c r="D4" i="14"/>
  <c r="D6" i="11"/>
  <c r="G8" i="12"/>
  <c r="E9" i="12"/>
  <c r="G7" i="10"/>
  <c r="L9" i="12"/>
  <c r="B4" i="10"/>
  <c r="B7" i="12"/>
  <c r="E4" i="12"/>
  <c r="E9" i="10"/>
  <c r="D8" i="8"/>
  <c r="D4" i="8"/>
  <c r="E7" i="12"/>
  <c r="D8" i="13"/>
  <c r="G5" i="8"/>
  <c r="J9" i="10"/>
  <c r="G8" i="11"/>
  <c r="G7" i="8"/>
  <c r="G4" i="11"/>
  <c r="J9" i="8"/>
  <c r="M8" i="14" l="1"/>
  <c r="M4" i="11"/>
  <c r="M6" i="13"/>
  <c r="T6" i="13"/>
  <c r="S34" i="13"/>
  <c r="I18" i="13"/>
  <c r="T33" i="13"/>
  <c r="H21" i="13"/>
  <c r="S30" i="13"/>
  <c r="S33" i="13"/>
  <c r="T30" i="13"/>
  <c r="S18" i="13"/>
  <c r="J18" i="13"/>
  <c r="S29" i="13"/>
  <c r="T35" i="13"/>
  <c r="T28" i="13"/>
  <c r="K18" i="13"/>
  <c r="I20" i="13"/>
  <c r="H19" i="13"/>
  <c r="S7" i="13"/>
  <c r="J21" i="13"/>
  <c r="T4" i="13"/>
  <c r="S35" i="13"/>
  <c r="H20" i="13"/>
  <c r="S24" i="13"/>
  <c r="S20" i="13"/>
  <c r="S5" i="13"/>
  <c r="T29" i="13"/>
  <c r="T23" i="13"/>
  <c r="J19" i="13"/>
  <c r="T7" i="13"/>
  <c r="S23" i="13"/>
  <c r="K20" i="13"/>
  <c r="T20" i="13"/>
  <c r="K19" i="13"/>
  <c r="T34" i="13"/>
  <c r="T18" i="13"/>
  <c r="S19" i="13"/>
  <c r="T5" i="13"/>
  <c r="T25" i="13"/>
  <c r="S25" i="13"/>
  <c r="S28" i="13"/>
  <c r="T24" i="13"/>
  <c r="I21" i="13"/>
  <c r="S6" i="13"/>
  <c r="S4" i="13"/>
  <c r="T19" i="13"/>
  <c r="M6" i="10"/>
  <c r="M5" i="11"/>
  <c r="M6" i="14"/>
  <c r="M7" i="13"/>
  <c r="M5" i="14"/>
  <c r="M9" i="11"/>
  <c r="M4" i="12"/>
  <c r="M4" i="8"/>
  <c r="M8" i="8"/>
  <c r="M5" i="13"/>
  <c r="M9" i="8"/>
  <c r="M5" i="10"/>
  <c r="M6" i="11"/>
  <c r="J21" i="10"/>
  <c r="T33" i="10"/>
  <c r="S30" i="10"/>
  <c r="S19" i="10"/>
  <c r="H20" i="10"/>
  <c r="J19" i="10"/>
  <c r="I20" i="10"/>
  <c r="S34" i="10"/>
  <c r="T25" i="10"/>
  <c r="S24" i="10"/>
  <c r="K18" i="10"/>
  <c r="T6" i="10"/>
  <c r="T7" i="10"/>
  <c r="K19" i="10"/>
  <c r="T28" i="10"/>
  <c r="T34" i="10"/>
  <c r="S4" i="10"/>
  <c r="T20" i="10"/>
  <c r="K20" i="10"/>
  <c r="H21" i="10"/>
  <c r="S25" i="10"/>
  <c r="T24" i="10"/>
  <c r="S5" i="10"/>
  <c r="S33" i="10"/>
  <c r="T4" i="10"/>
  <c r="T19" i="10"/>
  <c r="S7" i="10"/>
  <c r="S6" i="10"/>
  <c r="H19" i="10"/>
  <c r="T29" i="10"/>
  <c r="T23" i="10"/>
  <c r="S29" i="10"/>
  <c r="I18" i="10"/>
  <c r="S28" i="10"/>
  <c r="T35" i="10"/>
  <c r="T5" i="10"/>
  <c r="S18" i="10"/>
  <c r="T18" i="10"/>
  <c r="I21" i="10"/>
  <c r="T30" i="10"/>
  <c r="S23" i="10"/>
  <c r="J18" i="10"/>
  <c r="S35" i="10"/>
  <c r="S20" i="10"/>
  <c r="M5" i="8"/>
  <c r="M4" i="10"/>
  <c r="M9" i="10"/>
  <c r="M7" i="8"/>
  <c r="M8" i="11"/>
  <c r="J19" i="11"/>
  <c r="K20" i="11"/>
  <c r="T35" i="11"/>
  <c r="S6" i="11"/>
  <c r="S35" i="11"/>
  <c r="T6" i="11"/>
  <c r="H21" i="11"/>
  <c r="I18" i="11"/>
  <c r="S5" i="11"/>
  <c r="S18" i="11"/>
  <c r="S28" i="11"/>
  <c r="J18" i="11"/>
  <c r="T34" i="11"/>
  <c r="T19" i="11"/>
  <c r="I20" i="11"/>
  <c r="H20" i="11"/>
  <c r="S4" i="11"/>
  <c r="S25" i="11"/>
  <c r="S33" i="11"/>
  <c r="J21" i="11"/>
  <c r="K19" i="11"/>
  <c r="T5" i="11"/>
  <c r="T20" i="11"/>
  <c r="H19" i="11"/>
  <c r="T33" i="11"/>
  <c r="T25" i="11"/>
  <c r="S23" i="11"/>
  <c r="S20" i="11"/>
  <c r="T18" i="11"/>
  <c r="K18" i="11"/>
  <c r="S30" i="11"/>
  <c r="T29" i="11"/>
  <c r="T23" i="11"/>
  <c r="S24" i="11"/>
  <c r="T28" i="11"/>
  <c r="T4" i="11"/>
  <c r="T7" i="11"/>
  <c r="S34" i="11"/>
  <c r="I21" i="11"/>
  <c r="T24" i="11"/>
  <c r="S19" i="11"/>
  <c r="T30" i="11"/>
  <c r="S29" i="11"/>
  <c r="S7" i="11"/>
  <c r="M7" i="12"/>
  <c r="M6" i="8"/>
  <c r="M5" i="12"/>
  <c r="M9" i="13"/>
  <c r="H19" i="8"/>
  <c r="S28" i="8"/>
  <c r="I20" i="8"/>
  <c r="K20" i="8"/>
  <c r="J19" i="8"/>
  <c r="I18" i="8"/>
  <c r="T28" i="8"/>
  <c r="S30" i="8"/>
  <c r="S25" i="8"/>
  <c r="S18" i="8"/>
  <c r="S23" i="8"/>
  <c r="S33" i="8"/>
  <c r="T4" i="8"/>
  <c r="J21" i="8"/>
  <c r="S29" i="8"/>
  <c r="T30" i="8"/>
  <c r="T5" i="8"/>
  <c r="S7" i="8"/>
  <c r="T20" i="8"/>
  <c r="K18" i="8"/>
  <c r="T34" i="8"/>
  <c r="T25" i="8"/>
  <c r="S5" i="8"/>
  <c r="T19" i="8"/>
  <c r="I21" i="8"/>
  <c r="S19" i="8"/>
  <c r="K19" i="8"/>
  <c r="T7" i="8"/>
  <c r="T24" i="8"/>
  <c r="S4" i="8"/>
  <c r="J18" i="8"/>
  <c r="T18" i="8"/>
  <c r="T29" i="8"/>
  <c r="S20" i="8"/>
  <c r="H21" i="8"/>
  <c r="T35" i="8"/>
  <c r="H20" i="8"/>
  <c r="S35" i="8"/>
  <c r="T33" i="8"/>
  <c r="S34" i="8"/>
  <c r="S6" i="8"/>
  <c r="S24" i="8"/>
  <c r="T6" i="8"/>
  <c r="T23" i="8"/>
  <c r="M4" i="13"/>
  <c r="M9" i="12"/>
  <c r="M6" i="12"/>
  <c r="M7" i="11"/>
  <c r="M8" i="12"/>
  <c r="J18" i="14"/>
  <c r="J21" i="14"/>
  <c r="T30" i="14"/>
  <c r="S20" i="14"/>
  <c r="H20" i="14"/>
  <c r="S24" i="14"/>
  <c r="H21" i="14"/>
  <c r="T4" i="14"/>
  <c r="K19" i="14"/>
  <c r="S28" i="14"/>
  <c r="S30" i="14"/>
  <c r="T25" i="14"/>
  <c r="I20" i="14"/>
  <c r="S18" i="14"/>
  <c r="S23" i="14"/>
  <c r="K20" i="14"/>
  <c r="H19" i="14"/>
  <c r="T20" i="14"/>
  <c r="S25" i="14"/>
  <c r="T5" i="14"/>
  <c r="T33" i="14"/>
  <c r="T29" i="14"/>
  <c r="T24" i="14"/>
  <c r="T18" i="14"/>
  <c r="S5" i="14"/>
  <c r="T7" i="14"/>
  <c r="S34" i="14"/>
  <c r="J19" i="14"/>
  <c r="T6" i="14"/>
  <c r="S33" i="14"/>
  <c r="S4" i="14"/>
  <c r="T19" i="14"/>
  <c r="I18" i="14"/>
  <c r="K18" i="14"/>
  <c r="S6" i="14"/>
  <c r="T23" i="14"/>
  <c r="S29" i="14"/>
  <c r="S35" i="14"/>
  <c r="T28" i="14"/>
  <c r="S7" i="14"/>
  <c r="T34" i="14"/>
  <c r="T35" i="14"/>
  <c r="I21" i="14"/>
  <c r="S19" i="14"/>
  <c r="M8" i="13"/>
  <c r="J18" i="12"/>
  <c r="T25" i="12"/>
  <c r="J21" i="12"/>
  <c r="K20" i="12"/>
  <c r="S7" i="12"/>
  <c r="T7" i="12"/>
  <c r="T23" i="12"/>
  <c r="T28" i="12"/>
  <c r="S28" i="12"/>
  <c r="T20" i="12"/>
  <c r="T34" i="12"/>
  <c r="S19" i="12"/>
  <c r="T29" i="12"/>
  <c r="T18" i="12"/>
  <c r="H19" i="12"/>
  <c r="T4" i="12"/>
  <c r="H20" i="12"/>
  <c r="K19" i="12"/>
  <c r="S33" i="12"/>
  <c r="I20" i="12"/>
  <c r="I21" i="12"/>
  <c r="T19" i="12"/>
  <c r="T6" i="12"/>
  <c r="S4" i="12"/>
  <c r="S23" i="12"/>
  <c r="K18" i="12"/>
  <c r="T35" i="12"/>
  <c r="J19" i="12"/>
  <c r="S20" i="12"/>
  <c r="S24" i="12"/>
  <c r="S6" i="12"/>
  <c r="S35" i="12"/>
  <c r="T33" i="12"/>
  <c r="H21" i="12"/>
  <c r="S25" i="12"/>
  <c r="I18" i="12"/>
  <c r="S30" i="12"/>
  <c r="S18" i="12"/>
  <c r="S5" i="12"/>
  <c r="T24" i="12"/>
  <c r="T30" i="12"/>
  <c r="S34" i="12"/>
  <c r="T5" i="12"/>
  <c r="S29" i="12"/>
  <c r="M8" i="10"/>
  <c r="M9" i="14"/>
  <c r="M7" i="10"/>
  <c r="M7" i="14"/>
  <c r="M4" i="14"/>
  <c r="R25" i="12" l="1"/>
  <c r="R29" i="11"/>
  <c r="R19" i="11"/>
  <c r="R4" i="14"/>
  <c r="R35" i="10"/>
  <c r="R6" i="13"/>
  <c r="R18" i="12"/>
  <c r="R20" i="13"/>
  <c r="R29" i="14"/>
  <c r="R25" i="10"/>
  <c r="R4" i="10"/>
  <c r="R4" i="13"/>
  <c r="R28" i="13"/>
  <c r="R6" i="10"/>
  <c r="R34" i="11"/>
  <c r="R20" i="10"/>
  <c r="R25" i="8"/>
  <c r="R28" i="8"/>
  <c r="R20" i="11"/>
  <c r="R33" i="14"/>
  <c r="R5" i="14"/>
  <c r="R23" i="13"/>
  <c r="R23" i="11"/>
  <c r="R35" i="8"/>
  <c r="R30" i="8"/>
  <c r="R7" i="10"/>
  <c r="R33" i="11"/>
  <c r="R5" i="12"/>
  <c r="R4" i="12"/>
  <c r="R34" i="14"/>
  <c r="R20" i="8"/>
  <c r="R18" i="10"/>
  <c r="R24" i="10"/>
  <c r="R35" i="13"/>
  <c r="R34" i="8"/>
  <c r="R30" i="11"/>
  <c r="R33" i="12"/>
  <c r="R33" i="8"/>
  <c r="R23" i="10"/>
  <c r="R24" i="8"/>
  <c r="R28" i="10"/>
  <c r="R5" i="8"/>
  <c r="R25" i="13"/>
  <c r="R19" i="13"/>
  <c r="R29" i="13"/>
  <c r="AA33" i="12"/>
  <c r="AC19" i="12"/>
  <c r="AC20" i="12"/>
  <c r="AA34" i="12"/>
  <c r="AA33" i="14"/>
  <c r="AC19" i="14"/>
  <c r="AA24" i="14"/>
  <c r="AA19" i="14"/>
  <c r="R20" i="14"/>
  <c r="I4" i="13"/>
  <c r="H4" i="13"/>
  <c r="M10" i="13"/>
  <c r="AA29" i="8"/>
  <c r="AB20" i="8"/>
  <c r="R23" i="8"/>
  <c r="I6" i="8"/>
  <c r="H6" i="8"/>
  <c r="AB23" i="11"/>
  <c r="AB28" i="11"/>
  <c r="AB30" i="11"/>
  <c r="AB25" i="11"/>
  <c r="AC29" i="11"/>
  <c r="AC34" i="11"/>
  <c r="I8" i="11"/>
  <c r="H8" i="11"/>
  <c r="H9" i="10"/>
  <c r="I9" i="10"/>
  <c r="M10" i="10"/>
  <c r="H4" i="10"/>
  <c r="I4" i="10"/>
  <c r="AA28" i="10"/>
  <c r="AB18" i="10"/>
  <c r="I5" i="10"/>
  <c r="H5" i="10"/>
  <c r="AB35" i="13"/>
  <c r="AC25" i="13"/>
  <c r="AA19" i="13"/>
  <c r="AA24" i="13"/>
  <c r="H7" i="10"/>
  <c r="I7" i="10"/>
  <c r="I8" i="10"/>
  <c r="H8" i="10"/>
  <c r="R35" i="12"/>
  <c r="AB18" i="12"/>
  <c r="AA28" i="12"/>
  <c r="AC34" i="14"/>
  <c r="AC29" i="14"/>
  <c r="R18" i="8"/>
  <c r="AC29" i="8"/>
  <c r="AC34" i="8"/>
  <c r="I5" i="12"/>
  <c r="H5" i="12"/>
  <c r="AC35" i="11"/>
  <c r="AC30" i="11"/>
  <c r="R25" i="11"/>
  <c r="AA33" i="11"/>
  <c r="AC19" i="11"/>
  <c r="R5" i="10"/>
  <c r="AC34" i="10"/>
  <c r="AC29" i="10"/>
  <c r="R34" i="10"/>
  <c r="AA33" i="10"/>
  <c r="AC19" i="10"/>
  <c r="AC35" i="10"/>
  <c r="AC30" i="10"/>
  <c r="I8" i="8"/>
  <c r="H8" i="8"/>
  <c r="H7" i="13"/>
  <c r="I7" i="13"/>
  <c r="H5" i="11"/>
  <c r="I5" i="11"/>
  <c r="AC20" i="13"/>
  <c r="AA34" i="13"/>
  <c r="R33" i="13"/>
  <c r="R34" i="12"/>
  <c r="R30" i="12"/>
  <c r="AB25" i="12"/>
  <c r="AB30" i="12"/>
  <c r="AB23" i="12"/>
  <c r="AB28" i="12"/>
  <c r="AC25" i="12"/>
  <c r="AB35" i="12"/>
  <c r="R28" i="12"/>
  <c r="R7" i="12"/>
  <c r="R19" i="14"/>
  <c r="R23" i="14"/>
  <c r="R30" i="14"/>
  <c r="I8" i="12"/>
  <c r="H8" i="12"/>
  <c r="H6" i="12"/>
  <c r="I6" i="12"/>
  <c r="AB25" i="8"/>
  <c r="AB30" i="8"/>
  <c r="AB18" i="8"/>
  <c r="AA28" i="8"/>
  <c r="AA34" i="8"/>
  <c r="AC20" i="8"/>
  <c r="R35" i="11"/>
  <c r="AC25" i="10"/>
  <c r="AB35" i="10"/>
  <c r="AC24" i="13"/>
  <c r="AB33" i="13"/>
  <c r="R5" i="13"/>
  <c r="AB23" i="13"/>
  <c r="AB28" i="13"/>
  <c r="R30" i="13"/>
  <c r="R6" i="12"/>
  <c r="AB33" i="12"/>
  <c r="AC24" i="12"/>
  <c r="H8" i="13"/>
  <c r="I8" i="13"/>
  <c r="AB35" i="14"/>
  <c r="AC25" i="14"/>
  <c r="R7" i="14"/>
  <c r="AA18" i="14"/>
  <c r="AA23" i="14"/>
  <c r="R18" i="14"/>
  <c r="R28" i="14"/>
  <c r="AB20" i="14"/>
  <c r="AA29" i="14"/>
  <c r="I7" i="11"/>
  <c r="H7" i="11"/>
  <c r="I9" i="12"/>
  <c r="H9" i="12"/>
  <c r="R4" i="8"/>
  <c r="AC24" i="8"/>
  <c r="AB33" i="8"/>
  <c r="AC25" i="11"/>
  <c r="AB35" i="11"/>
  <c r="R28" i="11"/>
  <c r="R6" i="11"/>
  <c r="AA24" i="10"/>
  <c r="AA19" i="10"/>
  <c r="R33" i="10"/>
  <c r="H4" i="12"/>
  <c r="M10" i="12"/>
  <c r="I4" i="12"/>
  <c r="I5" i="14"/>
  <c r="H5" i="14"/>
  <c r="R7" i="13"/>
  <c r="AA28" i="13"/>
  <c r="AB18" i="13"/>
  <c r="AB30" i="13"/>
  <c r="AB25" i="13"/>
  <c r="AA23" i="13"/>
  <c r="AA18" i="13"/>
  <c r="AB30" i="14"/>
  <c r="AB25" i="14"/>
  <c r="H9" i="14"/>
  <c r="I9" i="14"/>
  <c r="R29" i="12"/>
  <c r="AA23" i="12"/>
  <c r="AA18" i="12"/>
  <c r="R24" i="12"/>
  <c r="AA29" i="12"/>
  <c r="AB20" i="12"/>
  <c r="R19" i="12"/>
  <c r="R6" i="14"/>
  <c r="AB33" i="14"/>
  <c r="AC24" i="14"/>
  <c r="R6" i="8"/>
  <c r="R19" i="8"/>
  <c r="AB28" i="8"/>
  <c r="AB23" i="8"/>
  <c r="R7" i="11"/>
  <c r="R24" i="11"/>
  <c r="R18" i="11"/>
  <c r="AA29" i="10"/>
  <c r="AB20" i="10"/>
  <c r="H9" i="8"/>
  <c r="I9" i="8"/>
  <c r="I5" i="13"/>
  <c r="H5" i="13"/>
  <c r="R24" i="13"/>
  <c r="AC35" i="13"/>
  <c r="AC30" i="13"/>
  <c r="R18" i="13"/>
  <c r="AC34" i="12"/>
  <c r="AC29" i="12"/>
  <c r="H7" i="14"/>
  <c r="I7" i="14"/>
  <c r="M10" i="14"/>
  <c r="H4" i="14"/>
  <c r="I4" i="14"/>
  <c r="R20" i="12"/>
  <c r="R23" i="12"/>
  <c r="R35" i="14"/>
  <c r="R25" i="14"/>
  <c r="R29" i="8"/>
  <c r="AA23" i="8"/>
  <c r="AA18" i="8"/>
  <c r="I9" i="13"/>
  <c r="H9" i="13"/>
  <c r="AA24" i="11"/>
  <c r="AA19" i="11"/>
  <c r="R4" i="11"/>
  <c r="AB18" i="11"/>
  <c r="AA28" i="11"/>
  <c r="AA23" i="10"/>
  <c r="AA18" i="10"/>
  <c r="AB23" i="10"/>
  <c r="AB28" i="10"/>
  <c r="AA34" i="10"/>
  <c r="AC20" i="10"/>
  <c r="R19" i="10"/>
  <c r="H4" i="8"/>
  <c r="I4" i="8"/>
  <c r="M10" i="8"/>
  <c r="I6" i="14"/>
  <c r="H6" i="14"/>
  <c r="H6" i="10"/>
  <c r="I6" i="10"/>
  <c r="AC19" i="13"/>
  <c r="AA33" i="13"/>
  <c r="H6" i="13"/>
  <c r="I6" i="13"/>
  <c r="H4" i="11"/>
  <c r="I4" i="11"/>
  <c r="M10" i="11"/>
  <c r="AC35" i="14"/>
  <c r="AC30" i="14"/>
  <c r="R7" i="8"/>
  <c r="AC35" i="8"/>
  <c r="AC30" i="8"/>
  <c r="AC19" i="8"/>
  <c r="AA33" i="8"/>
  <c r="AB20" i="11"/>
  <c r="AA29" i="11"/>
  <c r="R5" i="11"/>
  <c r="H7" i="8"/>
  <c r="I7" i="8"/>
  <c r="R29" i="10"/>
  <c r="R30" i="10"/>
  <c r="AC34" i="13"/>
  <c r="AC29" i="13"/>
  <c r="AB20" i="13"/>
  <c r="AA29" i="13"/>
  <c r="R34" i="13"/>
  <c r="H8" i="14"/>
  <c r="I8" i="14"/>
  <c r="AA24" i="12"/>
  <c r="AA19" i="12"/>
  <c r="AC30" i="12"/>
  <c r="AC35" i="12"/>
  <c r="AB28" i="14"/>
  <c r="AB23" i="14"/>
  <c r="AC20" i="14"/>
  <c r="AA34" i="14"/>
  <c r="R24" i="14"/>
  <c r="AB18" i="14"/>
  <c r="AA28" i="14"/>
  <c r="AB35" i="8"/>
  <c r="AC25" i="8"/>
  <c r="AA19" i="8"/>
  <c r="AA24" i="8"/>
  <c r="I7" i="12"/>
  <c r="H7" i="12"/>
  <c r="AB33" i="11"/>
  <c r="AC24" i="11"/>
  <c r="AA34" i="11"/>
  <c r="AC20" i="11"/>
  <c r="AA18" i="11"/>
  <c r="AA23" i="11"/>
  <c r="H5" i="8"/>
  <c r="I5" i="8"/>
  <c r="AB30" i="10"/>
  <c r="AB25" i="10"/>
  <c r="AC24" i="10"/>
  <c r="AB33" i="10"/>
  <c r="H6" i="11"/>
  <c r="I6" i="11"/>
  <c r="I9" i="11"/>
  <c r="H9" i="11"/>
  <c r="Q28" i="11" l="1"/>
  <c r="Q28" i="13"/>
  <c r="V28" i="13" s="1"/>
  <c r="Q35" i="10"/>
  <c r="V35" i="10" s="1"/>
  <c r="Q20" i="10"/>
  <c r="V20" i="10" s="1"/>
  <c r="Q20" i="11"/>
  <c r="V20" i="11" s="1"/>
  <c r="Q19" i="8"/>
  <c r="V19" i="8" s="1"/>
  <c r="Q19" i="11"/>
  <c r="V19" i="11" s="1"/>
  <c r="Q28" i="12"/>
  <c r="V28" i="12" s="1"/>
  <c r="Q28" i="14"/>
  <c r="V28" i="14" s="1"/>
  <c r="Q35" i="14"/>
  <c r="V35" i="14" s="1"/>
  <c r="Q20" i="12"/>
  <c r="V20" i="12" s="1"/>
  <c r="Q20" i="8"/>
  <c r="V20" i="8" s="1"/>
  <c r="Q7" i="14"/>
  <c r="Q30" i="14"/>
  <c r="V30" i="14" s="1"/>
  <c r="U7" i="14"/>
  <c r="Q25" i="14"/>
  <c r="V25" i="14" s="1"/>
  <c r="Q7" i="12"/>
  <c r="U7" i="12"/>
  <c r="Q30" i="12"/>
  <c r="V30" i="12" s="1"/>
  <c r="Q25" i="12"/>
  <c r="V25" i="12" s="1"/>
  <c r="Q23" i="8"/>
  <c r="V23" i="8" s="1"/>
  <c r="Q18" i="8"/>
  <c r="V18" i="8" s="1"/>
  <c r="U4" i="8"/>
  <c r="Q4" i="8"/>
  <c r="Q18" i="14"/>
  <c r="V18" i="14" s="1"/>
  <c r="Q23" i="14"/>
  <c r="V23" i="14" s="1"/>
  <c r="U4" i="14"/>
  <c r="Q4" i="14"/>
  <c r="Q20" i="14"/>
  <c r="V20" i="14" s="1"/>
  <c r="Q33" i="12"/>
  <c r="V33" i="12" s="1"/>
  <c r="Q19" i="12"/>
  <c r="V19" i="12" s="1"/>
  <c r="Q35" i="13"/>
  <c r="V35" i="13" s="1"/>
  <c r="G13" i="16"/>
  <c r="U7" i="8"/>
  <c r="Q7" i="8"/>
  <c r="Q23" i="13"/>
  <c r="V23" i="13" s="1"/>
  <c r="Q18" i="13"/>
  <c r="V18" i="13" s="1"/>
  <c r="U4" i="13"/>
  <c r="Q4" i="13"/>
  <c r="Q23" i="12"/>
  <c r="V23" i="12" s="1"/>
  <c r="Q18" i="12"/>
  <c r="V18" i="12" s="1"/>
  <c r="Q4" i="12"/>
  <c r="U4" i="12"/>
  <c r="Q30" i="10"/>
  <c r="V30" i="10" s="1"/>
  <c r="U7" i="10"/>
  <c r="Q7" i="10"/>
  <c r="Q25" i="10"/>
  <c r="V25" i="10" s="1"/>
  <c r="Q24" i="10"/>
  <c r="V24" i="10" s="1"/>
  <c r="Q33" i="14"/>
  <c r="V33" i="14" s="1"/>
  <c r="Q5" i="14"/>
  <c r="U5" i="14"/>
  <c r="V28" i="11"/>
  <c r="Q25" i="8"/>
  <c r="V25" i="8" s="1"/>
  <c r="U5" i="13"/>
  <c r="Q35" i="11"/>
  <c r="V35" i="11" s="1"/>
  <c r="Q18" i="10"/>
  <c r="V18" i="10" s="1"/>
  <c r="Q23" i="10"/>
  <c r="V23" i="10" s="1"/>
  <c r="Q4" i="10"/>
  <c r="U4" i="10"/>
  <c r="Q7" i="11"/>
  <c r="U7" i="11"/>
  <c r="Q30" i="11"/>
  <c r="V30" i="11" s="1"/>
  <c r="Q25" i="11"/>
  <c r="V25" i="11" s="1"/>
  <c r="Q34" i="13"/>
  <c r="V34" i="13" s="1"/>
  <c r="Q6" i="13"/>
  <c r="Q29" i="13"/>
  <c r="V29" i="13" s="1"/>
  <c r="U6" i="13"/>
  <c r="Q24" i="12"/>
  <c r="V24" i="12" s="1"/>
  <c r="Q5" i="12"/>
  <c r="U5" i="12"/>
  <c r="Q19" i="14"/>
  <c r="V19" i="14" s="1"/>
  <c r="Q24" i="8"/>
  <c r="V24" i="8" s="1"/>
  <c r="U5" i="8"/>
  <c r="Q33" i="8"/>
  <c r="V33" i="8" s="1"/>
  <c r="Q5" i="8"/>
  <c r="Q23" i="11"/>
  <c r="V23" i="11" s="1"/>
  <c r="Q4" i="11"/>
  <c r="U4" i="11"/>
  <c r="Q18" i="11"/>
  <c r="V18" i="11" s="1"/>
  <c r="Q34" i="8"/>
  <c r="V34" i="8" s="1"/>
  <c r="Q33" i="11"/>
  <c r="V33" i="11" s="1"/>
  <c r="U5" i="11"/>
  <c r="Q24" i="11"/>
  <c r="V24" i="11" s="1"/>
  <c r="Q5" i="11"/>
  <c r="Q19" i="13"/>
  <c r="V19" i="13" s="1"/>
  <c r="Q6" i="11"/>
  <c r="U6" i="11"/>
  <c r="Q29" i="11"/>
  <c r="V29" i="11" s="1"/>
  <c r="Q34" i="11"/>
  <c r="V34" i="11" s="1"/>
  <c r="U6" i="12"/>
  <c r="Q34" i="12"/>
  <c r="V34" i="12" s="1"/>
  <c r="Q6" i="12"/>
  <c r="Q29" i="12"/>
  <c r="V29" i="12" s="1"/>
  <c r="Q28" i="10"/>
  <c r="V28" i="10" s="1"/>
  <c r="U6" i="10"/>
  <c r="Q6" i="10"/>
  <c r="Q29" i="10"/>
  <c r="V29" i="10" s="1"/>
  <c r="Q34" i="10"/>
  <c r="V34" i="10" s="1"/>
  <c r="Q20" i="13"/>
  <c r="V20" i="13" s="1"/>
  <c r="Q35" i="12"/>
  <c r="V35" i="12" s="1"/>
  <c r="Q24" i="14"/>
  <c r="V24" i="14" s="1"/>
  <c r="Q30" i="8"/>
  <c r="V30" i="8" s="1"/>
  <c r="Q35" i="8"/>
  <c r="V35" i="8" s="1"/>
  <c r="Q29" i="8"/>
  <c r="V29" i="8" s="1"/>
  <c r="U6" i="8"/>
  <c r="Q6" i="8"/>
  <c r="Q5" i="13"/>
  <c r="Q33" i="13"/>
  <c r="V33" i="13" s="1"/>
  <c r="Q24" i="13"/>
  <c r="V24" i="13" s="1"/>
  <c r="U5" i="10"/>
  <c r="Q5" i="10"/>
  <c r="U7" i="13"/>
  <c r="Q30" i="13"/>
  <c r="V30" i="13" s="1"/>
  <c r="Q7" i="13"/>
  <c r="Q25" i="13"/>
  <c r="V25" i="13" s="1"/>
  <c r="U6" i="14"/>
  <c r="Q6" i="14"/>
  <c r="Q29" i="14"/>
  <c r="V29" i="14" s="1"/>
  <c r="Q34" i="14"/>
  <c r="V34" i="14" s="1"/>
  <c r="Q33" i="10"/>
  <c r="V33" i="10" s="1"/>
  <c r="Q19" i="10"/>
  <c r="V19" i="10" s="1"/>
  <c r="Q28" i="8"/>
  <c r="V28" i="8" s="1"/>
  <c r="W19" i="11" l="1"/>
  <c r="W28" i="14"/>
  <c r="Y19" i="11"/>
  <c r="Y19" i="8"/>
  <c r="W19" i="8"/>
  <c r="Y35" i="14"/>
  <c r="Y20" i="10"/>
  <c r="Y33" i="13"/>
  <c r="W33" i="13"/>
  <c r="W20" i="10"/>
  <c r="X20" i="10" s="1"/>
  <c r="W25" i="12"/>
  <c r="Y25" i="12"/>
  <c r="W34" i="11"/>
  <c r="Y34" i="11"/>
  <c r="Y24" i="10"/>
  <c r="W24" i="10"/>
  <c r="AD4" i="12"/>
  <c r="X18" i="12"/>
  <c r="X25" i="12"/>
  <c r="L18" i="12"/>
  <c r="AF16" i="12"/>
  <c r="X19" i="12"/>
  <c r="X20" i="12"/>
  <c r="X24" i="12"/>
  <c r="Z24" i="12" s="1"/>
  <c r="AC4" i="12"/>
  <c r="X23" i="12"/>
  <c r="Z23" i="12" s="1"/>
  <c r="W35" i="13"/>
  <c r="Y35" i="13"/>
  <c r="Y18" i="8"/>
  <c r="W18" i="8"/>
  <c r="W30" i="12"/>
  <c r="X30" i="12" s="1"/>
  <c r="Y30" i="12"/>
  <c r="AC6" i="14"/>
  <c r="AD6" i="14"/>
  <c r="L20" i="14"/>
  <c r="AD7" i="13"/>
  <c r="AC7" i="13"/>
  <c r="L21" i="13"/>
  <c r="AC5" i="10"/>
  <c r="AD5" i="10"/>
  <c r="L19" i="10"/>
  <c r="AD6" i="8"/>
  <c r="AC6" i="8"/>
  <c r="L20" i="8"/>
  <c r="Y35" i="12"/>
  <c r="W35" i="12"/>
  <c r="X35" i="12" s="1"/>
  <c r="Z35" i="12" s="1"/>
  <c r="Y34" i="10"/>
  <c r="W34" i="10"/>
  <c r="X34" i="10" s="1"/>
  <c r="Y34" i="12"/>
  <c r="W34" i="12"/>
  <c r="X34" i="12" s="1"/>
  <c r="Z34" i="12" s="1"/>
  <c r="W29" i="11"/>
  <c r="X29" i="11" s="1"/>
  <c r="Y29" i="11"/>
  <c r="W19" i="13"/>
  <c r="X19" i="13" s="1"/>
  <c r="Y19" i="13"/>
  <c r="AC5" i="8"/>
  <c r="L19" i="8"/>
  <c r="AD5" i="8"/>
  <c r="AD5" i="12"/>
  <c r="AC5" i="12"/>
  <c r="L19" i="12"/>
  <c r="W30" i="11"/>
  <c r="X30" i="11" s="1"/>
  <c r="Y30" i="11"/>
  <c r="Y28" i="11"/>
  <c r="W28" i="11"/>
  <c r="X28" i="11" s="1"/>
  <c r="AD7" i="10"/>
  <c r="L21" i="10"/>
  <c r="AC7" i="10"/>
  <c r="Y18" i="12"/>
  <c r="W18" i="12"/>
  <c r="AD7" i="8"/>
  <c r="AC7" i="8"/>
  <c r="L21" i="8"/>
  <c r="Y25" i="14"/>
  <c r="W23" i="14"/>
  <c r="Y23" i="14"/>
  <c r="Y19" i="10"/>
  <c r="W19" i="10"/>
  <c r="X19" i="10" s="1"/>
  <c r="Y29" i="12"/>
  <c r="W29" i="12"/>
  <c r="X29" i="12" s="1"/>
  <c r="AC4" i="14"/>
  <c r="L18" i="14"/>
  <c r="AD4" i="14"/>
  <c r="X19" i="14"/>
  <c r="X25" i="14"/>
  <c r="X30" i="14"/>
  <c r="Z30" i="14" s="1"/>
  <c r="X18" i="14"/>
  <c r="X23" i="14"/>
  <c r="Z23" i="14" s="1"/>
  <c r="X20" i="14"/>
  <c r="X24" i="14"/>
  <c r="Z24" i="14" s="1"/>
  <c r="AF16" i="14"/>
  <c r="X29" i="14"/>
  <c r="Z29" i="14" s="1"/>
  <c r="X28" i="14"/>
  <c r="Z28" i="14" s="1"/>
  <c r="Y29" i="14"/>
  <c r="W29" i="14"/>
  <c r="AD6" i="12"/>
  <c r="L20" i="12"/>
  <c r="AC6" i="12"/>
  <c r="W30" i="13"/>
  <c r="Y30" i="13"/>
  <c r="W23" i="8"/>
  <c r="Y23" i="8"/>
  <c r="Y29" i="10"/>
  <c r="W29" i="10"/>
  <c r="AC5" i="11"/>
  <c r="AD5" i="11"/>
  <c r="L19" i="11"/>
  <c r="X34" i="11"/>
  <c r="Z34" i="11" s="1"/>
  <c r="W33" i="8"/>
  <c r="X33" i="8" s="1"/>
  <c r="Y33" i="8"/>
  <c r="Y24" i="12"/>
  <c r="W24" i="12"/>
  <c r="W29" i="13"/>
  <c r="Y29" i="13"/>
  <c r="Y20" i="8"/>
  <c r="W23" i="12"/>
  <c r="Y23" i="12"/>
  <c r="W18" i="14"/>
  <c r="Y18" i="14"/>
  <c r="AC7" i="12"/>
  <c r="L21" i="12"/>
  <c r="AD7" i="12"/>
  <c r="W18" i="10"/>
  <c r="Y18" i="10"/>
  <c r="AC7" i="14"/>
  <c r="L21" i="14"/>
  <c r="W25" i="10"/>
  <c r="Y25" i="10"/>
  <c r="W28" i="8"/>
  <c r="X28" i="8" s="1"/>
  <c r="Z28" i="8" s="1"/>
  <c r="Y28" i="8"/>
  <c r="W24" i="13"/>
  <c r="X24" i="13" s="1"/>
  <c r="Z24" i="13" s="1"/>
  <c r="Y24" i="13"/>
  <c r="Y29" i="8"/>
  <c r="W29" i="8"/>
  <c r="X29" i="8" s="1"/>
  <c r="Z29" i="8" s="1"/>
  <c r="Y24" i="14"/>
  <c r="W24" i="14"/>
  <c r="AC6" i="10"/>
  <c r="L20" i="10"/>
  <c r="AD6" i="10"/>
  <c r="Y28" i="10"/>
  <c r="W28" i="10"/>
  <c r="AC6" i="11"/>
  <c r="L20" i="11"/>
  <c r="AD6" i="11"/>
  <c r="W24" i="11"/>
  <c r="Y24" i="11"/>
  <c r="Y18" i="11"/>
  <c r="W18" i="11"/>
  <c r="AC6" i="13"/>
  <c r="AD6" i="13"/>
  <c r="L20" i="13"/>
  <c r="AC7" i="11"/>
  <c r="L21" i="11"/>
  <c r="AD7" i="11"/>
  <c r="W28" i="12"/>
  <c r="X28" i="12" s="1"/>
  <c r="Y28" i="12"/>
  <c r="W20" i="8"/>
  <c r="AC5" i="14"/>
  <c r="L19" i="14"/>
  <c r="AD5" i="14"/>
  <c r="W30" i="10"/>
  <c r="Y30" i="10"/>
  <c r="Y19" i="12"/>
  <c r="W19" i="12"/>
  <c r="Y20" i="11"/>
  <c r="W33" i="10"/>
  <c r="X33" i="10" s="1"/>
  <c r="Y33" i="10"/>
  <c r="W35" i="10"/>
  <c r="X35" i="10" s="1"/>
  <c r="Y34" i="8"/>
  <c r="W34" i="8"/>
  <c r="X34" i="8" s="1"/>
  <c r="W24" i="8"/>
  <c r="Y24" i="8"/>
  <c r="W34" i="13"/>
  <c r="Y34" i="13"/>
  <c r="W25" i="8"/>
  <c r="Y25" i="8"/>
  <c r="W33" i="14"/>
  <c r="X33" i="14" s="1"/>
  <c r="Y33" i="14"/>
  <c r="W33" i="12"/>
  <c r="X33" i="12" s="1"/>
  <c r="Z33" i="12" s="1"/>
  <c r="Y33" i="12"/>
  <c r="W25" i="14"/>
  <c r="W20" i="11"/>
  <c r="Y34" i="14"/>
  <c r="W34" i="14"/>
  <c r="X34" i="14" s="1"/>
  <c r="W35" i="14"/>
  <c r="X35" i="14" s="1"/>
  <c r="Z35" i="14" s="1"/>
  <c r="Y25" i="13"/>
  <c r="W25" i="13"/>
  <c r="X25" i="13" s="1"/>
  <c r="Y28" i="14"/>
  <c r="Y25" i="11"/>
  <c r="W25" i="11"/>
  <c r="X25" i="11" s="1"/>
  <c r="Y23" i="13"/>
  <c r="W23" i="13"/>
  <c r="X23" i="13" s="1"/>
  <c r="Z23" i="13" s="1"/>
  <c r="AD5" i="13"/>
  <c r="X33" i="13"/>
  <c r="Z33" i="13" s="1"/>
  <c r="L19" i="13"/>
  <c r="X34" i="13"/>
  <c r="Z34" i="13" s="1"/>
  <c r="AC5" i="13"/>
  <c r="X35" i="13"/>
  <c r="Z35" i="13" s="1"/>
  <c r="W35" i="8"/>
  <c r="X35" i="8" s="1"/>
  <c r="Y35" i="8"/>
  <c r="W20" i="13"/>
  <c r="Y20" i="13"/>
  <c r="Y35" i="10"/>
  <c r="Y33" i="11"/>
  <c r="W33" i="11"/>
  <c r="X33" i="11" s="1"/>
  <c r="Z33" i="11" s="1"/>
  <c r="AC4" i="11"/>
  <c r="AD4" i="11"/>
  <c r="X20" i="11"/>
  <c r="X24" i="11"/>
  <c r="Z24" i="11" s="1"/>
  <c r="L18" i="11"/>
  <c r="X19" i="11"/>
  <c r="X18" i="11"/>
  <c r="AF16" i="11"/>
  <c r="W19" i="14"/>
  <c r="Y19" i="14"/>
  <c r="X24" i="10"/>
  <c r="Z24" i="10" s="1"/>
  <c r="AC4" i="10"/>
  <c r="X23" i="10"/>
  <c r="Z23" i="10" s="1"/>
  <c r="L18" i="10"/>
  <c r="X28" i="10"/>
  <c r="Z28" i="10" s="1"/>
  <c r="X30" i="10"/>
  <c r="Z30" i="10" s="1"/>
  <c r="X18" i="10"/>
  <c r="X29" i="10"/>
  <c r="Z29" i="10" s="1"/>
  <c r="X25" i="10"/>
  <c r="AF16" i="10"/>
  <c r="AD4" i="10"/>
  <c r="X28" i="13"/>
  <c r="Z28" i="13" s="1"/>
  <c r="X30" i="13"/>
  <c r="Z30" i="13" s="1"/>
  <c r="AC4" i="13"/>
  <c r="AD4" i="13"/>
  <c r="X20" i="13"/>
  <c r="L18" i="13"/>
  <c r="AF16" i="13"/>
  <c r="X29" i="13"/>
  <c r="Z29" i="13" s="1"/>
  <c r="Y20" i="14"/>
  <c r="W20" i="14"/>
  <c r="W28" i="13"/>
  <c r="Y18" i="13"/>
  <c r="W18" i="13"/>
  <c r="X18" i="13" s="1"/>
  <c r="Y30" i="8"/>
  <c r="W30" i="8"/>
  <c r="X30" i="8" s="1"/>
  <c r="Z30" i="8" s="1"/>
  <c r="W23" i="11"/>
  <c r="X23" i="11" s="1"/>
  <c r="Z23" i="11" s="1"/>
  <c r="Y23" i="11"/>
  <c r="Y20" i="12"/>
  <c r="W20" i="12"/>
  <c r="W23" i="10"/>
  <c r="Y23" i="10"/>
  <c r="Y35" i="11"/>
  <c r="W35" i="11"/>
  <c r="X35" i="11" s="1"/>
  <c r="Z35" i="11" s="1"/>
  <c r="AC4" i="8"/>
  <c r="X25" i="8"/>
  <c r="X18" i="8"/>
  <c r="AF16" i="8"/>
  <c r="X20" i="8"/>
  <c r="L18" i="8"/>
  <c r="AD4" i="8"/>
  <c r="X24" i="8"/>
  <c r="Z24" i="8" s="1"/>
  <c r="X19" i="8"/>
  <c r="X23" i="8"/>
  <c r="Z23" i="8" s="1"/>
  <c r="AD7" i="14"/>
  <c r="Y30" i="14"/>
  <c r="W30" i="14"/>
  <c r="Y28" i="13"/>
  <c r="Z34" i="14" l="1"/>
  <c r="Z33" i="14"/>
  <c r="Z30" i="11"/>
  <c r="Z28" i="12"/>
  <c r="Z29" i="12"/>
  <c r="Z30" i="12"/>
  <c r="Z28" i="11"/>
  <c r="Z29" i="11"/>
  <c r="Z34" i="10"/>
  <c r="Z35" i="10"/>
  <c r="Z33" i="10"/>
  <c r="Z33" i="8"/>
  <c r="Z35" i="8"/>
  <c r="Z34" i="8"/>
  <c r="Y12" i="12"/>
  <c r="Y11" i="11"/>
  <c r="Z25" i="14"/>
  <c r="W7" i="14"/>
  <c r="AD33" i="12"/>
  <c r="AE33" i="12" s="1"/>
  <c r="AD35" i="12"/>
  <c r="AE35" i="12" s="1"/>
  <c r="AD34" i="12"/>
  <c r="AE34" i="12" s="1"/>
  <c r="Y11" i="12"/>
  <c r="Y12" i="10"/>
  <c r="AD35" i="10"/>
  <c r="AE35" i="10" s="1"/>
  <c r="AD34" i="10"/>
  <c r="AE34" i="10" s="1"/>
  <c r="AD33" i="10"/>
  <c r="AE33" i="10" s="1"/>
  <c r="Z20" i="12"/>
  <c r="W6" i="12"/>
  <c r="Z25" i="8"/>
  <c r="W7" i="8"/>
  <c r="Y11" i="14"/>
  <c r="AD33" i="14"/>
  <c r="AE33" i="14" s="1"/>
  <c r="AD35" i="14"/>
  <c r="AE35" i="14" s="1"/>
  <c r="AD34" i="14"/>
  <c r="AE34" i="14" s="1"/>
  <c r="Z20" i="10"/>
  <c r="W6" i="10"/>
  <c r="AD18" i="8"/>
  <c r="AD24" i="8"/>
  <c r="AE24" i="8" s="1"/>
  <c r="AD19" i="8"/>
  <c r="AD25" i="8"/>
  <c r="AD28" i="8"/>
  <c r="AE28" i="8" s="1"/>
  <c r="AD30" i="8"/>
  <c r="AE30" i="8" s="1"/>
  <c r="AD29" i="8"/>
  <c r="AE29" i="8" s="1"/>
  <c r="AD20" i="8"/>
  <c r="AD23" i="8"/>
  <c r="AE23" i="8" s="1"/>
  <c r="M19" i="10"/>
  <c r="AA5" i="10" s="1"/>
  <c r="M21" i="10"/>
  <c r="AA7" i="10" s="1"/>
  <c r="M18" i="10"/>
  <c r="AA4" i="10" s="1"/>
  <c r="M20" i="10"/>
  <c r="AA6" i="10" s="1"/>
  <c r="Z19" i="11"/>
  <c r="W5" i="11"/>
  <c r="AD35" i="13"/>
  <c r="AE35" i="13" s="1"/>
  <c r="AD33" i="13"/>
  <c r="AE33" i="13" s="1"/>
  <c r="AD34" i="13"/>
  <c r="AE34" i="13" s="1"/>
  <c r="Y11" i="13"/>
  <c r="M20" i="14"/>
  <c r="AA6" i="14" s="1"/>
  <c r="M19" i="14"/>
  <c r="AA5" i="14" s="1"/>
  <c r="M21" i="14"/>
  <c r="AA7" i="14" s="1"/>
  <c r="M18" i="14"/>
  <c r="AA4" i="14" s="1"/>
  <c r="M20" i="12"/>
  <c r="AA6" i="12" s="1"/>
  <c r="M21" i="12"/>
  <c r="AA7" i="12" s="1"/>
  <c r="M19" i="12"/>
  <c r="AA5" i="12" s="1"/>
  <c r="M18" i="12"/>
  <c r="AA4" i="12" s="1"/>
  <c r="AD33" i="11"/>
  <c r="AE33" i="11" s="1"/>
  <c r="AD34" i="11"/>
  <c r="AE34" i="11" s="1"/>
  <c r="AD35" i="11"/>
  <c r="AE35" i="11" s="1"/>
  <c r="Y12" i="11"/>
  <c r="M19" i="11"/>
  <c r="AA5" i="11" s="1"/>
  <c r="M21" i="11"/>
  <c r="AA7" i="11" s="1"/>
  <c r="M20" i="11"/>
  <c r="AA6" i="11" s="1"/>
  <c r="M18" i="11"/>
  <c r="AA4" i="11" s="1"/>
  <c r="Z19" i="12"/>
  <c r="W5" i="12"/>
  <c r="Y11" i="8"/>
  <c r="Z20" i="8"/>
  <c r="W6" i="8"/>
  <c r="Z20" i="14"/>
  <c r="W6" i="14"/>
  <c r="Z25" i="12"/>
  <c r="W7" i="12"/>
  <c r="Z18" i="11"/>
  <c r="W4" i="11"/>
  <c r="Y12" i="8"/>
  <c r="AD33" i="8"/>
  <c r="AE33" i="8" s="1"/>
  <c r="AD34" i="8"/>
  <c r="AE34" i="8" s="1"/>
  <c r="AD35" i="8"/>
  <c r="AE35" i="8" s="1"/>
  <c r="Z18" i="13"/>
  <c r="W4" i="13"/>
  <c r="Z25" i="10"/>
  <c r="W7" i="10"/>
  <c r="Y12" i="14"/>
  <c r="M19" i="8"/>
  <c r="AA5" i="8" s="1"/>
  <c r="M18" i="8"/>
  <c r="AA4" i="8" s="1"/>
  <c r="M21" i="8"/>
  <c r="AA7" i="8" s="1"/>
  <c r="M20" i="8"/>
  <c r="AA6" i="8" s="1"/>
  <c r="M21" i="13"/>
  <c r="AA7" i="13" s="1"/>
  <c r="M18" i="13"/>
  <c r="AA4" i="13" s="1"/>
  <c r="M20" i="13"/>
  <c r="AA6" i="13" s="1"/>
  <c r="M19" i="13"/>
  <c r="AA5" i="13" s="1"/>
  <c r="Z18" i="10"/>
  <c r="W4" i="10"/>
  <c r="Z20" i="11"/>
  <c r="W6" i="11"/>
  <c r="Z25" i="11"/>
  <c r="W7" i="11"/>
  <c r="Z18" i="12"/>
  <c r="W4" i="12"/>
  <c r="Y12" i="13"/>
  <c r="AD24" i="13"/>
  <c r="AE24" i="13" s="1"/>
  <c r="AD30" i="13"/>
  <c r="AE30" i="13" s="1"/>
  <c r="AD18" i="13"/>
  <c r="AD20" i="13"/>
  <c r="AD29" i="13"/>
  <c r="AE29" i="13" s="1"/>
  <c r="AD19" i="13"/>
  <c r="AD23" i="13"/>
  <c r="AE23" i="13" s="1"/>
  <c r="AD28" i="13"/>
  <c r="AE28" i="13" s="1"/>
  <c r="AD25" i="13"/>
  <c r="W7" i="13"/>
  <c r="Z25" i="13"/>
  <c r="AD30" i="10"/>
  <c r="AE30" i="10" s="1"/>
  <c r="AD20" i="10"/>
  <c r="AD28" i="10"/>
  <c r="AE28" i="10" s="1"/>
  <c r="AD18" i="10"/>
  <c r="AD19" i="10"/>
  <c r="AD25" i="10"/>
  <c r="AD29" i="10"/>
  <c r="AE29" i="10" s="1"/>
  <c r="AD24" i="10"/>
  <c r="AE24" i="10" s="1"/>
  <c r="AD23" i="10"/>
  <c r="AE23" i="10" s="1"/>
  <c r="Z19" i="14"/>
  <c r="W5" i="14"/>
  <c r="AD25" i="14"/>
  <c r="AD30" i="14"/>
  <c r="AE30" i="14" s="1"/>
  <c r="AD20" i="14"/>
  <c r="AD23" i="14"/>
  <c r="AE23" i="14" s="1"/>
  <c r="AD18" i="14"/>
  <c r="AD28" i="14"/>
  <c r="AE28" i="14" s="1"/>
  <c r="AD29" i="14"/>
  <c r="AE29" i="14" s="1"/>
  <c r="AD24" i="14"/>
  <c r="AE24" i="14" s="1"/>
  <c r="AD19" i="14"/>
  <c r="Z18" i="8"/>
  <c r="W4" i="8"/>
  <c r="AD24" i="11"/>
  <c r="AE24" i="11" s="1"/>
  <c r="AD19" i="11"/>
  <c r="AD29" i="11"/>
  <c r="AE29" i="11" s="1"/>
  <c r="AD20" i="11"/>
  <c r="AD25" i="11"/>
  <c r="AD28" i="11"/>
  <c r="AE28" i="11" s="1"/>
  <c r="AD18" i="11"/>
  <c r="AD23" i="11"/>
  <c r="AE23" i="11" s="1"/>
  <c r="AD30" i="11"/>
  <c r="AE30" i="11" s="1"/>
  <c r="Z18" i="14"/>
  <c r="W4" i="14"/>
  <c r="Y11" i="10"/>
  <c r="AD28" i="12"/>
  <c r="AE28" i="12" s="1"/>
  <c r="AD29" i="12"/>
  <c r="AE29" i="12" s="1"/>
  <c r="AD18" i="12"/>
  <c r="AD20" i="12"/>
  <c r="AD25" i="12"/>
  <c r="AD30" i="12"/>
  <c r="AE30" i="12" s="1"/>
  <c r="AD19" i="12"/>
  <c r="AD24" i="12"/>
  <c r="AE24" i="12" s="1"/>
  <c r="AD23" i="12"/>
  <c r="AE23" i="12" s="1"/>
  <c r="Z19" i="8"/>
  <c r="W5" i="8"/>
  <c r="Z20" i="13"/>
  <c r="W6" i="13"/>
  <c r="Z19" i="10"/>
  <c r="W5" i="10"/>
  <c r="Z19" i="13"/>
  <c r="W5" i="13"/>
  <c r="X6" i="14" l="1"/>
  <c r="X5" i="13"/>
  <c r="X4" i="14"/>
  <c r="X4" i="8"/>
  <c r="X6" i="11"/>
  <c r="X5" i="12"/>
  <c r="X4" i="10"/>
  <c r="X4" i="12"/>
  <c r="X5" i="10"/>
  <c r="X7" i="13"/>
  <c r="X7" i="10"/>
  <c r="X7" i="12"/>
  <c r="X5" i="11"/>
  <c r="X7" i="11"/>
  <c r="X5" i="8"/>
  <c r="X5" i="14"/>
  <c r="X4" i="13"/>
  <c r="X6" i="10"/>
  <c r="X7" i="8"/>
  <c r="X7" i="14"/>
  <c r="X6" i="13"/>
  <c r="X4" i="11"/>
  <c r="X6" i="8"/>
  <c r="X6" i="12"/>
  <c r="AE4" i="11"/>
  <c r="AE7" i="11"/>
  <c r="AE6" i="11"/>
  <c r="AE5" i="11"/>
  <c r="AE18" i="10"/>
  <c r="Y4" i="10"/>
  <c r="AE25" i="13"/>
  <c r="Y7" i="13"/>
  <c r="AE5" i="8"/>
  <c r="AE6" i="8"/>
  <c r="AE4" i="8"/>
  <c r="AE7" i="8"/>
  <c r="AE19" i="8"/>
  <c r="Y5" i="8"/>
  <c r="AE6" i="12"/>
  <c r="AE7" i="12"/>
  <c r="AE4" i="12"/>
  <c r="AE5" i="12"/>
  <c r="AE18" i="8"/>
  <c r="Y4" i="8"/>
  <c r="AE25" i="12"/>
  <c r="Y7" i="12"/>
  <c r="AE6" i="10"/>
  <c r="AE7" i="10"/>
  <c r="AE4" i="10"/>
  <c r="AE5" i="10"/>
  <c r="AE25" i="11"/>
  <c r="Y7" i="11"/>
  <c r="AE20" i="14"/>
  <c r="Y6" i="14"/>
  <c r="AE19" i="13"/>
  <c r="Y5" i="13"/>
  <c r="AE20" i="8"/>
  <c r="Y6" i="8"/>
  <c r="AE18" i="14"/>
  <c r="Y4" i="14"/>
  <c r="AE20" i="10"/>
  <c r="Y6" i="10"/>
  <c r="AE20" i="12"/>
  <c r="Y6" i="12"/>
  <c r="AE20" i="11"/>
  <c r="Y6" i="11"/>
  <c r="AE18" i="12"/>
  <c r="Y4" i="12"/>
  <c r="AE19" i="14"/>
  <c r="Y5" i="14"/>
  <c r="AE25" i="14"/>
  <c r="Y7" i="14"/>
  <c r="AE20" i="13"/>
  <c r="Y6" i="13"/>
  <c r="AE19" i="12"/>
  <c r="Y5" i="12"/>
  <c r="AE6" i="14"/>
  <c r="AE5" i="14"/>
  <c r="AE4" i="14"/>
  <c r="AE19" i="11"/>
  <c r="Y5" i="11"/>
  <c r="AE25" i="10"/>
  <c r="Y7" i="10"/>
  <c r="AE18" i="13"/>
  <c r="Y4" i="13"/>
  <c r="AE7" i="13"/>
  <c r="AE6" i="13"/>
  <c r="AE4" i="13"/>
  <c r="AE5" i="13"/>
  <c r="AE18" i="11"/>
  <c r="Y4" i="11"/>
  <c r="AE19" i="10"/>
  <c r="Y5" i="10"/>
  <c r="AE7" i="14"/>
  <c r="AE25" i="8"/>
  <c r="Y7" i="8"/>
  <c r="Z5" i="14" l="1"/>
  <c r="V5" i="14" s="1"/>
  <c r="Z6" i="14"/>
  <c r="V6" i="14" s="1"/>
  <c r="Z7" i="8"/>
  <c r="V7" i="8" s="1"/>
  <c r="Z7" i="14"/>
  <c r="V7" i="14" s="1"/>
  <c r="Z4" i="10"/>
  <c r="V4" i="10" s="1"/>
  <c r="Z4" i="12"/>
  <c r="V4" i="12" s="1"/>
  <c r="Z5" i="13"/>
  <c r="V5" i="13" s="1"/>
  <c r="Z5" i="11"/>
  <c r="V5" i="11" s="1"/>
  <c r="Z4" i="13"/>
  <c r="V4" i="13" s="1"/>
  <c r="Z6" i="12"/>
  <c r="V6" i="12" s="1"/>
  <c r="Z7" i="10"/>
  <c r="V7" i="10" s="1"/>
  <c r="Z6" i="10"/>
  <c r="V6" i="10" s="1"/>
  <c r="Z6" i="13"/>
  <c r="V6" i="13" s="1"/>
  <c r="Z7" i="12"/>
  <c r="V7" i="12" s="1"/>
  <c r="Z5" i="8"/>
  <c r="V5" i="8" s="1"/>
  <c r="Z6" i="11"/>
  <c r="V6" i="11" s="1"/>
  <c r="Z7" i="13"/>
  <c r="V7" i="13" s="1"/>
  <c r="Z5" i="10"/>
  <c r="V5" i="10" s="1"/>
  <c r="Z4" i="14"/>
  <c r="V4" i="14" s="1"/>
  <c r="Z7" i="11"/>
  <c r="V7" i="11" s="1"/>
  <c r="Z4" i="8"/>
  <c r="V4" i="8" s="1"/>
  <c r="Z4" i="11"/>
  <c r="V4" i="11" s="1"/>
  <c r="Z5" i="12"/>
  <c r="V5" i="12" s="1"/>
  <c r="Z6" i="8"/>
  <c r="V6" i="8" s="1"/>
  <c r="V14" i="11" l="1"/>
  <c r="U14" i="11" s="1"/>
  <c r="V11" i="12"/>
  <c r="U11" i="12" s="1"/>
  <c r="V14" i="13"/>
  <c r="U14" i="13" s="1"/>
  <c r="V11" i="13"/>
  <c r="P11" i="13" s="1"/>
  <c r="N46" i="36" s="1"/>
  <c r="V11" i="8"/>
  <c r="R11" i="8" s="1"/>
  <c r="V11" i="11"/>
  <c r="U11" i="11" s="1"/>
  <c r="V13" i="13"/>
  <c r="U13" i="13" s="1"/>
  <c r="V14" i="8"/>
  <c r="R14" i="8" s="1"/>
  <c r="V13" i="8"/>
  <c r="Q13" i="8" s="1"/>
  <c r="V12" i="8"/>
  <c r="T12" i="8" s="1"/>
  <c r="V12" i="12"/>
  <c r="P12" i="12" s="1"/>
  <c r="K47" i="36" s="1"/>
  <c r="V14" i="12"/>
  <c r="U14" i="12" s="1"/>
  <c r="V11" i="10"/>
  <c r="P11" i="10" s="1"/>
  <c r="E46" i="36" s="1"/>
  <c r="V12" i="11"/>
  <c r="P12" i="11" s="1"/>
  <c r="H47" i="36" s="1"/>
  <c r="V13" i="11"/>
  <c r="R13" i="11" s="1"/>
  <c r="V13" i="10"/>
  <c r="Q13" i="10" s="1"/>
  <c r="V12" i="13"/>
  <c r="T12" i="13" s="1"/>
  <c r="V13" i="12"/>
  <c r="Q13" i="12" s="1"/>
  <c r="V13" i="14"/>
  <c r="T13" i="14" s="1"/>
  <c r="V14" i="10"/>
  <c r="Q14" i="10" s="1"/>
  <c r="V14" i="14"/>
  <c r="U14" i="14" s="1"/>
  <c r="V12" i="14"/>
  <c r="T12" i="14" s="1"/>
  <c r="V12" i="10"/>
  <c r="P12" i="10" s="1"/>
  <c r="V11" i="14"/>
  <c r="N49" i="22" l="1"/>
  <c r="I47" i="22" s="1"/>
  <c r="N48" i="22"/>
  <c r="I46" i="22" s="1"/>
  <c r="N46" i="22"/>
  <c r="J41" i="22" s="1"/>
  <c r="N43" i="22"/>
  <c r="I43" i="22" s="1"/>
  <c r="R14" i="13"/>
  <c r="U11" i="8"/>
  <c r="R14" i="11"/>
  <c r="S14" i="11"/>
  <c r="T14" i="11"/>
  <c r="T11" i="8"/>
  <c r="S11" i="8"/>
  <c r="S13" i="14"/>
  <c r="Q11" i="8"/>
  <c r="Q14" i="11"/>
  <c r="P11" i="8"/>
  <c r="P14" i="11"/>
  <c r="P13" i="11"/>
  <c r="T14" i="10"/>
  <c r="S14" i="10"/>
  <c r="U13" i="14"/>
  <c r="T13" i="11"/>
  <c r="P13" i="14"/>
  <c r="Q5" i="36" s="1"/>
  <c r="Q13" i="14"/>
  <c r="R14" i="10"/>
  <c r="Q14" i="13"/>
  <c r="R13" i="14"/>
  <c r="P14" i="13"/>
  <c r="S14" i="13"/>
  <c r="R12" i="12"/>
  <c r="P14" i="10"/>
  <c r="S13" i="11"/>
  <c r="P11" i="11"/>
  <c r="Q12" i="14"/>
  <c r="R11" i="11"/>
  <c r="S11" i="11"/>
  <c r="R12" i="14"/>
  <c r="Q11" i="11"/>
  <c r="T11" i="11"/>
  <c r="Q12" i="11"/>
  <c r="Q12" i="8"/>
  <c r="R11" i="13"/>
  <c r="U12" i="11"/>
  <c r="U12" i="8"/>
  <c r="S12" i="11"/>
  <c r="S12" i="8"/>
  <c r="Q11" i="13"/>
  <c r="T12" i="11"/>
  <c r="S11" i="13"/>
  <c r="U11" i="13"/>
  <c r="T11" i="13"/>
  <c r="R12" i="11"/>
  <c r="T14" i="13"/>
  <c r="X11" i="11"/>
  <c r="C6" i="16" s="1"/>
  <c r="E6" i="16" s="1"/>
  <c r="U13" i="11"/>
  <c r="H6" i="27" s="1"/>
  <c r="Q13" i="11"/>
  <c r="R11" i="12"/>
  <c r="Q12" i="12"/>
  <c r="T14" i="14"/>
  <c r="R13" i="10"/>
  <c r="U14" i="8"/>
  <c r="X11" i="13"/>
  <c r="N8" i="36" s="1"/>
  <c r="T13" i="13"/>
  <c r="G8" i="27" s="1"/>
  <c r="S13" i="13"/>
  <c r="P12" i="14"/>
  <c r="U12" i="14"/>
  <c r="T11" i="12"/>
  <c r="Q13" i="13"/>
  <c r="D8" i="27" s="1"/>
  <c r="Q11" i="12"/>
  <c r="S11" i="12"/>
  <c r="P11" i="12"/>
  <c r="AC11" i="12" s="1"/>
  <c r="Q14" i="14"/>
  <c r="Q14" i="8"/>
  <c r="S14" i="14"/>
  <c r="S14" i="8"/>
  <c r="S13" i="12"/>
  <c r="P14" i="14"/>
  <c r="AA14" i="14" s="1"/>
  <c r="P14" i="8"/>
  <c r="R14" i="14"/>
  <c r="T14" i="8"/>
  <c r="S12" i="10"/>
  <c r="S14" i="12"/>
  <c r="X11" i="14"/>
  <c r="C9" i="16" s="1"/>
  <c r="E9" i="16" s="1"/>
  <c r="P11" i="14"/>
  <c r="U13" i="8"/>
  <c r="U11" i="14"/>
  <c r="Q11" i="10"/>
  <c r="T12" i="12"/>
  <c r="P13" i="8"/>
  <c r="T11" i="14"/>
  <c r="T11" i="10"/>
  <c r="R11" i="14"/>
  <c r="U11" i="10"/>
  <c r="S11" i="14"/>
  <c r="S11" i="10"/>
  <c r="U13" i="12"/>
  <c r="H7" i="27" s="1"/>
  <c r="X11" i="8"/>
  <c r="C4" i="16" s="1"/>
  <c r="Q11" i="14"/>
  <c r="R11" i="10"/>
  <c r="P13" i="10"/>
  <c r="T13" i="10"/>
  <c r="G5" i="27" s="1"/>
  <c r="S13" i="10"/>
  <c r="U13" i="10"/>
  <c r="H5" i="27" s="1"/>
  <c r="P12" i="13"/>
  <c r="S12" i="14"/>
  <c r="S12" i="12"/>
  <c r="P13" i="13"/>
  <c r="S13" i="8"/>
  <c r="U12" i="12"/>
  <c r="R13" i="13"/>
  <c r="S12" i="13"/>
  <c r="R12" i="13"/>
  <c r="R13" i="8"/>
  <c r="E4" i="27" s="1"/>
  <c r="T13" i="8"/>
  <c r="G4" i="27" s="1"/>
  <c r="R12" i="8"/>
  <c r="P12" i="8"/>
  <c r="Q12" i="10"/>
  <c r="R14" i="12"/>
  <c r="R12" i="10"/>
  <c r="Q14" i="12"/>
  <c r="P13" i="12"/>
  <c r="P14" i="12"/>
  <c r="K6" i="36" s="1"/>
  <c r="T13" i="12"/>
  <c r="U12" i="10"/>
  <c r="T12" i="10"/>
  <c r="T14" i="12"/>
  <c r="X11" i="10"/>
  <c r="C5" i="16" s="1"/>
  <c r="E5" i="16" s="1"/>
  <c r="F5" i="16" s="1"/>
  <c r="U12" i="13"/>
  <c r="U14" i="10"/>
  <c r="X11" i="12"/>
  <c r="C7" i="16" s="1"/>
  <c r="E7" i="16" s="1"/>
  <c r="Q12" i="13"/>
  <c r="R13" i="12"/>
  <c r="E3" i="36"/>
  <c r="AA11" i="10"/>
  <c r="AB11" i="10"/>
  <c r="AC11" i="10"/>
  <c r="Z11" i="10"/>
  <c r="AE11" i="10"/>
  <c r="AB12" i="12"/>
  <c r="AC12" i="12"/>
  <c r="AA12" i="12"/>
  <c r="K4" i="36"/>
  <c r="Z12" i="12"/>
  <c r="AE12" i="12"/>
  <c r="Q48" i="36"/>
  <c r="H8" i="27"/>
  <c r="G9" i="27"/>
  <c r="D4" i="27"/>
  <c r="H48" i="36"/>
  <c r="AB12" i="11"/>
  <c r="AC12" i="11"/>
  <c r="H4" i="36"/>
  <c r="Z12" i="11"/>
  <c r="AA12" i="11"/>
  <c r="AE12" i="11"/>
  <c r="D5" i="27"/>
  <c r="D7" i="27"/>
  <c r="AC11" i="13"/>
  <c r="Z11" i="13"/>
  <c r="AA11" i="13"/>
  <c r="AB11" i="13"/>
  <c r="N3" i="36"/>
  <c r="AE11" i="13"/>
  <c r="E47" i="36"/>
  <c r="Z12" i="10"/>
  <c r="AB12" i="10"/>
  <c r="E4" i="36"/>
  <c r="AC12" i="10"/>
  <c r="AA12" i="10"/>
  <c r="AE12" i="10"/>
  <c r="E6" i="27"/>
  <c r="K46" i="36" l="1"/>
  <c r="Q46" i="36"/>
  <c r="AE12" i="14"/>
  <c r="Q47" i="36"/>
  <c r="Q49" i="36"/>
  <c r="AB13" i="13"/>
  <c r="N48" i="36"/>
  <c r="N47" i="36"/>
  <c r="N49" i="36"/>
  <c r="N54" i="36"/>
  <c r="K49" i="36"/>
  <c r="K48" i="36"/>
  <c r="K54" i="36"/>
  <c r="K64" i="36" s="1"/>
  <c r="AC11" i="11"/>
  <c r="H46" i="36"/>
  <c r="H49" i="36"/>
  <c r="F54" i="36"/>
  <c r="AA13" i="11"/>
  <c r="H6" i="36"/>
  <c r="AE11" i="11"/>
  <c r="H3" i="36"/>
  <c r="AC14" i="11"/>
  <c r="AB14" i="11"/>
  <c r="Z14" i="11"/>
  <c r="AB11" i="11"/>
  <c r="AA14" i="11"/>
  <c r="E48" i="36"/>
  <c r="AA11" i="11"/>
  <c r="Z11" i="11"/>
  <c r="AE14" i="11"/>
  <c r="AA14" i="10"/>
  <c r="E49" i="36"/>
  <c r="B54" i="36"/>
  <c r="C64" i="36" s="1"/>
  <c r="B47" i="36"/>
  <c r="B49" i="36"/>
  <c r="AE11" i="8"/>
  <c r="B46" i="36"/>
  <c r="AC13" i="8"/>
  <c r="B48" i="36"/>
  <c r="Z13" i="11"/>
  <c r="AC13" i="11"/>
  <c r="AB13" i="11"/>
  <c r="H5" i="36"/>
  <c r="AE13" i="11"/>
  <c r="C6" i="27"/>
  <c r="M6" i="27" s="1"/>
  <c r="AC14" i="13"/>
  <c r="N6" i="36"/>
  <c r="AA14" i="13"/>
  <c r="AE14" i="13"/>
  <c r="Z14" i="13"/>
  <c r="AB14" i="13"/>
  <c r="E9" i="27"/>
  <c r="AB14" i="8"/>
  <c r="F9" i="27"/>
  <c r="C3" i="36"/>
  <c r="H9" i="27"/>
  <c r="G6" i="27"/>
  <c r="Z13" i="14"/>
  <c r="I6" i="36"/>
  <c r="AE14" i="10"/>
  <c r="AA11" i="12"/>
  <c r="AB11" i="12"/>
  <c r="AA11" i="8"/>
  <c r="B3" i="36"/>
  <c r="D9" i="27"/>
  <c r="R5" i="36"/>
  <c r="F6" i="27"/>
  <c r="AC11" i="8"/>
  <c r="O3" i="36"/>
  <c r="Z11" i="8"/>
  <c r="AB11" i="8"/>
  <c r="AB13" i="14"/>
  <c r="AC14" i="10"/>
  <c r="AE13" i="14"/>
  <c r="E6" i="36"/>
  <c r="AC13" i="14"/>
  <c r="Z14" i="10"/>
  <c r="AB14" i="10"/>
  <c r="C9" i="27"/>
  <c r="M9" i="27" s="1"/>
  <c r="AA13" i="14"/>
  <c r="F6" i="36"/>
  <c r="AE14" i="8"/>
  <c r="I3" i="36"/>
  <c r="I4" i="36"/>
  <c r="E8" i="36"/>
  <c r="O6" i="36"/>
  <c r="C5" i="36"/>
  <c r="AE14" i="14"/>
  <c r="AA13" i="12"/>
  <c r="H8" i="36"/>
  <c r="F4" i="27"/>
  <c r="Q6" i="36"/>
  <c r="AC13" i="12"/>
  <c r="C7" i="27"/>
  <c r="M7" i="27" s="1"/>
  <c r="H4" i="27"/>
  <c r="K5" i="36"/>
  <c r="Z13" i="12"/>
  <c r="AB13" i="12"/>
  <c r="AE13" i="12"/>
  <c r="C4" i="36"/>
  <c r="AB12" i="13"/>
  <c r="B8" i="36"/>
  <c r="Z12" i="13"/>
  <c r="AE13" i="8"/>
  <c r="AE12" i="13"/>
  <c r="AC12" i="13"/>
  <c r="AA12" i="13"/>
  <c r="F8" i="27"/>
  <c r="E5" i="27"/>
  <c r="AA14" i="8"/>
  <c r="Z14" i="8"/>
  <c r="B6" i="36"/>
  <c r="F5" i="36"/>
  <c r="AC14" i="8"/>
  <c r="AE12" i="8"/>
  <c r="B4" i="36"/>
  <c r="I5" i="36"/>
  <c r="AB12" i="8"/>
  <c r="D6" i="27"/>
  <c r="F5" i="27"/>
  <c r="Z12" i="8"/>
  <c r="E8" i="27"/>
  <c r="AC12" i="8"/>
  <c r="AA12" i="8"/>
  <c r="AA13" i="10"/>
  <c r="N5" i="36"/>
  <c r="O5" i="36"/>
  <c r="L6" i="36"/>
  <c r="Z12" i="14"/>
  <c r="AA13" i="13"/>
  <c r="Z13" i="10"/>
  <c r="C8" i="27"/>
  <c r="L8" i="27" s="1"/>
  <c r="C5" i="27"/>
  <c r="L5" i="27" s="1"/>
  <c r="AC13" i="13"/>
  <c r="AE13" i="10"/>
  <c r="F7" i="27"/>
  <c r="AA11" i="14"/>
  <c r="AC13" i="10"/>
  <c r="L5" i="36"/>
  <c r="E5" i="36"/>
  <c r="AB13" i="10"/>
  <c r="AB12" i="14"/>
  <c r="Q4" i="36"/>
  <c r="AC12" i="14"/>
  <c r="AA12" i="14"/>
  <c r="R6" i="36"/>
  <c r="N4" i="36"/>
  <c r="AE13" i="13"/>
  <c r="Z14" i="14"/>
  <c r="AC14" i="14"/>
  <c r="Z13" i="13"/>
  <c r="AB14" i="14"/>
  <c r="K8" i="36"/>
  <c r="B5" i="36"/>
  <c r="C8" i="16"/>
  <c r="E8" i="16" s="1"/>
  <c r="F8" i="16" s="1"/>
  <c r="AB13" i="8"/>
  <c r="G7" i="27"/>
  <c r="L3" i="36"/>
  <c r="C4" i="27"/>
  <c r="M4" i="27" s="1"/>
  <c r="AA13" i="8"/>
  <c r="Z13" i="8"/>
  <c r="AA14" i="12"/>
  <c r="K3" i="36"/>
  <c r="C6" i="36"/>
  <c r="AE11" i="12"/>
  <c r="Z11" i="12"/>
  <c r="Q8" i="36"/>
  <c r="AB11" i="14"/>
  <c r="Z11" i="14"/>
  <c r="AE11" i="14"/>
  <c r="AC11" i="14"/>
  <c r="Q3" i="36"/>
  <c r="R3" i="36"/>
  <c r="R4" i="36"/>
  <c r="O4" i="36"/>
  <c r="F3" i="36"/>
  <c r="L4" i="36"/>
  <c r="E7" i="27"/>
  <c r="F4" i="36"/>
  <c r="AD12" i="10"/>
  <c r="AC14" i="12"/>
  <c r="AB14" i="12"/>
  <c r="AE14" i="12"/>
  <c r="Z14" i="12"/>
  <c r="N44" i="22"/>
  <c r="J42" i="22" s="1"/>
  <c r="H9" i="16"/>
  <c r="F9" i="16"/>
  <c r="AD11" i="13"/>
  <c r="F6" i="16"/>
  <c r="AD12" i="11"/>
  <c r="AD12" i="12"/>
  <c r="E4" i="16"/>
  <c r="AD11" i="10"/>
  <c r="N47" i="22"/>
  <c r="I48" i="22" s="1"/>
  <c r="F7" i="16"/>
  <c r="N42" i="22" l="1"/>
  <c r="I42" i="22" s="1"/>
  <c r="N52" i="22"/>
  <c r="J48" i="22" s="1"/>
  <c r="N51" i="22"/>
  <c r="I45" i="22" s="1"/>
  <c r="N50" i="22"/>
  <c r="J46" i="22" s="1"/>
  <c r="N45" i="22"/>
  <c r="I44" i="22" s="1"/>
  <c r="AD11" i="11"/>
  <c r="AD14" i="11"/>
  <c r="AD13" i="11"/>
  <c r="N41" i="22"/>
  <c r="I41" i="22" s="1"/>
  <c r="L6" i="27"/>
  <c r="I6" i="27" s="1"/>
  <c r="AD14" i="13"/>
  <c r="L9" i="27"/>
  <c r="I9" i="27" s="1"/>
  <c r="AD11" i="12"/>
  <c r="AD13" i="14"/>
  <c r="AD11" i="8"/>
  <c r="AD14" i="10"/>
  <c r="L7" i="27"/>
  <c r="I7" i="27" s="1"/>
  <c r="AD12" i="13"/>
  <c r="M5" i="27"/>
  <c r="I5" i="27" s="1"/>
  <c r="AD13" i="12"/>
  <c r="AD12" i="8"/>
  <c r="AD13" i="10"/>
  <c r="AD14" i="8"/>
  <c r="M8" i="27"/>
  <c r="I8" i="27" s="1"/>
  <c r="AD13" i="13"/>
  <c r="AD12" i="14"/>
  <c r="AD14" i="14"/>
  <c r="D4" i="16"/>
  <c r="AD13" i="8"/>
  <c r="L4" i="27"/>
  <c r="I4" i="27" s="1"/>
  <c r="AD11" i="14"/>
  <c r="AD14" i="12"/>
  <c r="W54" i="36"/>
  <c r="F4" i="16"/>
  <c r="X54" i="36"/>
  <c r="Q54" i="36"/>
  <c r="Q64" i="36" s="1"/>
  <c r="H54" i="36" l="1"/>
  <c r="R54" i="36"/>
  <c r="L54" i="36"/>
  <c r="T54" i="36"/>
  <c r="E54" i="36"/>
  <c r="E64" i="36" s="1"/>
  <c r="F74" i="36" s="1"/>
  <c r="L84" i="36" s="1"/>
  <c r="R84" i="36" s="1"/>
  <c r="I14" i="27"/>
  <c r="E14" i="27" s="1"/>
  <c r="I12" i="27"/>
  <c r="G4" i="16"/>
  <c r="G7" i="16"/>
  <c r="G8" i="16"/>
  <c r="G6" i="16"/>
  <c r="G9" i="16"/>
  <c r="G5" i="16"/>
  <c r="I13" i="27"/>
  <c r="I11" i="27"/>
  <c r="I15" i="27"/>
  <c r="I16" i="27"/>
  <c r="W64" i="36"/>
  <c r="T74" i="36" s="1"/>
  <c r="N84" i="36" s="1"/>
  <c r="H8" i="16" l="1"/>
  <c r="H6" i="16"/>
  <c r="H7" i="16"/>
  <c r="H4" i="16"/>
  <c r="H5" i="16"/>
  <c r="D14" i="27"/>
  <c r="J21" i="27"/>
  <c r="T44" i="36" s="1"/>
  <c r="C14" i="27"/>
  <c r="T49" i="36" s="1"/>
  <c r="F14" i="27"/>
  <c r="O14" i="27" s="1"/>
  <c r="J14" i="27"/>
  <c r="V49" i="36" s="1"/>
  <c r="G14" i="27"/>
  <c r="Q14" i="27" s="1"/>
  <c r="H14" i="27"/>
  <c r="E16" i="27"/>
  <c r="G16" i="27"/>
  <c r="Q16" i="27" s="1"/>
  <c r="H16" i="27"/>
  <c r="J16" i="27"/>
  <c r="Y49" i="36" s="1"/>
  <c r="D16" i="27"/>
  <c r="C16" i="27"/>
  <c r="W49" i="36" s="1"/>
  <c r="F16" i="27"/>
  <c r="O16" i="27" s="1"/>
  <c r="E13" i="27"/>
  <c r="D13" i="27"/>
  <c r="H13" i="27"/>
  <c r="C13" i="27"/>
  <c r="T48" i="36" s="1"/>
  <c r="G13" i="27"/>
  <c r="Q13" i="27" s="1"/>
  <c r="J13" i="27"/>
  <c r="V48" i="36" s="1"/>
  <c r="F13" i="27"/>
  <c r="O13" i="27" s="1"/>
  <c r="D12" i="27"/>
  <c r="G12" i="27"/>
  <c r="Q12" i="27" s="1"/>
  <c r="J12" i="27"/>
  <c r="V47" i="36" s="1"/>
  <c r="C12" i="27"/>
  <c r="T47" i="36" s="1"/>
  <c r="H12" i="27"/>
  <c r="E12" i="27"/>
  <c r="F12" i="27"/>
  <c r="O12" i="27" s="1"/>
  <c r="G15" i="27"/>
  <c r="Q15" i="27" s="1"/>
  <c r="H15" i="27"/>
  <c r="E15" i="27"/>
  <c r="C15" i="27"/>
  <c r="W48" i="36" s="1"/>
  <c r="D15" i="27"/>
  <c r="J15" i="27"/>
  <c r="Y48" i="36" s="1"/>
  <c r="F15" i="27"/>
  <c r="O15" i="27" s="1"/>
  <c r="J11" i="27"/>
  <c r="V46" i="36" s="1"/>
  <c r="D11" i="27"/>
  <c r="E11" i="27"/>
  <c r="F11" i="27"/>
  <c r="O11" i="27" s="1"/>
  <c r="G11" i="27"/>
  <c r="Q11" i="27" s="1"/>
  <c r="C11" i="27"/>
  <c r="T46" i="36" s="1"/>
  <c r="H11" i="27"/>
  <c r="H11" i="16" l="1"/>
  <c r="J4" i="16" s="1"/>
  <c r="B7" i="36" s="1"/>
  <c r="N12" i="27"/>
  <c r="U47" i="36"/>
  <c r="N14" i="27"/>
  <c r="U49" i="36"/>
  <c r="N11" i="27"/>
  <c r="U46" i="36"/>
  <c r="N13" i="27"/>
  <c r="U48" i="36"/>
  <c r="N16" i="27"/>
  <c r="X49" i="36"/>
  <c r="N15" i="27"/>
  <c r="X48" i="36"/>
  <c r="L13" i="27" a="1"/>
  <c r="L13" i="27" s="1"/>
  <c r="L14" i="27" a="1"/>
  <c r="L14" i="27" s="1"/>
  <c r="L12" i="27" a="1"/>
  <c r="L12" i="27" s="1"/>
  <c r="L11" i="27" a="1"/>
  <c r="L11" i="27" s="1"/>
  <c r="M14" i="27" l="1"/>
  <c r="M11" i="27"/>
  <c r="M13" i="27"/>
  <c r="M12" i="27"/>
  <c r="J18" i="27" l="1"/>
  <c r="N53" i="22" l="1"/>
  <c r="J43" i="22" s="1"/>
  <c r="N54" i="22"/>
  <c r="J44" i="22" s="1"/>
  <c r="N55" i="22"/>
  <c r="J47" i="22" s="1"/>
  <c r="N56" i="22"/>
  <c r="J45" i="22" s="1"/>
  <c r="W46" i="36"/>
  <c r="C54" i="36" l="1"/>
  <c r="U54" i="36"/>
  <c r="I54" i="36"/>
  <c r="O54" i="36"/>
  <c r="O64" i="36" l="1"/>
  <c r="R74" i="36" s="1"/>
  <c r="I64" i="36"/>
  <c r="H74" i="36" s="1"/>
  <c r="U64" i="36"/>
</calcChain>
</file>

<file path=xl/sharedStrings.xml><?xml version="1.0" encoding="utf-8"?>
<sst xmlns="http://schemas.openxmlformats.org/spreadsheetml/2006/main" count="2822" uniqueCount="1735">
  <si>
    <t>Portugal</t>
  </si>
  <si>
    <t>England</t>
  </si>
  <si>
    <t>1A</t>
  </si>
  <si>
    <t>1B</t>
  </si>
  <si>
    <t>1C</t>
  </si>
  <si>
    <t>1D</t>
  </si>
  <si>
    <t>1E</t>
  </si>
  <si>
    <t>1F</t>
  </si>
  <si>
    <t>2A</t>
  </si>
  <si>
    <t>2B</t>
  </si>
  <si>
    <t>2C</t>
  </si>
  <si>
    <t>2D</t>
  </si>
  <si>
    <t>2E</t>
  </si>
  <si>
    <t>2F</t>
  </si>
  <si>
    <t>3A</t>
  </si>
  <si>
    <t>3B</t>
  </si>
  <si>
    <t>3C</t>
  </si>
  <si>
    <t>3D</t>
  </si>
  <si>
    <t>3E</t>
  </si>
  <si>
    <t>3F</t>
  </si>
  <si>
    <t>4A</t>
  </si>
  <si>
    <t>4B</t>
  </si>
  <si>
    <t>4C</t>
  </si>
  <si>
    <t>4D</t>
  </si>
  <si>
    <t>4E</t>
  </si>
  <si>
    <t>4F</t>
  </si>
  <si>
    <t>B</t>
  </si>
  <si>
    <t>C</t>
  </si>
  <si>
    <t>E</t>
  </si>
  <si>
    <t>F</t>
  </si>
  <si>
    <t>A</t>
  </si>
  <si>
    <t>D</t>
  </si>
  <si>
    <t>1.</t>
  </si>
  <si>
    <t>2.</t>
  </si>
  <si>
    <t>3.</t>
  </si>
  <si>
    <t>4.</t>
  </si>
  <si>
    <t>-</t>
  </si>
  <si>
    <t>Faktoren</t>
  </si>
  <si>
    <t>Fair play</t>
  </si>
  <si>
    <t>H</t>
  </si>
  <si>
    <t>I</t>
  </si>
  <si>
    <t>K</t>
  </si>
  <si>
    <t>L</t>
  </si>
  <si>
    <t>N</t>
  </si>
  <si>
    <t>O</t>
  </si>
  <si>
    <t>Q</t>
  </si>
  <si>
    <t>R</t>
  </si>
  <si>
    <t>Position</t>
  </si>
  <si>
    <t>Belgium</t>
  </si>
  <si>
    <t>Spain</t>
  </si>
  <si>
    <t>France</t>
  </si>
  <si>
    <t>Poland</t>
  </si>
  <si>
    <t>Croatia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</si>
  <si>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</si>
  <si>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</si>
  <si>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</si>
  <si>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</si>
  <si>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</si>
  <si>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</si>
  <si>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</si>
  <si>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</si>
  <si>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</si>
  <si>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</si>
  <si>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</si>
  <si>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</si>
  <si>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</si>
  <si>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</si>
  <si>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Switzerland</t>
  </si>
  <si>
    <t>Suiza</t>
  </si>
  <si>
    <t>Dinamarca</t>
  </si>
  <si>
    <t>Bélgica</t>
  </si>
  <si>
    <t>Inglaterra</t>
  </si>
  <si>
    <t>Croacia</t>
  </si>
  <si>
    <t>Polonia</t>
  </si>
  <si>
    <t>España</t>
  </si>
  <si>
    <t>Suecia</t>
  </si>
  <si>
    <t>Francia</t>
  </si>
  <si>
    <t>Svizzera</t>
  </si>
  <si>
    <t>Suisse</t>
  </si>
  <si>
    <t>Danimarca</t>
  </si>
  <si>
    <t>Danemark</t>
  </si>
  <si>
    <t>Belgio</t>
  </si>
  <si>
    <t>Belgique</t>
  </si>
  <si>
    <t>Inghilterra</t>
  </si>
  <si>
    <t>Angleterre</t>
  </si>
  <si>
    <t>Croazia</t>
  </si>
  <si>
    <t>Croatie</t>
  </si>
  <si>
    <t>Pologne</t>
  </si>
  <si>
    <t>Spagna</t>
  </si>
  <si>
    <t>Espagne</t>
  </si>
  <si>
    <t>Svezia</t>
  </si>
  <si>
    <t>Suède</t>
  </si>
  <si>
    <t>Portogallo</t>
  </si>
  <si>
    <t>english</t>
  </si>
  <si>
    <t>spanish</t>
  </si>
  <si>
    <t>italian</t>
  </si>
  <si>
    <t>french</t>
  </si>
  <si>
    <t>my language</t>
  </si>
  <si>
    <t>Polen</t>
  </si>
  <si>
    <t>Frankreich</t>
  </si>
  <si>
    <t>Spanien</t>
  </si>
  <si>
    <t>Schweden</t>
  </si>
  <si>
    <t>Schweiz</t>
  </si>
  <si>
    <t>Dänemark</t>
  </si>
  <si>
    <t>Belgien</t>
  </si>
  <si>
    <t>Kroatien</t>
  </si>
  <si>
    <t>german</t>
  </si>
  <si>
    <t>Venues</t>
  </si>
  <si>
    <t>Choose language</t>
  </si>
  <si>
    <t>Click here and choose language:</t>
  </si>
  <si>
    <t>IDLW</t>
  </si>
  <si>
    <t>HAST</t>
  </si>
  <si>
    <t>AKST</t>
  </si>
  <si>
    <t>PST</t>
  </si>
  <si>
    <t>MST</t>
  </si>
  <si>
    <t>CST</t>
  </si>
  <si>
    <t>EST</t>
  </si>
  <si>
    <t>AST</t>
  </si>
  <si>
    <t>NST</t>
  </si>
  <si>
    <t>WET</t>
  </si>
  <si>
    <t>CET</t>
  </si>
  <si>
    <t>AST/EAT</t>
  </si>
  <si>
    <t>ICT</t>
  </si>
  <si>
    <t>CNST</t>
  </si>
  <si>
    <t>JST</t>
  </si>
  <si>
    <t>IDLE/NZST</t>
  </si>
  <si>
    <t>ACST</t>
  </si>
  <si>
    <t>IST</t>
  </si>
  <si>
    <t>IRT</t>
  </si>
  <si>
    <t>UTC</t>
  </si>
  <si>
    <t>1/8 finals</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</si>
  <si>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</si>
  <si>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</si>
  <si>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</si>
  <si>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</si>
  <si>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</si>
  <si>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</si>
  <si>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</si>
  <si>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</si>
  <si>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</si>
  <si>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</si>
  <si>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</si>
  <si>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</si>
  <si>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</si>
  <si>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</si>
  <si>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</si>
  <si>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</si>
  <si>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</si>
  <si>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</si>
  <si>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</si>
  <si>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</si>
  <si>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</si>
  <si>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</si>
  <si>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</si>
  <si>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</si>
  <si>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</si>
  <si>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</si>
  <si>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</si>
  <si>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</si>
  <si>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</si>
  <si>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</si>
  <si>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</si>
  <si>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</si>
  <si>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</si>
  <si>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</si>
  <si>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</si>
  <si>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</si>
  <si>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</si>
  <si>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</si>
  <si>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A1</t>
  </si>
  <si>
    <t>A2</t>
  </si>
  <si>
    <t>A3</t>
  </si>
  <si>
    <t>A4</t>
  </si>
  <si>
    <t>B1</t>
  </si>
  <si>
    <t>B2</t>
  </si>
  <si>
    <t>B3</t>
  </si>
  <si>
    <t>B4</t>
  </si>
  <si>
    <t>C1</t>
  </si>
  <si>
    <t>C2</t>
  </si>
  <si>
    <t>C3</t>
  </si>
  <si>
    <t>C4</t>
  </si>
  <si>
    <t>D1</t>
  </si>
  <si>
    <t>D2</t>
  </si>
  <si>
    <t>D3</t>
  </si>
  <si>
    <t>D4</t>
  </si>
  <si>
    <t>E1</t>
  </si>
  <si>
    <t>E2</t>
  </si>
  <si>
    <t>E3</t>
  </si>
  <si>
    <t>E4</t>
  </si>
  <si>
    <t>Sum:</t>
  </si>
  <si>
    <t>GD</t>
  </si>
  <si>
    <t>Points</t>
  </si>
  <si>
    <t>Coefficient</t>
  </si>
  <si>
    <t>Dir. Comp. (3)</t>
  </si>
  <si>
    <t>Dir. Comp. (2)</t>
  </si>
  <si>
    <t>Match</t>
  </si>
  <si>
    <t>Score</t>
  </si>
  <si>
    <t>Pts/GD/For</t>
  </si>
  <si>
    <t>Row number teams</t>
  </si>
  <si>
    <t>Row number scores</t>
  </si>
  <si>
    <t>Goal difference</t>
  </si>
  <si>
    <t>Goals scored</t>
  </si>
  <si>
    <t>direct Comp. 3</t>
  </si>
  <si>
    <t>direct Comp. 2</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</si>
  <si>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</si>
  <si>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</si>
  <si>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</si>
  <si>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</si>
  <si>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</si>
  <si>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</si>
  <si>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</si>
  <si>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</si>
  <si>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</si>
  <si>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</si>
  <si>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</si>
  <si>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</si>
  <si>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</si>
  <si>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</si>
  <si>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</si>
  <si>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</si>
  <si>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</si>
  <si>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</si>
  <si>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</si>
  <si>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</si>
  <si>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</si>
  <si>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</si>
  <si>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</si>
  <si>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</si>
  <si>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</si>
  <si>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</si>
  <si>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</si>
  <si>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</si>
  <si>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</si>
  <si>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</si>
  <si>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</si>
  <si>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</si>
  <si>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</si>
  <si>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</si>
  <si>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</si>
  <si>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</si>
  <si>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</si>
  <si>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</si>
  <si>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</si>
  <si>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</si>
  <si>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</si>
  <si>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</si>
  <si>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</si>
  <si>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</si>
  <si>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</si>
  <si>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</si>
  <si>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</si>
  <si>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</si>
  <si>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</si>
  <si>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</si>
  <si>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</si>
  <si>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</si>
  <si>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</si>
  <si>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t>Matches</t>
  </si>
  <si>
    <t>Island</t>
  </si>
  <si>
    <t>Serbien</t>
  </si>
  <si>
    <t>F1</t>
  </si>
  <si>
    <t>F2</t>
  </si>
  <si>
    <t>F3</t>
  </si>
  <si>
    <t>F4</t>
  </si>
  <si>
    <t>Unzulässiges Ergebnis!</t>
  </si>
  <si>
    <t>Invalid result!</t>
  </si>
  <si>
    <t>Risultato non valido</t>
  </si>
  <si>
    <t>¡Resultado no válido!</t>
  </si>
  <si>
    <t>Résultat invalide !</t>
  </si>
  <si>
    <t>Titles</t>
  </si>
  <si>
    <t>Bonus</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</si>
  <si>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</si>
  <si>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</si>
  <si>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</si>
  <si>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</si>
  <si>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</si>
  <si>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Team 1</t>
  </si>
  <si>
    <t>Team 2</t>
  </si>
  <si>
    <t>Click here and
choose time zone:</t>
  </si>
  <si>
    <t>Date   (local time)</t>
  </si>
  <si>
    <t>Direct comparisons</t>
  </si>
  <si>
    <t>Tore</t>
  </si>
  <si>
    <t>Buts</t>
  </si>
  <si>
    <t>Goals</t>
  </si>
  <si>
    <t>Gol</t>
  </si>
  <si>
    <t>Goles</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</si>
  <si>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</si>
  <si>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</si>
  <si>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</si>
  <si>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</si>
  <si>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</si>
  <si>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</si>
  <si>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</si>
  <si>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</si>
  <si>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</si>
  <si>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</si>
  <si>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</si>
  <si>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</si>
  <si>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</si>
  <si>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No es claro</t>
  </si>
  <si>
    <t>Non chiaro</t>
  </si>
  <si>
    <t>Pas clair</t>
  </si>
  <si>
    <t>Nicht klar</t>
  </si>
  <si>
    <t>W49</t>
  </si>
  <si>
    <t>W50</t>
  </si>
  <si>
    <t>Teams</t>
  </si>
  <si>
    <t>Distinctness of the ranks within the groups</t>
  </si>
  <si>
    <t xml:space="preserve"> and </t>
  </si>
  <si>
    <t xml:space="preserve"> y </t>
  </si>
  <si>
    <t xml:space="preserve"> e </t>
  </si>
  <si>
    <t xml:space="preserve"> et </t>
  </si>
  <si>
    <t xml:space="preserve"> und </t>
  </si>
  <si>
    <t>Indicator</t>
  </si>
  <si>
    <t>match count &gt; 0</t>
  </si>
  <si>
    <t>Iceland</t>
  </si>
  <si>
    <t>Islandia</t>
  </si>
  <si>
    <t>Islanda</t>
  </si>
  <si>
    <t>Islande</t>
  </si>
  <si>
    <t>Serbia</t>
  </si>
  <si>
    <t>Serbie</t>
  </si>
  <si>
    <t xml:space="preserve"> : </t>
  </si>
  <si>
    <t xml:space="preserve"> - </t>
  </si>
  <si>
    <t>Sorted list</t>
  </si>
  <si>
    <t>Quarter final 1</t>
  </si>
  <si>
    <t>Quarter final 2</t>
  </si>
  <si>
    <t>Quarter final 3</t>
  </si>
  <si>
    <t>Quarter final 4</t>
  </si>
  <si>
    <t>References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</si>
  <si>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</si>
  <si>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</si>
  <si>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</si>
  <si>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</si>
  <si>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</si>
  <si>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</si>
  <si>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</si>
  <si>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</si>
  <si>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</si>
  <si>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</si>
  <si>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</si>
  <si>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</si>
  <si>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</si>
  <si>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</si>
  <si>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</si>
  <si>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</si>
  <si>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</si>
  <si>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</si>
  <si>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</si>
  <si>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</si>
  <si>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</si>
  <si>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Venue
no.</t>
  </si>
  <si>
    <t>Venue</t>
  </si>
  <si>
    <t>Match No.</t>
  </si>
  <si>
    <t>Prime</t>
  </si>
  <si>
    <t>Prima</t>
  </si>
  <si>
    <t>Tercer lugar</t>
  </si>
  <si>
    <t>Terzo posto</t>
  </si>
  <si>
    <t>Date   (local time host)</t>
  </si>
  <si>
    <t>Order of headings</t>
  </si>
  <si>
    <t>Name</t>
  </si>
  <si>
    <t>Team
no.</t>
  </si>
  <si>
    <t>Team</t>
  </si>
  <si>
    <t>Grupo</t>
  </si>
  <si>
    <t>Gruppo</t>
  </si>
  <si>
    <t>Groupe</t>
  </si>
  <si>
    <t>Gruppe</t>
  </si>
  <si>
    <t>Italy</t>
  </si>
  <si>
    <t>Netherlands</t>
  </si>
  <si>
    <t>Czechia</t>
  </si>
  <si>
    <t>Wales</t>
  </si>
  <si>
    <t>Ukraine</t>
  </si>
  <si>
    <t>Norway</t>
  </si>
  <si>
    <t>Hungary</t>
  </si>
  <si>
    <t>Austria</t>
  </si>
  <si>
    <t>Finland</t>
  </si>
  <si>
    <t>Greece</t>
  </si>
  <si>
    <t>Romania</t>
  </si>
  <si>
    <t>Slovakia</t>
  </si>
  <si>
    <t>Scotland</t>
  </si>
  <si>
    <t>Israel</t>
  </si>
  <si>
    <t>Ireland</t>
  </si>
  <si>
    <t>Slovenia</t>
  </si>
  <si>
    <t>Northern Ireland</t>
  </si>
  <si>
    <t>Albania</t>
  </si>
  <si>
    <t>North Macedonia</t>
  </si>
  <si>
    <t>Armenia</t>
  </si>
  <si>
    <t>Bulgaria</t>
  </si>
  <si>
    <t>Montenegro</t>
  </si>
  <si>
    <t>Kosovo</t>
  </si>
  <si>
    <t>Georgia</t>
  </si>
  <si>
    <t>Belarus</t>
  </si>
  <si>
    <t>Italia</t>
  </si>
  <si>
    <t>Italie</t>
  </si>
  <si>
    <t>Italien</t>
  </si>
  <si>
    <t>Países Bajos</t>
  </si>
  <si>
    <t>Paesi Bassi</t>
  </si>
  <si>
    <t>Pays-Bas</t>
  </si>
  <si>
    <t>Niederlande</t>
  </si>
  <si>
    <t>Groups</t>
  </si>
  <si>
    <t>Rép. tchèque</t>
  </si>
  <si>
    <t>Rep. Ceca</t>
  </si>
  <si>
    <t>Rep. Checa</t>
  </si>
  <si>
    <t>Pays de Galles</t>
  </si>
  <si>
    <t>Galles</t>
  </si>
  <si>
    <t>Gales</t>
  </si>
  <si>
    <t>Tschechien</t>
  </si>
  <si>
    <t>Ucraina</t>
  </si>
  <si>
    <t>Ucrania</t>
  </si>
  <si>
    <t>Noruega</t>
  </si>
  <si>
    <t>Norvegia</t>
  </si>
  <si>
    <t>Norvège</t>
  </si>
  <si>
    <t>Norwegen</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</si>
  <si>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</si>
  <si>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</si>
  <si>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</si>
  <si>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</si>
  <si>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</si>
  <si>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</si>
  <si>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</si>
  <si>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</si>
  <si>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</si>
  <si>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</si>
  <si>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</si>
  <si>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</si>
  <si>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</si>
  <si>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</si>
  <si>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</si>
  <si>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</si>
  <si>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</si>
  <si>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</si>
  <si>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</si>
  <si>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</si>
  <si>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</si>
  <si>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</si>
  <si>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</si>
  <si>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</si>
  <si>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</si>
  <si>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</si>
  <si>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</si>
  <si>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</si>
  <si>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Irlande</t>
  </si>
  <si>
    <t>Irland</t>
  </si>
  <si>
    <t>Irlanda</t>
  </si>
  <si>
    <t>Eslovenia</t>
  </si>
  <si>
    <t>Slovénie</t>
  </si>
  <si>
    <t>Slowenien</t>
  </si>
  <si>
    <t>Nordirland</t>
  </si>
  <si>
    <t>Irlande du Nord</t>
  </si>
  <si>
    <t>Irlanda del Nord</t>
  </si>
  <si>
    <t>Irlanda del Norte</t>
  </si>
  <si>
    <t>Albanie</t>
  </si>
  <si>
    <t>Albanien</t>
  </si>
  <si>
    <t>Nordmazedonien</t>
  </si>
  <si>
    <t>Macédoine Nord</t>
  </si>
  <si>
    <t>Nord Macedonia</t>
  </si>
  <si>
    <t>Macedonia Norte</t>
  </si>
  <si>
    <t>Arménie</t>
  </si>
  <si>
    <t>Armenien</t>
  </si>
  <si>
    <t>Bulgarie</t>
  </si>
  <si>
    <t>Bulgarien</t>
  </si>
  <si>
    <t>Monténégro</t>
  </si>
  <si>
    <t>Géorgie</t>
  </si>
  <si>
    <t>Georgien</t>
  </si>
  <si>
    <t>Results of direct encounters</t>
  </si>
  <si>
    <t>DC(2)</t>
  </si>
  <si>
    <t>Direct Comparison of 2</t>
  </si>
  <si>
    <t>Direct Comparison of 3</t>
  </si>
  <si>
    <t>Direct Comparison of 4</t>
  </si>
  <si>
    <t>DC(3)</t>
  </si>
  <si>
    <t>Penalty shootout</t>
  </si>
  <si>
    <t>DC(4.3)</t>
  </si>
  <si>
    <t>DC(4.3.2)</t>
  </si>
  <si>
    <t>DC(3.2)</t>
  </si>
  <si>
    <t>DC(4.2)</t>
  </si>
  <si>
    <t>direct Comp. 4.2</t>
  </si>
  <si>
    <t>Dir. Comp. (4.2)</t>
  </si>
  <si>
    <t>DC(2) ?</t>
  </si>
  <si>
    <t>DC(4.2) ?</t>
  </si>
  <si>
    <t>DC(3.2) ?</t>
  </si>
  <si>
    <t>DC(4.3.2) ?</t>
  </si>
  <si>
    <t>All Dir.C. (2)</t>
  </si>
  <si>
    <t>For showing direct comparisons of 2 on sheet "Direct comparisons"</t>
  </si>
  <si>
    <t>direct Comp. 4.3</t>
  </si>
  <si>
    <t>Dir. Comp. (4.3)</t>
  </si>
  <si>
    <t>Dir. Comp. (4.3.2)</t>
  </si>
  <si>
    <t>Goal difference zero</t>
  </si>
  <si>
    <t>Elfmeterschießen:</t>
  </si>
  <si>
    <t>Penalty shoot-out:</t>
  </si>
  <si>
    <t>Tiro de penalti:</t>
  </si>
  <si>
    <t>Tiro di rigore:</t>
  </si>
  <si>
    <t>Tirs au but :</t>
  </si>
  <si>
    <t>Gruppendritte</t>
  </si>
  <si>
    <t>TD</t>
  </si>
  <si>
    <t>5.</t>
  </si>
  <si>
    <t>6.</t>
  </si>
  <si>
    <t>:</t>
  </si>
  <si>
    <t>Gruppenkombination:</t>
  </si>
  <si>
    <t>Finnland</t>
  </si>
  <si>
    <t>Penalty</t>
  </si>
  <si>
    <t>Luxembourg</t>
  </si>
  <si>
    <t>Cyprus</t>
  </si>
  <si>
    <t>Kazakhstan</t>
  </si>
  <si>
    <t>Azerbaijan</t>
  </si>
  <si>
    <t>Andorra</t>
  </si>
  <si>
    <t>Lithuania</t>
  </si>
  <si>
    <t>Estonia</t>
  </si>
  <si>
    <t>Gibraltar</t>
  </si>
  <si>
    <t>Moldava</t>
  </si>
  <si>
    <t>Malta</t>
  </si>
  <si>
    <t>Luxemburg</t>
  </si>
  <si>
    <t>Luxemburgo</t>
  </si>
  <si>
    <t>Lussemburgo</t>
  </si>
  <si>
    <t>Chypre</t>
  </si>
  <si>
    <t>Zypern</t>
  </si>
  <si>
    <t>Cipro</t>
  </si>
  <si>
    <t>Chipre</t>
  </si>
  <si>
    <t>Kasachstan</t>
  </si>
  <si>
    <t>Kazakistan</t>
  </si>
  <si>
    <t>Kazajistán</t>
  </si>
  <si>
    <t>Azerbaiyán</t>
  </si>
  <si>
    <t>Azerbaïdjan</t>
  </si>
  <si>
    <t>Aserbaidschan</t>
  </si>
  <si>
    <t>Andorre</t>
  </si>
  <si>
    <t>Estonie</t>
  </si>
  <si>
    <t>Malte</t>
  </si>
  <si>
    <t>Lituania</t>
  </si>
  <si>
    <t>Lituanie</t>
  </si>
  <si>
    <t>Litauen</t>
  </si>
  <si>
    <t>Estland</t>
  </si>
  <si>
    <t>Gibilterra</t>
  </si>
  <si>
    <t>Moldavie</t>
  </si>
  <si>
    <t>Moldavien</t>
  </si>
  <si>
    <t>München</t>
  </si>
  <si>
    <t>Monaco</t>
  </si>
  <si>
    <t>Munich</t>
  </si>
  <si>
    <t>Ranking</t>
  </si>
  <si>
    <t>Gruppen mit Fair-Play-Wertung:</t>
  </si>
  <si>
    <t>Groupes avec valorisation fair-play :</t>
  </si>
  <si>
    <t>Gruppi con valutazione fair play:</t>
  </si>
  <si>
    <t>Grupos con valoración de fair play:</t>
  </si>
  <si>
    <t>Groups with fair play valuation:</t>
  </si>
  <si>
    <t>Fair-Play</t>
  </si>
  <si>
    <t>Grp</t>
  </si>
  <si>
    <t>Nicht qualifiziert:</t>
  </si>
  <si>
    <t>Tercero del grupo</t>
  </si>
  <si>
    <t>Third in the group</t>
  </si>
  <si>
    <t>Terzo nel gruppo</t>
  </si>
  <si>
    <t>Troisième du groupe</t>
  </si>
  <si>
    <t>Number of all games:</t>
  </si>
  <si>
    <t>Group combination:</t>
  </si>
  <si>
    <t>Combinación de grupos:</t>
  </si>
  <si>
    <t>Combinazione di gruppi:</t>
  </si>
  <si>
    <t>Combinaison de groupes :</t>
  </si>
  <si>
    <t>Non qualifié :</t>
  </si>
  <si>
    <t>Non qualificato:</t>
  </si>
  <si>
    <t>No está cualificado:</t>
  </si>
  <si>
    <t>Not qualified:</t>
  </si>
  <si>
    <t>3A/B/C</t>
  </si>
  <si>
    <t>3A/D/E/F</t>
  </si>
  <si>
    <t>3D/E/F</t>
  </si>
  <si>
    <t>3A/B/C/D</t>
  </si>
  <si>
    <t>A B C D</t>
  </si>
  <si>
    <t>A B C E</t>
  </si>
  <si>
    <t>A B C F</t>
  </si>
  <si>
    <t>A B D E</t>
  </si>
  <si>
    <t>A B D F</t>
  </si>
  <si>
    <t>A B E F</t>
  </si>
  <si>
    <t>A C D E</t>
  </si>
  <si>
    <t>A C D F</t>
  </si>
  <si>
    <t>A C E F</t>
  </si>
  <si>
    <t>A D E F</t>
  </si>
  <si>
    <t>B C D E</t>
  </si>
  <si>
    <t>B C D F</t>
  </si>
  <si>
    <t>B C E F</t>
  </si>
  <si>
    <t>B D E F</t>
  </si>
  <si>
    <t>C D E F</t>
  </si>
  <si>
    <t>W42</t>
  </si>
  <si>
    <t>W41</t>
  </si>
  <si>
    <t>W40</t>
  </si>
  <si>
    <t>W38</t>
  </si>
  <si>
    <t>W44</t>
  </si>
  <si>
    <t>W43</t>
  </si>
  <si>
    <t>W39</t>
  </si>
  <si>
    <t>W37</t>
  </si>
  <si>
    <t>W46</t>
  </si>
  <si>
    <t>W45</t>
  </si>
  <si>
    <t>W48</t>
  </si>
  <si>
    <t>W47</t>
  </si>
  <si>
    <t>Attribution de la troisième place du groupe en huitième de finale</t>
  </si>
  <si>
    <t>Asignación del grupo tercero en los octavos de final</t>
  </si>
  <si>
    <t>Assegnazione del terzo gruppo agli ottavi di finale</t>
  </si>
  <si>
    <t>Assignment of the group third in the round of 16</t>
  </si>
  <si>
    <t>Zuordnung der Gruppendritten im Achtelfinale</t>
  </si>
  <si>
    <t>gegen Dritten der Gruppe</t>
  </si>
  <si>
    <t>against third of Group</t>
  </si>
  <si>
    <t>contra la tercera parte del Grupo</t>
  </si>
  <si>
    <t>contro il terzo del gruppo</t>
  </si>
  <si>
    <t>contre le troisième du groupe</t>
  </si>
  <si>
    <t>Premier du groupe</t>
  </si>
  <si>
    <t>Erster der Gruppe</t>
  </si>
  <si>
    <t>Primo nel gruppo</t>
  </si>
  <si>
    <t>Primero del Grupo</t>
  </si>
  <si>
    <t>First in Group</t>
  </si>
  <si>
    <t>Gruppen-kombination:</t>
  </si>
  <si>
    <t>Pts</t>
  </si>
  <si>
    <t>GF</t>
  </si>
  <si>
    <t>GA</t>
  </si>
  <si>
    <t>Pt</t>
  </si>
  <si>
    <t>Pkt</t>
  </si>
  <si>
    <t>Diff</t>
  </si>
  <si>
    <t>Dif</t>
  </si>
  <si>
    <r>
      <t xml:space="preserve">  </t>
    </r>
    <r>
      <rPr>
        <b/>
        <sz val="11"/>
        <color theme="1"/>
        <rFont val="Calibri"/>
        <family val="2"/>
        <scheme val="minor"/>
      </rPr>
      <t xml:space="preserve">Pts </t>
    </r>
    <r>
      <rPr>
        <sz val="11"/>
        <color theme="1"/>
        <rFont val="Calibri"/>
        <family val="2"/>
        <scheme val="minor"/>
      </rPr>
      <t xml:space="preserve">     Goals</t>
    </r>
  </si>
  <si>
    <r>
      <t xml:space="preserve">   </t>
    </r>
    <r>
      <rPr>
        <b/>
        <sz val="11"/>
        <color theme="1"/>
        <rFont val="Calibri"/>
        <family val="2"/>
        <scheme val="minor"/>
      </rPr>
      <t xml:space="preserve">Pt </t>
    </r>
    <r>
      <rPr>
        <sz val="11"/>
        <color theme="1"/>
        <rFont val="Calibri"/>
        <family val="2"/>
        <scheme val="minor"/>
      </rPr>
      <t xml:space="preserve">     Goles</t>
    </r>
  </si>
  <si>
    <r>
      <t xml:space="preserve">  </t>
    </r>
    <r>
      <rPr>
        <b/>
        <sz val="11"/>
        <color theme="1"/>
        <rFont val="Calibri"/>
        <family val="2"/>
        <scheme val="minor"/>
      </rPr>
      <t xml:space="preserve">Pt </t>
    </r>
    <r>
      <rPr>
        <sz val="11"/>
        <color theme="1"/>
        <rFont val="Calibri"/>
        <family val="2"/>
        <scheme val="minor"/>
      </rPr>
      <t xml:space="preserve">        Gol</t>
    </r>
  </si>
  <si>
    <r>
      <t xml:space="preserve">   </t>
    </r>
    <r>
      <rPr>
        <b/>
        <sz val="11"/>
        <color theme="1"/>
        <rFont val="Calibri"/>
        <family val="2"/>
        <scheme val="minor"/>
      </rPr>
      <t xml:space="preserve">Pt </t>
    </r>
    <r>
      <rPr>
        <sz val="11"/>
        <color theme="1"/>
        <rFont val="Calibri"/>
        <family val="2"/>
        <scheme val="minor"/>
      </rPr>
      <t xml:space="preserve">      Buts</t>
    </r>
  </si>
  <si>
    <r>
      <t xml:space="preserve">  </t>
    </r>
    <r>
      <rPr>
        <b/>
        <sz val="11"/>
        <color theme="1"/>
        <rFont val="Calibri"/>
        <family val="2"/>
        <scheme val="minor"/>
      </rPr>
      <t xml:space="preserve">Pkt </t>
    </r>
    <r>
      <rPr>
        <sz val="11"/>
        <color theme="1"/>
        <rFont val="Calibri"/>
        <family val="2"/>
        <scheme val="minor"/>
      </rPr>
      <t xml:space="preserve">     Tore</t>
    </r>
  </si>
  <si>
    <t>Row</t>
  </si>
  <si>
    <t>EET/CEST</t>
  </si>
  <si>
    <t>Factors</t>
  </si>
  <si>
    <t>Qualifikation zum Achtelfinale</t>
  </si>
  <si>
    <t>Qualification for the Round of 16</t>
  </si>
  <si>
    <t>Clasificación para los octavos de final</t>
  </si>
  <si>
    <t>Qualificazione per gli ottavi di finale</t>
  </si>
  <si>
    <t>Kriterien für die Platzierung innerhalb der Gruppen:</t>
  </si>
  <si>
    <t>Critères de placement dans les groupes :</t>
  </si>
  <si>
    <t>Criteri per il posizionamento all'interno dei gruppi:</t>
  </si>
  <si>
    <t>Criterios de colocación en los grupos:</t>
  </si>
  <si>
    <t>Criteria for placement within the groups:</t>
  </si>
  <si>
    <t xml:space="preserve">  1.  Punkte aus allen Gruppenspielen</t>
  </si>
  <si>
    <t xml:space="preserve">  2.  Punkte der direkten Begegnungen</t>
  </si>
  <si>
    <t xml:space="preserve">  3.  Tordifferenz aus den Direkt-Begegnungen</t>
  </si>
  <si>
    <t xml:space="preserve">  4.  Anzahl der in den Direkt-Begegnungen erzielten Tore</t>
  </si>
  <si>
    <t xml:space="preserve">  6.  Tordifferenz aus allen Gruppenspielen</t>
  </si>
  <si>
    <t xml:space="preserve">  7.  Anzahl der erzielten Tore aus allen Gruppenspielen</t>
  </si>
  <si>
    <t xml:space="preserve">  8.  Anzahl der Siege aus allen Gruppenspielen</t>
  </si>
  <si>
    <t xml:space="preserve">  1.  points de tous les matches de groupe</t>
  </si>
  <si>
    <t xml:space="preserve">  2.  les points des rencontres directes</t>
  </si>
  <si>
    <t xml:space="preserve">  4.  nombre de buts marqués dans les rencontres directes</t>
  </si>
  <si>
    <t xml:space="preserve">  6.  différence de buts de tous les matches de groupe</t>
  </si>
  <si>
    <t xml:space="preserve">  7.  nombre de buts marqués lors de tous les matches de groupe</t>
  </si>
  <si>
    <t xml:space="preserve">  8.  nombre de victoires sur l'ensemble des matches de groupe</t>
  </si>
  <si>
    <t xml:space="preserve">  1.  punti da tutte le partite del gruppo</t>
  </si>
  <si>
    <t xml:space="preserve">  2.  punti degli incontri diretti</t>
  </si>
  <si>
    <t xml:space="preserve">  4.  numero di gol segnati negli scontri diretti</t>
  </si>
  <si>
    <t xml:space="preserve">  6.  differenza di gol di tutte le partite del gruppo</t>
  </si>
  <si>
    <t xml:space="preserve">  7.  numero di gol segnati in tutte le partite del gruppo</t>
  </si>
  <si>
    <t xml:space="preserve">  9.  classifica fair-play o rigori nell'ultima partita del gruppo</t>
  </si>
  <si>
    <t xml:space="preserve">  1.  puntos de todos los partidos del grupo</t>
  </si>
  <si>
    <t xml:space="preserve">  2.  puntos de los encuentros directos</t>
  </si>
  <si>
    <t xml:space="preserve">  4.  número de goles marcados en los encuentros directos</t>
  </si>
  <si>
    <t xml:space="preserve">  6.  diferencia de goles en todos los partidos del grupo</t>
  </si>
  <si>
    <t xml:space="preserve">  7.  número de goles marcados en todos los partidos del grupo</t>
  </si>
  <si>
    <t xml:space="preserve">  8.  número de victorias de todos los partidos del grupo</t>
  </si>
  <si>
    <t xml:space="preserve">  4.  number of goals scored in the direct encounters</t>
  </si>
  <si>
    <t xml:space="preserve">  5.  Nochmalige Anwendung der Krit. 2 - 4 nur auf die Mannschaften,</t>
  </si>
  <si>
    <t xml:space="preserve">       die beim 1. Durchlauf nicht unterscheidbar waren</t>
  </si>
  <si>
    <t xml:space="preserve">  5.  Réapplication des critères 2 - 4 uniquement aux équipes qui</t>
  </si>
  <si>
    <t xml:space="preserve">       n'ont pas pu être distinguées lors du 1er passage.</t>
  </si>
  <si>
    <t xml:space="preserve">  5.  riapplicazione del criterio 2 - 4 solo alle squadre che non erano</t>
  </si>
  <si>
    <t xml:space="preserve">       distinguibili nella 1a manche.</t>
  </si>
  <si>
    <t xml:space="preserve">  5.  volver a aplicar el criterio 2 - 4 sólo a los equipos que no se</t>
  </si>
  <si>
    <t xml:space="preserve">       distinguieron en la 1ª vuelta.</t>
  </si>
  <si>
    <t xml:space="preserve">       distinguishable in the 1st run.</t>
  </si>
  <si>
    <t xml:space="preserve">  9.  clasificación de juego limpio o tanda de penaltis en el último</t>
  </si>
  <si>
    <t xml:space="preserve">       if the conditions for this apply</t>
  </si>
  <si>
    <t xml:space="preserve">  9.  classement fair-play ou séance de tirs au but lors du dernier</t>
  </si>
  <si>
    <t xml:space="preserve">       wenn die Bedingungen dafür zutreffen</t>
  </si>
  <si>
    <t xml:space="preserve">  9.  Fair-Play-Wertung bzw. Elfmeterschießen im letzten Gruppenspiel,</t>
  </si>
  <si>
    <t xml:space="preserve">  8.  numero di vittorie di tutte le partite del gruppo,</t>
  </si>
  <si>
    <t xml:space="preserve">       se ci sono le condizioni per questo</t>
  </si>
  <si>
    <t xml:space="preserve">  9.  fair-play ranking or penalty shoot-out in the last group match,</t>
  </si>
  <si>
    <t xml:space="preserve">       match de groupe, si les conditions pour cela sont réunies</t>
  </si>
  <si>
    <t xml:space="preserve">       partido de la fase de grupos, si se dan las condiciones para ello</t>
  </si>
  <si>
    <t>Qualification pour les 16èmes de finale</t>
  </si>
  <si>
    <t>Wins</t>
  </si>
  <si>
    <t>Rank Col. V</t>
  </si>
  <si>
    <t>Referenced columns</t>
  </si>
  <si>
    <t>Siege</t>
  </si>
  <si>
    <t>gagné</t>
  </si>
  <si>
    <t>vinto</t>
  </si>
  <si>
    <t>ganó</t>
  </si>
  <si>
    <t>wins</t>
  </si>
  <si>
    <t xml:space="preserve">  5.  reapplication of criterion 2 to 4 only to the teams that were not</t>
  </si>
  <si>
    <t xml:space="preserve">  6.  goal difference in all group matches</t>
  </si>
  <si>
    <t xml:space="preserve">  7.  number of goals scored in all group matches</t>
  </si>
  <si>
    <t xml:space="preserve">  8.  number of wins in all group matches</t>
  </si>
  <si>
    <t>10.  Position in the overall European Qualifiers Rankings</t>
  </si>
  <si>
    <t>10.  Position in der Schlussrangliste der European Qualifiers</t>
  </si>
  <si>
    <t xml:space="preserve">  1.  points in all group matches</t>
  </si>
  <si>
    <t xml:space="preserve">  3.  goal difference in the direct encounters</t>
  </si>
  <si>
    <t xml:space="preserve">  2.  points in the direct encounters</t>
  </si>
  <si>
    <t xml:space="preserve">  3.  différence de buts dans les rencontres directes</t>
  </si>
  <si>
    <t xml:space="preserve">  3.  differenza di gol negli scontri diretti</t>
  </si>
  <si>
    <t xml:space="preserve">  3.  diferencia de goles en los encuentros directos</t>
  </si>
  <si>
    <t>Pen</t>
  </si>
  <si>
    <t>Elfm</t>
  </si>
  <si>
    <t>C.d.r.</t>
  </si>
  <si>
    <t>T.a.b.</t>
  </si>
  <si>
    <t>Penalty (?)</t>
  </si>
  <si>
    <t>10.  Posición en la clasificación final de la clasificación europea</t>
  </si>
  <si>
    <t>10.  Posizione nella classifica finale delle qualificazioni europee</t>
  </si>
  <si>
    <t>10.  Position dans le classement final des qualifications européennes</t>
  </si>
  <si>
    <t>If a red dot appears above the group name, the ranking order within the group is not clear. Fair play or the overall European Qualifiers Rankings will then decide. In this case, enter Fair Play!</t>
  </si>
  <si>
    <t>Si aparece un punto rojo sobre el nombre del grupo, el orden de clasificación dentro del grupo no está claro. El juego limpio o la clasificación final de la clasificación europea decidirán entonces. En este caso, ¡entra el Juego Limpio!</t>
  </si>
  <si>
    <t>Se un punto rosso appare sopra il nome del gruppo, l'ordine di classifica all'interno del gruppo non è chiaro. Sarà poi la classifica del fair play o la classifica finale delle qualificazioni europee a decidere. In questo caso, inserite Fair Play!</t>
  </si>
  <si>
    <t>Si un point rouge apparaît au-dessus du nom du groupe, l'ordre de classement au sein du groupe n'est pas clair. Le classement du fair-play ou le classement final des qualifications européennes décidera alors. Dans ce cas, entrez Fair Play !</t>
  </si>
  <si>
    <t>Wenn über dem Gruppennamen ein roter Punkt erscheint, ist die Rangreihenfolge innerhalb der Gruppe nicht geklärt. Die Fair-Play-Wertung oder die Schlussrangliste der European Qualifiers entscheiden dann. In diesem Fall Fair-Play eintragen!</t>
  </si>
  <si>
    <t>Der rote Punkt   •</t>
  </si>
  <si>
    <t>Le point rouge   •</t>
  </si>
  <si>
    <t>Il punto rosso   •</t>
  </si>
  <si>
    <t>El punto rojo   •</t>
  </si>
  <si>
    <t>EURO 2024</t>
  </si>
  <si>
    <t>Championnat européen 2024</t>
  </si>
  <si>
    <t>Campionato Europeo 2024</t>
  </si>
  <si>
    <t>Campeonato de Europa 2024</t>
  </si>
  <si>
    <t>European Championship 2024</t>
  </si>
  <si>
    <t>Berlin</t>
  </si>
  <si>
    <t>Leipzig</t>
  </si>
  <si>
    <t>Hamburg</t>
  </si>
  <si>
    <t>Dortmund</t>
  </si>
  <si>
    <t>Gelsenkirchen</t>
  </si>
  <si>
    <t>Düsseldorf</t>
  </si>
  <si>
    <t>Köln</t>
  </si>
  <si>
    <t>Frankfurt</t>
  </si>
  <si>
    <t>Stuttgart</t>
  </si>
  <si>
    <t>Berlina</t>
  </si>
  <si>
    <t>Berlino</t>
  </si>
  <si>
    <t>Amburgo</t>
  </si>
  <si>
    <t>Hamburgo</t>
  </si>
  <si>
    <t>Hambourg</t>
  </si>
  <si>
    <t>Dormund</t>
  </si>
  <si>
    <t>Dusseldorf</t>
  </si>
  <si>
    <t>Cologne</t>
  </si>
  <si>
    <t>Colonia</t>
  </si>
  <si>
    <t>Francfort</t>
  </si>
  <si>
    <t>Fráncfort</t>
  </si>
  <si>
    <t>Francoforte</t>
  </si>
  <si>
    <t>Stoccarda</t>
  </si>
  <si>
    <t>Europameister 2024:</t>
  </si>
  <si>
    <t>Champion d'Europe 2024 :</t>
  </si>
  <si>
    <t>Campione Europeo 2024:</t>
  </si>
  <si>
    <t>Campeón de Europa 2024:</t>
  </si>
  <si>
    <t>European Champion 2024:</t>
  </si>
  <si>
    <t>https://hermann-baum.de/excel/UEFA_EURO/de/</t>
  </si>
  <si>
    <t>EURO</t>
  </si>
  <si>
    <t>Grupos</t>
  </si>
  <si>
    <t>Gruppi</t>
  </si>
  <si>
    <t>Groupes</t>
  </si>
  <si>
    <t>Gruppen</t>
  </si>
  <si>
    <t>Time zone of
the host country:</t>
  </si>
  <si>
    <t>Zona horaria
del país anfitrión:</t>
  </si>
  <si>
    <t>Fuso orario del
paese ospitante:</t>
  </si>
  <si>
    <t>Fuseau horaire
de l'hôte pays hôte :</t>
  </si>
  <si>
    <t>Zeitzone des
Gastgeberlandes:</t>
  </si>
  <si>
    <t>Fair Play</t>
  </si>
  <si>
    <t>The red dot   •</t>
  </si>
  <si>
    <t>Predictions</t>
  </si>
  <si>
    <t>Predicciones</t>
  </si>
  <si>
    <t>Predizioni</t>
  </si>
  <si>
    <t>Prédictions</t>
  </si>
  <si>
    <t>Vorhersagen</t>
  </si>
  <si>
    <t>Correct Results</t>
  </si>
  <si>
    <t>Resultados correctos</t>
  </si>
  <si>
    <t>Risultati corretti</t>
  </si>
  <si>
    <t>Résultats corrects</t>
  </si>
  <si>
    <t>Korrekte Ergebnisse</t>
  </si>
  <si>
    <t>Result</t>
  </si>
  <si>
    <t>result.</t>
  </si>
  <si>
    <t>risult.</t>
  </si>
  <si>
    <t>résult.</t>
  </si>
  <si>
    <t>Ergebn.</t>
  </si>
  <si>
    <t>Total:</t>
  </si>
  <si>
    <t>Totale:</t>
  </si>
  <si>
    <t>Summe:</t>
  </si>
  <si>
    <t>result</t>
  </si>
  <si>
    <t>Result.</t>
  </si>
  <si>
    <t>Risult.</t>
  </si>
  <si>
    <t>Résult.</t>
  </si>
  <si>
    <t>W/D/L</t>
  </si>
  <si>
    <t>G/E/P</t>
  </si>
  <si>
    <t>V/P/S</t>
  </si>
  <si>
    <t>G/N/D</t>
  </si>
  <si>
    <t>G/U/V</t>
  </si>
  <si>
    <t>DDG</t>
  </si>
  <si>
    <t>DR</t>
  </si>
  <si>
    <t>DDB</t>
  </si>
  <si>
    <t>exact</t>
  </si>
  <si>
    <t>exact.</t>
  </si>
  <si>
    <t>esatt.</t>
  </si>
  <si>
    <t>exakt</t>
  </si>
  <si>
    <t>teams</t>
  </si>
  <si>
    <t>equip.</t>
  </si>
  <si>
    <t>squad.</t>
  </si>
  <si>
    <t>équip.</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</si>
  <si>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</si>
  <si>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</si>
  <si>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</si>
  <si>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</si>
  <si>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</si>
  <si>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</si>
  <si>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</si>
  <si>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</si>
  <si>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</si>
  <si>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</si>
  <si>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</si>
  <si>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</si>
  <si>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</si>
  <si>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</si>
  <si>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</si>
  <si>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Hint</t>
  </si>
  <si>
    <t>Noticia</t>
  </si>
  <si>
    <t>Avviso</t>
  </si>
  <si>
    <t>Avis</t>
  </si>
  <si>
    <t>Hinweis</t>
  </si>
  <si>
    <t>Factores</t>
  </si>
  <si>
    <t>Fattori</t>
  </si>
  <si>
    <t>Facteurs</t>
  </si>
  <si>
    <t>Settings</t>
  </si>
  <si>
    <t>Ajustes</t>
  </si>
  <si>
    <t>Impostazioni</t>
  </si>
  <si>
    <t>paramètres</t>
  </si>
  <si>
    <t>Einstellungen</t>
  </si>
  <si>
    <t>many g.</t>
  </si>
  <si>
    <t>gr. cant.</t>
  </si>
  <si>
    <t>gr. num.</t>
  </si>
  <si>
    <t>gr. nom.</t>
  </si>
  <si>
    <t>gr. Anz.</t>
  </si>
  <si>
    <t>Won/Draw/Loss:</t>
  </si>
  <si>
    <t>Ganado/Empatado/Perdido:</t>
  </si>
  <si>
    <t>Vinto/Pareggio/Sconfitta:</t>
  </si>
  <si>
    <t>Gagné/Nul/Défaite :</t>
  </si>
  <si>
    <t>Gewonnen/Unentschieden/Verloren:</t>
  </si>
  <si>
    <t>goal difference:</t>
  </si>
  <si>
    <t>diferencia de goles:</t>
  </si>
  <si>
    <t>differenza reti:</t>
  </si>
  <si>
    <t>différence de buts:</t>
  </si>
  <si>
    <t>Tordifferenz:</t>
  </si>
  <si>
    <t>Many goals - good approximation</t>
  </si>
  <si>
    <t>Gran cantidad de goles - buena aproximación</t>
  </si>
  <si>
    <t>Gran numero di gol - buona approssimazione</t>
  </si>
  <si>
    <t>Grand nombre de buts - bonne approximation</t>
  </si>
  <si>
    <t>Viele Tore - gute Annäherung</t>
  </si>
  <si>
    <t>goals exact:</t>
  </si>
  <si>
    <t>goles exactamente:</t>
  </si>
  <si>
    <t>numero di gol è esatto:</t>
  </si>
  <si>
    <t>nombre de buts correct:</t>
  </si>
  <si>
    <t>Tore exakt:</t>
  </si>
  <si>
    <t>correct team (knockout phase):</t>
  </si>
  <si>
    <t>equipo correcto (fase eliminatoria):</t>
  </si>
  <si>
    <t>squadra corretto (fase a eliminazione diretta):</t>
  </si>
  <si>
    <t>équipe correct (phase à élimination directe) :</t>
  </si>
  <si>
    <t>korrektes Team (KO-Phase):</t>
  </si>
  <si>
    <t>To predict the teams in the KO round, enter the team numbers in the yellow fields.</t>
  </si>
  <si>
    <t>Para predecir los equipos en la ronda KO, ingrese los números de equipo en los campos amarillos.</t>
  </si>
  <si>
    <t>Per pronosticare le squadre nel girone KO, inserisci i numeri delle squadre nei campi gialli.</t>
  </si>
  <si>
    <t>Pour prédire les équipes dans le tour KO, entrez les numéros d'équipe dans les champs jaunes.</t>
  </si>
  <si>
    <t>Um die Teams in der KO-Runde vorherzusagen, gib in den gelben Feldern die Nummern der Teams ein.</t>
  </si>
  <si>
    <t>The factors for the individual categories and other presettings can be selected on the 'PrSettings' worksheet.</t>
  </si>
  <si>
    <t>Los factores para las categorías individuales y otras configuraciones predeterminadas se pueden seleccionar en la hoja de cálculo 'PrSettings'.</t>
  </si>
  <si>
    <t>I fattori per le singole categorie e altre preimpostazioni possono essere selezionati nel foglio di calcolo 'PrSettings'.</t>
  </si>
  <si>
    <t>Les facteurs pour les catégories individuelles et d'autres préréglages peuvent être sélectionnés sur la feuille de calcul 'PrSettings'.</t>
  </si>
  <si>
    <t>Auf dem Tabellenblatt 'PrSettings' können die Faktoren für die einzelnen Kategorien und weitere Voreinstellungen gewählt werden.</t>
  </si>
  <si>
    <t>Access to file</t>
  </si>
  <si>
    <t>Acceso al archivo</t>
  </si>
  <si>
    <t>Accedere al fascicolo</t>
  </si>
  <si>
    <t>Accéder au dossier</t>
  </si>
  <si>
    <t>Zugriff auf die Datei</t>
  </si>
  <si>
    <t>Worksheet</t>
  </si>
  <si>
    <t>Hoja de cálculo</t>
  </si>
  <si>
    <t>Foglio di calcolo</t>
  </si>
  <si>
    <t>Feuille de calcul</t>
  </si>
  <si>
    <t>Tabellenblatt</t>
  </si>
  <si>
    <t>Puntos por diferencia de goles en caso de empate:</t>
  </si>
  <si>
    <t>Punti per differenza reti in caso di parità:</t>
  </si>
  <si>
    <t>Points pour la différence de buts en cas d'égalité :</t>
  </si>
  <si>
    <t>Punkte für die Tordifferenz bei Unentschieden:</t>
  </si>
  <si>
    <t>yes</t>
  </si>
  <si>
    <t>sí</t>
  </si>
  <si>
    <t>sì</t>
  </si>
  <si>
    <t>oui</t>
  </si>
  <si>
    <t>ja</t>
  </si>
  <si>
    <t>no</t>
  </si>
  <si>
    <t>non</t>
  </si>
  <si>
    <t>nein</t>
  </si>
  <si>
    <t>Número mínimo para 'Muchos Goles' en caso de empate:</t>
  </si>
  <si>
    <t>Numero minimo per 'Molti gol' in caso di parità:</t>
  </si>
  <si>
    <t>Nombre min. pour 'de nombreux buts' dans une égalité :</t>
  </si>
  <si>
    <t>Mindestanzahl für 'Viele Tore' bei Unentschieden:</t>
  </si>
  <si>
    <t>Minimum number for a large goal difference:</t>
  </si>
  <si>
    <t>Número mínimo para una gran diferencia de goles:</t>
  </si>
  <si>
    <t>Numero minimo per una grande differenza reti:</t>
  </si>
  <si>
    <t>Nombre minimum pour une grande différence de buts :</t>
  </si>
  <si>
    <t>Mindestanzahl für eine große Tordifferenz:</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</si>
  <si>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</si>
  <si>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</si>
  <si>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</si>
  <si>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</si>
  <si>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</si>
  <si>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</si>
  <si>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</si>
  <si>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</si>
  <si>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</si>
  <si>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</si>
  <si>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En los octavos de final, cuartos de final y semifinales, el resultado se pronostica sin tanda de penaltis. También se puede ingresar un empate. En la final y el partido por el tercer puesto, se debe anotar el resultado global (incluidas las tandas de penaltis).</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</si>
  <si>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</si>
  <si>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</si>
  <si>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</si>
  <si>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Predictions Ranking</t>
  </si>
  <si>
    <t>Ranking de predicciones</t>
  </si>
  <si>
    <t>Classifica pronostici</t>
  </si>
  <si>
    <t>Classement des pronostics</t>
  </si>
  <si>
    <t>Vorhersagen-Ranking</t>
  </si>
  <si>
    <t>Nombre</t>
  </si>
  <si>
    <t>Nome</t>
  </si>
  <si>
    <t>Nom</t>
  </si>
  <si>
    <t>Gewinner im Finale:</t>
  </si>
  <si>
    <t>Gagnant de la finale:</t>
  </si>
  <si>
    <t>Vincitore finale:</t>
  </si>
  <si>
    <t>Ganador final:</t>
  </si>
  <si>
    <t>Final Winner:</t>
  </si>
  <si>
    <t>For example, to add ten more people, select columns HI through MG and copy them to the right. Finished.
(Remove sheet protection!)</t>
  </si>
  <si>
    <t>Por ejemplo, para agregar diez personas más, seleccione las columnas HI a MG y cópielas a la derecha. Acabado.
(¡Quitar la protección de la hoja!)</t>
  </si>
  <si>
    <t>Ad esempio, per aggiungere altre dieci persone, seleziona le colonne da HI a MG e copiale a destra. Finito.
(Rimuovere la protezione del foglio!)</t>
  </si>
  <si>
    <t>Par exemple, pour ajouter dix personnes supplémentaires, sélectionnez les colonnes HI à MG et copiez-les à droite. Achevé. (Retirez la protection de la feuille !)</t>
  </si>
  <si>
    <t>Um zum Beispiel zehn weitere Personen hinzuzufügen, selektiere die Spalten HI bis MG und kopiere sie nach rechts. Fertig. (Blattschutz entfernen!)</t>
  </si>
  <si>
    <t>dutch</t>
  </si>
  <si>
    <t>België</t>
  </si>
  <si>
    <t>Italië</t>
  </si>
  <si>
    <t>Engeland</t>
  </si>
  <si>
    <t>Spanje</t>
  </si>
  <si>
    <t>Oekraïne</t>
  </si>
  <si>
    <t>Frankrijk</t>
  </si>
  <si>
    <t>Zwitserland</t>
  </si>
  <si>
    <t>Kroatië</t>
  </si>
  <si>
    <t>Nederland</t>
  </si>
  <si>
    <t>Turkije</t>
  </si>
  <si>
    <t>Denemarken</t>
  </si>
  <si>
    <t>Oostenrijk</t>
  </si>
  <si>
    <t>Zweden</t>
  </si>
  <si>
    <t>Tsjechië</t>
  </si>
  <si>
    <t>Servië</t>
  </si>
  <si>
    <t>Slowakije</t>
  </si>
  <si>
    <t>Ierland</t>
  </si>
  <si>
    <t>IJsland</t>
  </si>
  <si>
    <t>Noord-Ierland</t>
  </si>
  <si>
    <t>Noorwegen</t>
  </si>
  <si>
    <t>Griekenland</t>
  </si>
  <si>
    <t>Schotland</t>
  </si>
  <si>
    <t>Noord-Macedonië</t>
  </si>
  <si>
    <t>Hongarije</t>
  </si>
  <si>
    <t>Slovenië</t>
  </si>
  <si>
    <t>Roemenië</t>
  </si>
  <si>
    <t>Georgië</t>
  </si>
  <si>
    <t>Albanië</t>
  </si>
  <si>
    <t>Bulgarije</t>
  </si>
  <si>
    <t>Armenië</t>
  </si>
  <si>
    <t>Kazachstan</t>
  </si>
  <si>
    <t>Azerbeidzjan</t>
  </si>
  <si>
    <t>Litouwen</t>
  </si>
  <si>
    <t>Moldavië</t>
  </si>
  <si>
    <t>Onderscheidend vergelijk</t>
  </si>
  <si>
    <t>Kies tijdzone</t>
  </si>
  <si>
    <t>Wedstrijden</t>
  </si>
  <si>
    <t>Kies taal</t>
  </si>
  <si>
    <t>Groepen</t>
  </si>
  <si>
    <t>Groep</t>
  </si>
  <si>
    <t>DS</t>
  </si>
  <si>
    <t>Doelpunten</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</si>
  <si>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</si>
  <si>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</si>
  <si>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</si>
  <si>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</si>
  <si>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</si>
  <si>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</si>
  <si>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</si>
  <si>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</si>
  <si>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</si>
  <si>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</si>
  <si>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</si>
  <si>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</si>
  <si>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</si>
  <si>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</si>
  <si>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</si>
  <si>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</si>
  <si>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</si>
  <si>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Derde van de groep</t>
  </si>
  <si>
    <t>Groepscombinatie:</t>
  </si>
  <si>
    <t>Groeps-combinatie:</t>
  </si>
  <si>
    <t>Eerste in groep</t>
  </si>
  <si>
    <t>tegen derde in groep</t>
  </si>
  <si>
    <t>De rode stip   •</t>
  </si>
  <si>
    <t>De rangschikking is verduidelijkt in alle groepen.</t>
  </si>
  <si>
    <t>en</t>
  </si>
  <si>
    <t>Ongeldig resultaat!</t>
  </si>
  <si>
    <t>Tijdzone van het gastland:</t>
  </si>
  <si>
    <t>Klik hier en kies de taal:</t>
  </si>
  <si>
    <t xml:space="preserve">Voorspellingsklassificatie </t>
  </si>
  <si>
    <t>Totaal</t>
  </si>
  <si>
    <t>Naam</t>
  </si>
  <si>
    <t>Voorspellingen</t>
  </si>
  <si>
    <t>Juiste resultaten</t>
  </si>
  <si>
    <t>Resultaten</t>
  </si>
  <si>
    <t>Totaal:</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</si>
  <si>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</si>
  <si>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</si>
  <si>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</si>
  <si>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</si>
  <si>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</si>
  <si>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</si>
  <si>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</si>
  <si>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</si>
  <si>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</si>
  <si>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</si>
  <si>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</si>
  <si>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</si>
  <si>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</si>
  <si>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Als u bijvoorbeeld nog tien mensen wilt toevoegen, selecteert u de kolommen HI tot en met MG en kopieert u deze naar rechts. Afgerond. (Bladbescherming verwijderen!)</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</si>
  <si>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</si>
  <si>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</si>
  <si>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</si>
  <si>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</si>
  <si>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Punten voor verschil in doelpunten bij een gelijkspel:</t>
  </si>
  <si>
    <t>nee</t>
  </si>
  <si>
    <t>min. aantal goals voor de keuze: 'veel doelpunten' (bij gelijkspel):</t>
  </si>
  <si>
    <t>min. aantal goals voor de keuze: 'groot verschil in doelpunten':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</si>
  <si>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</si>
  <si>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</si>
  <si>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</si>
  <si>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Europees Kampioen 2024:</t>
  </si>
  <si>
    <t>Berlijn</t>
  </si>
  <si>
    <t>Keulen</t>
  </si>
  <si>
    <t>Winnaar in de finale:</t>
  </si>
  <si>
    <t>Als er een rode stip boven een teamnaam staat, is de rangvolgorde binnen de groep niet meteen duidelijk. Toepassing van Fair Play-criteria of de rangvolgorde van de UEFA Qualifiers Ranking zal uitsluitsel moeten geven. In dat geval: "Fair Play" opgeven.</t>
  </si>
  <si>
    <t xml:space="preserve">       als de voorwaarden van toepassing zijn</t>
  </si>
  <si>
    <t xml:space="preserve">  9.  Fair play scoren of penalty shoot-out in de laatste groepswedstrijd</t>
  </si>
  <si>
    <t>Kwalificatie voor de achtste finales</t>
  </si>
  <si>
    <t>Voorwaarden voor plaatsing in de groepen:</t>
  </si>
  <si>
    <t xml:space="preserve">  1.  punten uit de groepswedstrijden</t>
  </si>
  <si>
    <t xml:space="preserve">  2.  punten uit de betreffende rechtstreekse wedstrijd(en)</t>
  </si>
  <si>
    <t xml:space="preserve">  3.  doelsaldo uit de betreffende rechtstreekse wedstrijd(en)</t>
  </si>
  <si>
    <t xml:space="preserve">  4.  doelpunten vóór uit de betreffende rechtstreekse wedstrijd(en)</t>
  </si>
  <si>
    <t xml:space="preserve">  5.  her-toepassing van de criteria 2-4 voor die teams tussen</t>
  </si>
  <si>
    <t xml:space="preserve">       wie in eerste instantie geen beslissing kon vallen.</t>
  </si>
  <si>
    <t xml:space="preserve">  6.  doelsaldo uit alle groepswedstrijden</t>
  </si>
  <si>
    <t xml:space="preserve">  7.  aantal doelpunten vóór uit alle groepswedstrijden</t>
  </si>
  <si>
    <t xml:space="preserve">  8.  aantal keren winst van alle groepswedstrijden</t>
  </si>
  <si>
    <t>Groepen met Fair Play-classificatie:</t>
  </si>
  <si>
    <t>Niet gekwalificeerd:</t>
  </si>
  <si>
    <t>Pen.</t>
  </si>
  <si>
    <t>Toewijzing van beste derde plaatsen naar de achtste finales</t>
  </si>
  <si>
    <t>Gew.</t>
  </si>
  <si>
    <t>N. duidelijk</t>
  </si>
  <si>
    <t>10.  positie in de UEFA Qualifier ranking</t>
  </si>
  <si>
    <t>Klik hier en
kies de tijdzone:</t>
  </si>
  <si>
    <r>
      <t xml:space="preserve">  </t>
    </r>
    <r>
      <rPr>
        <b/>
        <sz val="11"/>
        <color theme="1"/>
        <rFont val="Calibri"/>
        <family val="2"/>
        <scheme val="minor"/>
      </rPr>
      <t xml:space="preserve">Ptn. </t>
    </r>
    <r>
      <rPr>
        <sz val="11"/>
        <color theme="1"/>
        <rFont val="Calibri"/>
        <family val="2"/>
        <scheme val="minor"/>
      </rPr>
      <t xml:space="preserve">    Doelp.</t>
    </r>
  </si>
  <si>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</si>
  <si>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</si>
  <si>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</si>
  <si>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</si>
  <si>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</si>
  <si>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</si>
  <si>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</si>
  <si>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</si>
  <si>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</si>
  <si>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</si>
  <si>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</si>
  <si>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</si>
  <si>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</si>
  <si>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</si>
  <si>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</si>
  <si>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</si>
  <si>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</si>
  <si>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</si>
  <si>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</si>
  <si>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t>Bei Sommerzeit muss die Zeitzone entsprechend angepasst werden (z. B. UTC+2 statt UTC+1)</t>
  </si>
  <si>
    <t>For daylight saving time, the time zone must be adjusted accordingly (e.g. UTC+2 instead of UTC+1)</t>
  </si>
  <si>
    <t>Per l'ora legale, il fuso orario deve essere regolato di conseguenza (ad esempio UTC+2 invece di UTC+1)</t>
  </si>
  <si>
    <t>Pour l'heure d'été, le fuseau horaire doit être ajusté en conséquence (par exemple, UTC+2 au lieu de UTC+1)</t>
  </si>
  <si>
    <t>Para el horario de verano, la zona horaria debe ajustarse en consecuencia (por ejemplo, UTC+2 en lugar de UTC+1)</t>
  </si>
  <si>
    <t>De tijdzone moet dienovereenkomstig worden aangepast voor de zomertijd (b.v. UTC+2 in plaats van UTC+1).</t>
  </si>
  <si>
    <t>World Champion</t>
  </si>
  <si>
    <t>Campeón del Mundo</t>
  </si>
  <si>
    <t>Campione del mondo</t>
  </si>
  <si>
    <t>Champion du monde</t>
  </si>
  <si>
    <t>Weltmeister</t>
  </si>
  <si>
    <t>Wereldkampioen</t>
  </si>
  <si>
    <t>penalties shoot</t>
  </si>
  <si>
    <t>Category</t>
  </si>
  <si>
    <t>For</t>
  </si>
  <si>
    <t>Against</t>
  </si>
  <si>
    <t>Dir. Comp.(2)</t>
  </si>
  <si>
    <t>Red dot:</t>
  </si>
  <si>
    <t>Red dot</t>
  </si>
  <si>
    <t>Daily schedule</t>
  </si>
  <si>
    <t>Horario diario</t>
  </si>
  <si>
    <t>Programma giornaliero</t>
  </si>
  <si>
    <t>Horaire quotidien</t>
  </si>
  <si>
    <t>Täglicher Spielplan</t>
  </si>
  <si>
    <t>Dagelijkse planning</t>
  </si>
  <si>
    <t>Partido no.</t>
  </si>
  <si>
    <t>Partita n.</t>
  </si>
  <si>
    <t>Match non.</t>
  </si>
  <si>
    <t>Spiel Nr.</t>
  </si>
  <si>
    <t>Spel nr</t>
  </si>
  <si>
    <t>equipos</t>
  </si>
  <si>
    <t>Squadre</t>
  </si>
  <si>
    <t>Équipes</t>
  </si>
  <si>
    <t>Time</t>
  </si>
  <si>
    <t>Tiempo</t>
  </si>
  <si>
    <t>Tempo</t>
  </si>
  <si>
    <t>Temps</t>
  </si>
  <si>
    <t>Zeit</t>
  </si>
  <si>
    <t>Tijd</t>
  </si>
  <si>
    <t>Equipo 1</t>
  </si>
  <si>
    <t>Squadra 1</t>
  </si>
  <si>
    <t>Equipe 1</t>
  </si>
  <si>
    <t>Equipo 2</t>
  </si>
  <si>
    <t>Squadra 2</t>
  </si>
  <si>
    <t>Equipe 2</t>
  </si>
  <si>
    <t>Huitièmes de finale</t>
  </si>
  <si>
    <t>Date</t>
  </si>
  <si>
    <t>Fecha</t>
  </si>
  <si>
    <t>Data</t>
  </si>
  <si>
    <t>Datum</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</si>
  <si>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</si>
  <si>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</si>
  <si>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</si>
  <si>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</si>
  <si>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</si>
  <si>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</si>
  <si>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</si>
  <si>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</si>
  <si>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</si>
  <si>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</si>
  <si>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</si>
  <si>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</si>
  <si>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Hermann Baum</t>
  </si>
  <si>
    <t>Türkiye</t>
  </si>
  <si>
    <t>San Marino</t>
  </si>
  <si>
    <t>Liechtenstein</t>
  </si>
  <si>
    <t>Bosnia a. Herzeg.</t>
  </si>
  <si>
    <t>Bosnia y Herzeg.</t>
  </si>
  <si>
    <t>Bosnia ed Erzeg.</t>
  </si>
  <si>
    <t>Bosnie-Herzég.</t>
  </si>
  <si>
    <t>Bosnien/Herzeg.</t>
  </si>
  <si>
    <t>Bosnië/Herzegow.</t>
  </si>
  <si>
    <t>Bielorrusia</t>
  </si>
  <si>
    <t>Bielorussia</t>
  </si>
  <si>
    <t>Bélarus</t>
  </si>
  <si>
    <t>Wit-Rusland</t>
  </si>
  <si>
    <t>Faroe Islands</t>
  </si>
  <si>
    <t>Islas Feroe</t>
  </si>
  <si>
    <t>Isole Faroe</t>
  </si>
  <si>
    <t>Îles Féroé</t>
  </si>
  <si>
    <t>Färöer Inseln</t>
  </si>
  <si>
    <t>Faeröer</t>
  </si>
  <si>
    <t>Saint-Marin</t>
  </si>
  <si>
    <t>Latvia</t>
  </si>
  <si>
    <t>Letonia</t>
  </si>
  <si>
    <t>Lettonia</t>
  </si>
  <si>
    <t>Lettonie</t>
  </si>
  <si>
    <t>Lettland</t>
  </si>
  <si>
    <t>Letland</t>
  </si>
  <si>
    <t>Germany</t>
  </si>
  <si>
    <t>Alemania</t>
  </si>
  <si>
    <t>Germania</t>
  </si>
  <si>
    <t>Allemagne</t>
  </si>
  <si>
    <t>Deutschland</t>
  </si>
  <si>
    <t>Duitsland</t>
  </si>
  <si>
    <t>Russia</t>
  </si>
  <si>
    <t>Rusia</t>
  </si>
  <si>
    <t>Russie</t>
  </si>
  <si>
    <t>Russland</t>
  </si>
  <si>
    <t>Rusland</t>
  </si>
  <si>
    <t>Fair-Play oder Los</t>
  </si>
  <si>
    <t>Fair play or draw of lots</t>
  </si>
  <si>
    <t>Fair-play ou tirage au sort</t>
  </si>
  <si>
    <t>Fair-play o sorteo</t>
  </si>
  <si>
    <t>Fair play o sorteggio</t>
  </si>
  <si>
    <t>Fair play of lottrekking</t>
  </si>
  <si>
    <t>Entscheidet bei zwei Mannschaften die Fair-Play-Wertung oder das Los über die bessere Platzierung in der Gruppe, so wird hier für die bessere Mannschaft eine "1" eingetragen.</t>
  </si>
  <si>
    <t>Als de fair play-beoordeling of de loting de betere plaatsing in de groep voor twee teams bepaalt, wordt hier een "1" ingevuld voor het betere team.</t>
  </si>
  <si>
    <t>Si la calificación de juego limpio o el sorteo deciden la mejor ubicación en el grupo para dos equipos, aquí se ingresa un "1" para el mejor equipo.</t>
  </si>
  <si>
    <t>Se la valutazione del fair play o il sorteggio determinano il miglior piazzamento di due squadre nel girone, qui viene inserito un "1" per la squadra migliore.</t>
  </si>
  <si>
    <t>Si le classement du fair-play ou le tirage au sort décide du meilleur classement dans le groupe pour deux équipes, un « 1 » est inscrit ici pour la meilleure équipe.</t>
  </si>
  <si>
    <t>If the fair play rating or the drawing of lots decides the better placement in the group for two teams, a "1" is entered here for the better team.</t>
  </si>
  <si>
    <t>EURO rank</t>
  </si>
  <si>
    <t>Last update:</t>
  </si>
  <si>
    <t>←</t>
  </si>
  <si>
    <t>Lieu</t>
  </si>
  <si>
    <t>Evento</t>
  </si>
  <si>
    <t>Luogo</t>
  </si>
  <si>
    <t>Locatie</t>
  </si>
  <si>
    <t>Austragungsort</t>
  </si>
  <si>
    <t>Points:</t>
  </si>
  <si>
    <t>Puntos:</t>
  </si>
  <si>
    <t>Punti:</t>
  </si>
  <si>
    <t>Punkte:</t>
  </si>
  <si>
    <t>Punten:</t>
  </si>
  <si>
    <t>Number:</t>
  </si>
  <si>
    <t>Número:</t>
  </si>
  <si>
    <t>Numero:</t>
  </si>
  <si>
    <t>Nombre:</t>
  </si>
  <si>
    <t>Anzahl:</t>
  </si>
  <si>
    <t>Nummer:</t>
  </si>
  <si>
    <t>portuguese</t>
  </si>
  <si>
    <t>França</t>
  </si>
  <si>
    <t>Espanha</t>
  </si>
  <si>
    <t>Hungria</t>
  </si>
  <si>
    <t>Turquia</t>
  </si>
  <si>
    <t>Roménia</t>
  </si>
  <si>
    <t>Albânia</t>
  </si>
  <si>
    <t>Áustria</t>
  </si>
  <si>
    <t>Países Baixos</t>
  </si>
  <si>
    <t>Escócia</t>
  </si>
  <si>
    <t>Croácia</t>
  </si>
  <si>
    <t>Eslovénia</t>
  </si>
  <si>
    <t>Eslováquia</t>
  </si>
  <si>
    <t>Chéquia</t>
  </si>
  <si>
    <t>Itália</t>
  </si>
  <si>
    <t>Sérvia</t>
  </si>
  <si>
    <t>Suíça</t>
  </si>
  <si>
    <t>Ucrânia</t>
  </si>
  <si>
    <t>Grécia</t>
  </si>
  <si>
    <t>Finlândia</t>
  </si>
  <si>
    <t>País de Gales</t>
  </si>
  <si>
    <t>Polónia</t>
  </si>
  <si>
    <t>Suécia</t>
  </si>
  <si>
    <t>Kazaquistão</t>
  </si>
  <si>
    <t>Moldávia</t>
  </si>
  <si>
    <t>Arménia</t>
  </si>
  <si>
    <t>Geórgia</t>
  </si>
  <si>
    <t>Bielorrússia</t>
  </si>
  <si>
    <t>Macedónia do Norte</t>
  </si>
  <si>
    <t>Azerbeijão</t>
  </si>
  <si>
    <t>Lituânia</t>
  </si>
  <si>
    <t>Islândia</t>
  </si>
  <si>
    <t>Bulgária</t>
  </si>
  <si>
    <t>Irlanda do Norte</t>
  </si>
  <si>
    <t>Bósnia e Herzegovina</t>
  </si>
  <si>
    <t>Letónia</t>
  </si>
  <si>
    <t>Ilhas Faroé</t>
  </si>
  <si>
    <t>Estónia</t>
  </si>
  <si>
    <t>São Marino</t>
  </si>
  <si>
    <t>Alemanha</t>
  </si>
  <si>
    <t>Rússia</t>
  </si>
  <si>
    <t>Play-off A</t>
  </si>
  <si>
    <t>Play-off B</t>
  </si>
  <si>
    <t>Play-off C</t>
  </si>
  <si>
    <t>Berlim</t>
  </si>
  <si>
    <t>Colónia</t>
  </si>
  <si>
    <t>Estugarda</t>
  </si>
  <si>
    <t>Munique</t>
  </si>
  <si>
    <t>Euro 2024</t>
  </si>
  <si>
    <t>Comparações Diretas</t>
  </si>
  <si>
    <t>Fair-play o sorteio</t>
  </si>
  <si>
    <t>Seleção do fuso horário</t>
  </si>
  <si>
    <t>Jogos</t>
  </si>
  <si>
    <t>Escolha Idioma</t>
  </si>
  <si>
    <t>Atribuição do terceiro grupo nos oitavos de final</t>
  </si>
  <si>
    <t>Classificação de previsões</t>
  </si>
  <si>
    <t>Pt's</t>
  </si>
  <si>
    <t>GS</t>
  </si>
  <si>
    <t>GM</t>
  </si>
  <si>
    <t>Vitórias</t>
  </si>
  <si>
    <t>Pts  Golos</t>
  </si>
  <si>
    <t>Fair-play</t>
  </si>
  <si>
    <t>Não é claro</t>
  </si>
  <si>
    <t>Confronto direto (2)</t>
  </si>
  <si>
    <t>Confronto direto (3)</t>
  </si>
  <si>
    <t>Classificação</t>
  </si>
  <si>
    <t>Campeão Europeu 2024:</t>
  </si>
  <si>
    <t>Oitavos de final 1</t>
  </si>
  <si>
    <t>Oitavos de final 2</t>
  </si>
  <si>
    <t>Oitavos de final 3</t>
  </si>
  <si>
    <t>Oitavos de final 4</t>
  </si>
  <si>
    <t>Oitavos de final 5</t>
  </si>
  <si>
    <t>Oitavos de final 6</t>
  </si>
  <si>
    <t>Oitavos de final 7</t>
  </si>
  <si>
    <t>Oitavos de final 8</t>
  </si>
  <si>
    <t>Quartos de final 1</t>
  </si>
  <si>
    <t>Quartos de final 2</t>
  </si>
  <si>
    <t>Quartos de final 3</t>
  </si>
  <si>
    <t>Quartos de final 4</t>
  </si>
  <si>
    <t>Meias finais 1</t>
  </si>
  <si>
    <t>Meias finais 2</t>
  </si>
  <si>
    <t>Terceiro Lugar</t>
  </si>
  <si>
    <t>Bónus</t>
  </si>
  <si>
    <t>Penáltis</t>
  </si>
  <si>
    <t>Terceiro do grupo</t>
  </si>
  <si>
    <t>Combinação de grupos</t>
  </si>
  <si>
    <t>Não qualificado</t>
  </si>
  <si>
    <t>Primeiro do grupo</t>
  </si>
  <si>
    <t>Contra o terceiro do Grupo</t>
  </si>
  <si>
    <t>O ponto vermelho •</t>
  </si>
  <si>
    <t>Grupos com valorização do fair play:</t>
  </si>
  <si>
    <t>A colocação foi esclarecida em todos os grupos.</t>
  </si>
  <si>
    <t>e</t>
  </si>
  <si>
    <t>Resultado inválido!</t>
  </si>
  <si>
    <t>Se a classificação do fair play ou o sorteio decidirem a melhor classificação no grupo para duas equipes, um “1” será inserido aqui para a melhor equipe.</t>
  </si>
  <si>
    <t>Selecione o fuso horário:</t>
  </si>
  <si>
    <t>Clique aqui e escolha o idioma:</t>
  </si>
  <si>
    <t>Para o horário de verão, o fuso horário deve ser ajustado de acordo (por exemplo, UTC+2 em vez de UTC+1)</t>
  </si>
  <si>
    <t>Qualificação para os oitavos de final</t>
  </si>
  <si>
    <t>Critérios para colocação em grupos:</t>
  </si>
  <si>
    <t>1. pontos de todos os jogos do grupo</t>
  </si>
  <si>
    <t>2. os pontos em confrontos diretos</t>
  </si>
  <si>
    <t>3. saldo de golos em confrontos diretos</t>
  </si>
  <si>
    <t>4. número de golos marcados em confrontos diretos</t>
  </si>
  <si>
    <t>5. Reaplicação dos critérios 2 a 4 apenas às equipes que</t>
  </si>
  <si>
    <t>distinguível na 1ª volta</t>
  </si>
  <si>
    <t>6. Saldo de golos em todos os jogos do grupo</t>
  </si>
  <si>
    <t>7. número de golos marcados em todos os jogos do grupo</t>
  </si>
  <si>
    <t>8. número de vitórias em todos os jogos do grupo</t>
  </si>
  <si>
    <t>9. classificação de fair play ou disputa de penáltis durante o último</t>
  </si>
  <si>
    <t>jogo da fase de grupos, se as condições para isso forem atendidas</t>
  </si>
  <si>
    <t>10. Posição na classificação final das qualificações europeias</t>
  </si>
  <si>
    <t>Se aparecer um ponto vermelho acima do nome do grupo, a ordem de classificação dentro do grupo não está clara. O fair play ou a classificação geral da Qualificação Europeia decidirão então. Neste caso, entre no Fair Play!</t>
  </si>
  <si>
    <t>Previsões</t>
  </si>
  <si>
    <t>Resultados corretos</t>
  </si>
  <si>
    <t>Com fator:</t>
  </si>
  <si>
    <t>Resultado</t>
  </si>
  <si>
    <t>V/E/D</t>
  </si>
  <si>
    <t>DG</t>
  </si>
  <si>
    <t>Exato</t>
  </si>
  <si>
    <t>Equipas</t>
  </si>
  <si>
    <t>Oitavos de Final</t>
  </si>
  <si>
    <t>Quartos de Final</t>
  </si>
  <si>
    <t>Meias Finais</t>
  </si>
  <si>
    <t>Campeão do Mundp</t>
  </si>
  <si>
    <t>Aviso</t>
  </si>
  <si>
    <t>muitos g.</t>
  </si>
  <si>
    <t>Vitória/Empate/Derrota</t>
  </si>
  <si>
    <t>diferença de golos:</t>
  </si>
  <si>
    <t>Grande número de golos – boa aproximação</t>
  </si>
  <si>
    <t>golos exactos</t>
  </si>
  <si>
    <t>equipa correta (fase a eliminar)</t>
  </si>
  <si>
    <t>Por exemplo, para adicionar mais dez pessoas, selecione as colunas HI a MG e copie-as para a direita. Concluído. (Retire a proteção da folha!)</t>
  </si>
  <si>
    <t>Para prever as equipes na fase a eliminar, insira os números das equipes nos campos amarelos.</t>
  </si>
  <si>
    <t>Fatores para categorias individuais e outras predefinições podem ser selecionados na planilha 'PrSettings'.</t>
  </si>
  <si>
    <t>Acesse o arquivo</t>
  </si>
  <si>
    <t>Folha de cálculo</t>
  </si>
  <si>
    <t>Vencedor Final</t>
  </si>
  <si>
    <t>Pontos por saldo de golos em caso de empate:</t>
  </si>
  <si>
    <t>sm</t>
  </si>
  <si>
    <t>não</t>
  </si>
  <si>
    <t>Número mínimo para ‘Muitos Golos’ em caso de empate:</t>
  </si>
  <si>
    <t>Número mínimo para um grande saldo de golos:</t>
  </si>
  <si>
    <t>Número mínimo para uma grande soma de golos:</t>
  </si>
  <si>
    <t>Nos oitavos de final, quartos de final e meias finais, o resultado está previsto sem disputa de penáltis. Um empate também pode acontecer. Na partida final e no jogo de apuramento do terceiro lugar, a pontuação total (incluindo desempates por penáltis) deve ser registrada.</t>
  </si>
  <si>
    <t>Horário</t>
  </si>
  <si>
    <t>Jogo N.º</t>
  </si>
  <si>
    <t>Equipa 1</t>
  </si>
  <si>
    <t>Equipa 2</t>
  </si>
  <si>
    <t>Oitavos de final</t>
  </si>
  <si>
    <t>Quartos de final</t>
  </si>
  <si>
    <t>Meias finais</t>
  </si>
  <si>
    <t>Cor favorita</t>
  </si>
  <si>
    <t>Introduza o código do grupo aqui</t>
  </si>
  <si>
    <t>bulgarian</t>
  </si>
  <si>
    <t>Португалия</t>
  </si>
  <si>
    <t>Франция</t>
  </si>
  <si>
    <t>Испания</t>
  </si>
  <si>
    <t>Белгия</t>
  </si>
  <si>
    <t>Англия</t>
  </si>
  <si>
    <t>Унгария</t>
  </si>
  <si>
    <t>Турция</t>
  </si>
  <si>
    <t>Румъния</t>
  </si>
  <si>
    <t>Дания</t>
  </si>
  <si>
    <t>Албания</t>
  </si>
  <si>
    <t>Австрия</t>
  </si>
  <si>
    <t>Нидерландия</t>
  </si>
  <si>
    <t>Шотландия</t>
  </si>
  <si>
    <t>Хърватия</t>
  </si>
  <si>
    <t>Словения</t>
  </si>
  <si>
    <t>Словакия</t>
  </si>
  <si>
    <t>Чехия</t>
  </si>
  <si>
    <t>Италия</t>
  </si>
  <si>
    <t>Сърбия</t>
  </si>
  <si>
    <t>Швейцария</t>
  </si>
  <si>
    <t>Украйна</t>
  </si>
  <si>
    <t>Гърция</t>
  </si>
  <si>
    <t>Финландия</t>
  </si>
  <si>
    <t>Уелс</t>
  </si>
  <si>
    <t>Норвегия</t>
  </si>
  <si>
    <t>Полша</t>
  </si>
  <si>
    <t>Черна гора</t>
  </si>
  <si>
    <t>Люксембург</t>
  </si>
  <si>
    <t>Швеция</t>
  </si>
  <si>
    <t>Израел</t>
  </si>
  <si>
    <t>Казахстан</t>
  </si>
  <si>
    <t>Молдова</t>
  </si>
  <si>
    <t>Армения</t>
  </si>
  <si>
    <t>Грузия</t>
  </si>
  <si>
    <t>Беларус</t>
  </si>
  <si>
    <t>Северна Македония</t>
  </si>
  <si>
    <t>Азербайджан</t>
  </si>
  <si>
    <t>Ирландия</t>
  </si>
  <si>
    <t>Литва</t>
  </si>
  <si>
    <t>Исландия</t>
  </si>
  <si>
    <t>Косово</t>
  </si>
  <si>
    <t>България</t>
  </si>
  <si>
    <t>Северна Ирландия</t>
  </si>
  <si>
    <t>Босна и Херцеговина</t>
  </si>
  <si>
    <t>Латвия</t>
  </si>
  <si>
    <t>Фарьорски Острови</t>
  </si>
  <si>
    <t>Естония</t>
  </si>
  <si>
    <t>Малта</t>
  </si>
  <si>
    <t>Кипър</t>
  </si>
  <si>
    <t>Гибралтар</t>
  </si>
  <si>
    <t>Андора</t>
  </si>
  <si>
    <t>Лихтенщайн</t>
  </si>
  <si>
    <t>Сан Марино</t>
  </si>
  <si>
    <t>Германия</t>
  </si>
  <si>
    <t>Русия</t>
  </si>
  <si>
    <t>Берлин</t>
  </si>
  <si>
    <t>Лайпциг</t>
  </si>
  <si>
    <t>Хамбург</t>
  </si>
  <si>
    <t>Дортмунд</t>
  </si>
  <si>
    <t>Гелзенкирхен</t>
  </si>
  <si>
    <t>Дюселдорф</t>
  </si>
  <si>
    <t>Кьолн</t>
  </si>
  <si>
    <t>Франкфурт</t>
  </si>
  <si>
    <t>Щутгарт</t>
  </si>
  <si>
    <t>Мюнхен</t>
  </si>
  <si>
    <t>Европейско първенство 2024</t>
  </si>
  <si>
    <t>Директни сравнения</t>
  </si>
  <si>
    <t>Фейрплей или жребий</t>
  </si>
  <si>
    <t>Избери времева зона</t>
  </si>
  <si>
    <t>Мачове</t>
  </si>
  <si>
    <t>Избери език</t>
  </si>
  <si>
    <t>Определяне на третите места в групата и осминафиналите</t>
  </si>
  <si>
    <t>Групи</t>
  </si>
  <si>
    <t>Прогнози класиране</t>
  </si>
  <si>
    <t>Група</t>
  </si>
  <si>
    <t>Грп</t>
  </si>
  <si>
    <t>т.</t>
  </si>
  <si>
    <t>ГР</t>
  </si>
  <si>
    <t>голове</t>
  </si>
  <si>
    <t>Победи</t>
  </si>
  <si>
    <t>Д.</t>
  </si>
  <si>
    <t>т. Голове</t>
  </si>
  <si>
    <t>Общо</t>
  </si>
  <si>
    <t>Фейрплей</t>
  </si>
  <si>
    <t>Дир.сравнения(2)</t>
  </si>
  <si>
    <t>Дир.сравнения(3)</t>
  </si>
  <si>
    <t>Финално класиране</t>
  </si>
  <si>
    <t>Европейски шампион 2024:</t>
  </si>
  <si>
    <t>Осминафинал  1</t>
  </si>
  <si>
    <t>Осминафинал  2</t>
  </si>
  <si>
    <t>Осминафинал  3</t>
  </si>
  <si>
    <t>Осминафинал  4</t>
  </si>
  <si>
    <t>Осминафинал  5</t>
  </si>
  <si>
    <t>Осминафинал  6</t>
  </si>
  <si>
    <t>Осминафинал  7</t>
  </si>
  <si>
    <t>Осминафинал  8</t>
  </si>
  <si>
    <t>Четвъртфинал 1</t>
  </si>
  <si>
    <t>Четвъртфинал 2</t>
  </si>
  <si>
    <t>Четвъртфинал 3</t>
  </si>
  <si>
    <t>Четвъртфинал 4</t>
  </si>
  <si>
    <t>Полуфинал 1</t>
  </si>
  <si>
    <t>Полуфинал 2</t>
  </si>
  <si>
    <t>Трето място</t>
  </si>
  <si>
    <t>Финал</t>
  </si>
  <si>
    <t>Бонус</t>
  </si>
  <si>
    <t>Дузпи</t>
  </si>
  <si>
    <t>Трети в групата</t>
  </si>
  <si>
    <t>Групова коминация</t>
  </si>
  <si>
    <t>Не класиран</t>
  </si>
  <si>
    <t>Първи в група</t>
  </si>
  <si>
    <t>Срещу трети от група</t>
  </si>
  <si>
    <t>Червена точка •</t>
  </si>
  <si>
    <t>Име</t>
  </si>
  <si>
    <t>Събитие</t>
  </si>
  <si>
    <t>Групи с оценка за феърплей:</t>
  </si>
  <si>
    <t>Поставянето е уточнено във всички групи.</t>
  </si>
  <si>
    <t>и</t>
  </si>
  <si>
    <t>Невалиден резултат</t>
  </si>
  <si>
    <t>Ако рейтингът за феърплей или тегленето на жребий реши по-доброто класиране в групата за два отбора, тук се вписва "1" за по-добрия отбор.</t>
  </si>
  <si>
    <t>Кликни тук и избери времева зона:</t>
  </si>
  <si>
    <t>Времева зона на държавата домакин:</t>
  </si>
  <si>
    <t>Кликни тук и избери език:</t>
  </si>
  <si>
    <t>За лятното часово време, часовата зона трябва да бъде съответно коригирана (напр. UTC+2 вместо UTC+1)</t>
  </si>
  <si>
    <t>Класиране за Осминафинал</t>
  </si>
  <si>
    <t>Критерий за подреждане в групите:</t>
  </si>
  <si>
    <t>1. точки от всички мачове в групата</t>
  </si>
  <si>
    <t>2. точки в директните сблъсъци</t>
  </si>
  <si>
    <t>3. голова разлика в директните сблъсъци</t>
  </si>
  <si>
    <t>4. брой голове в директните сблъсъци</t>
  </si>
  <si>
    <t>5. повторно прилагане на критерий 2 - 4 срещу отборите</t>
  </si>
  <si>
    <t xml:space="preserve"> от оставащите мачове в груповата фаза</t>
  </si>
  <si>
    <t>6. голова разлика във всички мачове в групата</t>
  </si>
  <si>
    <t>7. брой голове във всички мачове в групата</t>
  </si>
  <si>
    <t>8. брой победи във всички мачове в групата</t>
  </si>
  <si>
    <t>9. фейрплей класиране или дузпи в последния мач от групата</t>
  </si>
  <si>
    <t xml:space="preserve">   ако условията за това позволяват</t>
  </si>
  <si>
    <t>10. Позиция в общото класиране на Еврпоейските квалификации</t>
  </si>
  <si>
    <t>Ако над името на групата се появи червена точка, редът на класирането в групата не е ясен. Тогава ще се реши чрез феърплей или общото класиране на европейските квалификации. В този случай влезте в Fair Play!</t>
  </si>
  <si>
    <t>Прогнози</t>
  </si>
  <si>
    <t>Истински резултати</t>
  </si>
  <si>
    <t>Резултати</t>
  </si>
  <si>
    <t>Точки:</t>
  </si>
  <si>
    <t>Общо:</t>
  </si>
  <si>
    <t>Резултат</t>
  </si>
  <si>
    <t>П/Р/З</t>
  </si>
  <si>
    <t>точно</t>
  </si>
  <si>
    <t>отбори</t>
  </si>
  <si>
    <t>Осминафинал</t>
  </si>
  <si>
    <t>Четвъртфинал</t>
  </si>
  <si>
    <t>Полуфинал</t>
  </si>
  <si>
    <t>Световен шампион</t>
  </si>
  <si>
    <t>Забележка</t>
  </si>
  <si>
    <t>Фактори</t>
  </si>
  <si>
    <t>Настройки</t>
  </si>
  <si>
    <t>много г.</t>
  </si>
  <si>
    <t>Победи/Равенства/Загуби:</t>
  </si>
  <si>
    <t>голова разлика:</t>
  </si>
  <si>
    <t>Много голове - добро преближение</t>
  </si>
  <si>
    <t>голова точност:</t>
  </si>
  <si>
    <t>Истински отбор(Елиминационна фаза):</t>
  </si>
  <si>
    <t>Например, за да добавите още десет души, изберете колони HI до MG и ги копирайте вдясно. Готово.
(Премахнете защитата на листа!)</t>
  </si>
  <si>
    <t>За да предвидите отборите в елиминационната фаза, въведете номерата на отборите в жълтите полета.</t>
  </si>
  <si>
    <t>Факторите за отделните категории и други предварителни настройки могат да бъдат избрани в работния лист „PrSettings“.</t>
  </si>
  <si>
    <t>Достъп до файл</t>
  </si>
  <si>
    <t>Работен лист</t>
  </si>
  <si>
    <t>Краен победител:</t>
  </si>
  <si>
    <t>Точки за голова разлика в елиминационната фаза:</t>
  </si>
  <si>
    <t>да</t>
  </si>
  <si>
    <t>не</t>
  </si>
  <si>
    <t>Минимален брой за „Много голове“ в случай на равенство:</t>
  </si>
  <si>
    <t>Минимален брой за голяма голова разлика:</t>
  </si>
  <si>
    <t>В случай на равенство трябва ли да се дават точки за голова разлика?
Много се използва. Но по логични причини това са безплатни точки, защото в този случай головата разлика автоматично е точна. Следователно в настройките по-горе можете да изберете „да“ или „не“.</t>
  </si>
  <si>
    <t>Минимален брой голове за голяма сума от от голове:</t>
  </si>
  <si>
    <t>На осминафиналите, четвъртфиналите и полуфиналите резултатът се прогнозира без изпълнение на дузпи. Може да се впише и равенство. Във финалния мач и мача за трето място трябва да се въведе общият резултат (включително изпълнението на дузпи).</t>
  </si>
  <si>
    <t>Номер:</t>
  </si>
  <si>
    <t>Дневна програма</t>
  </si>
  <si>
    <t>Мач No.</t>
  </si>
  <si>
    <t>Отбори</t>
  </si>
  <si>
    <t>Време</t>
  </si>
  <si>
    <t>Отбор 1</t>
  </si>
  <si>
    <t>Отбор 2</t>
  </si>
  <si>
    <t>Дата</t>
  </si>
  <si>
    <t>Цвят на фаворитите</t>
  </si>
  <si>
    <t>Въведете груповият код тук</t>
  </si>
  <si>
    <t>Frankrig</t>
  </si>
  <si>
    <t>Tyrkiet</t>
  </si>
  <si>
    <t>Rumænien</t>
  </si>
  <si>
    <t>Danmark</t>
  </si>
  <si>
    <t>Østrig</t>
  </si>
  <si>
    <t>Holland</t>
  </si>
  <si>
    <t>Skotland</t>
  </si>
  <si>
    <t>Slovenien</t>
  </si>
  <si>
    <t>Slovakiet</t>
  </si>
  <si>
    <t>Tjekkiet</t>
  </si>
  <si>
    <t>Grækenland</t>
  </si>
  <si>
    <t>Norge</t>
  </si>
  <si>
    <t>Sverige</t>
  </si>
  <si>
    <t>Kasakhstan</t>
  </si>
  <si>
    <t>Nordmakedonien</t>
  </si>
  <si>
    <t>Aserbajdsjan</t>
  </si>
  <si>
    <t>Kosova</t>
  </si>
  <si>
    <t>Bosnien og Herzegovina</t>
  </si>
  <si>
    <t>Færøerne</t>
  </si>
  <si>
    <t>Cypern</t>
  </si>
  <si>
    <t>Tyskland</t>
  </si>
  <si>
    <t>Hamborg</t>
  </si>
  <si>
    <t>EM 2024</t>
  </si>
  <si>
    <t>Direkte sammenligninger</t>
  </si>
  <si>
    <t>Fair play eller lodtrækning</t>
  </si>
  <si>
    <t>Vælg tidszone</t>
  </si>
  <si>
    <t>Tændstikker</t>
  </si>
  <si>
    <t>Vælg sprog</t>
  </si>
  <si>
    <t>Gruppens tredjeplads i ottendedelsfinalen</t>
  </si>
  <si>
    <t>Grupper</t>
  </si>
  <si>
    <t>Forudsigelser Rangering</t>
  </si>
  <si>
    <t>Mål</t>
  </si>
  <si>
    <t>Vinder</t>
  </si>
  <si>
    <t>Pts mål</t>
  </si>
  <si>
    <t>Ikke klart</t>
  </si>
  <si>
    <t>Dir. Komp.(2)</t>
  </si>
  <si>
    <t>Dir. Komp.(3)</t>
  </si>
  <si>
    <t>Finalebord</t>
  </si>
  <si>
    <t>Europamester 2024:</t>
  </si>
  <si>
    <t>8-delsfinale 1</t>
  </si>
  <si>
    <t>8-delsfinale 2</t>
  </si>
  <si>
    <t>8-delsfinale 3</t>
  </si>
  <si>
    <t>8-delsfinale 4</t>
  </si>
  <si>
    <t>8-delsfinale 5</t>
  </si>
  <si>
    <t>8-delsfinale 6</t>
  </si>
  <si>
    <t>8-delsfinale 7</t>
  </si>
  <si>
    <t>8-delsfinale 8</t>
  </si>
  <si>
    <t>Kvartfinale 1</t>
  </si>
  <si>
    <t>Kvartfinale 2</t>
  </si>
  <si>
    <t>Kvartfinale 3</t>
  </si>
  <si>
    <t>Kvartfinale 4</t>
  </si>
  <si>
    <t>Semifinale 1</t>
  </si>
  <si>
    <t>Semifinale 2</t>
  </si>
  <si>
    <t>Tredje plads</t>
  </si>
  <si>
    <t>Straffesparkskonkurrence:</t>
  </si>
  <si>
    <t>Tredje i gruppen</t>
  </si>
  <si>
    <t>Gruppekombination:</t>
  </si>
  <si>
    <t>Ikke kvalificeret:</t>
  </si>
  <si>
    <t>Først i gruppen</t>
  </si>
  <si>
    <t>mod tredjedel af gruppen</t>
  </si>
  <si>
    <t>Den røde prik •</t>
  </si>
  <si>
    <t>Navn</t>
  </si>
  <si>
    <t>Mødested</t>
  </si>
  <si>
    <t>Grupper med fair play-vurdering:</t>
  </si>
  <si>
    <t>Placeringen er afklaret i alle grupper.</t>
  </si>
  <si>
    <t>og</t>
  </si>
  <si>
    <t>Ugyldigt resultat!</t>
  </si>
  <si>
    <t>Hvis fair play-bedømmelsen eller lodtrækningen afgør den bedste placering i gruppen for to hold, indsættes en "1" her for det bedre hold.</t>
  </si>
  <si>
    <t>Klik her og
vælg tidszone:</t>
  </si>
  <si>
    <t>Tidszone på
værtslandet:</t>
  </si>
  <si>
    <t>Klik her og vælg sprog:</t>
  </si>
  <si>
    <t>For sommertid skal tidszonen justeres i overensstemmelse hermed (f.eks. UTC+2 i stedet for UTC+1)</t>
  </si>
  <si>
    <t>Kvalifikation til ottendedelsfinalen</t>
  </si>
  <si>
    <t>Kriterier for placering i grupperne:</t>
  </si>
  <si>
    <t>1. point i alle gruppekampe</t>
  </si>
  <si>
    <t>2. point i de direkte møder</t>
  </si>
  <si>
    <t>3. målforskel i de direkte møder</t>
  </si>
  <si>
    <t>4. antal scorede mål i de direkte opgør</t>
  </si>
  <si>
    <t>5. Genanvendelse af kriterium 2 til 4 kun på de hold, der ikke var det</t>
  </si>
  <si>
    <t>skelnes i 1. løb.</t>
  </si>
  <si>
    <t>6. målforskel i alle gruppekampe</t>
  </si>
  <si>
    <t>7. antal scorede mål i alle gruppekampe</t>
  </si>
  <si>
    <t>8. antal sejre i alle gruppekampe</t>
  </si>
  <si>
    <t>9. Fair-play-rangering eller straffesparkskonkurrence i den sidste gruppekamp,</t>
  </si>
  <si>
    <t>hvis betingelserne herfor gør sig gældende</t>
  </si>
  <si>
    <t>10. Placering i den samlede europæiske kvalifikationsrangering</t>
  </si>
  <si>
    <t>Hvis der vises en rød prik over gruppenavnet, er rækkefølgen i gruppen ikke klar. Fair play eller den samlede europæiske kvalifikationsrangering afgør derefter. I dette tilfælde skal du indtaste Fair Play!</t>
  </si>
  <si>
    <t>Forudsigelser</t>
  </si>
  <si>
    <t>Korrekte resultater</t>
  </si>
  <si>
    <t>Resultat</t>
  </si>
  <si>
    <t>resultat</t>
  </si>
  <si>
    <t>B/D/L</t>
  </si>
  <si>
    <t>eksakt</t>
  </si>
  <si>
    <t>hold</t>
  </si>
  <si>
    <t>16. runde</t>
  </si>
  <si>
    <t>Kvartfinale</t>
  </si>
  <si>
    <t>Semifinale</t>
  </si>
  <si>
    <t>Verdensmester</t>
  </si>
  <si>
    <t>Antydning</t>
  </si>
  <si>
    <t>Faktorer</t>
  </si>
  <si>
    <t>Indstillinger</t>
  </si>
  <si>
    <t>mange g.</t>
  </si>
  <si>
    <t>Vundet/uafgjort/tabt:</t>
  </si>
  <si>
    <t>målforskel:</t>
  </si>
  <si>
    <t>Mange mål - god tilnærmelse</t>
  </si>
  <si>
    <t>mål nøjagtige:</t>
  </si>
  <si>
    <t>korrekt hold (knockout fase):</t>
  </si>
  <si>
    <t>For at tilføje ti personer mere, skal du vælge kolonnerne HI til MG og kopiere dem til højre. Færdig.
(Fjern arkbeskyttelse!)</t>
  </si>
  <si>
    <t>For at forudsige holdene i KO-runden skal du indtaste holdnumrene i de gule felter.</t>
  </si>
  <si>
    <t>Faktorerne for de enkelte kategorier og andre forudindstillinger kan vælges på arbejdsarket 'PrSettings'.</t>
  </si>
  <si>
    <t>Adgang til fil</t>
  </si>
  <si>
    <t>Arbejdsark</t>
  </si>
  <si>
    <t>Endelig vinder:</t>
  </si>
  <si>
    <t>Point for målforskel i tilfælde af uafgjort:</t>
  </si>
  <si>
    <t>Ja</t>
  </si>
  <si>
    <t>ingen</t>
  </si>
  <si>
    <t>Minimum antal for 'Mange mål' i tilfælde af uafgjort:</t>
  </si>
  <si>
    <t>Minimum antal for en stor målforskel:</t>
  </si>
  <si>
    <t>Skal der gives point for målforskel i tilfælde af uafgjort?
Mange er vant til det. Men af ??logiske årsager er disse gratispoint, fordi målforskellen i dette tilfælde automatisk er korrekt. I indstillingerne ovenfor kan du derfor vælge 'ja' eller 'nej'.</t>
  </si>
  <si>
    <t>Minimum antal for en stor sum af mål:</t>
  </si>
  <si>
    <t>I ottendedelsfinalerne, kvartfinalerne og semifinalerne forudsiges resultatet uden straffesparkskonkurrence. En uafgjort kan også indgå. I finalen og tredjepladsen skal den samlede score (inklusive straffesparkskonkurrencer) indtastes.</t>
  </si>
  <si>
    <t>Dagligt skema</t>
  </si>
  <si>
    <t>Match nr.</t>
  </si>
  <si>
    <t>Hold</t>
  </si>
  <si>
    <t>Tid</t>
  </si>
  <si>
    <t>Hold 1</t>
  </si>
  <si>
    <t>Hold 2</t>
  </si>
  <si>
    <t>8-delsfinale</t>
  </si>
  <si>
    <t>Dato</t>
  </si>
  <si>
    <t>Farvefavoritter</t>
  </si>
  <si>
    <t>Indtast gruppekoden her</t>
  </si>
  <si>
    <t>danish</t>
  </si>
  <si>
    <t>European Champion</t>
  </si>
  <si>
    <t>Campeón de Europa</t>
  </si>
  <si>
    <t>Campione Europeo</t>
  </si>
  <si>
    <t>Champion d'Europe</t>
  </si>
  <si>
    <t>Europameister</t>
  </si>
  <si>
    <t>Europees Kampioen</t>
  </si>
  <si>
    <t>Europamester</t>
  </si>
  <si>
    <t>Campeão Europeu</t>
  </si>
  <si>
    <t>Европейски шампион</t>
  </si>
  <si>
    <t>hb/vers. 1.8.4
2024-05-21</t>
  </si>
  <si>
    <t>Wer das nicht möchte, kann beim entsprechenden Faktor eine Null eintragen.
Man kann auch einzelne Optionen deaktivieren, indem man eine Mindestanzahl von 99 einträgt.</t>
  </si>
  <si>
    <t>Sind viele Tore gefallen, kann man auch Punkte für eine gute Annäherung an das Ergebnis vergeben. Es gibt 3 Fälle:</t>
  </si>
  <si>
    <t>Ако не желаете това, можете да въведете нула за съответния фактор.
Можете също така да деактивирате отделни опции, като въведете минимум 99.</t>
  </si>
  <si>
    <t>Ако са отбелязани много голове, могат да се присъждат и точки за добро приближение на резултата. Има 3 случая:</t>
  </si>
  <si>
    <t>Se não desejar isso,  poderá inserir um zero para o fator relevante.
Também pode desativar opções individuais inserindo um mínimo de 99."</t>
  </si>
  <si>
    <t>Hvis du ikke ønsker det, kan du indtaste et nul for den relevante faktor.
Du kan også deaktivere individuelle muligheder ved at indtaste minimum 99.</t>
  </si>
  <si>
    <t>Hvis der er scoret mange mål, kan der også gives point for en god tilnærmelse af resultatet. Der er 3 tilfælde:</t>
  </si>
  <si>
    <t>Om deze optie uit te zetten: kies '0' bij bovenstaande factoren, of vul '99' in waardoor de individuele opties uitgezet worden.</t>
  </si>
  <si>
    <t>Si vous ne le souhaitez pas, vous pouvez entrer un zéro pour le facteur pertinent.
Vous pouvez également désactiver des options individuelles en entrant un minimum de 99.</t>
  </si>
  <si>
    <t>Si de nombreux buts ont été marqués, des points peuvent également être attribués pour une bonne approximation du résultat. Il y a 3 cas :</t>
  </si>
  <si>
    <t>Se non lo desideri, puoi inserire uno zero per il fattore rilevante.
Puoi anche disattivare singole opzioni inserendo un minimo di 99.</t>
  </si>
  <si>
    <t>Se sono stati segnati molti gol, possono essere assegnati anche punti per una buona approssimazione del risultato. Ci sono 3 casi:</t>
  </si>
  <si>
    <t>Si no desea eso, puede ingresar un cero para el factor relevante.
También puede desactivar opciones individuales ingresando un mínimo de 99.</t>
  </si>
  <si>
    <t>Si se han marcado muchos goles, también se pueden otorgar puntos por una buena aproximación del resultado. Hay 3 casos:</t>
  </si>
  <si>
    <t>If you don't want that, you can enter a zero for the relevant factor.
You can also deactivate individual options by entering a minimum of 99.</t>
  </si>
  <si>
    <t>If many goals have been scored, points can also be awarded for a good approximation of the result. There are 3 cases:</t>
  </si>
  <si>
    <t>a) Abweichung von maximal 1 Tor bei einem Unentschieden
     z.B.  4:4  statt 5:5</t>
  </si>
  <si>
    <t>b) Abweichung von maximal 1 Tor bei der Tordifferenz
     z.B.  4:1 statt 5:1</t>
  </si>
  <si>
    <t>c) Afwijking van maximaal 1 doelpunt voor één team of voor beide teams. Een afwijking voor beide teams moet in dezelfde richting zijn,
bijvoorbeeld 5:1 in plaats van 6:2</t>
  </si>
  <si>
    <t>c) Desvio de no máximo 1 gol para uma equipe ou para ambas as equipes. Um desvio para ambas as equipes deve ser na mesma direção,
por exemplo, 5:1 em vez de 6:2</t>
  </si>
  <si>
    <t>в) Отклонение от максимум 1 гол за единия отбор или за двата отбора. Отклонението за двата отбора трябва да бъде в една и съща посока,
напр. 5:1 вместо 6:2</t>
  </si>
  <si>
    <t>a) Deviation of a maximum of 1 goal in a draw
     e.g. 4-4 instead of 5-5</t>
  </si>
  <si>
    <t>b) Deviation of a maximum of 1 goal in the goal difference
     e.g. 4-1 instead of 5-1</t>
  </si>
  <si>
    <t>c) Desviación de un máximo de 1 gol para un equipo o para ambos equipos. Una desviación para ambos equipos debe ser en la misma dirección,
por ejemplo 5-1 en lugar de 6-2</t>
  </si>
  <si>
    <t>b) Desviación de un máximo de 1 gol en la diferencia de goles
     por ejemplo 4-1 en lugar de 5-1</t>
  </si>
  <si>
    <t>a) Desviación de un máximo de 1 gol en caso de empate
     por ejemplo 4-4 en lugar de 5-5</t>
  </si>
  <si>
    <t>c) Deviazione di massimo 1 goal per una squadra o per entrambe le squadre. Una deviazione per entrambe le squadre deve essere nella stessa direzione,
ad esempio 5-1 invece di 6-2</t>
  </si>
  <si>
    <t>b) Deviazione da un massimo di 1 gol in differenza reti
     ad esempio 4-1 invece di 5-1</t>
  </si>
  <si>
    <t>a) Deviazione da un massimo di 1 goal in caso di parità
     ad esempio 4-4 invece di 5-5</t>
  </si>
  <si>
    <t>c) Déviation d'un maximum de 1 but pour une équipe ou pour les deux équipes. Une déviation pour les deux équipes doit être dans le même sens,
par exemple 5-1 au lieu de 6-2</t>
  </si>
  <si>
    <t>b) Déviation d'un maximum de 1 but dans la différence de buts
     par exemple 4-1 au lieu de 5-1</t>
  </si>
  <si>
    <t>a) Déviation d'un maximum de 1 but en cas d'égalité
     par exemple 4-4 au lieu de 5-5</t>
  </si>
  <si>
    <t>b) het verschil m.b.t. het voorspelde verschil in doelpunten is maximaal 1;
     bijvoorbeeld 4:1 in plaats van 5:1</t>
  </si>
  <si>
    <t>c) Afvigelse på maksimalt 1 mål for et hold eller for begge hold. En afvigelse for begge hold skal være i samme retning,
f.eks. 5-1 i stedet for 6-2</t>
  </si>
  <si>
    <t>b) Afvigelse fra maksimalt 1 mål i målforskel
     f.eks. 4-1 i stedet for 5-1</t>
  </si>
  <si>
    <t>a) Afvigelse fra maksimalt 1 mål i tilfælde af uafgjort
     f.eks. 4-4 i stedet for 5-5</t>
  </si>
  <si>
    <t>b) Diferença de no máximo 1 golo no saldo de golos
     por exemplo, 4:1 em vez de 5:1</t>
  </si>
  <si>
    <t>a) Diferença de no máximo 1 golo em caso de empate
     por exemplo, 4:4 em vez de 5:5</t>
  </si>
  <si>
    <t>б) Отклонение от максимум 1 гол в голова разлика
     напр. 4:1 вместо 5:1</t>
  </si>
  <si>
    <t>а) Отклонение от максимум 1 гол в случай на равенство
     напр. 4:4 вместо 5:5</t>
  </si>
  <si>
    <t>Fuso horário
do país anfitrião:</t>
  </si>
  <si>
    <t>Se foram marcados muitos golos, também podem ser atribuídos pontos para uma boa aproximação do resultado. São 3 casos:</t>
  </si>
  <si>
    <t>Em caso de empate, devem ser atribuídos pontos pelo saldo de golos?
Muitos estão acostumados com isso. Mas por razões lógicas estes são pontos grátis porque neste caso o saldo de golos é automaticamente bom. Nas configurações acima, você pode escolher 'sim' ou 'não'.</t>
  </si>
  <si>
    <t>Als er veel doelpunten zijn gescoord, kun je ook punten toekennen voor een goede benadering van het resultaat. Er zijn 3 gevallen:</t>
  </si>
  <si>
    <t>Points for goal difference in the event of a draw:</t>
  </si>
  <si>
    <t>Minimum number for 'Many Goals' in the event of a draw:</t>
  </si>
  <si>
    <t>In the event of a draw, should points be awarded for goal difference?
Many are used to it. But for logical reasons these are free points because in this case the goal difference is automatically correct. In the settings above you can therefore choose 'yes' or 'no'.</t>
  </si>
  <si>
    <t>a) Afwijking van maximaal 1 doelpunt bij gelijkspel
     bijvoorbeeld 4:4 in plaats van 5:5</t>
  </si>
  <si>
    <t>c) Abweichung von maximal 1 Tor bei einer Mannschaft oder bei beiden Mannschaften. Eine Abweichung bei beiden Mannschaften muss in dieselbe Richtung gehen,
     z.B.  5:1 statt 6:2</t>
  </si>
  <si>
    <t>c) Deviation of a maximum of 1 goal for one team or for both teams. A deviation for both teams must be in the same direction,
     e.g. 5-1 instead of 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</si>
</sst>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7]ddd/\,\ d/mm/yy"/>
    <numFmt numFmtId="165" formatCode="ddd\,\ dd/mm/yyyy\ \ \ \ \ \ hh:mm"/>
    <numFmt numFmtId="166" formatCode="ddd\,\ dd/mm/yyyy\ \ \ \ \ \ \ \ \ hh:mm"/>
    <numFmt numFmtId="167" formatCode=";;;"/>
    <numFmt numFmtId="168" formatCode="#,##0.000000"/>
    <numFmt numFmtId="169" formatCode="#,##0.0000000"/>
  </numFmts>
  <fonts count="87"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9"/>
      <color rgb="FF8C1737"/>
      <name val="Calibri"/>
      <family val="2"/>
      <scheme val="minor"/>
    </font>
    <font>
      <sz val="24"/>
      <color rgb="FF8C1737"/>
      <name val="Arial Black"/>
      <family val="2"/>
    </font>
    <font>
      <sz val="12"/>
      <color theme="1"/>
      <name val="Calibri"/>
      <family val="2"/>
      <scheme val="minor"/>
    </font>
    <font>
      <b/>
      <sz val="24"/>
      <color theme="0"/>
      <name val="Calibri"/>
      <family val="2"/>
      <scheme val="minor"/>
    </font>
    <font>
      <b/>
      <sz val="11"/>
      <color rgb="FF3762AF"/>
      <name val="Calibri"/>
      <family val="2"/>
      <scheme val="minor"/>
    </font>
    <font>
      <sz val="11"/>
      <name val="Calibri"/>
      <family val="2"/>
      <scheme val="minor"/>
    </font>
    <font>
      <b/>
      <sz val="10"/>
      <color theme="5" tint="-0.249977111117893"/>
      <name val="Calibri"/>
      <family val="2"/>
      <scheme val="minor"/>
    </font>
    <font>
      <sz val="10"/>
      <color theme="8"/>
      <name val="Calibri"/>
      <family val="2"/>
      <scheme val="minor"/>
    </font>
    <font>
      <sz val="11"/>
      <color theme="4" tint="-0.249977111117893"/>
      <name val="Calibri"/>
      <family val="2"/>
      <scheme val="minor"/>
    </font>
    <font>
      <b/>
      <sz val="11"/>
      <color rgb="FF800000"/>
      <name val="Calibri"/>
      <family val="2"/>
      <scheme val="minor"/>
    </font>
    <font>
      <sz val="11"/>
      <color theme="0" tint="-0.34998626667073579"/>
      <name val="Calibri"/>
      <family val="2"/>
      <scheme val="minor"/>
    </font>
    <font>
      <sz val="10"/>
      <color rgb="FF5786B1"/>
      <name val="Calibri"/>
      <family val="2"/>
    </font>
    <font>
      <sz val="11"/>
      <color rgb="FF5786B1"/>
      <name val="Calibri"/>
      <family val="2"/>
      <scheme val="minor"/>
    </font>
    <font>
      <sz val="10"/>
      <color theme="1"/>
      <name val="Calibri"/>
      <family val="2"/>
    </font>
    <font>
      <b/>
      <sz val="16"/>
      <color rgb="FFC00000"/>
      <name val="Calibri"/>
      <family val="2"/>
    </font>
    <font>
      <b/>
      <sz val="16"/>
      <color rgb="FFC00000"/>
      <name val="Calibri"/>
      <family val="2"/>
      <scheme val="minor"/>
    </font>
    <font>
      <sz val="10"/>
      <color theme="2" tint="-0.499984740745262"/>
      <name val="Calibri"/>
      <family val="2"/>
    </font>
    <font>
      <sz val="10"/>
      <name val="Calibri"/>
      <family val="2"/>
      <scheme val="minor"/>
    </font>
    <font>
      <b/>
      <sz val="10"/>
      <color theme="2" tint="-0.749992370372631"/>
      <name val="Calibri"/>
      <family val="2"/>
      <scheme val="minor"/>
    </font>
    <font>
      <b/>
      <sz val="12"/>
      <color theme="1" tint="0.34998626667073579"/>
      <name val="Times New Roman"/>
      <family val="1"/>
    </font>
    <font>
      <b/>
      <sz val="12"/>
      <color theme="1" tint="0.34998626667073579"/>
      <name val="Calibri"/>
      <family val="2"/>
      <scheme val="minor"/>
    </font>
    <font>
      <sz val="8"/>
      <color rgb="FF928E8E"/>
      <name val="Calibri"/>
      <family val="2"/>
      <scheme val="minor"/>
    </font>
    <font>
      <b/>
      <sz val="44"/>
      <color rgb="FFDE500A"/>
      <name val="AR CENA"/>
    </font>
    <font>
      <sz val="11"/>
      <color rgb="FFDE500A"/>
      <name val="Calibri"/>
      <family val="2"/>
      <scheme val="minor"/>
    </font>
    <font>
      <sz val="10"/>
      <color rgb="FF087094"/>
      <name val="Calibri"/>
      <family val="2"/>
    </font>
    <font>
      <b/>
      <sz val="12"/>
      <color rgb="FFDE500A"/>
      <name val="Calibri"/>
      <family val="2"/>
      <scheme val="minor"/>
    </font>
    <font>
      <b/>
      <sz val="16"/>
      <color rgb="FFDE500A"/>
      <name val="Arial"/>
      <family val="2"/>
    </font>
    <font>
      <sz val="24"/>
      <color rgb="FFDE500A"/>
      <name val="Arial Black"/>
      <family val="2"/>
    </font>
    <font>
      <sz val="11"/>
      <color rgb="FF087094"/>
      <name val="Calibri"/>
      <family val="2"/>
      <scheme val="minor"/>
    </font>
    <font>
      <sz val="8"/>
      <color rgb="FFC02000"/>
      <name val="Calibri"/>
      <family val="2"/>
      <scheme val="minor"/>
    </font>
    <font>
      <b/>
      <sz val="20"/>
      <color rgb="FFDE500A"/>
      <name val="Calibri"/>
      <family val="2"/>
      <scheme val="minor"/>
    </font>
    <font>
      <b/>
      <sz val="22"/>
      <color rgb="FF0D98C9"/>
      <name val="Calibri"/>
      <family val="2"/>
      <scheme val="minor"/>
    </font>
    <font>
      <b/>
      <sz val="22"/>
      <color rgb="FFDE500A"/>
      <name val="Calibri"/>
      <family val="2"/>
      <scheme val="minor"/>
    </font>
    <font>
      <b/>
      <sz val="22"/>
      <color rgb="FFED7D31"/>
      <name val="Calibri"/>
      <family val="2"/>
      <scheme val="minor"/>
    </font>
    <font>
      <b/>
      <sz val="18"/>
      <color rgb="FFED7D31"/>
      <name val="Calibri"/>
      <family val="2"/>
      <scheme val="minor"/>
    </font>
    <font>
      <b/>
      <sz val="11"/>
      <color theme="1" tint="0.34998626667073579"/>
      <name val="Calibri"/>
      <family val="2"/>
      <scheme val="minor"/>
    </font>
    <font>
      <b/>
      <sz val="16"/>
      <color rgb="FFED7D31"/>
      <name val="Calibri"/>
      <family val="2"/>
      <scheme val="minor"/>
    </font>
    <font>
      <b/>
      <sz val="22"/>
      <color theme="8"/>
      <name val="Calibri"/>
      <family val="2"/>
      <scheme val="minor"/>
    </font>
    <font>
      <b/>
      <sz val="17"/>
      <color rgb="FFED7D31"/>
      <name val="Calibri"/>
      <family val="2"/>
    </font>
    <font>
      <sz val="11"/>
      <color theme="1" tint="0.34998626667073579"/>
      <name val="Calibri"/>
      <family val="2"/>
      <scheme val="minor"/>
    </font>
    <font>
      <sz val="7"/>
      <color theme="1"/>
      <name val="Calibri"/>
      <family val="2"/>
      <scheme val="minor"/>
    </font>
  </fonts>
  <fills count="2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9F9F9"/>
        <bgColor indexed="64"/>
      </patternFill>
    </fill>
    <fill>
      <patternFill patternType="solid">
        <fgColor theme="0"/>
        <bgColor indexed="64"/>
      </patternFill>
    </fill>
    <fill>
      <patternFill patternType="solid">
        <fgColor rgb="FFECECEC"/>
        <bgColor indexed="64"/>
      </patternFill>
    </fill>
    <fill>
      <patternFill patternType="solid">
        <fgColor rgb="FFEDFBC1"/>
        <bgColor indexed="64"/>
      </patternFill>
    </fill>
    <fill>
      <patternFill patternType="solid">
        <fgColor rgb="FF0D98C9"/>
        <bgColor indexed="64"/>
      </patternFill>
    </fill>
    <fill>
      <patternFill patternType="solid">
        <fgColor rgb="FFDE500A"/>
        <bgColor indexed="64"/>
      </patternFill>
    </fill>
    <fill>
      <patternFill patternType="solid">
        <fgColor rgb="FF789A0A"/>
        <bgColor indexed="64"/>
      </patternFill>
    </fill>
    <fill>
      <patternFill patternType="solid">
        <fgColor rgb="FFFEE9D6"/>
        <bgColor indexed="64"/>
      </patternFill>
    </fill>
    <fill>
      <patternFill patternType="solid">
        <fgColor rgb="FFF0FDCE"/>
        <bgColor indexed="64"/>
      </patternFill>
    </fill>
    <fill>
      <patternFill patternType="solid">
        <fgColor rgb="FFFFEEDB"/>
        <bgColor indexed="64"/>
      </patternFill>
    </fill>
    <fill>
      <patternFill patternType="solid">
        <fgColor rgb="FFFDEFE7"/>
        <bgColor indexed="64"/>
      </patternFill>
    </fill>
    <fill>
      <patternFill patternType="solid">
        <fgColor rgb="FFFEF6E8"/>
        <bgColor indexed="64"/>
      </patternFill>
    </fill>
    <fill>
      <patternFill patternType="solid">
        <fgColor rgb="FFF2F2F2"/>
        <bgColor indexed="64"/>
      </patternFill>
    </fill>
  </fills>
  <borders count="238">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n">
        <color theme="0" tint="-0.24994659260841701"/>
      </left>
      <right/>
      <top/>
      <bottom style="thick">
        <color theme="0" tint="-0.14996795556505021"/>
      </bottom>
      <diagonal/>
    </border>
    <border>
      <left style="thick">
        <color theme="0" tint="-0.14993743705557422"/>
      </left>
      <right/>
      <top/>
      <bottom/>
      <diagonal/>
    </border>
    <border>
      <left/>
      <right style="medium">
        <color theme="7"/>
      </right>
      <top/>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medium">
        <color theme="0" tint="-0.24994659260841701"/>
      </left>
      <right style="thick">
        <color theme="0" tint="-0.14993743705557422"/>
      </right>
      <top style="thin">
        <color theme="0" tint="-0.24994659260841701"/>
      </top>
      <bottom style="thick">
        <color theme="0" tint="-0.1499679555650502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right/>
      <top style="thin">
        <color theme="2" tint="-0.24994659260841701"/>
      </top>
      <bottom style="thin">
        <color theme="2" tint="-0.24994659260841701"/>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0" tint="-0.24994659260841701"/>
      </left>
      <right/>
      <top style="thin">
        <color theme="0" tint="-0.24994659260841701"/>
      </top>
      <bottom style="thick">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ck">
        <color theme="4" tint="-0.24994659260841701"/>
      </left>
      <right style="medium">
        <color theme="2" tint="-0.24994659260841701"/>
      </right>
      <top style="thick">
        <color theme="4" tint="-0.24994659260841701"/>
      </top>
      <bottom/>
      <diagonal/>
    </border>
    <border>
      <left style="thick">
        <color theme="4" tint="-0.24994659260841701"/>
      </left>
      <right style="medium">
        <color theme="2" tint="-0.24994659260841701"/>
      </right>
      <top/>
      <bottom/>
      <diagonal/>
    </border>
    <border>
      <left style="thick">
        <color theme="4" tint="-0.24994659260841701"/>
      </left>
      <right style="medium">
        <color theme="2" tint="-0.24994659260841701"/>
      </right>
      <top/>
      <bottom style="medium">
        <color theme="4" tint="-0.24994659260841701"/>
      </bottom>
      <diagonal/>
    </border>
    <border>
      <left style="thick">
        <color theme="4" tint="-0.24994659260841701"/>
      </left>
      <right style="medium">
        <color theme="2" tint="-0.24994659260841701"/>
      </right>
      <top/>
      <bottom style="thin">
        <color theme="2" tint="-9.9948118533890809E-2"/>
      </bottom>
      <diagonal/>
    </border>
    <border>
      <left style="thick">
        <color theme="4" tint="-0.24994659260841701"/>
      </left>
      <right style="medium">
        <color theme="2" tint="-0.24994659260841701"/>
      </right>
      <top style="thin">
        <color theme="2" tint="-9.9948118533890809E-2"/>
      </top>
      <bottom style="thick">
        <color theme="4" tint="-0.24994659260841701"/>
      </bottom>
      <diagonal/>
    </border>
    <border>
      <left style="medium">
        <color theme="2" tint="-0.24994659260841701"/>
      </left>
      <right style="thin">
        <color theme="2" tint="-0.24994659260841701"/>
      </right>
      <top style="thick">
        <color theme="4" tint="-0.24994659260841701"/>
      </top>
      <bottom/>
      <diagonal/>
    </border>
    <border>
      <left style="thin">
        <color theme="2" tint="-0.24994659260841701"/>
      </left>
      <right style="thin">
        <color theme="2" tint="-0.24994659260841701"/>
      </right>
      <top style="thick">
        <color theme="4" tint="-0.24994659260841701"/>
      </top>
      <bottom/>
      <diagonal/>
    </border>
    <border>
      <left style="thin">
        <color theme="2" tint="-0.24994659260841701"/>
      </left>
      <right style="thick">
        <color theme="4" tint="-0.24994659260841701"/>
      </right>
      <top style="thick">
        <color theme="4" tint="-0.24994659260841701"/>
      </top>
      <bottom/>
      <diagonal/>
    </border>
    <border>
      <left style="medium">
        <color theme="2" tint="-0.24994659260841701"/>
      </left>
      <right style="thin">
        <color theme="2" tint="-0.24994659260841701"/>
      </right>
      <top/>
      <bottom/>
      <diagonal/>
    </border>
    <border>
      <left style="thin">
        <color theme="2" tint="-0.24994659260841701"/>
      </left>
      <right style="thin">
        <color theme="2" tint="-0.24994659260841701"/>
      </right>
      <top/>
      <bottom/>
      <diagonal/>
    </border>
    <border>
      <left style="thin">
        <color theme="2" tint="-0.24994659260841701"/>
      </left>
      <right style="thick">
        <color theme="4" tint="-0.24994659260841701"/>
      </right>
      <top/>
      <bottom/>
      <diagonal/>
    </border>
    <border>
      <left style="medium">
        <color theme="2" tint="-0.24994659260841701"/>
      </left>
      <right style="thin">
        <color theme="2" tint="-0.24994659260841701"/>
      </right>
      <top/>
      <bottom style="medium">
        <color theme="4" tint="-0.24994659260841701"/>
      </bottom>
      <diagonal/>
    </border>
    <border>
      <left style="thin">
        <color theme="2" tint="-0.24994659260841701"/>
      </left>
      <right style="thin">
        <color theme="2" tint="-0.24994659260841701"/>
      </right>
      <top/>
      <bottom style="medium">
        <color theme="4" tint="-0.24994659260841701"/>
      </bottom>
      <diagonal/>
    </border>
    <border>
      <left style="thin">
        <color theme="2" tint="-0.24994659260841701"/>
      </left>
      <right style="thick">
        <color theme="4" tint="-0.24994659260841701"/>
      </right>
      <top/>
      <bottom style="medium">
        <color theme="4" tint="-0.24994659260841701"/>
      </bottom>
      <diagonal/>
    </border>
    <border>
      <left style="medium">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bottom style="thin">
        <color theme="2" tint="-9.9948118533890809E-2"/>
      </bottom>
      <diagonal/>
    </border>
    <border>
      <left style="thin">
        <color theme="2" tint="-0.24994659260841701"/>
      </left>
      <right style="thick">
        <color theme="4" tint="-0.24994659260841701"/>
      </right>
      <top/>
      <bottom style="thin">
        <color theme="2" tint="-9.9948118533890809E-2"/>
      </bottom>
      <diagonal/>
    </border>
    <border>
      <left style="medium">
        <color theme="2" tint="-0.24994659260841701"/>
      </left>
      <right style="thin">
        <color theme="2" tint="-0.24994659260841701"/>
      </right>
      <top style="thin">
        <color theme="2" tint="-9.9948118533890809E-2"/>
      </top>
      <bottom style="thick">
        <color theme="4" tint="-0.24994659260841701"/>
      </bottom>
      <diagonal/>
    </border>
    <border>
      <left style="thin">
        <color theme="2" tint="-0.24994659260841701"/>
      </left>
      <right style="thin">
        <color theme="2" tint="-0.24994659260841701"/>
      </right>
      <top style="thin">
        <color theme="2" tint="-9.9948118533890809E-2"/>
      </top>
      <bottom style="thick">
        <color theme="4" tint="-0.24994659260841701"/>
      </bottom>
      <diagonal/>
    </border>
    <border>
      <left style="thin">
        <color theme="2" tint="-0.24994659260841701"/>
      </left>
      <right style="thick">
        <color theme="4" tint="-0.24994659260841701"/>
      </right>
      <top style="thin">
        <color theme="2" tint="-9.9948118533890809E-2"/>
      </top>
      <bottom style="thick">
        <color theme="4" tint="-0.24994659260841701"/>
      </bottom>
      <diagonal/>
    </border>
    <border>
      <left/>
      <right/>
      <top style="thick">
        <color theme="7"/>
      </top>
      <bottom style="thin">
        <color theme="2" tint="-0.24994659260841701"/>
      </bottom>
      <diagonal/>
    </border>
    <border>
      <left/>
      <right style="thick">
        <color theme="7"/>
      </right>
      <top style="thick">
        <color theme="7"/>
      </top>
      <bottom style="thin">
        <color theme="2" tint="-0.24994659260841701"/>
      </bottom>
      <diagonal/>
    </border>
    <border>
      <left/>
      <right style="thick">
        <color theme="7"/>
      </right>
      <top style="thin">
        <color theme="2" tint="-0.24994659260841701"/>
      </top>
      <bottom style="thin">
        <color theme="2" tint="-0.24994659260841701"/>
      </bottom>
      <diagonal/>
    </border>
    <border>
      <left/>
      <right/>
      <top style="thin">
        <color theme="2" tint="-0.24994659260841701"/>
      </top>
      <bottom style="thick">
        <color theme="7"/>
      </bottom>
      <diagonal/>
    </border>
    <border>
      <left/>
      <right style="thick">
        <color theme="7"/>
      </right>
      <top style="thin">
        <color theme="2" tint="-0.24994659260841701"/>
      </top>
      <bottom style="thick">
        <color theme="7"/>
      </bottom>
      <diagonal/>
    </border>
    <border>
      <left style="thick">
        <color theme="7"/>
      </left>
      <right style="thin">
        <color theme="2" tint="-0.24994659260841701"/>
      </right>
      <top style="thick">
        <color theme="7"/>
      </top>
      <bottom style="thin">
        <color theme="2" tint="-0.24994659260841701"/>
      </bottom>
      <diagonal/>
    </border>
    <border>
      <left style="thin">
        <color theme="2" tint="-0.24994659260841701"/>
      </left>
      <right style="thin">
        <color theme="2" tint="-0.24994659260841701"/>
      </right>
      <top style="thick">
        <color theme="7"/>
      </top>
      <bottom style="thin">
        <color theme="2" tint="-0.24994659260841701"/>
      </bottom>
      <diagonal/>
    </border>
    <border>
      <left style="thin">
        <color theme="2" tint="-0.24994659260841701"/>
      </left>
      <right style="thick">
        <color theme="7"/>
      </right>
      <top style="thick">
        <color theme="7"/>
      </top>
      <bottom style="thin">
        <color theme="2" tint="-0.24994659260841701"/>
      </bottom>
      <diagonal/>
    </border>
    <border>
      <left style="thick">
        <color theme="7"/>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7"/>
      </right>
      <top style="thin">
        <color theme="2" tint="-0.24994659260841701"/>
      </top>
      <bottom style="thin">
        <color theme="2" tint="-0.24994659260841701"/>
      </bottom>
      <diagonal/>
    </border>
    <border>
      <left style="thick">
        <color theme="7"/>
      </left>
      <right style="thin">
        <color theme="2" tint="-0.24994659260841701"/>
      </right>
      <top style="thin">
        <color theme="2" tint="-0.24994659260841701"/>
      </top>
      <bottom style="thick">
        <color theme="7"/>
      </bottom>
      <diagonal/>
    </border>
    <border>
      <left style="thin">
        <color theme="2" tint="-0.24994659260841701"/>
      </left>
      <right style="thin">
        <color theme="2" tint="-0.24994659260841701"/>
      </right>
      <top style="thin">
        <color theme="2" tint="-0.24994659260841701"/>
      </top>
      <bottom style="thick">
        <color theme="7"/>
      </bottom>
      <diagonal/>
    </border>
    <border>
      <left style="thin">
        <color theme="2" tint="-0.24994659260841701"/>
      </left>
      <right style="thick">
        <color theme="7"/>
      </right>
      <top style="thin">
        <color theme="2" tint="-0.24994659260841701"/>
      </top>
      <bottom style="thick">
        <color theme="7"/>
      </bottom>
      <diagonal/>
    </border>
    <border>
      <left style="thin">
        <color theme="2" tint="-0.24994659260841701"/>
      </left>
      <right/>
      <top style="thick">
        <color theme="7"/>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top style="thin">
        <color theme="2" tint="-0.24994659260841701"/>
      </top>
      <bottom style="thick">
        <color theme="7"/>
      </bottom>
      <diagonal/>
    </border>
    <border>
      <left/>
      <right style="thin">
        <color theme="2" tint="-0.24994659260841701"/>
      </right>
      <top style="thick">
        <color theme="7"/>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thin">
        <color theme="2" tint="-0.499984740745262"/>
      </left>
      <right style="thin">
        <color theme="2" tint="-0.499984740745262"/>
      </right>
      <top style="thin">
        <color theme="1" tint="0.499984740745262"/>
      </top>
      <bottom style="thin">
        <color theme="1" tint="0.499984740745262"/>
      </bottom>
      <diagonal/>
    </border>
    <border>
      <left style="thin">
        <color rgb="FFFCC99A"/>
      </left>
      <right/>
      <top style="thin">
        <color rgb="FFFCC99A"/>
      </top>
      <bottom/>
      <diagonal/>
    </border>
    <border>
      <left/>
      <right style="thin">
        <color rgb="FFFCC99A"/>
      </right>
      <top style="thin">
        <color rgb="FFFCC99A"/>
      </top>
      <bottom/>
      <diagonal/>
    </border>
    <border>
      <left style="thin">
        <color rgb="FFFCC99A"/>
      </left>
      <right/>
      <top/>
      <bottom/>
      <diagonal/>
    </border>
    <border>
      <left/>
      <right style="thin">
        <color rgb="FFFCC99A"/>
      </right>
      <top/>
      <bottom/>
      <diagonal/>
    </border>
    <border>
      <left style="thin">
        <color rgb="FFFCC99A"/>
      </left>
      <right/>
      <top/>
      <bottom style="thin">
        <color rgb="FFFCC99A"/>
      </bottom>
      <diagonal/>
    </border>
    <border>
      <left/>
      <right style="thin">
        <color rgb="FFFCC99A"/>
      </right>
      <top/>
      <bottom style="thin">
        <color rgb="FFFCC99A"/>
      </bottom>
      <diagonal/>
    </border>
    <border>
      <left style="medium">
        <color theme="1" tint="0.499984740745262"/>
      </left>
      <right/>
      <top/>
      <bottom/>
      <diagonal/>
    </border>
    <border>
      <left style="medium">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medium">
        <color theme="2" tint="-0.499984740745262"/>
      </right>
      <top style="thin">
        <color theme="2" tint="-9.9948118533890809E-2"/>
      </top>
      <bottom style="thin">
        <color theme="2" tint="-9.9948118533890809E-2"/>
      </bottom>
      <diagonal/>
    </border>
    <border>
      <left style="medium">
        <color theme="2" tint="-0.499984740745262"/>
      </left>
      <right style="thin">
        <color theme="2" tint="-0.499984740745262"/>
      </right>
      <top style="thin">
        <color theme="2" tint="-9.9948118533890809E-2"/>
      </top>
      <bottom style="medium">
        <color theme="2" tint="-0.499984740745262"/>
      </bottom>
      <diagonal/>
    </border>
    <border>
      <left style="thin">
        <color theme="2" tint="-0.499984740745262"/>
      </left>
      <right style="medium">
        <color theme="2" tint="-0.499984740745262"/>
      </right>
      <top style="thin">
        <color theme="2" tint="-9.9948118533890809E-2"/>
      </top>
      <bottom style="medium">
        <color theme="2" tint="-0.499984740745262"/>
      </bottom>
      <diagonal/>
    </border>
    <border>
      <left style="medium">
        <color theme="2" tint="-0.499984740745262"/>
      </left>
      <right style="thin">
        <color theme="2" tint="-0.499984740745262"/>
      </right>
      <top/>
      <bottom style="thin">
        <color theme="2" tint="-9.9948118533890809E-2"/>
      </bottom>
      <diagonal/>
    </border>
    <border>
      <left style="thin">
        <color theme="2" tint="-0.499984740745262"/>
      </left>
      <right style="medium">
        <color theme="2" tint="-0.499984740745262"/>
      </right>
      <top/>
      <bottom style="thin">
        <color theme="2" tint="-9.9948118533890809E-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thin">
        <color theme="2" tint="-0.499984740745262"/>
      </right>
      <top style="thin">
        <color theme="2" tint="-9.9948118533890809E-2"/>
      </top>
      <bottom style="medium">
        <color theme="2" tint="-0.499984740745262"/>
      </bottom>
      <diagonal/>
    </border>
    <border>
      <left style="thin">
        <color theme="2" tint="-0.499984740745262"/>
      </left>
      <right style="thin">
        <color theme="2" tint="-0.499984740745262"/>
      </right>
      <top/>
      <bottom style="thin">
        <color theme="2" tint="-9.9948118533890809E-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right/>
      <top style="thin">
        <color theme="0" tint="-0.14996795556505021"/>
      </top>
      <bottom/>
      <diagonal/>
    </border>
    <border>
      <left/>
      <right/>
      <top style="thin">
        <color theme="2" tint="-9.9948118533890809E-2"/>
      </top>
      <bottom style="thin">
        <color theme="0" tint="-0.14996795556505021"/>
      </bottom>
      <diagonal/>
    </border>
    <border>
      <left style="thin">
        <color theme="2" tint="-0.24994659260841701"/>
      </left>
      <right style="thin">
        <color theme="2" tint="-0.24994659260841701"/>
      </right>
      <top style="thin">
        <color theme="2" tint="-0.24994659260841701"/>
      </top>
      <bottom style="thick">
        <color theme="4" tint="-0.24994659260841701"/>
      </bottom>
      <diagonal/>
    </border>
    <border>
      <left style="thick">
        <color rgb="FFD8D8D8"/>
      </left>
      <right style="thick">
        <color rgb="FF5B9BD5"/>
      </right>
      <top style="medium">
        <color rgb="FFD8D8D8"/>
      </top>
      <bottom style="medium">
        <color rgb="FFD8D8D8"/>
      </bottom>
      <diagonal/>
    </border>
    <border>
      <left style="thick">
        <color rgb="FFD8D8D8"/>
      </left>
      <right style="thick">
        <color rgb="FF5B9BD5"/>
      </right>
      <top/>
      <bottom style="medium">
        <color rgb="FFD8D8D8"/>
      </bottom>
      <diagonal/>
    </border>
    <border>
      <left style="medium">
        <color theme="0" tint="-0.14993743705557422"/>
      </left>
      <right style="medium">
        <color theme="0" tint="-0.14990691854609822"/>
      </right>
      <top style="thin">
        <color theme="0" tint="-0.14996795556505021"/>
      </top>
      <bottom style="thin">
        <color theme="0" tint="-0.14996795556505021"/>
      </bottom>
      <diagonal/>
    </border>
    <border>
      <left style="medium">
        <color theme="0" tint="-0.14990691854609822"/>
      </left>
      <right style="medium">
        <color theme="0" tint="-0.14993743705557422"/>
      </right>
      <top style="thin">
        <color theme="0" tint="-0.14996795556505021"/>
      </top>
      <bottom style="thin">
        <color theme="0" tint="-0.14996795556505021"/>
      </bottom>
      <diagonal/>
    </border>
    <border>
      <left/>
      <right style="medium">
        <color theme="0" tint="-0.14993743705557422"/>
      </right>
      <top style="thin">
        <color theme="0" tint="-0.14996795556505021"/>
      </top>
      <bottom style="thin">
        <color theme="0" tint="-0.14996795556505021"/>
      </bottom>
      <diagonal/>
    </border>
    <border>
      <left style="medium">
        <color theme="0" tint="-0.14993743705557422"/>
      </left>
      <right/>
      <top style="thin">
        <color theme="0" tint="-0.14996795556505021"/>
      </top>
      <bottom style="thin">
        <color theme="0" tint="-0.14996795556505021"/>
      </bottom>
      <diagonal/>
    </border>
    <border>
      <left style="medium">
        <color theme="0" tint="-0.14993743705557422"/>
      </left>
      <right/>
      <top/>
      <bottom/>
      <diagonal/>
    </border>
    <border>
      <left/>
      <right style="medium">
        <color theme="0" tint="-0.14993743705557422"/>
      </right>
      <top style="thin">
        <color theme="0" tint="-0.14996795556505021"/>
      </top>
      <bottom/>
      <diagonal/>
    </border>
    <border>
      <left/>
      <right style="medium">
        <color theme="0" tint="-0.14993743705557422"/>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style="medium">
        <color theme="0" tint="-0.14993743705557422"/>
      </left>
      <right style="medium">
        <color theme="0" tint="-0.14990691854609822"/>
      </right>
      <top style="thin">
        <color theme="0" tint="-0.14996795556505021"/>
      </top>
      <bottom/>
      <diagonal/>
    </border>
    <border>
      <left style="medium">
        <color theme="0" tint="-0.14990691854609822"/>
      </left>
      <right style="medium">
        <color theme="0" tint="-0.14993743705557422"/>
      </right>
      <top style="thin">
        <color theme="0" tint="-0.14996795556505021"/>
      </top>
      <bottom/>
      <diagonal/>
    </border>
    <border>
      <left style="medium">
        <color theme="0" tint="-0.14993743705557422"/>
      </left>
      <right style="medium">
        <color theme="0" tint="-0.14990691854609822"/>
      </right>
      <top style="thin">
        <color theme="2" tint="-9.9948118533890809E-2"/>
      </top>
      <bottom style="thin">
        <color theme="0" tint="-0.14996795556505021"/>
      </bottom>
      <diagonal/>
    </border>
    <border>
      <left style="medium">
        <color theme="0" tint="-0.14990691854609822"/>
      </left>
      <right style="medium">
        <color theme="0" tint="-0.14993743705557422"/>
      </right>
      <top style="thin">
        <color theme="2" tint="-9.9948118533890809E-2"/>
      </top>
      <bottom style="thin">
        <color theme="0" tint="-0.14996795556505021"/>
      </bottom>
      <diagonal/>
    </border>
    <border>
      <left style="medium">
        <color theme="0" tint="-0.14993743705557422"/>
      </left>
      <right style="medium">
        <color theme="0" tint="-0.14990691854609822"/>
      </right>
      <top style="thin">
        <color theme="0" tint="-0.14996795556505021"/>
      </top>
      <bottom style="thick">
        <color theme="4"/>
      </bottom>
      <diagonal/>
    </border>
    <border>
      <left style="medium">
        <color theme="0" tint="-0.14990691854609822"/>
      </left>
      <right style="medium">
        <color theme="0" tint="-0.14993743705557422"/>
      </right>
      <top style="thin">
        <color theme="0" tint="-0.14996795556505021"/>
      </top>
      <bottom style="thick">
        <color theme="4"/>
      </bottom>
      <diagonal/>
    </border>
  </borders>
  <cellStyleXfs count="2">
    <xf numFmtId="0" fontId="0" fillId="0" borderId="0"/>
    <xf numFmtId="0" fontId="34" fillId="0" borderId="0" applyNumberFormat="0" applyFill="0" applyBorder="0" applyAlignment="0" applyProtection="0"/>
  </cellStyleXfs>
  <cellXfs count="574">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13" fillId="0" borderId="0" xfId="0" applyFont="1" applyAlignment="1">
      <alignment horizontal="center" vertical="center"/>
    </xf>
    <xf numFmtId="0" fontId="0" fillId="0" borderId="0" xfId="0" applyAlignment="1">
      <alignment horizontal="left"/>
    </xf>
    <xf numFmtId="164" fontId="7" fillId="0" borderId="5" xfId="0" applyNumberFormat="1" applyFont="1" applyBorder="1" applyAlignment="1">
      <alignment horizont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0" fillId="0" borderId="0" xfId="0" applyFont="1"/>
    <xf numFmtId="0" fontId="11" fillId="0" borderId="0" xfId="0" applyFont="1" applyAlignment="1">
      <alignment horizontal="center" vertical="center"/>
    </xf>
    <xf numFmtId="0" fontId="0" fillId="0" borderId="14" xfId="0" applyBorder="1"/>
    <xf numFmtId="0" fontId="0" fillId="0" borderId="15" xfId="0" applyBorder="1"/>
    <xf numFmtId="0" fontId="11" fillId="0" borderId="0" xfId="0" applyFont="1"/>
    <xf numFmtId="0" fontId="12" fillId="0" borderId="0" xfId="0" applyFont="1"/>
    <xf numFmtId="0" fontId="7" fillId="0" borderId="0" xfId="0" applyFont="1"/>
    <xf numFmtId="164" fontId="7" fillId="0" borderId="0" xfId="0" applyNumberFormat="1" applyFont="1" applyAlignment="1">
      <alignment horizontal="center"/>
    </xf>
    <xf numFmtId="0" fontId="8" fillId="0" borderId="0" xfId="0" applyFont="1" applyAlignment="1">
      <alignment horizontal="center" vertical="center"/>
    </xf>
    <xf numFmtId="0" fontId="5" fillId="0" borderId="0" xfId="0" applyFont="1" applyAlignment="1">
      <alignment horizontal="center"/>
    </xf>
    <xf numFmtId="0" fontId="12"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49" fontId="21" fillId="0" borderId="0" xfId="0" applyNumberFormat="1" applyFont="1" applyAlignment="1">
      <alignment horizontal="center" vertical="center"/>
    </xf>
    <xf numFmtId="0" fontId="0" fillId="0" borderId="0" xfId="0" applyProtection="1">
      <protection locked="0"/>
    </xf>
    <xf numFmtId="0" fontId="0" fillId="0" borderId="0" xfId="0" applyAlignment="1">
      <alignment horizontal="center"/>
    </xf>
    <xf numFmtId="0" fontId="7" fillId="0" borderId="19" xfId="0" applyFont="1" applyBorder="1"/>
    <xf numFmtId="0" fontId="9" fillId="0" borderId="0" xfId="0" applyFont="1" applyAlignment="1">
      <alignment horizontal="center" vertical="center"/>
    </xf>
    <xf numFmtId="0" fontId="24" fillId="0" borderId="0" xfId="0" applyFont="1"/>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29" xfId="0" applyBorder="1"/>
    <xf numFmtId="0" fontId="0" fillId="0" borderId="29" xfId="0" applyBorder="1" applyAlignment="1">
      <alignment horizontal="center"/>
    </xf>
    <xf numFmtId="0" fontId="27" fillId="0" borderId="0" xfId="0" applyFont="1" applyAlignment="1">
      <alignment horizontal="center"/>
    </xf>
    <xf numFmtId="0" fontId="28" fillId="0" borderId="0" xfId="0" applyFont="1"/>
    <xf numFmtId="0" fontId="0" fillId="0" borderId="17" xfId="0" applyBorder="1" applyAlignment="1">
      <alignment horizontal="right" indent="1"/>
    </xf>
    <xf numFmtId="0" fontId="0" fillId="0" borderId="19" xfId="0" applyBorder="1" applyAlignment="1">
      <alignment horizontal="right" indent="1"/>
    </xf>
    <xf numFmtId="0" fontId="22" fillId="0" borderId="30" xfId="0" applyFont="1" applyBorder="1" applyAlignment="1">
      <alignment horizontal="center"/>
    </xf>
    <xf numFmtId="0" fontId="0" fillId="0" borderId="0" xfId="0" applyAlignment="1">
      <alignment horizontal="right" indent="1"/>
    </xf>
    <xf numFmtId="0" fontId="25"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5"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6" fillId="0" borderId="0" xfId="0" applyFont="1" applyAlignment="1">
      <alignment horizontal="center"/>
    </xf>
    <xf numFmtId="0" fontId="8" fillId="12" borderId="5" xfId="0" applyFont="1" applyFill="1" applyBorder="1" applyAlignment="1">
      <alignment horizontal="center" vertical="center"/>
    </xf>
    <xf numFmtId="0" fontId="8" fillId="12" borderId="6" xfId="0" applyFont="1" applyFill="1" applyBorder="1" applyAlignment="1">
      <alignment horizontal="center" vertical="center"/>
    </xf>
    <xf numFmtId="0" fontId="25"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36" fillId="0" borderId="0" xfId="0" applyFont="1"/>
    <xf numFmtId="0" fontId="3" fillId="5" borderId="43" xfId="0" applyFont="1" applyFill="1" applyBorder="1" applyAlignment="1" applyProtection="1">
      <alignment horizontal="center" vertical="center"/>
      <protection locked="0"/>
    </xf>
    <xf numFmtId="0" fontId="0" fillId="0" borderId="0" xfId="0" applyAlignment="1">
      <alignment horizontal="left" indent="1"/>
    </xf>
    <xf numFmtId="0" fontId="0" fillId="0" borderId="50" xfId="0" applyBorder="1" applyAlignment="1">
      <alignment horizontal="left" indent="1"/>
    </xf>
    <xf numFmtId="0" fontId="0" fillId="7" borderId="0" xfId="0" applyFill="1" applyAlignment="1">
      <alignment horizontal="right" indent="2"/>
    </xf>
    <xf numFmtId="0" fontId="0" fillId="7" borderId="51" xfId="0" applyFill="1" applyBorder="1" applyAlignment="1">
      <alignment horizontal="left" indent="1"/>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37" fillId="0" borderId="0" xfId="0" applyFont="1" applyAlignment="1">
      <alignment horizontal="center"/>
    </xf>
    <xf numFmtId="0" fontId="0" fillId="6" borderId="55" xfId="0" applyFill="1" applyBorder="1" applyAlignment="1">
      <alignment horizontal="center"/>
    </xf>
    <xf numFmtId="0" fontId="0" fillId="3" borderId="0" xfId="0" applyFill="1" applyAlignment="1">
      <alignment horizontal="left"/>
    </xf>
    <xf numFmtId="0" fontId="0" fillId="3" borderId="20" xfId="0" applyFill="1" applyBorder="1"/>
    <xf numFmtId="0" fontId="22" fillId="0" borderId="0" xfId="0" applyFont="1"/>
    <xf numFmtId="0" fontId="22" fillId="0" borderId="0" xfId="0" applyFont="1" applyAlignment="1">
      <alignment horizontal="center"/>
    </xf>
    <xf numFmtId="0" fontId="17" fillId="0" borderId="0" xfId="0" applyFont="1" applyAlignment="1">
      <alignment vertical="center"/>
    </xf>
    <xf numFmtId="0" fontId="20" fillId="0" borderId="0" xfId="0" applyFont="1" applyAlignment="1">
      <alignment vertical="center"/>
    </xf>
    <xf numFmtId="0" fontId="30" fillId="0" borderId="0" xfId="0" applyFont="1"/>
    <xf numFmtId="0" fontId="26" fillId="0" borderId="0" xfId="0" applyFont="1"/>
    <xf numFmtId="0" fontId="5" fillId="0" borderId="0" xfId="0" applyFont="1"/>
    <xf numFmtId="0" fontId="35" fillId="0" borderId="0" xfId="0" applyFont="1" applyAlignment="1">
      <alignment horizontal="center"/>
    </xf>
    <xf numFmtId="0" fontId="38" fillId="0" borderId="0" xfId="0" applyFont="1" applyAlignment="1">
      <alignment horizontal="left" vertical="center"/>
    </xf>
    <xf numFmtId="0" fontId="13" fillId="0" borderId="0" xfId="0" applyFont="1" applyAlignment="1">
      <alignment horizontal="center" vertical="top"/>
    </xf>
    <xf numFmtId="0" fontId="0" fillId="0" borderId="0" xfId="0" applyAlignment="1">
      <alignment vertical="top"/>
    </xf>
    <xf numFmtId="0" fontId="31" fillId="0" borderId="0" xfId="0" applyFont="1"/>
    <xf numFmtId="0" fontId="12" fillId="0" borderId="0" xfId="0" applyFont="1" applyAlignment="1">
      <alignment vertical="top"/>
    </xf>
    <xf numFmtId="0" fontId="41" fillId="5" borderId="19" xfId="0" applyFont="1" applyFill="1" applyBorder="1" applyAlignment="1" applyProtection="1">
      <alignment horizontal="center"/>
      <protection locked="0"/>
    </xf>
    <xf numFmtId="0" fontId="41" fillId="5" borderId="17" xfId="0" applyFont="1" applyFill="1" applyBorder="1" applyAlignment="1" applyProtection="1">
      <alignment horizontal="center"/>
      <protection locked="0"/>
    </xf>
    <xf numFmtId="0" fontId="0" fillId="0" borderId="60" xfId="0" applyBorder="1" applyAlignment="1">
      <alignment horizontal="left" indent="1"/>
    </xf>
    <xf numFmtId="165" fontId="0" fillId="0" borderId="0" xfId="0" applyNumberFormat="1" applyAlignment="1">
      <alignment horizontal="right" indent="2"/>
    </xf>
    <xf numFmtId="0" fontId="4" fillId="7" borderId="61" xfId="0" applyFont="1" applyFill="1" applyBorder="1"/>
    <xf numFmtId="0" fontId="42" fillId="0" borderId="0" xfId="0" applyFont="1"/>
    <xf numFmtId="0" fontId="0" fillId="5" borderId="45" xfId="0" applyFill="1" applyBorder="1" applyAlignment="1" applyProtection="1">
      <alignment horizontal="left" indent="1"/>
      <protection locked="0"/>
    </xf>
    <xf numFmtId="0" fontId="0" fillId="5" borderId="47" xfId="0" applyFill="1" applyBorder="1" applyAlignment="1" applyProtection="1">
      <alignment horizontal="left" indent="1"/>
      <protection locked="0"/>
    </xf>
    <xf numFmtId="0" fontId="35" fillId="0" borderId="34" xfId="0" applyFont="1" applyBorder="1" applyAlignment="1">
      <alignment horizontal="left" indent="1"/>
    </xf>
    <xf numFmtId="0" fontId="0" fillId="0" borderId="35" xfId="0" applyBorder="1" applyAlignment="1">
      <alignment horizontal="left" indent="1"/>
    </xf>
    <xf numFmtId="0" fontId="0" fillId="0" borderId="56" xfId="0" applyBorder="1" applyAlignment="1">
      <alignment horizontal="left" indent="1"/>
    </xf>
    <xf numFmtId="0" fontId="14" fillId="0" borderId="0" xfId="0" applyFont="1" applyAlignment="1">
      <alignment horizontal="center" vertical="center"/>
    </xf>
    <xf numFmtId="0" fontId="14" fillId="0" borderId="0" xfId="0" applyFont="1" applyAlignment="1">
      <alignment horizontal="center" vertical="top"/>
    </xf>
    <xf numFmtId="0" fontId="44" fillId="0" borderId="0" xfId="0" applyFont="1" applyAlignment="1">
      <alignment horizontal="right"/>
    </xf>
    <xf numFmtId="0" fontId="45" fillId="0" borderId="0" xfId="0" applyFont="1" applyAlignment="1">
      <alignment horizontal="right"/>
    </xf>
    <xf numFmtId="0" fontId="4" fillId="0" borderId="0" xfId="0" applyFont="1" applyAlignment="1">
      <alignment horizontal="center"/>
    </xf>
    <xf numFmtId="0" fontId="0" fillId="3" borderId="27" xfId="0" applyFill="1" applyBorder="1"/>
    <xf numFmtId="0" fontId="0" fillId="0" borderId="25" xfId="0" applyBorder="1" applyAlignment="1">
      <alignment horizontal="center"/>
    </xf>
    <xf numFmtId="0" fontId="4" fillId="0" borderId="0" xfId="0" applyFont="1"/>
    <xf numFmtId="0" fontId="4" fillId="7" borderId="0" xfId="0" applyFont="1" applyFill="1" applyAlignment="1">
      <alignment horizontal="center"/>
    </xf>
    <xf numFmtId="0" fontId="0" fillId="0" borderId="0" xfId="0" quotePrefix="1" applyAlignment="1">
      <alignment horizontal="center"/>
    </xf>
    <xf numFmtId="0" fontId="46" fillId="0" borderId="0" xfId="0" applyFont="1"/>
    <xf numFmtId="0" fontId="20" fillId="0" borderId="0" xfId="0" applyFont="1" applyAlignment="1">
      <alignment horizontal="center" vertical="center" wrapText="1"/>
    </xf>
    <xf numFmtId="0" fontId="2" fillId="0" borderId="0" xfId="0" applyFont="1" applyAlignment="1">
      <alignment horizontal="center" vertical="center"/>
    </xf>
    <xf numFmtId="0" fontId="4" fillId="0" borderId="71" xfId="0" applyFont="1" applyBorder="1" applyAlignment="1">
      <alignment horizontal="center"/>
    </xf>
    <xf numFmtId="0" fontId="22" fillId="0" borderId="72" xfId="0" applyFont="1" applyBorder="1" applyAlignment="1">
      <alignment horizontal="center" wrapText="1"/>
    </xf>
    <xf numFmtId="0" fontId="0" fillId="0" borderId="73" xfId="0" applyBorder="1"/>
    <xf numFmtId="0" fontId="0" fillId="7" borderId="74" xfId="0" applyFill="1" applyBorder="1" applyAlignment="1">
      <alignment horizontal="center" vertical="center"/>
    </xf>
    <xf numFmtId="0" fontId="0" fillId="0" borderId="75" xfId="0" applyBorder="1" applyAlignment="1">
      <alignment horizontal="center" vertical="center"/>
    </xf>
    <xf numFmtId="0" fontId="0" fillId="7" borderId="77" xfId="0" applyFill="1" applyBorder="1" applyAlignment="1">
      <alignment horizontal="center" vertical="center"/>
    </xf>
    <xf numFmtId="0" fontId="12" fillId="0" borderId="0" xfId="0" applyFont="1" applyAlignment="1">
      <alignment vertical="center"/>
    </xf>
    <xf numFmtId="0" fontId="0" fillId="0" borderId="0" xfId="0" applyAlignment="1">
      <alignment vertical="center"/>
    </xf>
    <xf numFmtId="0" fontId="0" fillId="0" borderId="49" xfId="0" applyBorder="1" applyAlignment="1">
      <alignment horizontal="left" indent="1"/>
    </xf>
    <xf numFmtId="0" fontId="0" fillId="0" borderId="78" xfId="0" applyBorder="1" applyAlignment="1">
      <alignment horizontal="left" indent="1"/>
    </xf>
    <xf numFmtId="0" fontId="22" fillId="0" borderId="83" xfId="0" applyFont="1" applyBorder="1" applyAlignment="1">
      <alignment horizontal="center" wrapText="1"/>
    </xf>
    <xf numFmtId="0" fontId="29" fillId="0" borderId="0" xfId="0" applyFont="1" applyAlignment="1">
      <alignment vertical="top" wrapText="1"/>
    </xf>
    <xf numFmtId="0" fontId="48" fillId="0" borderId="0" xfId="0" applyFont="1" applyAlignment="1">
      <alignment horizontal="center" vertical="center"/>
    </xf>
    <xf numFmtId="0" fontId="0" fillId="5" borderId="46" xfId="0" applyFill="1" applyBorder="1" applyAlignment="1" applyProtection="1">
      <alignment horizontal="left" vertical="top" wrapText="1" indent="1"/>
      <protection locked="0"/>
    </xf>
    <xf numFmtId="0" fontId="33" fillId="4" borderId="67" xfId="0" applyFont="1" applyFill="1" applyBorder="1" applyAlignment="1">
      <alignment horizontal="center"/>
    </xf>
    <xf numFmtId="0" fontId="0" fillId="14" borderId="68" xfId="0" applyFill="1" applyBorder="1" applyAlignment="1">
      <alignment horizontal="center"/>
    </xf>
    <xf numFmtId="0" fontId="0" fillId="14" borderId="69" xfId="0" applyFill="1" applyBorder="1" applyAlignment="1">
      <alignment horizontal="center"/>
    </xf>
    <xf numFmtId="0" fontId="33" fillId="4" borderId="68" xfId="0" applyFont="1" applyFill="1" applyBorder="1" applyAlignment="1">
      <alignment horizontal="center"/>
    </xf>
    <xf numFmtId="0" fontId="0" fillId="14" borderId="70" xfId="0" applyFill="1" applyBorder="1" applyAlignment="1">
      <alignment horizontal="center"/>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0" borderId="0" xfId="0" applyAlignment="1">
      <alignment horizontal="right" indent="2"/>
    </xf>
    <xf numFmtId="2" fontId="0" fillId="0" borderId="0" xfId="0" applyNumberFormat="1"/>
    <xf numFmtId="22" fontId="4" fillId="0" borderId="0" xfId="0" applyNumberFormat="1" applyFont="1"/>
    <xf numFmtId="22" fontId="0" fillId="0" borderId="0" xfId="0" applyNumberFormat="1"/>
    <xf numFmtId="0" fontId="25" fillId="0" borderId="0" xfId="0" applyFont="1" applyAlignment="1">
      <alignment horizontal="left"/>
    </xf>
    <xf numFmtId="0" fontId="0" fillId="0" borderId="0" xfId="0" applyAlignment="1">
      <alignment vertical="center" wrapText="1"/>
    </xf>
    <xf numFmtId="0" fontId="26" fillId="0" borderId="0" xfId="0" applyFont="1" applyAlignment="1">
      <alignment horizontal="right"/>
    </xf>
    <xf numFmtId="0" fontId="26" fillId="0" borderId="0" xfId="0" applyFont="1" applyAlignment="1">
      <alignment horizontal="left" indent="1"/>
    </xf>
    <xf numFmtId="0" fontId="0" fillId="10" borderId="88" xfId="0" applyFill="1" applyBorder="1" applyAlignment="1" applyProtection="1">
      <alignment horizontal="left" vertical="top" wrapText="1" indent="1"/>
      <protection locked="0"/>
    </xf>
    <xf numFmtId="0" fontId="4" fillId="4" borderId="89" xfId="0" applyFont="1" applyFill="1" applyBorder="1" applyAlignment="1">
      <alignment horizontal="center" vertical="center" wrapText="1"/>
    </xf>
    <xf numFmtId="0" fontId="0" fillId="14" borderId="67" xfId="0" applyFill="1" applyBorder="1" applyAlignment="1">
      <alignment horizontal="center"/>
    </xf>
    <xf numFmtId="0" fontId="4" fillId="0" borderId="71" xfId="0" applyFont="1" applyBorder="1" applyAlignment="1">
      <alignment horizontal="center" vertical="center" wrapText="1"/>
    </xf>
    <xf numFmtId="0" fontId="0" fillId="7" borderId="51" xfId="0" applyFill="1" applyBorder="1" applyAlignment="1">
      <alignment horizontal="center" vertical="center"/>
    </xf>
    <xf numFmtId="0" fontId="35" fillId="0" borderId="92" xfId="0" applyFont="1" applyBorder="1" applyAlignment="1">
      <alignment horizontal="left" indent="1"/>
    </xf>
    <xf numFmtId="0" fontId="0" fillId="0" borderId="93" xfId="0" applyBorder="1" applyAlignment="1">
      <alignment horizontal="left" indent="1"/>
    </xf>
    <xf numFmtId="0" fontId="0" fillId="0" borderId="94" xfId="0" applyBorder="1" applyAlignment="1">
      <alignment horizontal="left" indent="1"/>
    </xf>
    <xf numFmtId="0" fontId="0" fillId="0" borderId="33" xfId="0" applyBorder="1" applyAlignment="1">
      <alignment horizontal="left" indent="1"/>
    </xf>
    <xf numFmtId="0" fontId="0" fillId="2" borderId="81" xfId="0" applyFill="1" applyBorder="1" applyAlignment="1" applyProtection="1">
      <alignment horizontal="center"/>
      <protection locked="0"/>
    </xf>
    <xf numFmtId="0" fontId="0" fillId="2" borderId="49" xfId="0" applyFill="1" applyBorder="1" applyAlignment="1" applyProtection="1">
      <alignment horizontal="center"/>
      <protection locked="0"/>
    </xf>
    <xf numFmtId="0" fontId="0" fillId="2" borderId="82" xfId="0" applyFill="1" applyBorder="1" applyAlignment="1" applyProtection="1">
      <alignment horizontal="center"/>
      <protection locked="0"/>
    </xf>
    <xf numFmtId="0" fontId="0" fillId="2" borderId="59" xfId="0" applyFill="1" applyBorder="1" applyAlignment="1" applyProtection="1">
      <alignment horizontal="center"/>
      <protection locked="0"/>
    </xf>
    <xf numFmtId="0" fontId="0" fillId="0" borderId="63" xfId="0" applyBorder="1" applyAlignment="1">
      <alignment horizontal="right" indent="2"/>
    </xf>
    <xf numFmtId="0" fontId="0" fillId="0" borderId="64" xfId="0" applyBorder="1" applyAlignment="1">
      <alignment horizontal="right" indent="2"/>
    </xf>
    <xf numFmtId="165" fontId="0" fillId="0" borderId="95" xfId="0" applyNumberFormat="1" applyBorder="1" applyAlignment="1">
      <alignment horizontal="right" indent="2"/>
    </xf>
    <xf numFmtId="0" fontId="0" fillId="0" borderId="59" xfId="0" applyBorder="1" applyAlignment="1">
      <alignment horizontal="left" indent="1"/>
    </xf>
    <xf numFmtId="0" fontId="0" fillId="0" borderId="96" xfId="0" applyBorder="1" applyAlignment="1">
      <alignment horizontal="center"/>
    </xf>
    <xf numFmtId="0" fontId="0" fillId="0" borderId="97" xfId="0" applyBorder="1" applyAlignment="1">
      <alignment horizontal="left" indent="1"/>
    </xf>
    <xf numFmtId="0" fontId="0" fillId="0" borderId="98" xfId="0" applyBorder="1" applyAlignment="1">
      <alignment horizontal="center"/>
    </xf>
    <xf numFmtId="0" fontId="0" fillId="0" borderId="99" xfId="0" applyBorder="1" applyAlignment="1">
      <alignment horizontal="left" indent="1"/>
    </xf>
    <xf numFmtId="0" fontId="0" fillId="0" borderId="100" xfId="0" applyBorder="1" applyAlignment="1">
      <alignment horizontal="center"/>
    </xf>
    <xf numFmtId="0" fontId="0" fillId="0" borderId="101" xfId="0" applyBorder="1" applyAlignment="1">
      <alignment horizontal="left" indent="1"/>
    </xf>
    <xf numFmtId="0" fontId="0" fillId="0" borderId="102" xfId="0" applyBorder="1"/>
    <xf numFmtId="0" fontId="0" fillId="0" borderId="103" xfId="0" applyBorder="1"/>
    <xf numFmtId="0" fontId="0" fillId="14" borderId="104" xfId="0" applyFill="1" applyBorder="1" applyAlignment="1">
      <alignment horizontal="center"/>
    </xf>
    <xf numFmtId="0" fontId="0" fillId="5" borderId="45" xfId="0" applyFill="1" applyBorder="1" applyAlignment="1">
      <alignment horizontal="left" indent="1"/>
    </xf>
    <xf numFmtId="0" fontId="0" fillId="14" borderId="114" xfId="0" applyFill="1" applyBorder="1" applyAlignment="1">
      <alignment horizontal="center"/>
    </xf>
    <xf numFmtId="0" fontId="33" fillId="4" borderId="105" xfId="0" applyFont="1" applyFill="1" applyBorder="1"/>
    <xf numFmtId="0" fontId="33" fillId="4" borderId="48" xfId="0" applyFont="1" applyFill="1" applyBorder="1" applyAlignment="1">
      <alignment horizontal="left" indent="1"/>
    </xf>
    <xf numFmtId="0" fontId="4" fillId="0" borderId="26" xfId="0" applyFont="1" applyBorder="1" applyAlignment="1">
      <alignment horizontal="center"/>
    </xf>
    <xf numFmtId="0" fontId="4" fillId="0" borderId="21" xfId="0" applyFont="1" applyBorder="1" applyAlignment="1">
      <alignment horizontal="center"/>
    </xf>
    <xf numFmtId="167" fontId="0" fillId="0" borderId="0" xfId="0" applyNumberFormat="1" applyAlignment="1">
      <alignment horizontal="right"/>
    </xf>
    <xf numFmtId="0" fontId="0" fillId="2" borderId="115" xfId="0" applyFill="1" applyBorder="1"/>
    <xf numFmtId="0" fontId="0" fillId="2" borderId="116" xfId="0" applyFill="1" applyBorder="1" applyAlignment="1">
      <alignment horizontal="center"/>
    </xf>
    <xf numFmtId="0" fontId="0" fillId="2" borderId="117" xfId="0" applyFill="1" applyBorder="1"/>
    <xf numFmtId="0" fontId="0" fillId="2" borderId="118" xfId="0" applyFill="1" applyBorder="1"/>
    <xf numFmtId="0" fontId="0" fillId="2" borderId="119" xfId="0" applyFill="1" applyBorder="1" applyAlignment="1">
      <alignment horizontal="center"/>
    </xf>
    <xf numFmtId="0" fontId="0" fillId="2" borderId="120" xfId="0" applyFill="1" applyBorder="1"/>
    <xf numFmtId="0" fontId="0" fillId="2" borderId="117" xfId="0" applyFill="1" applyBorder="1" applyAlignment="1">
      <alignment horizontal="left"/>
    </xf>
    <xf numFmtId="0" fontId="0" fillId="2" borderId="120" xfId="0" applyFill="1" applyBorder="1" applyAlignment="1">
      <alignment horizontal="left"/>
    </xf>
    <xf numFmtId="0" fontId="0" fillId="0" borderId="121" xfId="0" applyBorder="1" applyAlignment="1">
      <alignment horizontal="center"/>
    </xf>
    <xf numFmtId="0" fontId="0" fillId="0" borderId="122" xfId="0" applyBorder="1" applyAlignment="1">
      <alignment horizontal="center"/>
    </xf>
    <xf numFmtId="0" fontId="0" fillId="0" borderId="123" xfId="0" applyBorder="1" applyAlignment="1">
      <alignment horizontal="center"/>
    </xf>
    <xf numFmtId="0" fontId="0" fillId="0" borderId="124" xfId="0" applyBorder="1" applyAlignment="1">
      <alignment horizontal="center"/>
    </xf>
    <xf numFmtId="0" fontId="0" fillId="0" borderId="125" xfId="0" applyBorder="1" applyAlignment="1">
      <alignment horizontal="center"/>
    </xf>
    <xf numFmtId="0" fontId="0" fillId="0" borderId="126" xfId="0" applyBorder="1" applyAlignment="1">
      <alignment horizontal="center"/>
    </xf>
    <xf numFmtId="0" fontId="0" fillId="0" borderId="127" xfId="0" applyBorder="1" applyAlignment="1">
      <alignment horizontal="center"/>
    </xf>
    <xf numFmtId="0" fontId="53" fillId="0" borderId="19" xfId="0" applyFont="1" applyBorder="1"/>
    <xf numFmtId="0" fontId="53" fillId="0" borderId="17" xfId="0" applyFont="1" applyBorder="1"/>
    <xf numFmtId="0" fontId="0" fillId="5" borderId="0" xfId="0" applyFill="1" applyAlignment="1">
      <alignment horizontal="center"/>
    </xf>
    <xf numFmtId="0" fontId="0" fillId="5" borderId="0" xfId="0" applyFill="1"/>
    <xf numFmtId="0" fontId="0" fillId="5" borderId="124" xfId="0" applyFill="1" applyBorder="1" applyAlignment="1">
      <alignment horizontal="center"/>
    </xf>
    <xf numFmtId="0" fontId="0" fillId="5" borderId="62" xfId="0" applyFill="1" applyBorder="1" applyAlignment="1">
      <alignment horizontal="center"/>
    </xf>
    <xf numFmtId="168" fontId="0" fillId="0" borderId="0" xfId="0" applyNumberFormat="1"/>
    <xf numFmtId="3" fontId="0" fillId="0" borderId="0" xfId="0" applyNumberFormat="1"/>
    <xf numFmtId="0" fontId="22" fillId="0" borderId="29" xfId="0" applyFont="1" applyBorder="1" applyAlignment="1">
      <alignment horizontal="center"/>
    </xf>
    <xf numFmtId="0" fontId="0" fillId="0" borderId="62" xfId="0" applyBorder="1" applyAlignment="1">
      <alignment horizontal="center"/>
    </xf>
    <xf numFmtId="0" fontId="0" fillId="0" borderId="128" xfId="0" applyBorder="1"/>
    <xf numFmtId="0" fontId="0" fillId="0" borderId="129" xfId="0" applyBorder="1" applyAlignment="1">
      <alignment horizontal="center"/>
    </xf>
    <xf numFmtId="0" fontId="0" fillId="0" borderId="129" xfId="0" applyBorder="1"/>
    <xf numFmtId="0" fontId="0" fillId="0" borderId="131" xfId="0" applyBorder="1"/>
    <xf numFmtId="0" fontId="0" fillId="0" borderId="132" xfId="0" applyBorder="1"/>
    <xf numFmtId="0" fontId="0" fillId="0" borderId="133" xfId="0" applyBorder="1" applyAlignment="1">
      <alignment horizontal="center"/>
    </xf>
    <xf numFmtId="0" fontId="0" fillId="0" borderId="133" xfId="0" applyBorder="1"/>
    <xf numFmtId="0" fontId="0" fillId="6" borderId="135" xfId="0" applyFill="1" applyBorder="1"/>
    <xf numFmtId="3" fontId="0" fillId="0" borderId="0" xfId="0" applyNumberFormat="1" applyAlignment="1">
      <alignment horizontal="center"/>
    </xf>
    <xf numFmtId="0" fontId="43" fillId="0" borderId="0" xfId="0" applyFont="1" applyAlignment="1">
      <alignment vertical="center"/>
    </xf>
    <xf numFmtId="0" fontId="10" fillId="0" borderId="0" xfId="0" applyFont="1" applyAlignment="1">
      <alignment horizontal="center"/>
    </xf>
    <xf numFmtId="0" fontId="25" fillId="0" borderId="0" xfId="0" applyFont="1"/>
    <xf numFmtId="0" fontId="0" fillId="5" borderId="47" xfId="0" applyFill="1" applyBorder="1" applyAlignment="1">
      <alignment horizontal="left" indent="1"/>
    </xf>
    <xf numFmtId="0" fontId="39" fillId="0" borderId="0" xfId="0" applyFont="1"/>
    <xf numFmtId="0" fontId="39" fillId="0" borderId="0" xfId="0" applyFont="1" applyAlignment="1">
      <alignment horizontal="center" vertical="center"/>
    </xf>
    <xf numFmtId="0" fontId="41" fillId="0" borderId="0" xfId="0" applyFont="1" applyAlignment="1">
      <alignment horizontal="center"/>
    </xf>
    <xf numFmtId="0" fontId="51" fillId="10" borderId="144" xfId="0" applyFont="1" applyFill="1" applyBorder="1" applyAlignment="1">
      <alignment horizontal="center"/>
    </xf>
    <xf numFmtId="0" fontId="0" fillId="0" borderId="99" xfId="0" quotePrefix="1" applyBorder="1" applyAlignment="1">
      <alignment horizontal="left" indent="1"/>
    </xf>
    <xf numFmtId="0" fontId="9" fillId="0" borderId="0" xfId="0" applyFont="1" applyAlignment="1">
      <alignment vertical="center"/>
    </xf>
    <xf numFmtId="49" fontId="11" fillId="0" borderId="0" xfId="0" applyNumberFormat="1" applyFont="1" applyAlignment="1">
      <alignment horizontal="left" vertical="center"/>
    </xf>
    <xf numFmtId="49" fontId="12" fillId="0" borderId="0" xfId="0" applyNumberFormat="1" applyFont="1"/>
    <xf numFmtId="49" fontId="0" fillId="0" borderId="0" xfId="0" applyNumberFormat="1"/>
    <xf numFmtId="0" fontId="65" fillId="0" borderId="0" xfId="0" applyFont="1" applyAlignment="1">
      <alignment horizontal="center" vertical="center" wrapText="1"/>
    </xf>
    <xf numFmtId="0" fontId="48" fillId="0" borderId="148" xfId="0" applyFont="1" applyBorder="1" applyAlignment="1">
      <alignment horizontal="center" vertical="center" wrapText="1"/>
    </xf>
    <xf numFmtId="0" fontId="48" fillId="0" borderId="149" xfId="0" applyFont="1" applyBorder="1" applyAlignment="1">
      <alignment horizontal="center" vertical="center" wrapText="1"/>
    </xf>
    <xf numFmtId="0" fontId="66" fillId="0" borderId="150" xfId="0" applyFont="1" applyBorder="1" applyAlignment="1">
      <alignment horizontal="center" vertical="center" wrapText="1"/>
    </xf>
    <xf numFmtId="0" fontId="66" fillId="0" borderId="151" xfId="0" applyFont="1" applyBorder="1" applyAlignment="1">
      <alignment horizontal="center" vertical="center" wrapText="1"/>
    </xf>
    <xf numFmtId="0" fontId="66" fillId="0" borderId="152" xfId="0" applyFont="1" applyBorder="1" applyAlignment="1">
      <alignment horizontal="center" vertical="center" wrapText="1"/>
    </xf>
    <xf numFmtId="0" fontId="66" fillId="0" borderId="153" xfId="0" applyFont="1" applyBorder="1" applyAlignment="1">
      <alignment horizontal="center" vertical="center" wrapText="1"/>
    </xf>
    <xf numFmtId="0" fontId="66" fillId="0" borderId="154" xfId="0" applyFont="1" applyBorder="1" applyAlignment="1">
      <alignment horizontal="center" vertical="center" wrapText="1"/>
    </xf>
    <xf numFmtId="0" fontId="66" fillId="0" borderId="155" xfId="0" applyFont="1" applyBorder="1" applyAlignment="1">
      <alignment horizontal="center" vertical="center" wrapText="1"/>
    </xf>
    <xf numFmtId="0" fontId="66" fillId="0" borderId="156" xfId="0" applyFont="1" applyBorder="1" applyAlignment="1">
      <alignment horizontal="center" vertical="center" wrapText="1"/>
    </xf>
    <xf numFmtId="0" fontId="66" fillId="0" borderId="157" xfId="0" applyFont="1" applyBorder="1" applyAlignment="1">
      <alignment horizontal="center" vertical="center" wrapText="1"/>
    </xf>
    <xf numFmtId="0" fontId="66" fillId="0" borderId="158" xfId="0" applyFont="1" applyBorder="1" applyAlignment="1">
      <alignment horizontal="center" vertical="center" wrapText="1"/>
    </xf>
    <xf numFmtId="0" fontId="48" fillId="0" borderId="159" xfId="0" applyFont="1" applyBorder="1" applyAlignment="1">
      <alignment horizontal="center" vertical="center" wrapText="1"/>
    </xf>
    <xf numFmtId="0" fontId="48" fillId="0" borderId="160" xfId="0" applyFont="1" applyBorder="1" applyAlignment="1">
      <alignment horizontal="center" vertical="center" wrapText="1"/>
    </xf>
    <xf numFmtId="0" fontId="48" fillId="0" borderId="161" xfId="0" applyFont="1" applyBorder="1" applyAlignment="1">
      <alignment horizontal="center" vertical="center" wrapText="1"/>
    </xf>
    <xf numFmtId="0" fontId="48" fillId="0" borderId="162" xfId="0" applyFont="1" applyBorder="1" applyAlignment="1">
      <alignment horizontal="center" vertical="center" wrapText="1"/>
    </xf>
    <xf numFmtId="0" fontId="48" fillId="0" borderId="163" xfId="0" applyFont="1" applyBorder="1" applyAlignment="1">
      <alignment horizontal="center" vertical="center" wrapText="1"/>
    </xf>
    <xf numFmtId="0" fontId="48" fillId="0" borderId="164" xfId="0" applyFont="1" applyBorder="1" applyAlignment="1">
      <alignment horizontal="center" vertical="center" wrapText="1"/>
    </xf>
    <xf numFmtId="0" fontId="25" fillId="0" borderId="0" xfId="0" applyFont="1" applyAlignment="1">
      <alignment horizontal="right" indent="1"/>
    </xf>
    <xf numFmtId="0" fontId="7" fillId="15" borderId="165" xfId="0" applyFont="1" applyFill="1" applyBorder="1" applyAlignment="1">
      <alignment horizontal="center"/>
    </xf>
    <xf numFmtId="0" fontId="7" fillId="15" borderId="166" xfId="0" applyFont="1" applyFill="1" applyBorder="1" applyAlignment="1">
      <alignment horizontal="left"/>
    </xf>
    <xf numFmtId="0" fontId="7" fillId="15" borderId="87" xfId="0" applyFont="1" applyFill="1" applyBorder="1" applyAlignment="1">
      <alignment horizontal="center"/>
    </xf>
    <xf numFmtId="0" fontId="7" fillId="15" borderId="167" xfId="0" applyFont="1" applyFill="1" applyBorder="1" applyAlignment="1">
      <alignment horizontal="left"/>
    </xf>
    <xf numFmtId="0" fontId="7" fillId="15" borderId="168" xfId="0" applyFont="1" applyFill="1" applyBorder="1" applyAlignment="1">
      <alignment horizontal="center"/>
    </xf>
    <xf numFmtId="0" fontId="7" fillId="15" borderId="169" xfId="0" applyFont="1" applyFill="1" applyBorder="1" applyAlignment="1">
      <alignment horizontal="left"/>
    </xf>
    <xf numFmtId="0" fontId="0" fillId="0" borderId="170" xfId="0" applyBorder="1" applyAlignment="1">
      <alignment horizontal="center"/>
    </xf>
    <xf numFmtId="0" fontId="0" fillId="0" borderId="171" xfId="0" applyBorder="1"/>
    <xf numFmtId="0" fontId="0" fillId="0" borderId="171" xfId="0" applyBorder="1" applyAlignment="1">
      <alignment horizontal="center"/>
    </xf>
    <xf numFmtId="168" fontId="0" fillId="0" borderId="171" xfId="0" applyNumberFormat="1" applyBorder="1"/>
    <xf numFmtId="0" fontId="0" fillId="0" borderId="173" xfId="0" applyBorder="1" applyAlignment="1">
      <alignment horizontal="center"/>
    </xf>
    <xf numFmtId="0" fontId="0" fillId="0" borderId="174" xfId="0" applyBorder="1"/>
    <xf numFmtId="0" fontId="0" fillId="0" borderId="174" xfId="0" applyBorder="1" applyAlignment="1">
      <alignment horizontal="center"/>
    </xf>
    <xf numFmtId="168" fontId="0" fillId="0" borderId="174" xfId="0" applyNumberFormat="1" applyBorder="1"/>
    <xf numFmtId="0" fontId="0" fillId="0" borderId="176" xfId="0" applyBorder="1" applyAlignment="1">
      <alignment horizontal="center"/>
    </xf>
    <xf numFmtId="0" fontId="0" fillId="0" borderId="177" xfId="0" applyBorder="1"/>
    <xf numFmtId="0" fontId="0" fillId="0" borderId="177" xfId="0" applyBorder="1" applyAlignment="1">
      <alignment horizontal="center"/>
    </xf>
    <xf numFmtId="168" fontId="0" fillId="0" borderId="177" xfId="0" applyNumberFormat="1" applyBorder="1"/>
    <xf numFmtId="0" fontId="7" fillId="15" borderId="179" xfId="0" applyFont="1" applyFill="1" applyBorder="1"/>
    <xf numFmtId="0" fontId="7" fillId="15" borderId="180" xfId="0" applyFont="1" applyFill="1" applyBorder="1"/>
    <xf numFmtId="0" fontId="7" fillId="15" borderId="181" xfId="0" applyFont="1" applyFill="1" applyBorder="1"/>
    <xf numFmtId="0" fontId="0" fillId="0" borderId="179" xfId="0" applyBorder="1" applyAlignment="1">
      <alignment horizontal="center"/>
    </xf>
    <xf numFmtId="0" fontId="0" fillId="0" borderId="182" xfId="0" applyBorder="1" applyAlignment="1">
      <alignment horizontal="center"/>
    </xf>
    <xf numFmtId="0" fontId="0" fillId="0" borderId="180" xfId="0" applyBorder="1" applyAlignment="1">
      <alignment horizontal="center"/>
    </xf>
    <xf numFmtId="0" fontId="0" fillId="0" borderId="183" xfId="0" applyBorder="1" applyAlignment="1">
      <alignment horizontal="center"/>
    </xf>
    <xf numFmtId="0" fontId="0" fillId="0" borderId="181" xfId="0" applyBorder="1" applyAlignment="1">
      <alignment horizontal="center"/>
    </xf>
    <xf numFmtId="0" fontId="0" fillId="0" borderId="184" xfId="0" applyBorder="1" applyAlignment="1">
      <alignment horizontal="center"/>
    </xf>
    <xf numFmtId="0" fontId="55" fillId="15" borderId="171" xfId="0" applyFont="1" applyFill="1" applyBorder="1" applyAlignment="1">
      <alignment horizontal="center"/>
    </xf>
    <xf numFmtId="0" fontId="55" fillId="15" borderId="174" xfId="0" applyFont="1" applyFill="1" applyBorder="1" applyAlignment="1">
      <alignment horizontal="center"/>
    </xf>
    <xf numFmtId="0" fontId="55" fillId="15" borderId="177" xfId="0" applyFont="1" applyFill="1" applyBorder="1" applyAlignment="1">
      <alignment horizontal="center"/>
    </xf>
    <xf numFmtId="0" fontId="0" fillId="0" borderId="182" xfId="0" applyBorder="1"/>
    <xf numFmtId="0" fontId="0" fillId="0" borderId="172" xfId="0" applyBorder="1" applyAlignment="1">
      <alignment horizontal="center"/>
    </xf>
    <xf numFmtId="0" fontId="0" fillId="0" borderId="175" xfId="0" applyBorder="1" applyAlignment="1">
      <alignment horizontal="center"/>
    </xf>
    <xf numFmtId="0" fontId="0" fillId="0" borderId="178" xfId="0" applyBorder="1" applyAlignment="1">
      <alignment horizontal="center"/>
    </xf>
    <xf numFmtId="0" fontId="56" fillId="16" borderId="185" xfId="0" applyFont="1" applyFill="1" applyBorder="1" applyAlignment="1" applyProtection="1">
      <alignment horizontal="center" vertical="center"/>
      <protection locked="0"/>
    </xf>
    <xf numFmtId="0" fontId="56" fillId="16" borderId="8" xfId="0" applyFont="1" applyFill="1" applyBorder="1" applyAlignment="1" applyProtection="1">
      <alignment horizontal="center" vertical="center"/>
      <protection locked="0"/>
    </xf>
    <xf numFmtId="0" fontId="56" fillId="16" borderId="7" xfId="0" applyFont="1" applyFill="1" applyBorder="1" applyAlignment="1" applyProtection="1">
      <alignment horizontal="center" vertical="center"/>
      <protection locked="0"/>
    </xf>
    <xf numFmtId="0" fontId="56" fillId="16" borderId="16" xfId="0" applyFont="1" applyFill="1" applyBorder="1" applyAlignment="1" applyProtection="1">
      <alignment horizontal="center" vertical="center"/>
      <protection locked="0"/>
    </xf>
    <xf numFmtId="0" fontId="47" fillId="0" borderId="0" xfId="0" applyFont="1" applyAlignment="1">
      <alignment horizontal="center" vertical="center"/>
    </xf>
    <xf numFmtId="49" fontId="10" fillId="12" borderId="187"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61" fillId="0" borderId="0" xfId="0" applyFont="1"/>
    <xf numFmtId="0" fontId="58" fillId="0" borderId="0" xfId="0" applyFont="1" applyAlignment="1">
      <alignment vertical="center" wrapText="1"/>
    </xf>
    <xf numFmtId="0" fontId="57" fillId="0" borderId="0" xfId="0" applyFont="1" applyAlignment="1">
      <alignment vertical="center" wrapText="1"/>
    </xf>
    <xf numFmtId="0" fontId="60" fillId="0" borderId="0" xfId="0" applyFont="1"/>
    <xf numFmtId="0" fontId="62" fillId="0" borderId="0" xfId="0" applyFont="1" applyAlignment="1">
      <alignment vertical="center" wrapText="1"/>
    </xf>
    <xf numFmtId="0" fontId="45" fillId="0" borderId="0" xfId="0" applyFont="1" applyAlignment="1">
      <alignment vertical="center" wrapText="1"/>
    </xf>
    <xf numFmtId="0" fontId="16" fillId="0" borderId="201" xfId="0" applyFont="1" applyBorder="1" applyAlignment="1">
      <alignment horizontal="center"/>
    </xf>
    <xf numFmtId="0" fontId="16" fillId="13" borderId="9" xfId="0" applyFont="1" applyFill="1" applyBorder="1" applyAlignment="1">
      <alignment horizontal="center"/>
    </xf>
    <xf numFmtId="0" fontId="63" fillId="13" borderId="9" xfId="0" applyFont="1" applyFill="1" applyBorder="1" applyAlignment="1">
      <alignment horizontal="center"/>
    </xf>
    <xf numFmtId="0" fontId="16" fillId="13" borderId="10" xfId="0" applyFont="1" applyFill="1" applyBorder="1" applyAlignment="1">
      <alignment horizontal="center"/>
    </xf>
    <xf numFmtId="0" fontId="63" fillId="13" borderId="194" xfId="0" applyFont="1" applyFill="1" applyBorder="1" applyAlignment="1">
      <alignment horizontal="center"/>
    </xf>
    <xf numFmtId="0" fontId="39" fillId="19" borderId="18" xfId="0" applyFont="1" applyFill="1" applyBorder="1"/>
    <xf numFmtId="0" fontId="39" fillId="20" borderId="18" xfId="0" applyFont="1" applyFill="1" applyBorder="1" applyAlignment="1">
      <alignment horizontal="center" vertical="center"/>
    </xf>
    <xf numFmtId="0" fontId="69" fillId="0" borderId="0" xfId="0" applyFont="1" applyAlignment="1">
      <alignment horizontal="right" vertical="center" wrapText="1" indent="1"/>
    </xf>
    <xf numFmtId="0" fontId="0" fillId="21" borderId="40" xfId="0" applyFill="1" applyBorder="1" applyAlignment="1" applyProtection="1">
      <alignment horizontal="left" indent="1"/>
      <protection locked="0"/>
    </xf>
    <xf numFmtId="0" fontId="0" fillId="21" borderId="38" xfId="0" applyFill="1" applyBorder="1" applyAlignment="1" applyProtection="1">
      <alignment horizontal="left" indent="1"/>
      <protection locked="0"/>
    </xf>
    <xf numFmtId="0" fontId="0" fillId="21" borderId="42" xfId="0" applyFill="1" applyBorder="1" applyAlignment="1" applyProtection="1">
      <alignment horizontal="left" indent="1"/>
      <protection locked="0"/>
    </xf>
    <xf numFmtId="165" fontId="0" fillId="21" borderId="49" xfId="0" applyNumberFormat="1" applyFill="1" applyBorder="1" applyAlignment="1" applyProtection="1">
      <alignment horizontal="right" indent="2"/>
      <protection locked="0"/>
    </xf>
    <xf numFmtId="165" fontId="0" fillId="21" borderId="59" xfId="0" applyNumberFormat="1" applyFill="1" applyBorder="1" applyAlignment="1" applyProtection="1">
      <alignment horizontal="right" indent="2"/>
      <protection locked="0"/>
    </xf>
    <xf numFmtId="0" fontId="0" fillId="21" borderId="59" xfId="0" applyFill="1" applyBorder="1" applyAlignment="1" applyProtection="1">
      <alignment horizontal="center" vertical="center"/>
      <protection locked="0"/>
    </xf>
    <xf numFmtId="0" fontId="0" fillId="21" borderId="90" xfId="0" applyFill="1" applyBorder="1" applyAlignment="1" applyProtection="1">
      <alignment horizontal="center" vertical="center"/>
      <protection locked="0"/>
    </xf>
    <xf numFmtId="0" fontId="0" fillId="21" borderId="91" xfId="0" applyFill="1" applyBorder="1" applyAlignment="1" applyProtection="1">
      <alignment horizontal="center" vertical="center"/>
      <protection locked="0"/>
    </xf>
    <xf numFmtId="0" fontId="0" fillId="21" borderId="49" xfId="0" applyFill="1" applyBorder="1" applyAlignment="1" applyProtection="1">
      <alignment horizontal="center" vertical="center"/>
      <protection locked="0"/>
    </xf>
    <xf numFmtId="0" fontId="0" fillId="21" borderId="76" xfId="0" applyFill="1" applyBorder="1" applyAlignment="1" applyProtection="1">
      <alignment horizontal="left" indent="3"/>
      <protection locked="0"/>
    </xf>
    <xf numFmtId="0" fontId="0" fillId="21" borderId="76" xfId="0" applyFill="1" applyBorder="1" applyAlignment="1" applyProtection="1">
      <alignment horizontal="left" indent="1"/>
      <protection locked="0"/>
    </xf>
    <xf numFmtId="0" fontId="59" fillId="5" borderId="139" xfId="0" applyFont="1" applyFill="1" applyBorder="1" applyAlignment="1">
      <alignment vertical="center" wrapText="1"/>
    </xf>
    <xf numFmtId="0" fontId="59" fillId="5" borderId="0" xfId="0" applyFont="1" applyFill="1" applyAlignment="1">
      <alignment vertical="center" wrapText="1"/>
    </xf>
    <xf numFmtId="0" fontId="59" fillId="5" borderId="140" xfId="0" applyFont="1" applyFill="1" applyBorder="1" applyAlignment="1">
      <alignment vertical="center" wrapText="1"/>
    </xf>
    <xf numFmtId="0" fontId="59" fillId="5" borderId="141" xfId="0" applyFont="1" applyFill="1" applyBorder="1" applyAlignment="1">
      <alignment vertical="center" wrapText="1"/>
    </xf>
    <xf numFmtId="0" fontId="59" fillId="5" borderId="142" xfId="0" applyFont="1" applyFill="1" applyBorder="1" applyAlignment="1">
      <alignment vertical="center" wrapText="1"/>
    </xf>
    <xf numFmtId="0" fontId="59" fillId="5" borderId="143" xfId="0" applyFont="1" applyFill="1" applyBorder="1" applyAlignment="1">
      <alignment vertical="center" wrapText="1"/>
    </xf>
    <xf numFmtId="0" fontId="59" fillId="0" borderId="0" xfId="0" applyFont="1" applyAlignment="1">
      <alignment vertical="center" wrapText="1"/>
    </xf>
    <xf numFmtId="0" fontId="0" fillId="5" borderId="139" xfId="0" applyFill="1" applyBorder="1"/>
    <xf numFmtId="0" fontId="0" fillId="5" borderId="140" xfId="0" applyFill="1" applyBorder="1"/>
    <xf numFmtId="0" fontId="82" fillId="0" borderId="0" xfId="0" applyFont="1" applyAlignment="1">
      <alignment horizontal="left" indent="2"/>
    </xf>
    <xf numFmtId="0" fontId="50" fillId="0" borderId="202" xfId="0" applyFont="1" applyBorder="1" applyAlignment="1">
      <alignment horizontal="center" vertical="center"/>
    </xf>
    <xf numFmtId="0" fontId="0" fillId="0" borderId="210" xfId="0" applyBorder="1" applyAlignment="1">
      <alignment horizontal="center" vertical="center"/>
    </xf>
    <xf numFmtId="0" fontId="0" fillId="0" borderId="203" xfId="0" applyBorder="1" applyAlignment="1">
      <alignment horizontal="center" vertical="center"/>
    </xf>
    <xf numFmtId="0" fontId="50" fillId="0" borderId="204" xfId="0" applyFont="1" applyBorder="1" applyAlignment="1">
      <alignment horizontal="center" vertical="center"/>
    </xf>
    <xf numFmtId="0" fontId="0" fillId="0" borderId="211" xfId="0" applyBorder="1" applyAlignment="1">
      <alignment horizontal="center" vertical="center"/>
    </xf>
    <xf numFmtId="0" fontId="0" fillId="0" borderId="205" xfId="0" applyBorder="1" applyAlignment="1">
      <alignment horizontal="center" vertical="center"/>
    </xf>
    <xf numFmtId="0" fontId="50" fillId="0" borderId="206" xfId="0" applyFont="1" applyBorder="1" applyAlignment="1">
      <alignment horizontal="center" vertical="center"/>
    </xf>
    <xf numFmtId="0" fontId="0" fillId="0" borderId="212" xfId="0" applyBorder="1" applyAlignment="1">
      <alignment horizontal="center" vertical="center"/>
    </xf>
    <xf numFmtId="0" fontId="0" fillId="0" borderId="207" xfId="0" applyBorder="1" applyAlignment="1">
      <alignment horizontal="center" vertical="center"/>
    </xf>
    <xf numFmtId="0" fontId="0" fillId="17" borderId="208" xfId="0" applyFill="1" applyBorder="1" applyAlignment="1">
      <alignment horizontal="center" vertical="center"/>
    </xf>
    <xf numFmtId="0" fontId="0" fillId="0" borderId="206" xfId="0" applyBorder="1" applyAlignment="1">
      <alignment horizontal="center" vertical="center"/>
    </xf>
    <xf numFmtId="0" fontId="0" fillId="0" borderId="202" xfId="0" applyBorder="1" applyAlignment="1">
      <alignment horizontal="center" vertical="center"/>
    </xf>
    <xf numFmtId="0" fontId="0" fillId="0" borderId="203" xfId="0" applyBorder="1" applyAlignment="1" applyProtection="1">
      <alignment horizontal="center" vertical="center"/>
      <protection locked="0"/>
    </xf>
    <xf numFmtId="0" fontId="22" fillId="0" borderId="203" xfId="0" applyFont="1" applyBorder="1" applyAlignment="1">
      <alignment horizontal="center" vertical="center"/>
    </xf>
    <xf numFmtId="0" fontId="0" fillId="0" borderId="204" xfId="0" applyBorder="1" applyAlignment="1">
      <alignment horizontal="center" vertical="center"/>
    </xf>
    <xf numFmtId="0" fontId="0" fillId="17" borderId="209" xfId="0" applyFill="1" applyBorder="1" applyAlignment="1">
      <alignment horizontal="center" vertical="center"/>
    </xf>
    <xf numFmtId="0" fontId="0" fillId="0" borderId="62" xfId="0" applyBorder="1"/>
    <xf numFmtId="0" fontId="0" fillId="0" borderId="129" xfId="0" quotePrefix="1" applyBorder="1" applyAlignment="1">
      <alignment horizontal="center"/>
    </xf>
    <xf numFmtId="0" fontId="0" fillId="0" borderId="133" xfId="0" quotePrefix="1" applyBorder="1" applyAlignment="1">
      <alignment horizontal="center"/>
    </xf>
    <xf numFmtId="0" fontId="0" fillId="0" borderId="130" xfId="0" applyBorder="1" applyAlignment="1">
      <alignment horizontal="center"/>
    </xf>
    <xf numFmtId="0" fontId="0" fillId="0" borderId="44" xfId="0" applyBorder="1" applyAlignment="1">
      <alignment horizontal="center"/>
    </xf>
    <xf numFmtId="0" fontId="0" fillId="0" borderId="134" xfId="0" applyBorder="1" applyAlignment="1">
      <alignment horizontal="center"/>
    </xf>
    <xf numFmtId="0" fontId="0" fillId="6" borderId="0" xfId="0" applyFill="1"/>
    <xf numFmtId="0" fontId="13" fillId="22" borderId="197" xfId="0" applyFont="1" applyFill="1" applyBorder="1" applyAlignment="1">
      <alignment horizontal="center" vertical="center"/>
    </xf>
    <xf numFmtId="0" fontId="13" fillId="23" borderId="199" xfId="0" applyFont="1" applyFill="1" applyBorder="1" applyAlignment="1">
      <alignment horizontal="center" vertical="center"/>
    </xf>
    <xf numFmtId="0" fontId="13" fillId="23" borderId="197" xfId="0" applyFont="1" applyFill="1" applyBorder="1" applyAlignment="1">
      <alignment horizontal="center" vertical="center"/>
    </xf>
    <xf numFmtId="0" fontId="13" fillId="23" borderId="198" xfId="0" applyFont="1" applyFill="1" applyBorder="1" applyAlignment="1">
      <alignment horizontal="left" vertical="center"/>
    </xf>
    <xf numFmtId="0" fontId="13" fillId="23" borderId="200" xfId="0" applyFont="1" applyFill="1" applyBorder="1" applyAlignment="1">
      <alignment horizontal="left" vertical="top"/>
    </xf>
    <xf numFmtId="0" fontId="13" fillId="22" borderId="195" xfId="0" applyFont="1" applyFill="1" applyBorder="1" applyAlignment="1">
      <alignment horizontal="center" vertical="center"/>
    </xf>
    <xf numFmtId="0" fontId="13" fillId="22" borderId="196" xfId="0" applyFont="1" applyFill="1" applyBorder="1" applyAlignment="1">
      <alignment horizontal="left" vertical="center"/>
    </xf>
    <xf numFmtId="0" fontId="13" fillId="22" borderId="198" xfId="0" applyFont="1" applyFill="1" applyBorder="1" applyAlignment="1">
      <alignment horizontal="left" vertical="center"/>
    </xf>
    <xf numFmtId="169" fontId="0" fillId="0" borderId="0" xfId="0" applyNumberFormat="1"/>
    <xf numFmtId="169" fontId="0" fillId="0" borderId="25" xfId="0" applyNumberFormat="1" applyBorder="1"/>
    <xf numFmtId="169" fontId="0" fillId="0" borderId="23" xfId="0" applyNumberFormat="1" applyBorder="1"/>
    <xf numFmtId="169" fontId="0" fillId="0" borderId="20" xfId="0" applyNumberFormat="1" applyBorder="1"/>
    <xf numFmtId="0" fontId="15" fillId="22" borderId="10" xfId="0" applyFont="1" applyFill="1" applyBorder="1"/>
    <xf numFmtId="0" fontId="15" fillId="23" borderId="188" xfId="0" applyFont="1" applyFill="1" applyBorder="1" applyAlignment="1">
      <alignment horizontal="left" indent="1"/>
    </xf>
    <xf numFmtId="0" fontId="15" fillId="23" borderId="189" xfId="0" applyFont="1" applyFill="1" applyBorder="1" applyAlignment="1">
      <alignment horizontal="left"/>
    </xf>
    <xf numFmtId="0" fontId="0" fillId="2" borderId="37" xfId="0" applyFill="1" applyBorder="1" applyAlignment="1" applyProtection="1">
      <alignment horizontal="left" vertical="top" wrapText="1" indent="1"/>
      <protection locked="0"/>
    </xf>
    <xf numFmtId="0" fontId="0" fillId="6" borderId="38" xfId="0" applyFill="1" applyBorder="1" applyAlignment="1" applyProtection="1">
      <alignment horizontal="left" vertical="top" wrapText="1" indent="1"/>
      <protection locked="0"/>
    </xf>
    <xf numFmtId="0" fontId="0" fillId="10" borderId="38" xfId="0" applyFill="1" applyBorder="1" applyAlignment="1" applyProtection="1">
      <alignment horizontal="left" vertical="top" wrapText="1" indent="1"/>
      <protection locked="0"/>
    </xf>
    <xf numFmtId="0" fontId="0" fillId="11" borderId="38" xfId="0" applyFill="1" applyBorder="1" applyAlignment="1" applyProtection="1">
      <alignment horizontal="left" vertical="top" wrapText="1" indent="1"/>
      <protection locked="0"/>
    </xf>
    <xf numFmtId="0" fontId="0" fillId="5" borderId="45" xfId="0" applyFill="1" applyBorder="1" applyAlignment="1" applyProtection="1">
      <alignment horizontal="left" vertical="top" wrapText="1" indent="1"/>
      <protection locked="0"/>
    </xf>
    <xf numFmtId="0" fontId="0" fillId="2" borderId="214" xfId="0" applyFill="1" applyBorder="1" applyAlignment="1" applyProtection="1">
      <alignment horizontal="left" vertical="top" wrapText="1" indent="1"/>
      <protection locked="0"/>
    </xf>
    <xf numFmtId="0" fontId="0" fillId="6" borderId="215" xfId="0" applyFill="1" applyBorder="1" applyAlignment="1" applyProtection="1">
      <alignment horizontal="left" vertical="top" wrapText="1" indent="1"/>
      <protection locked="0"/>
    </xf>
    <xf numFmtId="0" fontId="0" fillId="10" borderId="215" xfId="0" applyFill="1" applyBorder="1" applyAlignment="1" applyProtection="1">
      <alignment horizontal="left" vertical="top" wrapText="1" indent="1"/>
      <protection locked="0"/>
    </xf>
    <xf numFmtId="0" fontId="0" fillId="11" borderId="215" xfId="0" applyFill="1" applyBorder="1" applyAlignment="1" applyProtection="1">
      <alignment horizontal="left" vertical="top" wrapText="1" indent="1"/>
      <protection locked="0"/>
    </xf>
    <xf numFmtId="0" fontId="0" fillId="5" borderId="216" xfId="0" applyFill="1" applyBorder="1" applyAlignment="1" applyProtection="1">
      <alignment horizontal="left" vertical="top" wrapText="1" indent="1"/>
      <protection locked="0"/>
    </xf>
    <xf numFmtId="0" fontId="0" fillId="2" borderId="41" xfId="0" applyFill="1" applyBorder="1" applyAlignment="1" applyProtection="1">
      <alignment horizontal="left" vertical="top" wrapText="1" indent="1"/>
      <protection locked="0"/>
    </xf>
    <xf numFmtId="0" fontId="0" fillId="6" borderId="42" xfId="0" applyFill="1" applyBorder="1" applyAlignment="1" applyProtection="1">
      <alignment horizontal="left" vertical="top" wrapText="1" indent="1"/>
      <protection locked="0"/>
    </xf>
    <xf numFmtId="0" fontId="0" fillId="10" borderId="42" xfId="0" applyFill="1" applyBorder="1" applyAlignment="1" applyProtection="1">
      <alignment horizontal="left" vertical="top" wrapText="1" indent="1"/>
      <protection locked="0"/>
    </xf>
    <xf numFmtId="0" fontId="0" fillId="11" borderId="42" xfId="0" applyFill="1" applyBorder="1" applyAlignment="1" applyProtection="1">
      <alignment horizontal="left" vertical="top" wrapText="1" indent="1"/>
      <protection locked="0"/>
    </xf>
    <xf numFmtId="0" fontId="0" fillId="5" borderId="47" xfId="0" applyFill="1" applyBorder="1" applyAlignment="1" applyProtection="1">
      <alignment horizontal="left" vertical="top" wrapText="1" indent="1"/>
      <protection locked="0"/>
    </xf>
    <xf numFmtId="0" fontId="69" fillId="0" borderId="0" xfId="0" applyFont="1" applyAlignment="1">
      <alignment horizontal="right" vertical="top" wrapText="1"/>
    </xf>
    <xf numFmtId="0" fontId="78" fillId="0" borderId="0" xfId="0" applyFont="1" applyAlignment="1">
      <alignment horizontal="center"/>
    </xf>
    <xf numFmtId="0" fontId="20" fillId="0" borderId="0" xfId="0" applyFont="1" applyAlignment="1">
      <alignment horizontal="center" vertical="top"/>
    </xf>
    <xf numFmtId="0" fontId="0" fillId="24" borderId="38" xfId="0" applyFill="1" applyBorder="1" applyAlignment="1" applyProtection="1">
      <alignment horizontal="left" indent="1"/>
      <protection locked="0"/>
    </xf>
    <xf numFmtId="0" fontId="0" fillId="0" borderId="0" xfId="0" applyAlignment="1">
      <alignment horizontal="left" vertical="top" wrapText="1" indent="1"/>
    </xf>
    <xf numFmtId="0" fontId="35" fillId="0" borderId="36" xfId="0" applyFont="1" applyBorder="1" applyAlignment="1">
      <alignment horizontal="left" vertical="top" wrapText="1" indent="1"/>
    </xf>
    <xf numFmtId="0" fontId="0" fillId="0" borderId="57" xfId="0" applyBorder="1" applyAlignment="1">
      <alignment horizontal="left" vertical="top" wrapText="1" indent="1"/>
    </xf>
    <xf numFmtId="0" fontId="0" fillId="2" borderId="37" xfId="0" applyFill="1" applyBorder="1" applyAlignment="1">
      <alignment horizontal="left" vertical="top" wrapText="1" indent="1"/>
    </xf>
    <xf numFmtId="0" fontId="0" fillId="10" borderId="79" xfId="0" applyFill="1" applyBorder="1" applyAlignment="1" applyProtection="1">
      <alignment horizontal="left" vertical="top" wrapText="1" indent="1"/>
      <protection locked="0"/>
    </xf>
    <xf numFmtId="0" fontId="0" fillId="5" borderId="80" xfId="0" applyFill="1" applyBorder="1" applyAlignment="1" applyProtection="1">
      <alignment horizontal="left" vertical="top" wrapText="1" indent="1"/>
      <protection locked="0"/>
    </xf>
    <xf numFmtId="0" fontId="0" fillId="2" borderId="36" xfId="0" applyFill="1" applyBorder="1" applyAlignment="1" applyProtection="1">
      <alignment horizontal="left" vertical="top" wrapText="1" indent="1"/>
      <protection locked="0"/>
    </xf>
    <xf numFmtId="0" fontId="0" fillId="6" borderId="58" xfId="0" applyFill="1" applyBorder="1" applyAlignment="1" applyProtection="1">
      <alignment horizontal="left" vertical="top" wrapText="1" indent="1"/>
      <protection locked="0"/>
    </xf>
    <xf numFmtId="0" fontId="0" fillId="10" borderId="58" xfId="0" applyFill="1" applyBorder="1" applyAlignment="1" applyProtection="1">
      <alignment horizontal="left" vertical="top" wrapText="1" indent="1"/>
      <protection locked="0"/>
    </xf>
    <xf numFmtId="0" fontId="0" fillId="11" borderId="58" xfId="0" applyFill="1" applyBorder="1" applyAlignment="1" applyProtection="1">
      <alignment horizontal="left" vertical="top" wrapText="1" indent="1"/>
      <protection locked="0"/>
    </xf>
    <xf numFmtId="0" fontId="0" fillId="10" borderId="84" xfId="0" applyFill="1" applyBorder="1" applyAlignment="1" applyProtection="1">
      <alignment horizontal="left" vertical="top" wrapText="1" indent="1"/>
      <protection locked="0"/>
    </xf>
    <xf numFmtId="0" fontId="35" fillId="0" borderId="34" xfId="0" applyFont="1" applyBorder="1" applyAlignment="1">
      <alignment horizontal="left" vertical="top" wrapText="1" indent="1"/>
    </xf>
    <xf numFmtId="0" fontId="0" fillId="0" borderId="35" xfId="0" applyBorder="1" applyAlignment="1">
      <alignment horizontal="left" vertical="top" wrapText="1" indent="1"/>
    </xf>
    <xf numFmtId="0" fontId="0" fillId="0" borderId="56" xfId="0" applyBorder="1" applyAlignment="1">
      <alignment horizontal="left" vertical="top" wrapText="1" indent="1"/>
    </xf>
    <xf numFmtId="0" fontId="1" fillId="5" borderId="43" xfId="0" applyFont="1" applyFill="1" applyBorder="1" applyAlignment="1" applyProtection="1">
      <alignment horizontal="center" vertical="center"/>
      <protection locked="0"/>
    </xf>
    <xf numFmtId="0" fontId="15" fillId="22" borderId="9" xfId="0" applyFont="1" applyFill="1" applyBorder="1" applyAlignment="1">
      <alignment horizontal="left" indent="1"/>
    </xf>
    <xf numFmtId="0" fontId="85" fillId="0" borderId="221" xfId="0" applyFont="1" applyBorder="1" applyAlignment="1">
      <alignment horizontal="center" vertical="center" wrapText="1"/>
    </xf>
    <xf numFmtId="0" fontId="0" fillId="0" borderId="35" xfId="0" applyBorder="1"/>
    <xf numFmtId="0" fontId="0" fillId="0" borderId="35" xfId="0" applyBorder="1" applyAlignment="1">
      <alignment wrapText="1"/>
    </xf>
    <xf numFmtId="0" fontId="0" fillId="0" borderId="56" xfId="0" applyBorder="1"/>
    <xf numFmtId="0" fontId="0" fillId="5" borderId="80" xfId="0" applyFill="1" applyBorder="1" applyAlignment="1" applyProtection="1">
      <alignment horizontal="left" vertical="center" wrapText="1" indent="1"/>
      <protection locked="0"/>
    </xf>
    <xf numFmtId="0" fontId="0" fillId="2" borderId="37" xfId="0" applyFill="1" applyBorder="1" applyAlignment="1">
      <alignment horizontal="left" indent="1"/>
    </xf>
    <xf numFmtId="0" fontId="0" fillId="2" borderId="37" xfId="0" applyFill="1" applyBorder="1" applyAlignment="1" applyProtection="1">
      <alignment horizontal="left" wrapText="1" indent="1"/>
      <protection locked="0"/>
    </xf>
    <xf numFmtId="0" fontId="0" fillId="6" borderId="38" xfId="0" applyFill="1" applyBorder="1" applyAlignment="1" applyProtection="1">
      <alignment horizontal="left" wrapText="1" indent="1"/>
      <protection locked="0"/>
    </xf>
    <xf numFmtId="0" fontId="0" fillId="10" borderId="38" xfId="0" applyFill="1" applyBorder="1" applyAlignment="1" applyProtection="1">
      <alignment horizontal="left" wrapText="1" indent="1"/>
      <protection locked="0"/>
    </xf>
    <xf numFmtId="0" fontId="0" fillId="11" borderId="38" xfId="0" applyFill="1" applyBorder="1" applyAlignment="1" applyProtection="1">
      <alignment horizontal="left" wrapText="1" indent="1"/>
      <protection locked="0"/>
    </xf>
    <xf numFmtId="0" fontId="0" fillId="5" borderId="47" xfId="0" applyFill="1" applyBorder="1" applyAlignment="1" applyProtection="1">
      <alignment horizontal="left" vertical="center" wrapText="1" indent="1"/>
      <protection locked="0"/>
    </xf>
    <xf numFmtId="0" fontId="0" fillId="0" borderId="0" xfId="0" applyAlignment="1">
      <alignment horizontal="center"/>
    </xf>
    <xf numFmtId="14" fontId="86" fillId="0" borderId="0" xfId="0" applyNumberFormat="1" applyFont="1"/>
    <xf numFmtId="0" fontId="12"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vertical="top" wrapText="1" indent="1"/>
    </xf>
    <xf numFmtId="0" fontId="20" fillId="0" borderId="0" xfId="0" applyFont="1" applyAlignment="1">
      <alignment horizontal="center" vertical="top"/>
    </xf>
    <xf numFmtId="0" fontId="0" fillId="0" borderId="0" xfId="0" applyAlignment="1">
      <alignment horizontal="left" vertical="top" wrapText="1" indent="1"/>
    </xf>
    <xf numFmtId="0" fontId="20" fillId="0" borderId="0" xfId="0" applyFont="1" applyAlignment="1">
      <alignment horizontal="center" vertical="top"/>
    </xf>
    <xf numFmtId="0" fontId="0" fillId="22" borderId="217" xfId="0" applyFill="1" applyBorder="1" applyAlignment="1" applyProtection="1">
      <alignment horizontal="left" indent="1"/>
      <protection locked="0"/>
    </xf>
    <xf numFmtId="0" fontId="0" fillId="22" borderId="218" xfId="0" applyFill="1" applyBorder="1" applyAlignment="1" applyProtection="1">
      <alignment horizontal="left" indent="1"/>
      <protection locked="0"/>
    </xf>
    <xf numFmtId="0" fontId="0" fillId="22" borderId="217" xfId="0" applyFill="1" applyBorder="1" applyAlignment="1" applyProtection="1">
      <alignment horizontal="left" vertical="top" wrapText="1" indent="1"/>
      <protection locked="0"/>
    </xf>
    <xf numFmtId="0" fontId="0" fillId="22" borderId="219" xfId="0" applyFill="1" applyBorder="1" applyAlignment="1" applyProtection="1">
      <alignment horizontal="left" vertical="top" wrapText="1" indent="1"/>
      <protection locked="0"/>
    </xf>
    <xf numFmtId="0" fontId="0" fillId="22" borderId="0" xfId="0" applyFill="1" applyBorder="1" applyAlignment="1" applyProtection="1">
      <alignment horizontal="left" vertical="top" wrapText="1" indent="1"/>
      <protection locked="0"/>
    </xf>
    <xf numFmtId="0" fontId="0" fillId="22" borderId="218" xfId="0" applyFill="1" applyBorder="1" applyAlignment="1" applyProtection="1">
      <alignment horizontal="left" vertical="top" wrapText="1" indent="1"/>
      <protection locked="0"/>
    </xf>
    <xf numFmtId="0" fontId="0" fillId="22" borderId="220" xfId="0" applyFill="1" applyBorder="1" applyAlignment="1" applyProtection="1">
      <alignment horizontal="left" vertical="top" wrapText="1" indent="1"/>
      <protection locked="0"/>
    </xf>
    <xf numFmtId="0" fontId="0" fillId="22" borderId="219" xfId="0" applyFill="1" applyBorder="1" applyAlignment="1" applyProtection="1">
      <alignment horizontal="left" indent="1"/>
      <protection locked="0"/>
    </xf>
    <xf numFmtId="0" fontId="0" fillId="22" borderId="219" xfId="0" applyFill="1" applyBorder="1" applyAlignment="1" applyProtection="1">
      <alignment horizontal="left" wrapText="1" indent="1"/>
      <protection locked="0"/>
    </xf>
    <xf numFmtId="0" fontId="0" fillId="0" borderId="0" xfId="0" applyAlignment="1">
      <alignment horizontal="left" vertical="top" wrapText="1" indent="1"/>
    </xf>
    <xf numFmtId="0" fontId="78" fillId="0" borderId="0" xfId="0" applyFont="1" applyAlignment="1">
      <alignment horizontal="center"/>
    </xf>
    <xf numFmtId="0" fontId="20" fillId="0" borderId="0" xfId="0" applyFont="1" applyAlignment="1">
      <alignment horizontal="center" vertical="top"/>
    </xf>
    <xf numFmtId="0" fontId="0" fillId="26" borderId="222" xfId="0" applyFill="1" applyBorder="1" applyAlignment="1">
      <alignment vertical="top" wrapText="1"/>
    </xf>
    <xf numFmtId="0" fontId="0" fillId="26" borderId="223" xfId="0" applyFill="1" applyBorder="1" applyAlignment="1">
      <alignment vertical="top" wrapText="1"/>
    </xf>
    <xf numFmtId="0" fontId="69" fillId="0" borderId="0" xfId="0" applyFont="1" applyAlignment="1">
      <alignment vertical="center" wrapText="1"/>
    </xf>
    <xf numFmtId="0" fontId="69" fillId="0" borderId="0" xfId="0" applyFont="1" applyBorder="1" applyAlignment="1">
      <alignment vertical="center" wrapText="1"/>
    </xf>
    <xf numFmtId="0" fontId="0" fillId="0" borderId="0" xfId="0" applyBorder="1"/>
    <xf numFmtId="0" fontId="0" fillId="24" borderId="42" xfId="0" applyFill="1" applyBorder="1" applyAlignment="1" applyProtection="1">
      <alignment horizontal="left" indent="1"/>
      <protection locked="0"/>
    </xf>
    <xf numFmtId="0" fontId="0" fillId="24" borderId="38" xfId="0" applyFill="1" applyBorder="1" applyAlignment="1" applyProtection="1">
      <alignment horizontal="left" vertical="top" wrapText="1" indent="1"/>
      <protection locked="0"/>
    </xf>
    <xf numFmtId="0" fontId="0" fillId="24" borderId="224" xfId="0" applyFill="1" applyBorder="1" applyAlignment="1" applyProtection="1">
      <alignment horizontal="left" vertical="top" wrapText="1" indent="1"/>
      <protection locked="0"/>
    </xf>
    <xf numFmtId="0" fontId="0" fillId="24" borderId="226" xfId="0" applyFill="1" applyBorder="1" applyAlignment="1" applyProtection="1">
      <alignment horizontal="left" vertical="top" wrapText="1" indent="1"/>
      <protection locked="0"/>
    </xf>
    <xf numFmtId="0" fontId="0" fillId="22" borderId="227" xfId="0" applyFill="1" applyBorder="1" applyAlignment="1" applyProtection="1">
      <alignment horizontal="left" vertical="top" wrapText="1" indent="1"/>
      <protection locked="0"/>
    </xf>
    <xf numFmtId="0" fontId="0" fillId="24" borderId="229" xfId="0" applyFill="1" applyBorder="1" applyAlignment="1" applyProtection="1">
      <alignment horizontal="left" vertical="top" wrapText="1" indent="1"/>
      <protection locked="0"/>
    </xf>
    <xf numFmtId="0" fontId="0" fillId="22" borderId="88" xfId="0" applyFill="1" applyBorder="1" applyAlignment="1" applyProtection="1">
      <alignment horizontal="left" vertical="top" wrapText="1" indent="1"/>
      <protection locked="0"/>
    </xf>
    <xf numFmtId="0" fontId="0" fillId="22" borderId="228" xfId="0" applyFill="1" applyBorder="1" applyAlignment="1" applyProtection="1">
      <alignment horizontal="left" vertical="top" wrapText="1" indent="1"/>
      <protection locked="0"/>
    </xf>
    <xf numFmtId="0" fontId="0" fillId="24" borderId="230" xfId="0" applyFill="1" applyBorder="1" applyAlignment="1" applyProtection="1">
      <alignment horizontal="left" vertical="top" wrapText="1" indent="1"/>
      <protection locked="0"/>
    </xf>
    <xf numFmtId="0" fontId="0" fillId="22" borderId="231" xfId="0" applyFill="1" applyBorder="1" applyAlignment="1" applyProtection="1">
      <alignment horizontal="left" vertical="top" wrapText="1" indent="1"/>
      <protection locked="0"/>
    </xf>
    <xf numFmtId="0" fontId="0" fillId="0" borderId="217" xfId="0" applyBorder="1" applyAlignment="1">
      <alignment horizontal="left" vertical="top" wrapText="1" indent="1"/>
    </xf>
    <xf numFmtId="0" fontId="0" fillId="24" borderId="232" xfId="0" applyFill="1" applyBorder="1" applyAlignment="1" applyProtection="1">
      <alignment horizontal="left" vertical="top" wrapText="1" indent="1"/>
      <protection locked="0"/>
    </xf>
    <xf numFmtId="0" fontId="0" fillId="22" borderId="233" xfId="0" applyFill="1" applyBorder="1" applyAlignment="1" applyProtection="1">
      <alignment horizontal="left" vertical="top" wrapText="1" indent="1"/>
      <protection locked="0"/>
    </xf>
    <xf numFmtId="0" fontId="0" fillId="22" borderId="225" xfId="0" applyFill="1" applyBorder="1" applyAlignment="1" applyProtection="1">
      <alignment horizontal="left" vertical="top" wrapText="1" indent="1"/>
      <protection locked="0"/>
    </xf>
    <xf numFmtId="0" fontId="0" fillId="24" borderId="234" xfId="0" applyFill="1" applyBorder="1" applyAlignment="1" applyProtection="1">
      <alignment horizontal="left" vertical="top" wrapText="1" indent="1"/>
      <protection locked="0"/>
    </xf>
    <xf numFmtId="0" fontId="0" fillId="22" borderId="235" xfId="0" applyFill="1" applyBorder="1" applyAlignment="1" applyProtection="1">
      <alignment horizontal="left" vertical="top" wrapText="1" indent="1"/>
      <protection locked="0"/>
    </xf>
    <xf numFmtId="0" fontId="0" fillId="24" borderId="236" xfId="0" applyFill="1" applyBorder="1" applyAlignment="1" applyProtection="1">
      <alignment horizontal="left" vertical="top" wrapText="1" indent="1"/>
      <protection locked="0"/>
    </xf>
    <xf numFmtId="0" fontId="0" fillId="22" borderId="237" xfId="0" applyFill="1" applyBorder="1" applyAlignment="1" applyProtection="1">
      <alignment horizontal="left" vertical="top" wrapText="1" indent="1"/>
      <protection locked="0"/>
    </xf>
    <xf numFmtId="0" fontId="0" fillId="25" borderId="224" xfId="0" applyFill="1" applyBorder="1" applyAlignment="1" applyProtection="1">
      <alignment horizontal="left" vertical="top" wrapText="1"/>
      <protection locked="0"/>
    </xf>
    <xf numFmtId="0" fontId="0" fillId="22" borderId="233" xfId="0" applyFill="1" applyBorder="1" applyAlignment="1" applyProtection="1">
      <alignment horizontal="left" indent="1"/>
      <protection locked="0"/>
    </xf>
    <xf numFmtId="0" fontId="0" fillId="25" borderId="224" xfId="0" applyFill="1" applyBorder="1" applyAlignment="1" applyProtection="1">
      <alignment horizontal="left" wrapText="1"/>
      <protection locked="0"/>
    </xf>
    <xf numFmtId="0" fontId="0" fillId="22" borderId="233" xfId="0" applyFill="1" applyBorder="1" applyAlignment="1" applyProtection="1">
      <alignment horizontal="left" wrapText="1" indent="1"/>
      <protection locked="0"/>
    </xf>
    <xf numFmtId="0" fontId="0" fillId="25" borderId="236" xfId="0" applyFill="1" applyBorder="1" applyAlignment="1" applyProtection="1">
      <alignment horizontal="left" vertical="top" wrapText="1"/>
      <protection locked="0"/>
    </xf>
    <xf numFmtId="0" fontId="0" fillId="22" borderId="237" xfId="0" applyFill="1" applyBorder="1" applyAlignment="1" applyProtection="1">
      <alignment horizontal="left" indent="1"/>
      <protection locked="0"/>
    </xf>
    <xf numFmtId="0" fontId="73" fillId="13" borderId="0" xfId="0" applyFont="1" applyFill="1" applyAlignment="1">
      <alignment horizontal="center" vertical="center"/>
    </xf>
    <xf numFmtId="0" fontId="67" fillId="12" borderId="3" xfId="0" applyFont="1" applyFill="1" applyBorder="1" applyAlignment="1">
      <alignment horizontal="center" vertical="center"/>
    </xf>
    <xf numFmtId="0" fontId="67" fillId="12" borderId="186" xfId="0" applyFont="1" applyFill="1" applyBorder="1" applyAlignment="1">
      <alignment horizontal="center" vertical="center"/>
    </xf>
    <xf numFmtId="0" fontId="67" fillId="12" borderId="4" xfId="0" applyFont="1" applyFill="1" applyBorder="1" applyAlignment="1">
      <alignment horizontal="center" vertical="center"/>
    </xf>
    <xf numFmtId="0" fontId="75" fillId="0" borderId="0" xfId="0" applyFont="1" applyAlignment="1">
      <alignment horizontal="center"/>
    </xf>
    <xf numFmtId="0" fontId="7" fillId="0" borderId="0" xfId="0" applyFont="1" applyAlignment="1">
      <alignment horizontal="right"/>
    </xf>
    <xf numFmtId="0" fontId="23" fillId="0" borderId="0" xfId="0" applyFont="1"/>
    <xf numFmtId="0" fontId="34" fillId="0" borderId="0" xfId="1" applyAlignment="1" applyProtection="1">
      <alignment horizontal="right"/>
      <protection locked="0"/>
    </xf>
    <xf numFmtId="0" fontId="49" fillId="20" borderId="1" xfId="0" applyFont="1" applyFill="1" applyBorder="1" applyAlignment="1">
      <alignment horizontal="center" vertical="center"/>
    </xf>
    <xf numFmtId="0" fontId="49" fillId="20" borderId="13" xfId="0" applyFont="1" applyFill="1" applyBorder="1" applyAlignment="1">
      <alignment horizontal="center" vertical="center"/>
    </xf>
    <xf numFmtId="0" fontId="49" fillId="20" borderId="2" xfId="0" applyFont="1" applyFill="1" applyBorder="1" applyAlignment="1">
      <alignment horizontal="center" vertical="center"/>
    </xf>
    <xf numFmtId="0" fontId="0" fillId="13" borderId="5" xfId="0" applyFill="1" applyBorder="1" applyAlignment="1">
      <alignment horizontal="center"/>
    </xf>
    <xf numFmtId="0" fontId="0" fillId="13" borderId="0" xfId="0" applyFill="1" applyAlignment="1">
      <alignment horizontal="center"/>
    </xf>
    <xf numFmtId="0" fontId="0" fillId="13" borderId="6" xfId="0" applyFill="1" applyBorder="1" applyAlignment="1">
      <alignment horizontal="center"/>
    </xf>
    <xf numFmtId="0" fontId="72" fillId="13" borderId="0" xfId="0" applyFont="1" applyFill="1" applyAlignment="1">
      <alignment horizontal="center" vertical="center"/>
    </xf>
    <xf numFmtId="166" fontId="7" fillId="12" borderId="5" xfId="0" applyNumberFormat="1" applyFont="1" applyFill="1" applyBorder="1" applyAlignment="1">
      <alignment horizontal="center"/>
    </xf>
    <xf numFmtId="166" fontId="7" fillId="12" borderId="0" xfId="0" applyNumberFormat="1" applyFont="1" applyFill="1" applyAlignment="1">
      <alignment horizontal="center"/>
    </xf>
    <xf numFmtId="166" fontId="7" fillId="12" borderId="6" xfId="0" applyNumberFormat="1" applyFont="1" applyFill="1" applyBorder="1" applyAlignment="1">
      <alignment horizontal="center"/>
    </xf>
    <xf numFmtId="0" fontId="9" fillId="20" borderId="13" xfId="0" applyFont="1" applyFill="1" applyBorder="1" applyAlignment="1">
      <alignment horizontal="center" vertical="center"/>
    </xf>
    <xf numFmtId="0" fontId="75" fillId="0" borderId="0" xfId="0" applyFont="1" applyAlignment="1">
      <alignment horizontal="center" vertical="center"/>
    </xf>
    <xf numFmtId="0" fontId="67" fillId="12" borderId="5" xfId="0" applyFont="1" applyFill="1" applyBorder="1" applyAlignment="1">
      <alignment horizontal="center" vertical="center"/>
    </xf>
    <xf numFmtId="0" fontId="67" fillId="12" borderId="6" xfId="0" applyFont="1" applyFill="1" applyBorder="1" applyAlignment="1">
      <alignment horizontal="center" vertical="center"/>
    </xf>
    <xf numFmtId="0" fontId="9" fillId="19" borderId="11" xfId="0" applyFont="1" applyFill="1" applyBorder="1" applyAlignment="1">
      <alignment horizontal="center" vertical="center"/>
    </xf>
    <xf numFmtId="0" fontId="9" fillId="19" borderId="12" xfId="0" applyFont="1" applyFill="1" applyBorder="1" applyAlignment="1">
      <alignment horizontal="center" vertical="center"/>
    </xf>
    <xf numFmtId="0" fontId="0" fillId="13" borderId="3" xfId="0" applyFill="1" applyBorder="1" applyAlignment="1">
      <alignment horizontal="center"/>
    </xf>
    <xf numFmtId="0" fontId="0" fillId="13" borderId="4" xfId="0" applyFill="1" applyBorder="1" applyAlignment="1">
      <alignment horizontal="center"/>
    </xf>
    <xf numFmtId="0" fontId="15" fillId="23" borderId="9" xfId="0" applyFont="1" applyFill="1" applyBorder="1" applyAlignment="1">
      <alignment horizontal="left" indent="1"/>
    </xf>
    <xf numFmtId="0" fontId="15" fillId="23" borderId="10" xfId="0" applyFont="1" applyFill="1" applyBorder="1" applyAlignment="1">
      <alignment horizontal="left" indent="1"/>
    </xf>
    <xf numFmtId="0" fontId="64" fillId="0" borderId="5" xfId="0" applyFont="1" applyBorder="1" applyAlignment="1">
      <alignment horizontal="left" indent="1"/>
    </xf>
    <xf numFmtId="0" fontId="64" fillId="0" borderId="6" xfId="0" applyFont="1" applyBorder="1" applyAlignment="1">
      <alignment horizontal="left" indent="1"/>
    </xf>
    <xf numFmtId="0" fontId="15" fillId="22" borderId="9" xfId="0" applyFont="1" applyFill="1" applyBorder="1" applyAlignment="1">
      <alignment horizontal="left" indent="1"/>
    </xf>
    <xf numFmtId="0" fontId="15" fillId="22" borderId="10" xfId="0" applyFont="1" applyFill="1" applyBorder="1" applyAlignment="1">
      <alignment horizontal="left" indent="1"/>
    </xf>
    <xf numFmtId="0" fontId="7" fillId="0" borderId="190" xfId="0" applyFont="1" applyBorder="1" applyAlignment="1">
      <alignment horizontal="center"/>
    </xf>
    <xf numFmtId="0" fontId="7" fillId="0" borderId="191" xfId="0" applyFont="1" applyBorder="1" applyAlignment="1">
      <alignment horizontal="center"/>
    </xf>
    <xf numFmtId="0" fontId="15" fillId="0" borderId="192" xfId="0" applyFont="1" applyBorder="1" applyAlignment="1">
      <alignment horizontal="center" vertical="top"/>
    </xf>
    <xf numFmtId="0" fontId="15" fillId="0" borderId="193" xfId="0" applyFont="1" applyBorder="1" applyAlignment="1">
      <alignment horizontal="center" vertical="top"/>
    </xf>
    <xf numFmtId="0" fontId="71" fillId="0" borderId="14" xfId="0" applyFont="1" applyBorder="1" applyAlignment="1">
      <alignment horizontal="center"/>
    </xf>
    <xf numFmtId="0" fontId="40" fillId="18" borderId="9" xfId="0" applyFont="1" applyFill="1" applyBorder="1" applyAlignment="1">
      <alignment horizontal="center"/>
    </xf>
    <xf numFmtId="0" fontId="40" fillId="18" borderId="10" xfId="0" applyFont="1" applyFill="1" applyBorder="1" applyAlignment="1">
      <alignment horizontal="center"/>
    </xf>
    <xf numFmtId="0" fontId="62" fillId="5" borderId="139" xfId="0" applyFont="1" applyFill="1" applyBorder="1" applyAlignment="1">
      <alignment horizontal="left" vertical="top" wrapText="1" indent="1"/>
    </xf>
    <xf numFmtId="0" fontId="62" fillId="5" borderId="0" xfId="0" applyFont="1" applyFill="1" applyAlignment="1">
      <alignment horizontal="left" vertical="top" wrapText="1" indent="1"/>
    </xf>
    <xf numFmtId="0" fontId="62" fillId="5" borderId="140" xfId="0" applyFont="1" applyFill="1" applyBorder="1" applyAlignment="1">
      <alignment horizontal="left" vertical="top" wrapText="1" indent="1"/>
    </xf>
    <xf numFmtId="0" fontId="62" fillId="5" borderId="141" xfId="0" applyFont="1" applyFill="1" applyBorder="1" applyAlignment="1">
      <alignment horizontal="left" vertical="top" wrapText="1" indent="1"/>
    </xf>
    <xf numFmtId="0" fontId="62" fillId="5" borderId="142" xfId="0" applyFont="1" applyFill="1" applyBorder="1" applyAlignment="1">
      <alignment horizontal="left" vertical="top" wrapText="1" indent="1"/>
    </xf>
    <xf numFmtId="0" fontId="62" fillId="5" borderId="143" xfId="0" applyFont="1" applyFill="1" applyBorder="1" applyAlignment="1">
      <alignment horizontal="left" vertical="top" wrapText="1" indent="1"/>
    </xf>
    <xf numFmtId="0" fontId="84" fillId="5" borderId="136" xfId="0" applyFont="1" applyFill="1" applyBorder="1" applyAlignment="1">
      <alignment horizontal="center" vertical="center" wrapText="1"/>
    </xf>
    <xf numFmtId="0" fontId="84" fillId="5" borderId="137" xfId="0" applyFont="1" applyFill="1" applyBorder="1" applyAlignment="1">
      <alignment horizontal="center" vertical="center" wrapText="1"/>
    </xf>
    <xf numFmtId="0" fontId="84" fillId="5" borderId="138" xfId="0" applyFont="1" applyFill="1" applyBorder="1" applyAlignment="1">
      <alignment horizontal="center" vertical="center" wrapText="1"/>
    </xf>
    <xf numFmtId="0" fontId="84" fillId="5" borderId="139" xfId="0" applyFont="1" applyFill="1" applyBorder="1" applyAlignment="1">
      <alignment horizontal="center" vertical="center" wrapText="1"/>
    </xf>
    <xf numFmtId="0" fontId="84" fillId="5" borderId="0" xfId="0" applyFont="1" applyFill="1" applyAlignment="1">
      <alignment horizontal="center" vertical="center" wrapText="1"/>
    </xf>
    <xf numFmtId="0" fontId="84" fillId="5" borderId="140" xfId="0" applyFont="1" applyFill="1" applyBorder="1" applyAlignment="1">
      <alignment horizontal="center" vertical="center" wrapText="1"/>
    </xf>
    <xf numFmtId="0" fontId="81" fillId="5" borderId="139" xfId="0" applyFont="1" applyFill="1" applyBorder="1" applyAlignment="1">
      <alignment horizontal="left" vertical="top" indent="2"/>
    </xf>
    <xf numFmtId="0" fontId="81" fillId="5" borderId="0" xfId="0" applyFont="1" applyFill="1" applyAlignment="1">
      <alignment horizontal="left" vertical="top" indent="2"/>
    </xf>
    <xf numFmtId="0" fontId="81" fillId="5" borderId="140" xfId="0" applyFont="1" applyFill="1" applyBorder="1" applyAlignment="1">
      <alignment horizontal="left" vertical="top" indent="2"/>
    </xf>
    <xf numFmtId="0" fontId="62" fillId="5" borderId="139" xfId="0" applyFont="1" applyFill="1" applyBorder="1" applyAlignment="1">
      <alignment horizontal="left" vertical="justify" wrapText="1" indent="1"/>
    </xf>
    <xf numFmtId="0" fontId="62" fillId="5" borderId="0" xfId="0" applyFont="1" applyFill="1" applyAlignment="1">
      <alignment horizontal="left" vertical="justify" wrapText="1" indent="1"/>
    </xf>
    <xf numFmtId="0" fontId="62" fillId="5" borderId="140" xfId="0" applyFont="1" applyFill="1" applyBorder="1" applyAlignment="1">
      <alignment horizontal="left" vertical="justify" wrapText="1" indent="1"/>
    </xf>
    <xf numFmtId="0" fontId="80" fillId="5" borderId="136" xfId="0" applyFont="1" applyFill="1" applyBorder="1" applyAlignment="1">
      <alignment horizontal="center"/>
    </xf>
    <xf numFmtId="0" fontId="80" fillId="5" borderId="137" xfId="0" applyFont="1" applyFill="1" applyBorder="1" applyAlignment="1">
      <alignment horizontal="center"/>
    </xf>
    <xf numFmtId="0" fontId="80" fillId="5" borderId="138" xfId="0" applyFont="1" applyFill="1" applyBorder="1" applyAlignment="1">
      <alignment horizontal="center"/>
    </xf>
    <xf numFmtId="0" fontId="80" fillId="5" borderId="139" xfId="0" applyFont="1" applyFill="1" applyBorder="1" applyAlignment="1">
      <alignment horizontal="center"/>
    </xf>
    <xf numFmtId="0" fontId="80" fillId="5" borderId="0" xfId="0" applyFont="1" applyFill="1" applyAlignment="1">
      <alignment horizontal="center"/>
    </xf>
    <xf numFmtId="0" fontId="80" fillId="5" borderId="140" xfId="0" applyFont="1" applyFill="1" applyBorder="1" applyAlignment="1">
      <alignment horizontal="center"/>
    </xf>
    <xf numFmtId="0" fontId="32" fillId="0" borderId="0" xfId="0" applyFont="1" applyAlignment="1">
      <alignment horizontal="center" vertical="center"/>
    </xf>
    <xf numFmtId="0" fontId="39" fillId="18" borderId="1" xfId="0" applyFont="1" applyFill="1" applyBorder="1" applyAlignment="1">
      <alignment horizontal="center"/>
    </xf>
    <xf numFmtId="0" fontId="39" fillId="18" borderId="2" xfId="0" applyFont="1" applyFill="1" applyBorder="1" applyAlignment="1">
      <alignment horizontal="center"/>
    </xf>
    <xf numFmtId="0" fontId="4" fillId="0" borderId="0" xfId="0" applyFont="1" applyAlignment="1">
      <alignment horizontal="center" wrapText="1"/>
    </xf>
    <xf numFmtId="0" fontId="68" fillId="0" borderId="0" xfId="0" applyFont="1" applyAlignment="1">
      <alignment horizontal="center"/>
    </xf>
    <xf numFmtId="0" fontId="70" fillId="0" borderId="0" xfId="0" applyFont="1" applyAlignment="1">
      <alignment horizontal="center" vertical="center"/>
    </xf>
    <xf numFmtId="0" fontId="71" fillId="0" borderId="14" xfId="0" applyFont="1" applyBorder="1" applyAlignment="1">
      <alignment horizontal="center" vertical="center"/>
    </xf>
    <xf numFmtId="0" fontId="83" fillId="0" borderId="0" xfId="0" applyFont="1" applyAlignment="1">
      <alignment horizontal="center"/>
    </xf>
    <xf numFmtId="0" fontId="76" fillId="0" borderId="0" xfId="0" applyFont="1" applyAlignment="1">
      <alignment horizontal="center" vertical="center"/>
    </xf>
    <xf numFmtId="0" fontId="69" fillId="0" borderId="0" xfId="0" applyFont="1" applyAlignment="1">
      <alignment vertical="center"/>
    </xf>
    <xf numFmtId="0" fontId="74" fillId="0" borderId="0" xfId="0" applyFont="1" applyAlignment="1">
      <alignment horizontal="center" vertical="center" wrapText="1"/>
    </xf>
    <xf numFmtId="0" fontId="77" fillId="0" borderId="0" xfId="0" applyFont="1" applyAlignment="1">
      <alignment horizontal="center"/>
    </xf>
    <xf numFmtId="0" fontId="0" fillId="0" borderId="0" xfId="0" applyAlignment="1">
      <alignment horizontal="center"/>
    </xf>
    <xf numFmtId="0" fontId="66" fillId="0" borderId="145" xfId="0" applyFont="1" applyBorder="1" applyAlignment="1">
      <alignment horizontal="center" vertical="top" wrapText="1"/>
    </xf>
    <xf numFmtId="0" fontId="66" fillId="0" borderId="146" xfId="0" applyFont="1" applyBorder="1" applyAlignment="1">
      <alignment horizontal="center" vertical="top" wrapText="1"/>
    </xf>
    <xf numFmtId="0" fontId="66" fillId="0" borderId="147" xfId="0" applyFont="1" applyBorder="1" applyAlignment="1">
      <alignment horizontal="center" vertical="top" wrapText="1"/>
    </xf>
    <xf numFmtId="0" fontId="78" fillId="0" borderId="0" xfId="0" applyFont="1" applyAlignment="1">
      <alignment horizontal="center"/>
    </xf>
    <xf numFmtId="0" fontId="0" fillId="14" borderId="110" xfId="0" applyFill="1" applyBorder="1" applyAlignment="1">
      <alignment horizontal="center" vertical="center" wrapText="1"/>
    </xf>
    <xf numFmtId="0" fontId="0" fillId="14" borderId="113" xfId="0" applyFill="1" applyBorder="1" applyAlignment="1">
      <alignment horizontal="center" vertical="center"/>
    </xf>
    <xf numFmtId="0" fontId="20" fillId="0" borderId="0" xfId="0" applyFont="1" applyAlignment="1">
      <alignment horizontal="center" vertical="top"/>
    </xf>
    <xf numFmtId="0" fontId="4" fillId="14" borderId="65" xfId="0" applyFont="1" applyFill="1" applyBorder="1" applyAlignment="1">
      <alignment horizontal="center" vertical="center" wrapText="1"/>
    </xf>
    <xf numFmtId="0" fontId="4" fillId="14" borderId="108" xfId="0" applyFont="1" applyFill="1" applyBorder="1" applyAlignment="1">
      <alignment horizontal="center" vertical="center"/>
    </xf>
    <xf numFmtId="0" fontId="0" fillId="14" borderId="109" xfId="0" applyFill="1" applyBorder="1" applyAlignment="1">
      <alignment horizontal="center" vertical="center" wrapText="1"/>
    </xf>
    <xf numFmtId="0" fontId="0" fillId="14" borderId="112" xfId="0" applyFill="1" applyBorder="1" applyAlignment="1">
      <alignment horizontal="center" vertical="center"/>
    </xf>
    <xf numFmtId="0" fontId="0" fillId="0" borderId="66" xfId="0" applyBorder="1" applyAlignment="1" applyProtection="1">
      <alignment horizontal="center"/>
      <protection locked="0"/>
    </xf>
    <xf numFmtId="0" fontId="0" fillId="14" borderId="106" xfId="0" applyFill="1" applyBorder="1" applyAlignment="1">
      <alignment horizontal="center" vertical="center" wrapText="1"/>
    </xf>
    <xf numFmtId="0" fontId="0" fillId="14" borderId="111" xfId="0" applyFill="1" applyBorder="1" applyAlignment="1">
      <alignment horizontal="center" vertical="center"/>
    </xf>
    <xf numFmtId="0" fontId="69" fillId="0" borderId="0" xfId="0" applyFont="1" applyAlignment="1">
      <alignment horizontal="right" vertical="center" wrapText="1" indent="1"/>
    </xf>
    <xf numFmtId="0" fontId="3" fillId="5" borderId="85" xfId="0" applyFont="1" applyFill="1" applyBorder="1" applyAlignment="1" applyProtection="1">
      <alignment horizontal="center" vertical="center"/>
      <protection locked="0"/>
    </xf>
    <xf numFmtId="0" fontId="3" fillId="5" borderId="86" xfId="0" applyFont="1" applyFill="1" applyBorder="1" applyAlignment="1" applyProtection="1">
      <alignment horizontal="center" vertical="center"/>
      <protection locked="0"/>
    </xf>
    <xf numFmtId="0" fontId="69" fillId="0" borderId="0" xfId="0" applyFont="1" applyAlignment="1">
      <alignment horizontal="left" vertical="center" wrapText="1"/>
    </xf>
    <xf numFmtId="0" fontId="4" fillId="14" borderId="66" xfId="0" applyFont="1" applyFill="1" applyBorder="1" applyAlignment="1">
      <alignment horizontal="center" vertical="center"/>
    </xf>
    <xf numFmtId="0" fontId="4" fillId="14" borderId="106" xfId="0" applyFont="1" applyFill="1" applyBorder="1" applyAlignment="1">
      <alignment horizontal="center" vertical="center" wrapText="1"/>
    </xf>
    <xf numFmtId="0" fontId="4" fillId="14" borderId="107" xfId="0" applyFont="1" applyFill="1" applyBorder="1" applyAlignment="1">
      <alignment horizontal="center" vertical="center"/>
    </xf>
    <xf numFmtId="0" fontId="4" fillId="14" borderId="56" xfId="0" applyFont="1" applyFill="1" applyBorder="1" applyAlignment="1">
      <alignment horizontal="center" vertical="center" wrapText="1"/>
    </xf>
    <xf numFmtId="0" fontId="4" fillId="14" borderId="57" xfId="0" applyFont="1" applyFill="1" applyBorder="1" applyAlignment="1">
      <alignment horizontal="center" vertical="center"/>
    </xf>
    <xf numFmtId="0" fontId="22" fillId="0" borderId="71" xfId="0" applyFont="1" applyBorder="1" applyAlignment="1">
      <alignment horizontal="center" wrapText="1"/>
    </xf>
    <xf numFmtId="0" fontId="79" fillId="0" borderId="0" xfId="0" applyFont="1" applyAlignment="1">
      <alignment horizontal="center"/>
    </xf>
    <xf numFmtId="0" fontId="17" fillId="0" borderId="0" xfId="0" applyFont="1" applyAlignment="1">
      <alignment horizontal="center" vertical="center"/>
    </xf>
    <xf numFmtId="0" fontId="20" fillId="0" borderId="0" xfId="0" applyFont="1" applyAlignment="1">
      <alignment horizontal="center" vertical="center"/>
    </xf>
    <xf numFmtId="0" fontId="30"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17" borderId="213" xfId="0" applyFill="1" applyBorder="1" applyAlignment="1">
      <alignment horizontal="center" vertical="center"/>
    </xf>
    <xf numFmtId="0" fontId="0" fillId="17" borderId="209" xfId="0" applyFill="1" applyBorder="1" applyAlignment="1">
      <alignment horizontal="center" vertical="center"/>
    </xf>
    <xf numFmtId="0" fontId="52" fillId="0" borderId="0" xfId="0" applyFont="1" applyAlignment="1">
      <alignment horizontal="center" vertical="center"/>
    </xf>
    <xf numFmtId="0" fontId="29" fillId="0" borderId="0" xfId="0" applyFont="1" applyAlignment="1">
      <alignment horizontal="center"/>
    </xf>
    <xf numFmtId="0" fontId="0" fillId="0" borderId="22" xfId="0" applyBorder="1" applyAlignment="1">
      <alignment horizontal="right"/>
    </xf>
    <xf numFmtId="0" fontId="0" fillId="0" borderId="21" xfId="0" applyBorder="1" applyAlignment="1">
      <alignment horizontal="right"/>
    </xf>
    <xf numFmtId="0" fontId="22" fillId="0" borderId="29" xfId="0" applyFont="1" applyBorder="1" applyAlignment="1">
      <alignment horizontal="center"/>
    </xf>
    <xf numFmtId="0" fontId="0" fillId="0" borderId="27" xfId="0" applyBorder="1" applyAlignment="1">
      <alignment horizontal="right"/>
    </xf>
    <xf numFmtId="0" fontId="0" fillId="0" borderId="26" xfId="0" applyBorder="1" applyAlignment="1">
      <alignment horizontal="right"/>
    </xf>
    <xf numFmtId="0" fontId="0" fillId="0" borderId="24" xfId="0" applyBorder="1" applyAlignment="1">
      <alignment horizontal="right"/>
    </xf>
    <xf numFmtId="0" fontId="0" fillId="0" borderId="0" xfId="0" applyAlignment="1">
      <alignment horizontal="right"/>
    </xf>
    <xf numFmtId="0" fontId="52" fillId="0" borderId="0" xfId="0" quotePrefix="1" applyFont="1" applyAlignment="1">
      <alignment horizontal="center"/>
    </xf>
    <xf numFmtId="0" fontId="54" fillId="0" borderId="0" xfId="0" applyFont="1" applyAlignment="1">
      <alignment horizontal="center"/>
    </xf>
  </cellXfs>
  <cellStyles count="2">
    <cellStyle name="Link" xfId="1" builtinId="8"/>
    <cellStyle name="Standard" xfId="0" builtinId="0"/>
  </cellStyles>
  <dxfs count="226">
    <dxf>
      <font>
        <b/>
        <i val="0"/>
      </font>
    </dxf>
    <dxf>
      <font>
        <b/>
        <i val="0"/>
      </font>
    </dxf>
    <dxf>
      <font>
        <b/>
        <i val="0"/>
      </font>
    </dxf>
    <dxf>
      <fill>
        <patternFill>
          <bgColor rgb="FFEDFBC1"/>
        </patternFill>
      </fill>
    </dxf>
    <dxf>
      <font>
        <b/>
        <i val="0"/>
      </font>
      <fill>
        <patternFill>
          <bgColor rgb="FFFFFF66"/>
        </patternFill>
      </fill>
    </dxf>
    <dxf>
      <font>
        <b/>
        <i val="0"/>
      </font>
      <fill>
        <patternFill>
          <bgColor rgb="FFFFFF66"/>
        </patternFill>
      </fill>
    </dxf>
    <dxf>
      <font>
        <b/>
        <i val="0"/>
      </font>
      <fill>
        <patternFill>
          <bgColor rgb="FFFFFF66"/>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b val="0"/>
        <i val="0"/>
        <color rgb="FFC02000"/>
      </font>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C02000"/>
      </font>
    </dxf>
    <dxf>
      <font>
        <color theme="1"/>
      </font>
    </dxf>
    <dxf>
      <font>
        <color theme="1"/>
      </font>
    </dxf>
    <dxf>
      <font>
        <color rgb="FFC02000"/>
      </font>
    </dxf>
    <dxf>
      <font>
        <color theme="1"/>
      </font>
    </dxf>
    <dxf>
      <font>
        <color theme="1"/>
      </font>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ill>
        <patternFill>
          <bgColor theme="7" tint="0.39994506668294322"/>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ont>
        <b/>
        <i val="0"/>
        <color theme="1"/>
      </font>
      <fill>
        <patternFill patternType="solid">
          <bgColor rgb="FFFFFF00"/>
        </patternFill>
      </fill>
    </dxf>
  </dxfs>
  <tableStyles count="0" defaultTableStyle="TableStyleMedium2" defaultPivotStyle="PivotStyleLight16"/>
  <colors>
    <mruColors>
      <color rgb="FFF9F9F9"/>
      <color rgb="FFF0FDCE"/>
      <color rgb="FFFFFF66"/>
      <color rgb="FFFFFF00"/>
      <color rgb="FFFDEFE7"/>
      <color rgb="FFDE500A"/>
      <color rgb="FFFFEEDB"/>
      <color rgb="FFFFF4E0"/>
      <color rgb="FFF4FFDA"/>
      <color rgb="FFF4FF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219075</xdr:colOff>
      <xdr:row>0</xdr:row>
      <xdr:rowOff>180975</xdr:rowOff>
    </xdr:from>
    <xdr:to>
      <xdr:col>22</xdr:col>
      <xdr:colOff>676275</xdr:colOff>
      <xdr:row>9</xdr:row>
      <xdr:rowOff>0</xdr:rowOff>
    </xdr:to>
    <xdr:pic>
      <xdr:nvPicPr>
        <xdr:cNvPr id="2" name="Grafik 1">
          <a:extLst>
            <a:ext uri="{FF2B5EF4-FFF2-40B4-BE49-F238E27FC236}">
              <a16:creationId xmlns:a16="http://schemas.microsoft.com/office/drawing/2014/main" id="{3A4212FD-3FCF-4A43-8C53-92CD28A4FA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39875" y="180975"/>
          <a:ext cx="1714500" cy="2143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rmann-baum.de/excel/UEFA_EURO/de/" TargetMode="External"/><Relationship Id="rId1" Type="http://schemas.openxmlformats.org/officeDocument/2006/relationships/hyperlink" Target="https://hermann-baum.de/excel/WorldCup2022/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dimension ref="A1:Z93"/>
  <sheetViews>
    <sheetView showGridLines="0" showRowColHeaders="0" tabSelected="1" workbookViewId="0">
      <selection activeCell="B14" sqref="B14"/>
    </sheetView>
  </sheetViews>
  <sheetFormatPr baseColWidth="10" defaultColWidth="0" defaultRowHeight="15" zeroHeight="1" x14ac:dyDescent="0.25"/>
  <cols>
    <col min="1" max="1" width="5.140625" customWidth="1"/>
    <col min="2" max="3" width="13.140625" customWidth="1"/>
    <col min="4" max="4" width="5.7109375" customWidth="1"/>
    <col min="5" max="6" width="13.140625" customWidth="1"/>
    <col min="7" max="7" width="5.7109375" customWidth="1"/>
    <col min="8" max="9" width="13.140625" customWidth="1"/>
    <col min="10" max="10" width="5.7109375" customWidth="1"/>
    <col min="11" max="12" width="13.140625" customWidth="1"/>
    <col min="13" max="13" width="5.7109375" customWidth="1"/>
    <col min="14" max="15" width="13.140625" customWidth="1"/>
    <col min="16" max="16" width="5.7109375" customWidth="1"/>
    <col min="17" max="18" width="13.140625" customWidth="1"/>
    <col min="19" max="19" width="5.7109375" customWidth="1"/>
    <col min="20" max="21" width="13.140625" customWidth="1"/>
    <col min="22" max="22" width="5.7109375" customWidth="1"/>
    <col min="23" max="24" width="13.140625" customWidth="1"/>
    <col min="25" max="25" width="5.7109375" customWidth="1"/>
    <col min="26" max="26" width="3" customWidth="1"/>
    <col min="27" max="16384" width="11.42578125" hidden="1"/>
  </cols>
  <sheetData>
    <row r="1" spans="1:25" ht="61.5" customHeight="1" x14ac:dyDescent="0.9">
      <c r="B1" s="521"/>
      <c r="C1" s="521"/>
      <c r="D1" s="77"/>
      <c r="E1" s="522" t="str">
        <f>Language!$E$84</f>
        <v>EURO 2024</v>
      </c>
      <c r="F1" s="522"/>
      <c r="G1" s="522"/>
      <c r="H1" s="522"/>
      <c r="I1" s="522"/>
      <c r="J1" s="522"/>
      <c r="K1" s="522"/>
      <c r="L1" s="522"/>
      <c r="M1" s="522"/>
      <c r="N1" s="522"/>
      <c r="O1" s="522"/>
      <c r="P1" s="522"/>
      <c r="Q1" s="522"/>
      <c r="R1" s="522"/>
      <c r="S1" s="522"/>
      <c r="T1" s="522"/>
      <c r="U1" s="522"/>
      <c r="V1" s="77"/>
      <c r="W1" s="77"/>
      <c r="X1" s="375" t="s">
        <v>1684</v>
      </c>
      <c r="Y1" s="23"/>
    </row>
    <row r="2" spans="1:25" ht="14.25" customHeight="1" x14ac:dyDescent="0.9">
      <c r="B2" s="20"/>
      <c r="C2" s="79" t="str">
        <f>Language!$E$102</f>
        <v xml:space="preserve">  Pkt      Tore</v>
      </c>
      <c r="D2" s="18"/>
      <c r="E2" s="20"/>
      <c r="F2" s="79" t="str">
        <f>Language!$E$102</f>
        <v xml:space="preserve">  Pkt      Tore</v>
      </c>
      <c r="G2" s="18"/>
      <c r="H2" s="20"/>
      <c r="I2" s="79" t="str">
        <f>Language!$E$102</f>
        <v xml:space="preserve">  Pkt      Tore</v>
      </c>
      <c r="J2" s="18"/>
      <c r="K2" s="21"/>
      <c r="L2" s="79" t="str">
        <f>Language!$E$102</f>
        <v xml:space="preserve">  Pkt      Tore</v>
      </c>
      <c r="M2" s="18"/>
      <c r="N2" s="20"/>
      <c r="O2" s="79" t="str">
        <f>Language!$E$102</f>
        <v xml:space="preserve">  Pkt      Tore</v>
      </c>
      <c r="P2" s="18"/>
      <c r="Q2" s="20"/>
      <c r="R2" s="79" t="str">
        <f>Language!$E$102</f>
        <v xml:space="preserve">  Pkt      Tore</v>
      </c>
      <c r="S2" s="18"/>
      <c r="T2" s="289"/>
      <c r="U2" s="288"/>
      <c r="V2" s="288"/>
      <c r="W2" s="288"/>
      <c r="X2" s="288"/>
    </row>
    <row r="3" spans="1:25" ht="15.95" customHeight="1" x14ac:dyDescent="0.25">
      <c r="A3" s="4"/>
      <c r="B3" s="350" t="str">
        <f ca="1">GrpA!P11</f>
        <v>Deutschland</v>
      </c>
      <c r="C3" s="351" t="str">
        <f ca="1">"   "&amp;GrpA!$Q11&amp;"        "&amp;GrpA!$S11&amp;Language!$E$146&amp;GrpA!$T11</f>
        <v xml:space="preserve">   0        0 : 0</v>
      </c>
      <c r="D3" s="95"/>
      <c r="E3" s="350" t="str">
        <f ca="1">GrpB!P11</f>
        <v>Spanien</v>
      </c>
      <c r="F3" s="351" t="str">
        <f ca="1">"   "&amp;GrpB!$Q11&amp;"        "&amp;GrpB!$S11&amp;Language!$E$146&amp;GrpB!$T11</f>
        <v xml:space="preserve">   0        0 : 0</v>
      </c>
      <c r="G3" s="95"/>
      <c r="H3" s="350" t="str">
        <f ca="1">GrpC!$P11</f>
        <v>Slowenien</v>
      </c>
      <c r="I3" s="351" t="str">
        <f ca="1">"   "&amp;GrpC!$Q11&amp;"        "&amp;GrpC!$S11&amp;Language!$E$146&amp;GrpC!$T11</f>
        <v xml:space="preserve">   0        0 : 0</v>
      </c>
      <c r="J3" s="4"/>
      <c r="K3" s="350" t="str">
        <f ca="1">GrpD!$P11</f>
        <v>Polen</v>
      </c>
      <c r="L3" s="351" t="str">
        <f ca="1">"   "&amp;GrpD!$Q11&amp;"        "&amp;GrpD!$S11&amp;Language!$E$146&amp;GrpD!$T11</f>
        <v xml:space="preserve">   0        0 : 0</v>
      </c>
      <c r="M3" s="4"/>
      <c r="N3" s="350" t="str">
        <f ca="1">GrpE!$P11</f>
        <v>Belgien</v>
      </c>
      <c r="O3" s="351" t="str">
        <f ca="1">"   "&amp;GrpE!$Q11&amp;"        "&amp;GrpE!$S11&amp;Language!$E$146&amp;GrpE!$T11</f>
        <v xml:space="preserve">   0        0 : 0</v>
      </c>
      <c r="P3" s="95"/>
      <c r="Q3" s="350" t="str">
        <f ca="1">GrpF!$P11</f>
        <v>Türkei</v>
      </c>
      <c r="R3" s="351" t="str">
        <f ca="1">"   "&amp;GrpF!$Q11&amp;"        "&amp;GrpF!$S11&amp;Language!$E$146&amp;GrpF!$T11</f>
        <v xml:space="preserve">   0        0 : 0</v>
      </c>
      <c r="S3" s="4"/>
      <c r="T3" s="288"/>
      <c r="U3" s="288"/>
      <c r="V3" s="288"/>
      <c r="W3" s="288"/>
      <c r="X3" s="288"/>
      <c r="Y3" s="4"/>
    </row>
    <row r="4" spans="1:25" ht="15.95" customHeight="1" x14ac:dyDescent="0.25">
      <c r="A4" s="4"/>
      <c r="B4" s="345" t="str">
        <f ca="1">GrpA!P12</f>
        <v>Schottland</v>
      </c>
      <c r="C4" s="352" t="str">
        <f ca="1">"   "&amp;GrpA!$Q12&amp;"        "&amp;GrpA!$S12&amp;Language!$E$146&amp;GrpA!$T12</f>
        <v xml:space="preserve">   0        0 : 0</v>
      </c>
      <c r="D4" s="95"/>
      <c r="E4" s="345" t="str">
        <f ca="1">GrpB!P12</f>
        <v>Kroatien</v>
      </c>
      <c r="F4" s="352" t="str">
        <f ca="1">"   "&amp;GrpB!$Q12&amp;"        "&amp;GrpB!$S12&amp;Language!$E$146&amp;GrpB!$T12</f>
        <v xml:space="preserve">   0        0 : 0</v>
      </c>
      <c r="G4" s="95"/>
      <c r="H4" s="345" t="str">
        <f ca="1">GrpC!P12</f>
        <v>Dänemark</v>
      </c>
      <c r="I4" s="352" t="str">
        <f ca="1">"   "&amp;GrpC!$Q12&amp;"        "&amp;GrpC!$S12&amp;Language!$E$146&amp;GrpC!$T12</f>
        <v xml:space="preserve">   0        0 : 0</v>
      </c>
      <c r="J4" s="4"/>
      <c r="K4" s="345" t="str">
        <f ca="1">GrpD!$P12</f>
        <v>Niederlande</v>
      </c>
      <c r="L4" s="352" t="str">
        <f ca="1">"   "&amp;GrpD!$Q12&amp;"        "&amp;GrpD!$S12&amp;Language!$E$146&amp;GrpD!$T12</f>
        <v xml:space="preserve">   0        0 : 0</v>
      </c>
      <c r="M4" s="4"/>
      <c r="N4" s="345" t="str">
        <f ca="1">GrpE!$P12</f>
        <v>Slowakei</v>
      </c>
      <c r="O4" s="352" t="str">
        <f ca="1">"   "&amp;GrpE!$Q12&amp;"        "&amp;GrpE!$S12&amp;Language!$E$146&amp;GrpE!$T12</f>
        <v xml:space="preserve">   0        0 : 0</v>
      </c>
      <c r="P4" s="95"/>
      <c r="Q4" s="345" t="str">
        <f ca="1">GrpF!$P12</f>
        <v>Georgien</v>
      </c>
      <c r="R4" s="352" t="str">
        <f ca="1">"   "&amp;GrpF!$Q12&amp;"        "&amp;GrpF!$S12&amp;Language!$E$146&amp;GrpF!$T12</f>
        <v xml:space="preserve">   0        0 : 0</v>
      </c>
      <c r="S4" s="4"/>
      <c r="T4" s="288"/>
      <c r="U4" s="288"/>
      <c r="V4" s="288"/>
      <c r="W4" s="288"/>
      <c r="X4" s="288"/>
      <c r="Y4" s="4"/>
    </row>
    <row r="5" spans="1:25" ht="15.95" customHeight="1" x14ac:dyDescent="0.25">
      <c r="A5" s="4"/>
      <c r="B5" s="347" t="str">
        <f ca="1">GrpA!P13</f>
        <v>Ungarn</v>
      </c>
      <c r="C5" s="348" t="str">
        <f ca="1">"   "&amp;GrpA!$Q13&amp;"        "&amp;GrpA!$S13&amp;Language!$E$146&amp;GrpA!$T13</f>
        <v xml:space="preserve">   0        0 : 0</v>
      </c>
      <c r="D5" s="95"/>
      <c r="E5" s="347" t="str">
        <f ca="1">GrpB!P13</f>
        <v>Italien</v>
      </c>
      <c r="F5" s="348" t="str">
        <f ca="1">"   "&amp;GrpB!$Q13&amp;"        "&amp;GrpB!$S13&amp;Language!$E$146&amp;GrpB!$T13</f>
        <v xml:space="preserve">   0        0 : 0</v>
      </c>
      <c r="G5" s="95"/>
      <c r="H5" s="347" t="str">
        <f ca="1">GrpC!P13</f>
        <v>Serbien</v>
      </c>
      <c r="I5" s="348" t="str">
        <f ca="1">"   "&amp;GrpC!$Q13&amp;"        "&amp;GrpC!$S13&amp;Language!$E$146&amp;GrpC!$T13</f>
        <v xml:space="preserve">   0        0 : 0</v>
      </c>
      <c r="J5" s="4"/>
      <c r="K5" s="347" t="str">
        <f ca="1">GrpD!$P13</f>
        <v>Österreich</v>
      </c>
      <c r="L5" s="348" t="str">
        <f ca="1">"   "&amp;GrpD!$Q13&amp;"        "&amp;GrpD!$S13&amp;Language!$E$146&amp;GrpD!$T13</f>
        <v xml:space="preserve">   0        0 : 0</v>
      </c>
      <c r="M5" s="4"/>
      <c r="N5" s="347" t="str">
        <f ca="1">GrpE!$P13</f>
        <v>Rumänien</v>
      </c>
      <c r="O5" s="348" t="str">
        <f ca="1">"   "&amp;GrpE!$Q13&amp;"        "&amp;GrpE!$S13&amp;Language!$E$146&amp;GrpE!$T13</f>
        <v xml:space="preserve">   0        0 : 0</v>
      </c>
      <c r="P5" s="95"/>
      <c r="Q5" s="347" t="str">
        <f ca="1">GrpF!$P13</f>
        <v>Portugal</v>
      </c>
      <c r="R5" s="348" t="str">
        <f ca="1">"   "&amp;GrpF!$Q13&amp;"        "&amp;GrpF!$S13&amp;Language!$E$146&amp;GrpF!$T13</f>
        <v xml:space="preserve">   0        0 : 0</v>
      </c>
      <c r="S5" s="4"/>
      <c r="T5" s="288"/>
      <c r="U5" s="288"/>
      <c r="V5" s="288"/>
      <c r="W5" s="288"/>
      <c r="X5" s="288"/>
      <c r="Y5" s="4"/>
    </row>
    <row r="6" spans="1:25" s="81" customFormat="1" ht="15.95" customHeight="1" x14ac:dyDescent="0.25">
      <c r="A6" s="80"/>
      <c r="B6" s="346" t="str">
        <f ca="1">GrpA!P14</f>
        <v>Schweiz</v>
      </c>
      <c r="C6" s="349" t="str">
        <f ca="1">"   "&amp;GrpA!$Q14&amp;"        "&amp;GrpA!$S14&amp;Language!$E$146&amp;GrpA!$T14</f>
        <v xml:space="preserve">   0        0 : 0</v>
      </c>
      <c r="D6" s="96"/>
      <c r="E6" s="346" t="str">
        <f ca="1">GrpB!P14</f>
        <v>Albanien</v>
      </c>
      <c r="F6" s="349" t="str">
        <f ca="1">"   "&amp;GrpB!$Q14&amp;"        "&amp;GrpB!$S14&amp;Language!$E$146&amp;GrpB!$T14</f>
        <v xml:space="preserve">   0        0 : 0</v>
      </c>
      <c r="G6" s="96"/>
      <c r="H6" s="346" t="str">
        <f ca="1">GrpC!P14</f>
        <v>England</v>
      </c>
      <c r="I6" s="349" t="str">
        <f ca="1">"   "&amp;GrpC!$Q14&amp;"        "&amp;GrpC!$S14&amp;Language!$E$146&amp;GrpC!$T14</f>
        <v xml:space="preserve">   0        0 : 0</v>
      </c>
      <c r="J6" s="80"/>
      <c r="K6" s="346" t="str">
        <f ca="1">GrpD!$P14</f>
        <v>Frankreich</v>
      </c>
      <c r="L6" s="349" t="str">
        <f ca="1">"   "&amp;GrpD!$Q14&amp;"        "&amp;GrpD!$S14&amp;Language!$E$146&amp;GrpD!$T14</f>
        <v xml:space="preserve">   0        0 : 0</v>
      </c>
      <c r="M6" s="80"/>
      <c r="N6" s="346" t="str">
        <f ca="1">GrpE!$P14</f>
        <v>Ukraine</v>
      </c>
      <c r="O6" s="349" t="str">
        <f ca="1">"   "&amp;GrpE!$Q14&amp;"        "&amp;GrpE!$S14&amp;Language!$E$146&amp;GrpE!$T14</f>
        <v xml:space="preserve">   0        0 : 0</v>
      </c>
      <c r="P6" s="96"/>
      <c r="Q6" s="346" t="str">
        <f ca="1">GrpF!$P14</f>
        <v>Tschechien</v>
      </c>
      <c r="R6" s="349" t="str">
        <f ca="1">"   "&amp;GrpF!$Q14&amp;"        "&amp;GrpF!$S14&amp;Language!$E$146&amp;GrpF!$T14</f>
        <v xml:space="preserve">   0        0 : 0</v>
      </c>
      <c r="S6" s="80"/>
      <c r="T6" s="288"/>
      <c r="U6" s="288"/>
      <c r="V6" s="288"/>
      <c r="W6" s="288"/>
      <c r="X6" s="288"/>
      <c r="Y6" s="80"/>
    </row>
    <row r="7" spans="1:25" ht="13.5" customHeight="1" x14ac:dyDescent="0.25">
      <c r="A7" s="4"/>
      <c r="B7" s="523" t="str">
        <f ca="1">IF(Distinctness!$G$13=0,"",IF(Distinctness!$D$4&gt;0,Distinctness!$J$4,Distinctness!$J$5))</f>
        <v/>
      </c>
      <c r="C7" s="523"/>
      <c r="D7" s="523"/>
      <c r="E7" s="523"/>
      <c r="F7" s="523"/>
      <c r="G7" s="523"/>
      <c r="H7" s="523"/>
      <c r="I7" s="523"/>
      <c r="J7" s="523"/>
      <c r="K7" s="523"/>
      <c r="L7" s="523"/>
      <c r="M7" s="523"/>
      <c r="N7" s="523"/>
      <c r="O7" s="523"/>
      <c r="P7" s="523"/>
      <c r="Q7" s="523"/>
      <c r="R7" s="523"/>
      <c r="S7" s="214"/>
      <c r="T7" s="214"/>
      <c r="U7" s="214"/>
      <c r="V7" s="214"/>
      <c r="W7" s="214"/>
      <c r="X7" s="214"/>
      <c r="Y7" s="4"/>
    </row>
    <row r="8" spans="1:25" ht="11.25" customHeight="1" x14ac:dyDescent="0.25">
      <c r="B8" s="524" t="str">
        <f ca="1">IF(GrpA!$X$11&gt;0,"•","")</f>
        <v/>
      </c>
      <c r="C8" s="524"/>
      <c r="D8" s="114"/>
      <c r="E8" s="524" t="str">
        <f ca="1">IF(GrpB!$X$11&gt;0,"•","")</f>
        <v/>
      </c>
      <c r="F8" s="524"/>
      <c r="G8" s="114"/>
      <c r="H8" s="524" t="str">
        <f ca="1">IF(GrpC!$X$11&gt;0,"•","")</f>
        <v/>
      </c>
      <c r="I8" s="524"/>
      <c r="J8" s="114"/>
      <c r="K8" s="524" t="str">
        <f ca="1">IF(GrpD!$X$11&gt;0,"•","")</f>
        <v/>
      </c>
      <c r="L8" s="524"/>
      <c r="M8" s="19"/>
      <c r="N8" s="524" t="str">
        <f ca="1">IF(GrpE!$X$11&gt;0,"•","")</f>
        <v/>
      </c>
      <c r="O8" s="524"/>
      <c r="P8" s="114"/>
      <c r="Q8" s="524" t="str">
        <f ca="1">IF(GrpF!$X$11&gt;0,"•","")</f>
        <v/>
      </c>
      <c r="R8" s="524"/>
      <c r="S8" s="115"/>
      <c r="T8" s="518"/>
      <c r="U8" s="518"/>
      <c r="V8" s="114"/>
      <c r="W8" s="518"/>
      <c r="X8" s="518"/>
    </row>
    <row r="9" spans="1:25" ht="19.5" customHeight="1" x14ac:dyDescent="0.35">
      <c r="B9" s="519" t="str">
        <f>Language!$E$95&amp;" A"</f>
        <v>Gruppe A</v>
      </c>
      <c r="C9" s="520"/>
      <c r="D9" s="5"/>
      <c r="E9" s="519" t="str">
        <f>Language!$E$95&amp;" B"</f>
        <v>Gruppe B</v>
      </c>
      <c r="F9" s="520"/>
      <c r="H9" s="519" t="str">
        <f>Language!$E$95&amp;" C"</f>
        <v>Gruppe C</v>
      </c>
      <c r="I9" s="520"/>
      <c r="K9" s="519" t="str">
        <f>Language!$E$95&amp;" D"</f>
        <v>Gruppe D</v>
      </c>
      <c r="L9" s="520"/>
      <c r="N9" s="519" t="str">
        <f>Language!$E$95&amp;" E"</f>
        <v>Gruppe E</v>
      </c>
      <c r="O9" s="520"/>
      <c r="Q9" s="519" t="str">
        <f>Language!$E$95&amp;" F"</f>
        <v>Gruppe F</v>
      </c>
      <c r="R9" s="520"/>
      <c r="T9" s="290"/>
      <c r="U9" s="287"/>
      <c r="V9" s="287"/>
      <c r="W9" s="287"/>
      <c r="X9" s="287"/>
    </row>
    <row r="10" spans="1:25" ht="9.9499999999999993" customHeight="1" thickBot="1" x14ac:dyDescent="0.35">
      <c r="B10" s="52"/>
      <c r="C10" s="52"/>
      <c r="D10" s="5"/>
      <c r="E10" s="52"/>
      <c r="F10" s="52"/>
      <c r="H10" s="52"/>
      <c r="I10" s="52"/>
      <c r="K10" s="52"/>
      <c r="L10" s="52"/>
      <c r="N10" s="52"/>
      <c r="O10" s="52"/>
      <c r="Q10" s="52"/>
      <c r="R10" s="52"/>
      <c r="T10" s="52"/>
      <c r="U10" s="52"/>
      <c r="W10" s="52"/>
      <c r="X10" s="52"/>
    </row>
    <row r="11" spans="1:25" ht="15" customHeight="1" x14ac:dyDescent="0.25">
      <c r="A11" s="105">
        <v>1</v>
      </c>
      <c r="B11" s="479" t="str">
        <f>VLOOKUP(A11,Matches!$B$4:$K$58,7,0)</f>
        <v>München</v>
      </c>
      <c r="C11" s="480"/>
      <c r="D11" s="105">
        <v>3</v>
      </c>
      <c r="E11" s="479" t="str">
        <f>VLOOKUP(D11,Matches!$B$4:$K$58,7,0)</f>
        <v>Berlin</v>
      </c>
      <c r="F11" s="480"/>
      <c r="G11" s="105">
        <v>6</v>
      </c>
      <c r="H11" s="479" t="str">
        <f>VLOOKUP(G11,Matches!$B$4:$K$58,7,0)</f>
        <v>Stuttgart</v>
      </c>
      <c r="I11" s="480"/>
      <c r="J11" s="105">
        <v>7</v>
      </c>
      <c r="K11" s="479" t="str">
        <f>VLOOKUP(J11,Matches!$B$4:$K$58,7,0)</f>
        <v>Hamburg</v>
      </c>
      <c r="L11" s="480"/>
      <c r="M11" s="105">
        <v>10</v>
      </c>
      <c r="N11" s="479" t="str">
        <f>VLOOKUP(M11,Matches!$B$4:$K$58,7,0)</f>
        <v>München</v>
      </c>
      <c r="O11" s="480"/>
      <c r="P11" s="105">
        <v>11</v>
      </c>
      <c r="Q11" s="479" t="str">
        <f>VLOOKUP(P11,Matches!$B$4:$K$58,7,0)</f>
        <v>Dortmund</v>
      </c>
      <c r="R11" s="480"/>
      <c r="S11" s="105"/>
      <c r="T11" s="512" t="str">
        <f>Language!$E$148</f>
        <v>Qualifikation zum Achtelfinale</v>
      </c>
      <c r="U11" s="513"/>
      <c r="V11" s="513"/>
      <c r="W11" s="513"/>
      <c r="X11" s="514"/>
    </row>
    <row r="12" spans="1:25" ht="15" customHeight="1" x14ac:dyDescent="0.25">
      <c r="B12" s="470">
        <f>VLOOKUP(A11,Matches!$B$4:$K$58,5,0)</f>
        <v>45457.875</v>
      </c>
      <c r="C12" s="472"/>
      <c r="E12" s="470">
        <f>VLOOKUP(D11,Matches!$B$4:$K$58,5,0)</f>
        <v>45458.75</v>
      </c>
      <c r="F12" s="472"/>
      <c r="H12" s="470">
        <f>VLOOKUP(G11,Matches!$B$4:$K$58,5,0)</f>
        <v>45459.75</v>
      </c>
      <c r="I12" s="472"/>
      <c r="K12" s="470">
        <f>VLOOKUP(J11,Matches!$B$4:$K$58,5,0)</f>
        <v>45459.625</v>
      </c>
      <c r="L12" s="472"/>
      <c r="N12" s="470">
        <f>VLOOKUP(M11,Matches!$B$4:$K$58,5,0)</f>
        <v>45460.625</v>
      </c>
      <c r="O12" s="472"/>
      <c r="Q12" s="470">
        <f>VLOOKUP(P11,Matches!$B$4:$K$58,5,0)</f>
        <v>45461.75</v>
      </c>
      <c r="R12" s="472"/>
      <c r="T12" s="515"/>
      <c r="U12" s="516"/>
      <c r="V12" s="516"/>
      <c r="W12" s="516"/>
      <c r="X12" s="517"/>
    </row>
    <row r="13" spans="1:25" x14ac:dyDescent="0.25">
      <c r="B13" s="53" t="str">
        <f>VLOOKUP(A11,Matches!$B$4:$K$58,8,0)</f>
        <v>Deutschland</v>
      </c>
      <c r="C13" s="54" t="str">
        <f>VLOOKUP(A11,Matches!$B$4:$K$58,9,0)</f>
        <v>Schottland</v>
      </c>
      <c r="E13" s="53" t="str">
        <f>VLOOKUP(D11,Matches!$B$4:$K$58,8,0)</f>
        <v>Spanien</v>
      </c>
      <c r="F13" s="54" t="str">
        <f>VLOOKUP(D11,Matches!$B$4:$K$58,9,0)</f>
        <v>Kroatien</v>
      </c>
      <c r="H13" s="53" t="str">
        <f>VLOOKUP(G11,Matches!$B$4:$K$58,8,0)</f>
        <v>Slowenien</v>
      </c>
      <c r="I13" s="54" t="str">
        <f>VLOOKUP(G11,Matches!$B$4:$K$58,9,0)</f>
        <v>Dänemark</v>
      </c>
      <c r="K13" s="53" t="str">
        <f>VLOOKUP(J11,Matches!$B$4:$K$58,8,0)</f>
        <v>Polen</v>
      </c>
      <c r="L13" s="54" t="str">
        <f>VLOOKUP(J11,Matches!$B$4:$K$58,9,0)</f>
        <v>Niederlande</v>
      </c>
      <c r="N13" s="53" t="str">
        <f>VLOOKUP(M11,Matches!$B$4:$K$58,8,0)</f>
        <v>Rumänien</v>
      </c>
      <c r="O13" s="54" t="str">
        <f>VLOOKUP(M11,Matches!$B$4:$K$58,9,0)</f>
        <v>Ukraine</v>
      </c>
      <c r="Q13" s="53" t="str">
        <f>VLOOKUP(P11,Matches!$B$4:$K$58,8,0)</f>
        <v>Türkei</v>
      </c>
      <c r="R13" s="54" t="str">
        <f>VLOOKUP(P11,Matches!$B$4:$K$58,9,0)</f>
        <v>Georgien</v>
      </c>
      <c r="T13" s="319"/>
      <c r="U13" s="198"/>
      <c r="V13" s="198"/>
      <c r="W13" s="198"/>
      <c r="X13" s="320"/>
    </row>
    <row r="14" spans="1:25" ht="15.75" thickBot="1" x14ac:dyDescent="0.3">
      <c r="B14" s="1"/>
      <c r="C14" s="2"/>
      <c r="E14" s="1"/>
      <c r="F14" s="2"/>
      <c r="H14" s="1"/>
      <c r="I14" s="2"/>
      <c r="K14" s="1"/>
      <c r="L14" s="2"/>
      <c r="N14" s="1"/>
      <c r="O14" s="2"/>
      <c r="Q14" s="1"/>
      <c r="R14" s="2"/>
      <c r="T14" s="506" t="str">
        <f>Language!$E$149</f>
        <v>Kriterien für die Platzierung innerhalb der Gruppen:</v>
      </c>
      <c r="U14" s="507"/>
      <c r="V14" s="507"/>
      <c r="W14" s="507"/>
      <c r="X14" s="508"/>
    </row>
    <row r="15" spans="1:25" ht="9.9499999999999993" customHeight="1" thickBot="1" x14ac:dyDescent="0.3">
      <c r="B15" s="22"/>
      <c r="C15" s="22"/>
      <c r="E15" s="22"/>
      <c r="F15" s="22"/>
      <c r="H15" s="22"/>
      <c r="I15" s="22"/>
      <c r="K15" s="22"/>
      <c r="L15" s="22"/>
      <c r="N15" s="22"/>
      <c r="O15" s="22"/>
      <c r="Q15" s="22"/>
      <c r="R15" s="22"/>
      <c r="T15" s="506"/>
      <c r="U15" s="507"/>
      <c r="V15" s="507"/>
      <c r="W15" s="507"/>
      <c r="X15" s="508"/>
    </row>
    <row r="16" spans="1:25" ht="15" customHeight="1" x14ac:dyDescent="0.25">
      <c r="A16" s="105">
        <v>2</v>
      </c>
      <c r="B16" s="479" t="str">
        <f>VLOOKUP(A16,Matches!$B$4:$K$58,7,0)</f>
        <v>Köln</v>
      </c>
      <c r="C16" s="480"/>
      <c r="D16" s="105">
        <v>4</v>
      </c>
      <c r="E16" s="479" t="str">
        <f>VLOOKUP(D16,Matches!$B$4:$K$58,7,0)</f>
        <v>Dortmund</v>
      </c>
      <c r="F16" s="480"/>
      <c r="G16" s="105">
        <v>5</v>
      </c>
      <c r="H16" s="479" t="str">
        <f>VLOOKUP(G16,Matches!$B$4:$K$58,7,0)</f>
        <v>Gelsenkirchen</v>
      </c>
      <c r="I16" s="480"/>
      <c r="J16" s="105">
        <v>8</v>
      </c>
      <c r="K16" s="479" t="str">
        <f>VLOOKUP(J16,Matches!$B$4:$K$58,7,0)</f>
        <v>Düsseldorf</v>
      </c>
      <c r="L16" s="480"/>
      <c r="M16" s="105">
        <v>9</v>
      </c>
      <c r="N16" s="479" t="str">
        <f>VLOOKUP(M16,Matches!$B$4:$K$58,7,0)</f>
        <v>Frankfurt</v>
      </c>
      <c r="O16" s="480"/>
      <c r="P16" s="105">
        <v>12</v>
      </c>
      <c r="Q16" s="479" t="str">
        <f>VLOOKUP(P16,Matches!$B$4:$K$58,7,0)</f>
        <v>Leipzig</v>
      </c>
      <c r="R16" s="480"/>
      <c r="S16" s="105"/>
      <c r="T16" s="509" t="str">
        <f>Language!$E$150&amp;CHAR(10)&amp;Language!$E$151&amp;CHAR(10)&amp;Language!$E$152&amp;CHAR(10)&amp;Language!$E$153&amp;CHAR(10)&amp;Language!$E$154&amp;CHAR(10)&amp;Language!$E$155&amp;CHAR(10)&amp;Language!$E$156&amp;CHAR(10)&amp;Language!$E$157&amp;CHAR(10)&amp;Language!$E$158&amp;CHAR(10)&amp;Language!$E$159&amp;CHAR(10)&amp;Language!$E$160&amp;CHAR(10)&amp;Language!$E$161</f>
        <v xml:space="preserve">  1.  Punkte aus allen Gruppenspielen
  2.  Punkte der direkten Begegnungen
  3.  Tordifferenz aus den Direkt-Begegnungen
  4.  Anzahl der in den Direkt-Begegnungen erzielten Tore
  5.  Nochmalige Anwendung der Krit. 2 - 4 nur auf die Mannschaften,
       die beim 1. Durchlauf nicht unterscheidbar waren
  6.  Tordifferenz aus allen Gruppenspielen
  7.  Anzahl der erzielten Tore aus allen Gruppenspielen
  8.  Anzahl der Siege aus allen Gruppenspielen
  9.  Fair-Play-Wertung bzw. Elfmeterschießen im letzten Gruppenspiel,
       wenn die Bedingungen dafür zutreffen
10.  Position in der Schlussrangliste der European Qualifiers</v>
      </c>
      <c r="U16" s="510"/>
      <c r="V16" s="510"/>
      <c r="W16" s="510"/>
      <c r="X16" s="511"/>
    </row>
    <row r="17" spans="1:24" x14ac:dyDescent="0.25">
      <c r="B17" s="470">
        <f>VLOOKUP(A16,Matches!$B$4:$K$58,5,0)</f>
        <v>45458.625</v>
      </c>
      <c r="C17" s="472"/>
      <c r="E17" s="470">
        <f>VLOOKUP(D16,Matches!$B$4:$K$58,5,0)</f>
        <v>45458.875</v>
      </c>
      <c r="F17" s="472"/>
      <c r="H17" s="470">
        <f>VLOOKUP(G16,Matches!$B$4:$K$58,5,0)</f>
        <v>45459.875</v>
      </c>
      <c r="I17" s="472"/>
      <c r="K17" s="470">
        <f>VLOOKUP(J16,Matches!$B$4:$K$58,5,0)</f>
        <v>45460.875</v>
      </c>
      <c r="L17" s="472"/>
      <c r="N17" s="470">
        <f>VLOOKUP(M16,Matches!$B$4:$K$58,5,0)</f>
        <v>45460.75</v>
      </c>
      <c r="O17" s="472"/>
      <c r="Q17" s="470">
        <f>VLOOKUP(P16,Matches!$B$4:$K$58,5,0)</f>
        <v>45461.875</v>
      </c>
      <c r="R17" s="472"/>
      <c r="T17" s="509"/>
      <c r="U17" s="510"/>
      <c r="V17" s="510"/>
      <c r="W17" s="510"/>
      <c r="X17" s="511"/>
    </row>
    <row r="18" spans="1:24" x14ac:dyDescent="0.25">
      <c r="B18" s="53" t="str">
        <f>VLOOKUP(A16,Matches!$B$4:$K$58,8,0)</f>
        <v>Ungarn</v>
      </c>
      <c r="C18" s="54" t="str">
        <f>VLOOKUP(A16,Matches!$B$4:$K$58,9,0)</f>
        <v>Schweiz</v>
      </c>
      <c r="E18" s="53" t="str">
        <f>VLOOKUP(D16,Matches!$B$4:$K$58,8,0)</f>
        <v>Italien</v>
      </c>
      <c r="F18" s="54" t="str">
        <f>VLOOKUP(D16,Matches!$B$4:$K$58,9,0)</f>
        <v>Albanien</v>
      </c>
      <c r="H18" s="53" t="str">
        <f>VLOOKUP(G16,Matches!$B$4:$K$58,8,0)</f>
        <v>Serbien</v>
      </c>
      <c r="I18" s="54" t="str">
        <f>VLOOKUP(G16,Matches!$B$4:$K$58,9,0)</f>
        <v>England</v>
      </c>
      <c r="K18" s="53" t="str">
        <f>VLOOKUP(J16,Matches!$B$4:$K$58,8,0)</f>
        <v>Österreich</v>
      </c>
      <c r="L18" s="54" t="str">
        <f>VLOOKUP(J16,Matches!$B$4:$K$58,9,0)</f>
        <v>Frankreich</v>
      </c>
      <c r="N18" s="53" t="str">
        <f>VLOOKUP(M16,Matches!$B$4:$K$58,8,0)</f>
        <v>Belgien</v>
      </c>
      <c r="O18" s="54" t="str">
        <f>VLOOKUP(M16,Matches!$B$4:$K$58,9,0)</f>
        <v>Slowakei</v>
      </c>
      <c r="Q18" s="53" t="str">
        <f>VLOOKUP(P16,Matches!$B$4:$K$58,8,0)</f>
        <v>Portugal</v>
      </c>
      <c r="R18" s="54" t="str">
        <f>VLOOKUP(P16,Matches!$B$4:$K$58,9,0)</f>
        <v>Tschechien</v>
      </c>
      <c r="T18" s="509"/>
      <c r="U18" s="510"/>
      <c r="V18" s="510"/>
      <c r="W18" s="510"/>
      <c r="X18" s="511"/>
    </row>
    <row r="19" spans="1:24" ht="15.75" thickBot="1" x14ac:dyDescent="0.3">
      <c r="B19" s="1"/>
      <c r="C19" s="2"/>
      <c r="E19" s="1"/>
      <c r="F19" s="2"/>
      <c r="H19" s="1"/>
      <c r="I19" s="2"/>
      <c r="K19" s="1"/>
      <c r="L19" s="2"/>
      <c r="N19" s="1"/>
      <c r="O19" s="2"/>
      <c r="Q19" s="1"/>
      <c r="R19" s="2"/>
      <c r="T19" s="509"/>
      <c r="U19" s="510"/>
      <c r="V19" s="510"/>
      <c r="W19" s="510"/>
      <c r="X19" s="511"/>
    </row>
    <row r="20" spans="1:24" ht="9.9499999999999993" customHeight="1" thickBot="1" x14ac:dyDescent="0.3">
      <c r="B20" s="22"/>
      <c r="C20" s="22"/>
      <c r="E20" s="22"/>
      <c r="F20" s="22"/>
      <c r="H20" s="22"/>
      <c r="I20" s="22"/>
      <c r="K20" s="22"/>
      <c r="L20" s="22"/>
      <c r="N20" s="22"/>
      <c r="O20" s="22"/>
      <c r="Q20" s="22"/>
      <c r="R20" s="22"/>
      <c r="T20" s="509"/>
      <c r="U20" s="510"/>
      <c r="V20" s="510"/>
      <c r="W20" s="510"/>
      <c r="X20" s="511"/>
    </row>
    <row r="21" spans="1:24" x14ac:dyDescent="0.25">
      <c r="A21" s="105">
        <v>14</v>
      </c>
      <c r="B21" s="479" t="str">
        <f>VLOOKUP(A21,Matches!$B$4:$K$58,7,0)</f>
        <v>Stuttgart</v>
      </c>
      <c r="C21" s="480"/>
      <c r="D21" s="105">
        <v>15</v>
      </c>
      <c r="E21" s="479" t="str">
        <f>VLOOKUP(D21,Matches!$B$4:$K$58,7,0)</f>
        <v>Hamburg</v>
      </c>
      <c r="F21" s="480"/>
      <c r="G21" s="105">
        <v>18</v>
      </c>
      <c r="H21" s="479" t="str">
        <f>VLOOKUP(G21,Matches!$B$4:$K$58,7,0)</f>
        <v>München</v>
      </c>
      <c r="I21" s="480"/>
      <c r="J21" s="105">
        <v>19</v>
      </c>
      <c r="K21" s="479" t="str">
        <f>VLOOKUP(J21,Matches!$B$4:$K$58,7,0)</f>
        <v>Berlin</v>
      </c>
      <c r="L21" s="480"/>
      <c r="M21" s="105">
        <v>21</v>
      </c>
      <c r="N21" s="479" t="str">
        <f>VLOOKUP(M21,Matches!$B$4:$K$58,7,0)</f>
        <v>Düsseldorf</v>
      </c>
      <c r="O21" s="480"/>
      <c r="P21" s="105">
        <v>24</v>
      </c>
      <c r="Q21" s="479" t="str">
        <f>VLOOKUP(P21,Matches!$B$4:$K$58,7,0)</f>
        <v>Hamburg</v>
      </c>
      <c r="R21" s="480"/>
      <c r="S21" s="105"/>
      <c r="T21" s="509"/>
      <c r="U21" s="510"/>
      <c r="V21" s="510"/>
      <c r="W21" s="510"/>
      <c r="X21" s="511"/>
    </row>
    <row r="22" spans="1:24" x14ac:dyDescent="0.25">
      <c r="B22" s="470">
        <f>VLOOKUP(A21,Matches!$B$4:$K$58,5,0)</f>
        <v>45462.75</v>
      </c>
      <c r="C22" s="472"/>
      <c r="E22" s="470">
        <f>VLOOKUP(D21,Matches!$B$4:$K$58,5,0)</f>
        <v>45462.625</v>
      </c>
      <c r="F22" s="472"/>
      <c r="H22" s="470">
        <f>VLOOKUP(G21,Matches!$B$4:$K$58,5,0)</f>
        <v>45463.625</v>
      </c>
      <c r="I22" s="472"/>
      <c r="K22" s="470">
        <f>VLOOKUP(J21,Matches!$B$4:$K$58,5,0)</f>
        <v>45464.75</v>
      </c>
      <c r="L22" s="472"/>
      <c r="N22" s="470">
        <f>VLOOKUP(M21,Matches!$B$4:$K$58,5,0)</f>
        <v>45464.625</v>
      </c>
      <c r="O22" s="472"/>
      <c r="Q22" s="470">
        <f>VLOOKUP(P21,Matches!$B$4:$K$58,5,0)</f>
        <v>45465.625</v>
      </c>
      <c r="R22" s="472"/>
      <c r="T22" s="509"/>
      <c r="U22" s="510"/>
      <c r="V22" s="510"/>
      <c r="W22" s="510"/>
      <c r="X22" s="511"/>
    </row>
    <row r="23" spans="1:24" x14ac:dyDescent="0.25">
      <c r="B23" s="53" t="str">
        <f>VLOOKUP(A21,Matches!$B$4:$K$58,8,0)</f>
        <v>Deutschland</v>
      </c>
      <c r="C23" s="54" t="str">
        <f>VLOOKUP(A21,Matches!$B$4:$K$58,9,0)</f>
        <v>Ungarn</v>
      </c>
      <c r="E23" s="53" t="str">
        <f>VLOOKUP(D21,Matches!$B$4:$K$58,8,0)</f>
        <v>Kroatien</v>
      </c>
      <c r="F23" s="54" t="str">
        <f>VLOOKUP(D21,Matches!$B$4:$K$58,9,0)</f>
        <v>Albanien</v>
      </c>
      <c r="H23" s="53" t="str">
        <f>VLOOKUP(G21,Matches!$B$4:$K$58,8,0)</f>
        <v>Slowenien</v>
      </c>
      <c r="I23" s="54" t="str">
        <f>VLOOKUP(G21,Matches!$B$4:$K$58,9,0)</f>
        <v>Serbien</v>
      </c>
      <c r="K23" s="53" t="str">
        <f>VLOOKUP(J21,Matches!$B$4:$K$58,8,0)</f>
        <v>Polen</v>
      </c>
      <c r="L23" s="54" t="str">
        <f>VLOOKUP(J21,Matches!$B$4:$K$58,9,0)</f>
        <v>Österreich</v>
      </c>
      <c r="N23" s="53" t="str">
        <f>VLOOKUP(M21,Matches!$B$4:$K$58,8,0)</f>
        <v>Slowakei</v>
      </c>
      <c r="O23" s="54" t="str">
        <f>VLOOKUP(M21,Matches!$B$4:$K$58,9,0)</f>
        <v>Ukraine</v>
      </c>
      <c r="Q23" s="53" t="str">
        <f>VLOOKUP(P21,Matches!$B$4:$K$58,8,0)</f>
        <v>Georgien</v>
      </c>
      <c r="R23" s="54" t="str">
        <f>VLOOKUP(P21,Matches!$B$4:$K$58,9,0)</f>
        <v>Tschechien</v>
      </c>
      <c r="T23" s="509"/>
      <c r="U23" s="510"/>
      <c r="V23" s="510"/>
      <c r="W23" s="510"/>
      <c r="X23" s="511"/>
    </row>
    <row r="24" spans="1:24" ht="15.75" thickBot="1" x14ac:dyDescent="0.3">
      <c r="B24" s="1"/>
      <c r="C24" s="2"/>
      <c r="E24" s="1"/>
      <c r="F24" s="2"/>
      <c r="H24" s="1"/>
      <c r="I24" s="2"/>
      <c r="K24" s="1"/>
      <c r="L24" s="2"/>
      <c r="N24" s="1"/>
      <c r="O24" s="2"/>
      <c r="Q24" s="1"/>
      <c r="R24" s="2"/>
      <c r="T24" s="509"/>
      <c r="U24" s="510"/>
      <c r="V24" s="510"/>
      <c r="W24" s="510"/>
      <c r="X24" s="511"/>
    </row>
    <row r="25" spans="1:24" ht="9.9499999999999993" customHeight="1" thickBot="1" x14ac:dyDescent="0.3">
      <c r="B25" s="22"/>
      <c r="C25" s="22"/>
      <c r="E25" s="22"/>
      <c r="F25" s="22"/>
      <c r="H25" s="22"/>
      <c r="I25" s="22"/>
      <c r="K25" s="22"/>
      <c r="L25" s="22"/>
      <c r="N25" s="22"/>
      <c r="O25" s="22"/>
      <c r="Q25" s="22"/>
      <c r="R25" s="22"/>
      <c r="T25" s="509"/>
      <c r="U25" s="510"/>
      <c r="V25" s="510"/>
      <c r="W25" s="510"/>
      <c r="X25" s="511"/>
    </row>
    <row r="26" spans="1:24" x14ac:dyDescent="0.25">
      <c r="A26" s="105">
        <v>13</v>
      </c>
      <c r="B26" s="479" t="str">
        <f>VLOOKUP(A26,Matches!$B$4:$K$58,7,0)</f>
        <v>Köln</v>
      </c>
      <c r="C26" s="480"/>
      <c r="D26" s="105">
        <v>16</v>
      </c>
      <c r="E26" s="479" t="str">
        <f>VLOOKUP(D26,Matches!$B$4:$K$58,7,0)</f>
        <v>Gelsenkirchen</v>
      </c>
      <c r="F26" s="480"/>
      <c r="G26" s="105">
        <v>17</v>
      </c>
      <c r="H26" s="479" t="str">
        <f>VLOOKUP(G26,Matches!$B$4:$K$58,7,0)</f>
        <v>Frankfurt</v>
      </c>
      <c r="I26" s="480"/>
      <c r="J26" s="105">
        <v>20</v>
      </c>
      <c r="K26" s="479" t="str">
        <f>VLOOKUP(J26,Matches!$B$4:$K$58,7,0)</f>
        <v>Leipzig</v>
      </c>
      <c r="L26" s="480"/>
      <c r="M26" s="105">
        <v>22</v>
      </c>
      <c r="N26" s="479" t="str">
        <f>VLOOKUP(M26,Matches!$B$4:$K$58,7,0)</f>
        <v>Köln</v>
      </c>
      <c r="O26" s="480"/>
      <c r="P26" s="105">
        <v>23</v>
      </c>
      <c r="Q26" s="479" t="str">
        <f>VLOOKUP(P26,Matches!$B$4:$K$58,7,0)</f>
        <v>Dortmund</v>
      </c>
      <c r="R26" s="480"/>
      <c r="S26" s="105"/>
      <c r="T26" s="509"/>
      <c r="U26" s="510"/>
      <c r="V26" s="510"/>
      <c r="W26" s="510"/>
      <c r="X26" s="511"/>
    </row>
    <row r="27" spans="1:24" x14ac:dyDescent="0.25">
      <c r="B27" s="470">
        <f>VLOOKUP(A26,Matches!$B$4:$K$58,5,0)</f>
        <v>45462.875</v>
      </c>
      <c r="C27" s="472"/>
      <c r="E27" s="470">
        <f>VLOOKUP(D26,Matches!$B$4:$K$58,5,0)</f>
        <v>45463.875</v>
      </c>
      <c r="F27" s="472"/>
      <c r="H27" s="470">
        <f>VLOOKUP(G26,Matches!$B$4:$K$58,5,0)</f>
        <v>45463.75</v>
      </c>
      <c r="I27" s="472"/>
      <c r="K27" s="470">
        <f>VLOOKUP(J26,Matches!$B$4:$K$58,5,0)</f>
        <v>45464.875</v>
      </c>
      <c r="L27" s="472"/>
      <c r="N27" s="470">
        <f>VLOOKUP(M26,Matches!$B$4:$K$58,5,0)</f>
        <v>45465.875</v>
      </c>
      <c r="O27" s="472"/>
      <c r="Q27" s="470">
        <f>VLOOKUP(P26,Matches!$B$4:$K$58,5,0)</f>
        <v>45465.75</v>
      </c>
      <c r="R27" s="472"/>
      <c r="T27" s="509"/>
      <c r="U27" s="510"/>
      <c r="V27" s="510"/>
      <c r="W27" s="510"/>
      <c r="X27" s="511"/>
    </row>
    <row r="28" spans="1:24" x14ac:dyDescent="0.25">
      <c r="B28" s="53" t="str">
        <f>VLOOKUP(A26,Matches!$B$4:$K$58,8,0)</f>
        <v>Schottland</v>
      </c>
      <c r="C28" s="54" t="str">
        <f>VLOOKUP(A26,Matches!$B$4:$K$58,9,0)</f>
        <v>Schweiz</v>
      </c>
      <c r="E28" s="53" t="str">
        <f>VLOOKUP(D26,Matches!$B$4:$K$58,8,0)</f>
        <v>Spanien</v>
      </c>
      <c r="F28" s="54" t="str">
        <f>VLOOKUP(D26,Matches!$B$4:$K$58,9,0)</f>
        <v>Italien</v>
      </c>
      <c r="H28" s="53" t="str">
        <f>VLOOKUP(G26,Matches!$B$4:$K$58,8,0)</f>
        <v>Dänemark</v>
      </c>
      <c r="I28" s="54" t="str">
        <f>VLOOKUP(G26,Matches!$B$4:$K$58,9,0)</f>
        <v>England</v>
      </c>
      <c r="K28" s="53" t="str">
        <f>VLOOKUP(J26,Matches!$B$4:$K$58,8,0)</f>
        <v>Niederlande</v>
      </c>
      <c r="L28" s="54" t="str">
        <f>VLOOKUP(J26,Matches!$B$4:$K$58,9,0)</f>
        <v>Frankreich</v>
      </c>
      <c r="N28" s="53" t="str">
        <f>VLOOKUP(M26,Matches!$B$4:$K$58,8,0)</f>
        <v>Belgien</v>
      </c>
      <c r="O28" s="54" t="str">
        <f>VLOOKUP(M26,Matches!$B$4:$K$58,9,0)</f>
        <v>Rumänien</v>
      </c>
      <c r="Q28" s="53" t="str">
        <f>VLOOKUP(P26,Matches!$B$4:$K$58,8,0)</f>
        <v>Türkei</v>
      </c>
      <c r="R28" s="54" t="str">
        <f>VLOOKUP(P26,Matches!$B$4:$K$58,9,0)</f>
        <v>Portugal</v>
      </c>
      <c r="T28" s="312"/>
      <c r="U28" s="313"/>
      <c r="V28" s="313"/>
      <c r="W28" s="313"/>
      <c r="X28" s="314"/>
    </row>
    <row r="29" spans="1:24" ht="15.75" thickBot="1" x14ac:dyDescent="0.3">
      <c r="B29" s="1"/>
      <c r="C29" s="2"/>
      <c r="E29" s="1"/>
      <c r="F29" s="2"/>
      <c r="H29" s="1"/>
      <c r="I29" s="2"/>
      <c r="K29" s="1"/>
      <c r="L29" s="2"/>
      <c r="N29" s="1"/>
      <c r="O29" s="2"/>
      <c r="Q29" s="1"/>
      <c r="R29" s="2"/>
      <c r="T29" s="315"/>
      <c r="U29" s="316"/>
      <c r="V29" s="316"/>
      <c r="W29" s="316"/>
      <c r="X29" s="317"/>
    </row>
    <row r="30" spans="1:24" ht="9.9499999999999993" customHeight="1" thickBot="1" x14ac:dyDescent="0.3">
      <c r="B30" s="22"/>
      <c r="C30" s="22"/>
      <c r="E30" s="22"/>
      <c r="F30" s="22"/>
      <c r="H30" s="22"/>
      <c r="I30" s="22"/>
      <c r="K30" s="22"/>
      <c r="L30" s="22"/>
      <c r="N30" s="22"/>
      <c r="O30" s="22"/>
      <c r="Q30" s="22"/>
      <c r="R30" s="22"/>
      <c r="T30" s="318"/>
      <c r="U30" s="318"/>
      <c r="V30" s="318"/>
      <c r="W30" s="318"/>
      <c r="X30" s="318"/>
    </row>
    <row r="31" spans="1:24" ht="15" customHeight="1" x14ac:dyDescent="0.25">
      <c r="A31" s="105">
        <v>25</v>
      </c>
      <c r="B31" s="479" t="str">
        <f>VLOOKUP(A31,Matches!$B$4:$K$58,7,0)</f>
        <v>Frankfurt</v>
      </c>
      <c r="C31" s="480"/>
      <c r="D31" s="105">
        <v>27</v>
      </c>
      <c r="E31" s="479" t="str">
        <f>VLOOKUP(D31,Matches!$B$4:$K$58,7,0)</f>
        <v>Düsseldorf</v>
      </c>
      <c r="F31" s="480"/>
      <c r="G31" s="105">
        <v>29</v>
      </c>
      <c r="H31" s="479" t="str">
        <f>VLOOKUP(G31,Matches!$B$4:$K$58,7,0)</f>
        <v>Köln</v>
      </c>
      <c r="I31" s="480"/>
      <c r="J31" s="105">
        <v>31</v>
      </c>
      <c r="K31" s="479" t="str">
        <f>VLOOKUP(J31,Matches!$B$4:$K$58,7,0)</f>
        <v>Berlin</v>
      </c>
      <c r="L31" s="480"/>
      <c r="M31" s="105">
        <v>33</v>
      </c>
      <c r="N31" s="479" t="str">
        <f>VLOOKUP(M31,Matches!$B$4:$K$58,7,0)</f>
        <v>Frankfurt</v>
      </c>
      <c r="O31" s="480"/>
      <c r="P31" s="105">
        <v>35</v>
      </c>
      <c r="Q31" s="479" t="str">
        <f>VLOOKUP(P31,Matches!$B$4:$K$58,7,0)</f>
        <v>Gelsenkirchen</v>
      </c>
      <c r="R31" s="480"/>
      <c r="S31" s="105"/>
      <c r="T31" s="500" t="str">
        <f>Language!$E$134</f>
        <v>Der rote Punkt   •</v>
      </c>
      <c r="U31" s="501"/>
      <c r="V31" s="501"/>
      <c r="W31" s="501"/>
      <c r="X31" s="502"/>
    </row>
    <row r="32" spans="1:24" ht="15" customHeight="1" x14ac:dyDescent="0.25">
      <c r="B32" s="470">
        <f>VLOOKUP(A31,Matches!$B$4:$K$58,5,0)</f>
        <v>45466.875</v>
      </c>
      <c r="C32" s="472"/>
      <c r="E32" s="470">
        <f>VLOOKUP(D31,Matches!$B$4:$K$58,5,0)</f>
        <v>45467.875</v>
      </c>
      <c r="F32" s="472"/>
      <c r="H32" s="470">
        <f>VLOOKUP(G31,Matches!$B$4:$K$58,5,0)</f>
        <v>45468.875</v>
      </c>
      <c r="I32" s="472"/>
      <c r="K32" s="470">
        <f>VLOOKUP(J31,Matches!$B$4:$K$58,5,0)</f>
        <v>45468.75</v>
      </c>
      <c r="L32" s="472"/>
      <c r="N32" s="470">
        <f>VLOOKUP(M31,Matches!$B$4:$K$58,5,0)</f>
        <v>45469.75</v>
      </c>
      <c r="O32" s="472"/>
      <c r="Q32" s="470">
        <f>VLOOKUP(P31,Matches!$B$4:$K$58,5,0)</f>
        <v>45469.875</v>
      </c>
      <c r="R32" s="472"/>
      <c r="T32" s="503"/>
      <c r="U32" s="504"/>
      <c r="V32" s="504"/>
      <c r="W32" s="504"/>
      <c r="X32" s="505"/>
    </row>
    <row r="33" spans="1:25" ht="15" customHeight="1" x14ac:dyDescent="0.25">
      <c r="B33" s="53" t="str">
        <f>VLOOKUP(A31,Matches!$B$4:$K$58,8,0)</f>
        <v>Schweiz</v>
      </c>
      <c r="C33" s="54" t="str">
        <f>VLOOKUP(A31,Matches!$B$4:$K$58,9,0)</f>
        <v>Deutschland</v>
      </c>
      <c r="E33" s="53" t="str">
        <f>VLOOKUP(D31,Matches!$B$4:$K$58,8,0)</f>
        <v>Albanien</v>
      </c>
      <c r="F33" s="54" t="str">
        <f>VLOOKUP(D31,Matches!$B$4:$K$58,9,0)</f>
        <v>Spanien</v>
      </c>
      <c r="H33" s="53" t="str">
        <f>VLOOKUP(G31,Matches!$B$4:$K$58,8,0)</f>
        <v>England</v>
      </c>
      <c r="I33" s="54" t="str">
        <f>VLOOKUP(G31,Matches!$B$4:$K$58,9,0)</f>
        <v>Slowenien</v>
      </c>
      <c r="K33" s="53" t="str">
        <f>VLOOKUP(J31,Matches!$B$4:$K$58,8,0)</f>
        <v>Niederlande</v>
      </c>
      <c r="L33" s="54" t="str">
        <f>VLOOKUP(J31,Matches!$B$4:$K$58,9,0)</f>
        <v>Österreich</v>
      </c>
      <c r="N33" s="53" t="str">
        <f>VLOOKUP(M31,Matches!$B$4:$K$58,8,0)</f>
        <v>Slowakei</v>
      </c>
      <c r="O33" s="54" t="str">
        <f>VLOOKUP(M31,Matches!$B$4:$K$58,9,0)</f>
        <v>Rumänien</v>
      </c>
      <c r="Q33" s="53" t="str">
        <f>VLOOKUP(P31,Matches!$B$4:$K$58,8,0)</f>
        <v>Georgien</v>
      </c>
      <c r="R33" s="54" t="str">
        <f>VLOOKUP(P31,Matches!$B$4:$K$58,9,0)</f>
        <v>Portugal</v>
      </c>
      <c r="T33" s="494" t="str">
        <f>Language!$E$162</f>
        <v>Wenn über dem Gruppennamen ein roter Punkt erscheint, ist die Rangreihenfolge innerhalb der Gruppe nicht geklärt. Die Fair-Play-Wertung oder die Schlussrangliste der European Qualifiers entscheiden dann. In diesem Fall Fair-Play eintragen!</v>
      </c>
      <c r="U33" s="495"/>
      <c r="V33" s="495"/>
      <c r="W33" s="495"/>
      <c r="X33" s="496"/>
    </row>
    <row r="34" spans="1:25" ht="15.75" thickBot="1" x14ac:dyDescent="0.3">
      <c r="B34" s="1"/>
      <c r="C34" s="2"/>
      <c r="E34" s="1"/>
      <c r="F34" s="2"/>
      <c r="H34" s="1"/>
      <c r="I34" s="2"/>
      <c r="K34" s="1"/>
      <c r="L34" s="2"/>
      <c r="N34" s="1"/>
      <c r="O34" s="2"/>
      <c r="Q34" s="1"/>
      <c r="R34" s="2"/>
      <c r="T34" s="494"/>
      <c r="U34" s="495"/>
      <c r="V34" s="495"/>
      <c r="W34" s="495"/>
      <c r="X34" s="496"/>
    </row>
    <row r="35" spans="1:25" ht="9.9499999999999993" customHeight="1" x14ac:dyDescent="0.25">
      <c r="B35" s="475" t="str">
        <f>Language!$E$127</f>
        <v>Elfmeterschießen:</v>
      </c>
      <c r="C35" s="476"/>
      <c r="E35" s="456" t="str">
        <f>Language!$E$127</f>
        <v>Elfmeterschießen:</v>
      </c>
      <c r="F35" s="458"/>
      <c r="H35" s="475" t="str">
        <f>Language!$E$127</f>
        <v>Elfmeterschießen:</v>
      </c>
      <c r="I35" s="476"/>
      <c r="K35" s="475" t="str">
        <f>Language!$E$127</f>
        <v>Elfmeterschießen:</v>
      </c>
      <c r="L35" s="476"/>
      <c r="N35" s="475" t="str">
        <f>Language!$E$127</f>
        <v>Elfmeterschießen:</v>
      </c>
      <c r="O35" s="476"/>
      <c r="Q35" s="475" t="str">
        <f>Language!$E$127</f>
        <v>Elfmeterschießen:</v>
      </c>
      <c r="R35" s="476"/>
      <c r="T35" s="494"/>
      <c r="U35" s="495"/>
      <c r="V35" s="495"/>
      <c r="W35" s="495"/>
      <c r="X35" s="496"/>
    </row>
    <row r="36" spans="1:25" ht="15.75" thickBot="1" x14ac:dyDescent="0.3">
      <c r="B36" s="280"/>
      <c r="C36" s="281"/>
      <c r="E36" s="280"/>
      <c r="F36" s="281"/>
      <c r="H36" s="280"/>
      <c r="I36" s="281"/>
      <c r="K36" s="280"/>
      <c r="L36" s="281"/>
      <c r="N36" s="280"/>
      <c r="O36" s="281"/>
      <c r="Q36" s="280"/>
      <c r="R36" s="281"/>
      <c r="T36" s="497"/>
      <c r="U36" s="498"/>
      <c r="V36" s="498"/>
      <c r="W36" s="498"/>
      <c r="X36" s="499"/>
    </row>
    <row r="37" spans="1:25" ht="9.9499999999999993" customHeight="1" thickBot="1" x14ac:dyDescent="0.3">
      <c r="B37" s="474" t="str">
        <f>IF(AND(B34&lt;&gt;"",C34&lt;&gt;"",B34=C34,B36&lt;&gt;"",C36&lt;&gt;"",B36=C36),Language!$E$141,"")</f>
        <v/>
      </c>
      <c r="C37" s="474"/>
      <c r="E37" s="474" t="str">
        <f>IF(AND(E34&lt;&gt;"",F34&lt;&gt;"",E34=F34,E36&lt;&gt;"",F36&lt;&gt;"",E36=F36),Language!$E$141,"")</f>
        <v/>
      </c>
      <c r="F37" s="474"/>
      <c r="H37" s="474" t="str">
        <f>IF(AND(H34&lt;&gt;"",I34&lt;&gt;"",H34=I34,H36&lt;&gt;"",I36&lt;&gt;"",H36=I36),Language!$E$141,"")</f>
        <v/>
      </c>
      <c r="I37" s="474"/>
      <c r="K37" s="474" t="str">
        <f>IF(AND(K34&lt;&gt;"",L34&lt;&gt;"",K34=L34,K36&lt;&gt;"",L36&lt;&gt;"",K36=L36),Language!$E$141,"")</f>
        <v/>
      </c>
      <c r="L37" s="474"/>
      <c r="N37" s="474" t="str">
        <f>IF(AND(N34&lt;&gt;"",O34&lt;&gt;"",N34=O34,N36&lt;&gt;"",O36&lt;&gt;"",N36=O36),Language!$E$141,"")</f>
        <v/>
      </c>
      <c r="O37" s="474"/>
      <c r="Q37" s="474" t="str">
        <f>IF(AND(Q34&lt;&gt;"",R34&lt;&gt;"",Q34=R34,Q36&lt;&gt;"",R36&lt;&gt;"",Q36=R36),Language!$E$141,"")</f>
        <v/>
      </c>
      <c r="R37" s="474"/>
      <c r="T37" s="291"/>
      <c r="U37" s="292"/>
      <c r="V37" s="292"/>
      <c r="W37" s="292"/>
      <c r="X37" s="292"/>
    </row>
    <row r="38" spans="1:25" x14ac:dyDescent="0.25">
      <c r="A38" s="105">
        <v>26</v>
      </c>
      <c r="B38" s="479" t="str">
        <f>VLOOKUP(A38,Matches!$B$4:$K$58,7,0)</f>
        <v>Stuttgart</v>
      </c>
      <c r="C38" s="480"/>
      <c r="D38" s="105">
        <v>28</v>
      </c>
      <c r="E38" s="479" t="str">
        <f>VLOOKUP(D38,Matches!$B$4:$K$58,7,0)</f>
        <v>Leipzig</v>
      </c>
      <c r="F38" s="480"/>
      <c r="G38" s="105">
        <v>30</v>
      </c>
      <c r="H38" s="479" t="str">
        <f>VLOOKUP(G38,Matches!$B$4:$K$58,7,0)</f>
        <v>München</v>
      </c>
      <c r="I38" s="480"/>
      <c r="J38" s="105">
        <v>32</v>
      </c>
      <c r="K38" s="479" t="str">
        <f>VLOOKUP(J38,Matches!$B$4:$K$58,7,0)</f>
        <v>Dortmund</v>
      </c>
      <c r="L38" s="480"/>
      <c r="M38" s="105">
        <v>34</v>
      </c>
      <c r="N38" s="479" t="str">
        <f>VLOOKUP(M38,Matches!$B$4:$K$58,7,0)</f>
        <v>Stuttgart</v>
      </c>
      <c r="O38" s="480"/>
      <c r="P38" s="105">
        <v>36</v>
      </c>
      <c r="Q38" s="479" t="str">
        <f>VLOOKUP(P38,Matches!$B$4:$K$58,7,0)</f>
        <v>Hamburg</v>
      </c>
      <c r="R38" s="480"/>
      <c r="S38" s="105"/>
      <c r="T38" s="292"/>
      <c r="U38" s="292"/>
      <c r="V38" s="292"/>
      <c r="W38" s="292"/>
      <c r="X38" s="292"/>
    </row>
    <row r="39" spans="1:25" x14ac:dyDescent="0.25">
      <c r="B39" s="470">
        <f>VLOOKUP(A38,Matches!$B$4:$K$58,5,0)</f>
        <v>45466.875</v>
      </c>
      <c r="C39" s="472"/>
      <c r="E39" s="470">
        <f>VLOOKUP(D38,Matches!$B$4:$K$58,5,0)</f>
        <v>45467.875</v>
      </c>
      <c r="F39" s="472"/>
      <c r="H39" s="470">
        <f>VLOOKUP(G38,Matches!$B$4:$K$58,5,0)</f>
        <v>45468.875</v>
      </c>
      <c r="I39" s="472"/>
      <c r="K39" s="470">
        <f>VLOOKUP(J38,Matches!$B$4:$K$58,5,0)</f>
        <v>45468.75</v>
      </c>
      <c r="L39" s="472"/>
      <c r="N39" s="470">
        <f>VLOOKUP(M38,Matches!$B$4:$K$58,5,0)</f>
        <v>45469.75</v>
      </c>
      <c r="O39" s="472"/>
      <c r="Q39" s="470">
        <f>VLOOKUP(P38,Matches!$B$4:$K$58,5,0)</f>
        <v>45469.875</v>
      </c>
      <c r="R39" s="472"/>
      <c r="T39" s="292"/>
      <c r="U39" s="292"/>
      <c r="V39" s="292"/>
      <c r="W39" s="292"/>
      <c r="X39" s="292"/>
    </row>
    <row r="40" spans="1:25" x14ac:dyDescent="0.25">
      <c r="B40" s="53" t="str">
        <f>VLOOKUP(A38,Matches!$B$4:$K$58,8,0)</f>
        <v>Schottland</v>
      </c>
      <c r="C40" s="54" t="str">
        <f>VLOOKUP(A38,Matches!$B$4:$K$58,9,0)</f>
        <v>Ungarn</v>
      </c>
      <c r="E40" s="53" t="str">
        <f>VLOOKUP(D38,Matches!$B$4:$K$58,8,0)</f>
        <v>Kroatien</v>
      </c>
      <c r="F40" s="54" t="str">
        <f>VLOOKUP(D38,Matches!$B$4:$K$58,9,0)</f>
        <v>Italien</v>
      </c>
      <c r="H40" s="53" t="str">
        <f>VLOOKUP(G38,Matches!$B$4:$K$58,8,0)</f>
        <v>Dänemark</v>
      </c>
      <c r="I40" s="54" t="str">
        <f>VLOOKUP(G38,Matches!$B$4:$K$58,9,0)</f>
        <v>Serbien</v>
      </c>
      <c r="K40" s="53" t="str">
        <f>VLOOKUP(J38,Matches!$B$4:$K$58,8,0)</f>
        <v>Frankreich</v>
      </c>
      <c r="L40" s="54" t="str">
        <f>VLOOKUP(J38,Matches!$B$4:$K$58,9,0)</f>
        <v>Polen</v>
      </c>
      <c r="N40" s="53" t="str">
        <f>VLOOKUP(M38,Matches!$B$4:$K$58,8,0)</f>
        <v>Ukraine</v>
      </c>
      <c r="O40" s="54" t="str">
        <f>VLOOKUP(M38,Matches!$B$4:$K$58,9,0)</f>
        <v>Belgien</v>
      </c>
      <c r="Q40" s="53" t="str">
        <f>VLOOKUP(P38,Matches!$B$4:$K$58,8,0)</f>
        <v>Tschechien</v>
      </c>
      <c r="R40" s="54" t="str">
        <f>VLOOKUP(P38,Matches!$B$4:$K$58,9,0)</f>
        <v>Türkei</v>
      </c>
      <c r="T40" s="292"/>
      <c r="U40" s="292"/>
      <c r="V40" s="292"/>
      <c r="W40" s="292"/>
      <c r="X40" s="292"/>
    </row>
    <row r="41" spans="1:25" ht="15.75" thickBot="1" x14ac:dyDescent="0.3">
      <c r="B41" s="1"/>
      <c r="C41" s="2"/>
      <c r="E41" s="1"/>
      <c r="F41" s="2"/>
      <c r="H41" s="1"/>
      <c r="I41" s="2"/>
      <c r="K41" s="1"/>
      <c r="L41" s="2"/>
      <c r="N41" s="1"/>
      <c r="O41" s="2"/>
      <c r="Q41" s="1"/>
      <c r="R41" s="2"/>
      <c r="T41" s="292"/>
      <c r="U41" s="292"/>
      <c r="V41" s="292"/>
      <c r="W41" s="292"/>
      <c r="X41" s="292"/>
    </row>
    <row r="42" spans="1:25" ht="9.9499999999999993" customHeight="1" x14ac:dyDescent="0.25">
      <c r="B42" s="456" t="str">
        <f>Language!$E$127</f>
        <v>Elfmeterschießen:</v>
      </c>
      <c r="C42" s="458"/>
      <c r="E42" s="456" t="str">
        <f>Language!$E$127</f>
        <v>Elfmeterschießen:</v>
      </c>
      <c r="F42" s="458"/>
      <c r="H42" s="456" t="str">
        <f>Language!$E$127</f>
        <v>Elfmeterschießen:</v>
      </c>
      <c r="I42" s="458"/>
      <c r="K42" s="456" t="str">
        <f>Language!$E$127</f>
        <v>Elfmeterschießen:</v>
      </c>
      <c r="L42" s="458"/>
      <c r="N42" s="456" t="str">
        <f>Language!$E$127</f>
        <v>Elfmeterschießen:</v>
      </c>
      <c r="O42" s="458"/>
      <c r="Q42" s="456" t="str">
        <f>Language!$E$127</f>
        <v>Elfmeterschießen:</v>
      </c>
      <c r="R42" s="458"/>
      <c r="T42" s="22"/>
      <c r="U42" s="22"/>
      <c r="W42" s="22"/>
      <c r="X42" s="22"/>
    </row>
    <row r="43" spans="1:25" ht="15.75" thickBot="1" x14ac:dyDescent="0.3">
      <c r="B43" s="280"/>
      <c r="C43" s="281"/>
      <c r="E43" s="280"/>
      <c r="F43" s="281"/>
      <c r="H43" s="280"/>
      <c r="I43" s="281"/>
      <c r="K43" s="280"/>
      <c r="L43" s="281"/>
      <c r="N43" s="280"/>
      <c r="O43" s="281"/>
      <c r="Q43" s="280"/>
      <c r="R43" s="281"/>
      <c r="T43" s="22"/>
      <c r="U43" s="22"/>
      <c r="W43" s="22"/>
      <c r="X43" s="22"/>
    </row>
    <row r="44" spans="1:25" ht="13.5" customHeight="1" thickBot="1" x14ac:dyDescent="0.3">
      <c r="B44" s="474" t="str">
        <f>IF(AND(B41&lt;&gt;"",C41&lt;&gt;"",B41=C41,B43&lt;&gt;"",C43&lt;&gt;"",B43=C43),Language!$E$141,"")</f>
        <v/>
      </c>
      <c r="C44" s="474"/>
      <c r="E44" s="474" t="str">
        <f>IF(AND(E41&lt;&gt;"",F41&lt;&gt;"",E41=F41,E43&lt;&gt;"",F43&lt;&gt;"",E43=F43),Language!$E$141,"")</f>
        <v/>
      </c>
      <c r="F44" s="474"/>
      <c r="H44" s="474" t="str">
        <f>IF(AND(H41&lt;&gt;"",I41&lt;&gt;"",H41=I41,H43&lt;&gt;"",I43&lt;&gt;"",H43=I43),Language!$E$141,"")</f>
        <v/>
      </c>
      <c r="I44" s="474"/>
      <c r="K44" s="474" t="str">
        <f>IF(AND(K41&lt;&gt;"",L41&lt;&gt;"",K41=L41,K43&lt;&gt;"",L43&lt;&gt;"",K43=L43),Language!$E$141,"")</f>
        <v/>
      </c>
      <c r="L44" s="474"/>
      <c r="N44" s="474" t="str">
        <f>IF(AND(N41&lt;&gt;"",O41&lt;&gt;"",N41=O41,N43&lt;&gt;"",O43&lt;&gt;"",N43=O43),Language!$E$141,"")</f>
        <v/>
      </c>
      <c r="O44" s="474"/>
      <c r="Q44" s="474" t="str">
        <f>IF(AND(Q41&lt;&gt;"",R41&lt;&gt;"",Q41=R41,Q43&lt;&gt;"",R43&lt;&gt;"",Q43=R43),Language!$E$141,"")</f>
        <v/>
      </c>
      <c r="R44" s="474"/>
      <c r="T44" s="491" t="str">
        <f ca="1">IF(ThirdPlaced!$J$21&gt;0,"•","")</f>
        <v/>
      </c>
      <c r="U44" s="491"/>
    </row>
    <row r="45" spans="1:25" x14ac:dyDescent="0.25">
      <c r="B45" s="492" t="str">
        <f>Language!$E$108</f>
        <v>Schlusstabelle</v>
      </c>
      <c r="C45" s="493"/>
      <c r="E45" s="492" t="str">
        <f>Language!$E$108</f>
        <v>Schlusstabelle</v>
      </c>
      <c r="F45" s="493"/>
      <c r="H45" s="492" t="str">
        <f>Language!$E$108</f>
        <v>Schlusstabelle</v>
      </c>
      <c r="I45" s="493"/>
      <c r="K45" s="492" t="str">
        <f>Language!$E$108</f>
        <v>Schlusstabelle</v>
      </c>
      <c r="L45" s="493"/>
      <c r="N45" s="492" t="str">
        <f>Language!$E$108</f>
        <v>Schlusstabelle</v>
      </c>
      <c r="O45" s="493"/>
      <c r="Q45" s="492" t="str">
        <f>Language!$E$108</f>
        <v>Schlusstabelle</v>
      </c>
      <c r="R45" s="493"/>
      <c r="T45" s="492" t="str">
        <f>Language!$E$128</f>
        <v>Gruppendritte</v>
      </c>
      <c r="U45" s="493"/>
      <c r="V45" s="294" t="str">
        <f>Language!$E$96</f>
        <v>Grp</v>
      </c>
      <c r="W45" s="487" t="str">
        <f>Language!$E$129</f>
        <v>Gruppenkombination:</v>
      </c>
      <c r="X45" s="488"/>
      <c r="Y45" s="293"/>
    </row>
    <row r="46" spans="1:25" ht="15.75" thickBot="1" x14ac:dyDescent="0.3">
      <c r="A46" s="97" t="s">
        <v>2</v>
      </c>
      <c r="B46" s="485" t="str">
        <f ca="1">IF(GrpA!$M$10&gt;0,GrpA!$P11,"")</f>
        <v/>
      </c>
      <c r="C46" s="486"/>
      <c r="D46" s="97" t="s">
        <v>3</v>
      </c>
      <c r="E46" s="485" t="str">
        <f ca="1">IF(GrpB!$M$10&gt;0,GrpB!$P11,"")</f>
        <v/>
      </c>
      <c r="F46" s="486"/>
      <c r="G46" s="97" t="s">
        <v>4</v>
      </c>
      <c r="H46" s="485" t="str">
        <f ca="1">IF(GrpC!$M$10&gt;0,GrpC!$P11,"")</f>
        <v/>
      </c>
      <c r="I46" s="486"/>
      <c r="J46" s="97" t="s">
        <v>5</v>
      </c>
      <c r="K46" s="485" t="str">
        <f ca="1">IF(GrpD!$M$10&gt;0,GrpD!$P11,"")</f>
        <v/>
      </c>
      <c r="L46" s="486"/>
      <c r="M46" s="97" t="s">
        <v>6</v>
      </c>
      <c r="N46" s="485" t="str">
        <f ca="1">IF(GrpE!$M$10&gt;0,GrpE!$P11,"")</f>
        <v/>
      </c>
      <c r="O46" s="486"/>
      <c r="P46" s="97" t="s">
        <v>7</v>
      </c>
      <c r="Q46" s="485" t="str">
        <f ca="1">IF(GrpF!$M$10&gt;0,GrpF!$P11,"")</f>
        <v/>
      </c>
      <c r="R46" s="486"/>
      <c r="S46" s="97"/>
      <c r="T46" s="394" t="str">
        <f ca="1">IF(Distinctness!$G$13&gt;0,ThirdPlaced!$C11,"")</f>
        <v/>
      </c>
      <c r="U46" s="357" t="str">
        <f ca="1">IF(Distinctness!$G$13&gt;0,"   "&amp;ThirdPlaced!$D11&amp;"        "&amp;ThirdPlaced!$F11&amp;Language!$E$146&amp;ThirdPlaced!$G11,"")</f>
        <v/>
      </c>
      <c r="V46" s="295" t="str">
        <f ca="1">IF(Distinctness!$G$13&gt;0,ThirdPlaced!$J11,"")</f>
        <v/>
      </c>
      <c r="W46" s="489" t="str">
        <f ca="1">IF(Distinctness!$G$13&gt;0,ThirdPlaced!$J18,"")</f>
        <v/>
      </c>
      <c r="X46" s="490"/>
    </row>
    <row r="47" spans="1:25" x14ac:dyDescent="0.25">
      <c r="A47" s="97" t="s">
        <v>8</v>
      </c>
      <c r="B47" s="485" t="str">
        <f ca="1">IF(GrpA!$M$10&gt;0,GrpA!$P12,"")</f>
        <v/>
      </c>
      <c r="C47" s="486"/>
      <c r="D47" s="97" t="s">
        <v>9</v>
      </c>
      <c r="E47" s="485" t="str">
        <f ca="1">IF(GrpB!$M$10&gt;0,GrpB!$P12,"")</f>
        <v/>
      </c>
      <c r="F47" s="486"/>
      <c r="G47" s="97" t="s">
        <v>10</v>
      </c>
      <c r="H47" s="485" t="str">
        <f ca="1">IF(GrpC!$M$10&gt;0,GrpC!$P12,"")</f>
        <v/>
      </c>
      <c r="I47" s="486"/>
      <c r="J47" s="97" t="s">
        <v>11</v>
      </c>
      <c r="K47" s="485" t="str">
        <f ca="1">IF(GrpD!$M$10&gt;0,GrpD!$P12,"")</f>
        <v/>
      </c>
      <c r="L47" s="486"/>
      <c r="M47" s="97" t="s">
        <v>12</v>
      </c>
      <c r="N47" s="485" t="str">
        <f ca="1">IF(GrpE!$M$10&gt;0,GrpE!$P12,"")</f>
        <v/>
      </c>
      <c r="O47" s="486"/>
      <c r="P47" s="97" t="s">
        <v>13</v>
      </c>
      <c r="Q47" s="485" t="str">
        <f ca="1">IF(GrpF!$M$10&gt;0,GrpF!$P12,"")</f>
        <v/>
      </c>
      <c r="R47" s="486"/>
      <c r="S47" s="97"/>
      <c r="T47" s="394" t="str">
        <f ca="1">IF(Distinctness!$G$13&gt;0,ThirdPlaced!$C12,"")</f>
        <v/>
      </c>
      <c r="U47" s="357" t="str">
        <f ca="1">IF(Distinctness!$G$13&gt;0,"   "&amp;ThirdPlaced!$D12&amp;"        "&amp;ThirdPlaced!$F12&amp;Language!$E$146&amp;ThirdPlaced!$G12,"")</f>
        <v/>
      </c>
      <c r="V47" s="295" t="str">
        <f ca="1">IF(Distinctness!$G$13&gt;0,ThirdPlaced!$J12,"")</f>
        <v/>
      </c>
      <c r="W47" s="483" t="str">
        <f>Language!$E$130</f>
        <v>Nicht qualifiziert:</v>
      </c>
      <c r="X47" s="484"/>
      <c r="Y47" s="296" t="str">
        <f>Language!$E$96</f>
        <v>Grp</v>
      </c>
    </row>
    <row r="48" spans="1:25" x14ac:dyDescent="0.25">
      <c r="A48" s="98" t="s">
        <v>14</v>
      </c>
      <c r="B48" s="481" t="str">
        <f ca="1">IF(GrpA!$M$10&gt;0,GrpA!$P13,"")</f>
        <v/>
      </c>
      <c r="C48" s="482"/>
      <c r="D48" s="98" t="s">
        <v>15</v>
      </c>
      <c r="E48" s="481" t="str">
        <f ca="1">IF(GrpB!$M$10&gt;0,GrpB!$P13,"")</f>
        <v/>
      </c>
      <c r="F48" s="482"/>
      <c r="G48" s="98" t="s">
        <v>16</v>
      </c>
      <c r="H48" s="481" t="str">
        <f ca="1">IF(GrpC!$M$10&gt;0,GrpC!$P13,"")</f>
        <v/>
      </c>
      <c r="I48" s="482"/>
      <c r="J48" s="98" t="s">
        <v>17</v>
      </c>
      <c r="K48" s="481" t="str">
        <f ca="1">IF(GrpD!$M$10&gt;0,GrpD!$P13,"")</f>
        <v/>
      </c>
      <c r="L48" s="482"/>
      <c r="M48" s="98" t="s">
        <v>18</v>
      </c>
      <c r="N48" s="481" t="str">
        <f ca="1">IF(GrpE!$M$10&gt;0,GrpE!$P13,"")</f>
        <v/>
      </c>
      <c r="O48" s="482"/>
      <c r="P48" s="98" t="s">
        <v>19</v>
      </c>
      <c r="Q48" s="481" t="str">
        <f ca="1">IF(GrpF!$M$10&gt;0,GrpF!$P13,"")</f>
        <v/>
      </c>
      <c r="R48" s="482"/>
      <c r="S48" s="98"/>
      <c r="T48" s="394" t="str">
        <f ca="1">IF(Distinctness!$G$13&gt;0,ThirdPlaced!$C13,"")</f>
        <v/>
      </c>
      <c r="U48" s="357" t="str">
        <f ca="1">IF(Distinctness!$G$13&gt;0,"   "&amp;ThirdPlaced!$D13&amp;"        "&amp;ThirdPlaced!$F13&amp;Language!$E$146&amp;ThirdPlaced!$G13,"")</f>
        <v/>
      </c>
      <c r="V48" s="295" t="str">
        <f ca="1">IF(Distinctness!$G$13&gt;0,ThirdPlaced!$J13,"")</f>
        <v/>
      </c>
      <c r="W48" s="358" t="str">
        <f ca="1">IF(Distinctness!$G$13&gt;0,ThirdPlaced!$C15,"")</f>
        <v/>
      </c>
      <c r="X48" s="359" t="str">
        <f ca="1">IF(Distinctness!$G$13&gt;0,"   "&amp;ThirdPlaced!$D15&amp;"        "&amp;ThirdPlaced!$F15&amp;Language!$E$146&amp;ThirdPlaced!$G15,"")</f>
        <v/>
      </c>
      <c r="Y48" s="297" t="str">
        <f ca="1">IF(Distinctness!$G$13&gt;0,ThirdPlaced!$J15,"")</f>
        <v/>
      </c>
    </row>
    <row r="49" spans="1:25" x14ac:dyDescent="0.25">
      <c r="A49" s="98" t="s">
        <v>20</v>
      </c>
      <c r="B49" s="481" t="str">
        <f ca="1">IF(GrpA!$M$10&gt;0,GrpA!$P14,"")</f>
        <v/>
      </c>
      <c r="C49" s="482"/>
      <c r="D49" s="98" t="s">
        <v>21</v>
      </c>
      <c r="E49" s="481" t="str">
        <f ca="1">IF(GrpB!$M$10&gt;0,GrpB!$P14,"")</f>
        <v/>
      </c>
      <c r="F49" s="482"/>
      <c r="G49" s="98" t="s">
        <v>22</v>
      </c>
      <c r="H49" s="481" t="str">
        <f ca="1">IF(GrpC!$M$10&gt;0,GrpC!$P14,"")</f>
        <v/>
      </c>
      <c r="I49" s="482"/>
      <c r="J49" s="98" t="s">
        <v>23</v>
      </c>
      <c r="K49" s="481" t="str">
        <f ca="1">IF(GrpD!$M$10&gt;0,GrpD!$P14,"")</f>
        <v/>
      </c>
      <c r="L49" s="482"/>
      <c r="M49" s="98" t="s">
        <v>24</v>
      </c>
      <c r="N49" s="481" t="str">
        <f ca="1">IF(GrpE!$M$10&gt;0,GrpE!$P14,"")</f>
        <v/>
      </c>
      <c r="O49" s="482"/>
      <c r="P49" s="98" t="s">
        <v>25</v>
      </c>
      <c r="Q49" s="481" t="str">
        <f ca="1">IF(GrpF!$M$10&gt;0,GrpF!$P14,"")</f>
        <v/>
      </c>
      <c r="R49" s="482"/>
      <c r="S49" s="98"/>
      <c r="T49" s="394" t="str">
        <f ca="1">IF(Distinctness!$G$13&gt;0,ThirdPlaced!$C14,"")</f>
        <v/>
      </c>
      <c r="U49" s="357" t="str">
        <f ca="1">IF(Distinctness!$G$13&gt;0,"   "&amp;ThirdPlaced!$D14&amp;"        "&amp;ThirdPlaced!$F14&amp;Language!$E$146&amp;ThirdPlaced!$G14,"")</f>
        <v/>
      </c>
      <c r="V49" s="295" t="str">
        <f ca="1">IF(Distinctness!$G$13&gt;0,ThirdPlaced!$J14,"")</f>
        <v/>
      </c>
      <c r="W49" s="358" t="str">
        <f ca="1">IF(Distinctness!$G$13&gt;0,ThirdPlaced!$C16,"")</f>
        <v/>
      </c>
      <c r="X49" s="359" t="str">
        <f ca="1">IF(Distinctness!$G$13&gt;0,"   "&amp;ThirdPlaced!$D16&amp;"        "&amp;ThirdPlaced!$F16&amp;Language!$E$146&amp;ThirdPlaced!$G16,"")</f>
        <v/>
      </c>
      <c r="Y49" s="297" t="str">
        <f ca="1">IF(Distinctness!$G$13&gt;0,ThirdPlaced!$J16,"")</f>
        <v/>
      </c>
    </row>
    <row r="50" spans="1:25" ht="35.25" customHeight="1" x14ac:dyDescent="0.25"/>
    <row r="51" spans="1:25" ht="16.5" thickBot="1" x14ac:dyDescent="0.3">
      <c r="B51" s="477" t="str">
        <f>VLOOKUP(VLOOKUP(A52,Matches!$B$41:$K$48,10,0),Language!$D$110:$E$117,2,0)</f>
        <v>Achtelfinale 4</v>
      </c>
      <c r="C51" s="478"/>
      <c r="E51" s="477" t="str">
        <f>VLOOKUP(VLOOKUP(D52,Matches!$B$41:$K$48,10,0),Language!$D$110:$E$117,2,0)</f>
        <v>Achtelfinale 2</v>
      </c>
      <c r="F51" s="478"/>
      <c r="H51" s="477" t="str">
        <f>VLOOKUP(VLOOKUP(G52,Matches!$B$41:$K$48,10,0),Language!$D$110:$E$117,2,0)</f>
        <v>Achtelfinale 6</v>
      </c>
      <c r="I51" s="478"/>
      <c r="K51" s="477" t="str">
        <f>VLOOKUP(VLOOKUP(J52,Matches!$B$41:$K$48,10,0),Language!$D$110:$E$117,2,0)</f>
        <v>Achtelfinale 5</v>
      </c>
      <c r="L51" s="478"/>
      <c r="N51" s="477" t="str">
        <f>VLOOKUP(VLOOKUP(M52,Matches!$B$41:$K$48,10,0),Language!$D$110:$E$117,2,0)</f>
        <v>Achtelfinale 7</v>
      </c>
      <c r="O51" s="478"/>
      <c r="Q51" s="477" t="str">
        <f>VLOOKUP(VLOOKUP(P52,Matches!$B$41:$K$48,10,0),Language!$D$110:$E$117,2,0)</f>
        <v>Achtelfinale 8</v>
      </c>
      <c r="R51" s="478"/>
      <c r="T51" s="477" t="str">
        <f>VLOOKUP(VLOOKUP(S52,Matches!$B$41:$K$48,10,0),Language!$D$110:$E$117,2,0)</f>
        <v>Achtelfinale 3</v>
      </c>
      <c r="U51" s="478"/>
      <c r="W51" s="477" t="str">
        <f>VLOOKUP(VLOOKUP(V52,Matches!$B$41:$K$48,10,0),Language!$D$110:$E$117,2,0)</f>
        <v>Achtelfinale 1</v>
      </c>
      <c r="X51" s="478"/>
    </row>
    <row r="52" spans="1:25" x14ac:dyDescent="0.25">
      <c r="A52" s="105">
        <f>RIGHT($C$68,2)*1</f>
        <v>39</v>
      </c>
      <c r="B52" s="479" t="str">
        <f>VLOOKUP(A52,Matches!$B$4:$K$58,7,0)</f>
        <v>Köln</v>
      </c>
      <c r="C52" s="480"/>
      <c r="D52" s="105">
        <f>RIGHT($E$68,2)*1</f>
        <v>37</v>
      </c>
      <c r="E52" s="479" t="str">
        <f>VLOOKUP(D52,Matches!$B$4:$K$58,7,0)</f>
        <v>Dortmund</v>
      </c>
      <c r="F52" s="480"/>
      <c r="G52" s="105">
        <f>RIGHT($I$68,2)*1</f>
        <v>41</v>
      </c>
      <c r="H52" s="479" t="str">
        <f>VLOOKUP(G52,Matches!$B$4:$K$58,7,0)</f>
        <v>Frankfurt</v>
      </c>
      <c r="I52" s="480"/>
      <c r="J52" s="105">
        <f>RIGHT($K$68,2)*1</f>
        <v>42</v>
      </c>
      <c r="K52" s="479" t="str">
        <f>VLOOKUP(J52,Matches!$B$4:$K$58,7,0)</f>
        <v>Düsseldorf</v>
      </c>
      <c r="L52" s="480"/>
      <c r="M52" s="105">
        <f>RIGHT($O$68,2)*1</f>
        <v>43</v>
      </c>
      <c r="N52" s="479" t="str">
        <f>VLOOKUP(M52,Matches!$B$4:$K$58,7,0)</f>
        <v>München</v>
      </c>
      <c r="O52" s="480"/>
      <c r="P52" s="105">
        <f>RIGHT($Q$68,2)*1</f>
        <v>44</v>
      </c>
      <c r="Q52" s="479" t="str">
        <f>VLOOKUP(P52,Matches!$B$4:$K$58,7,0)</f>
        <v>Leipzig</v>
      </c>
      <c r="R52" s="480"/>
      <c r="S52" s="105">
        <f>RIGHT($U$68,2)*1</f>
        <v>40</v>
      </c>
      <c r="T52" s="479" t="str">
        <f>VLOOKUP(S52,Matches!$B$4:$K$58,7,0)</f>
        <v>Gelsenkirchen</v>
      </c>
      <c r="U52" s="480"/>
      <c r="V52" s="105">
        <f>RIGHT($W$68,2)*1</f>
        <v>38</v>
      </c>
      <c r="W52" s="479" t="str">
        <f>VLOOKUP(V52,Matches!$B$4:$K$58,7,0)</f>
        <v>Berlin</v>
      </c>
      <c r="X52" s="480"/>
    </row>
    <row r="53" spans="1:25" x14ac:dyDescent="0.25">
      <c r="B53" s="470">
        <f>VLOOKUP(A52,Matches!$B$4:$K$58,5,0)</f>
        <v>45473.875</v>
      </c>
      <c r="C53" s="472"/>
      <c r="E53" s="470">
        <f>VLOOKUP(D52,Matches!$B$4:$K$58,5,0)</f>
        <v>45472.875</v>
      </c>
      <c r="F53" s="472"/>
      <c r="H53" s="470">
        <f>VLOOKUP(G52,Matches!$B$4:$K$58,5,0)</f>
        <v>45474.875</v>
      </c>
      <c r="I53" s="472"/>
      <c r="K53" s="470">
        <f>VLOOKUP(J52,Matches!$B$4:$K$58,5,0)</f>
        <v>45474.75</v>
      </c>
      <c r="L53" s="472"/>
      <c r="N53" s="470">
        <f>VLOOKUP(M52,Matches!$B$4:$K$58,5,0)</f>
        <v>45475.75</v>
      </c>
      <c r="O53" s="472"/>
      <c r="Q53" s="470">
        <f>VLOOKUP(P52,Matches!$B$4:$K$58,5,0)</f>
        <v>45475.875</v>
      </c>
      <c r="R53" s="472"/>
      <c r="T53" s="470">
        <f>VLOOKUP(S52,Matches!$B$4:$K$58,5,0)</f>
        <v>45473.75</v>
      </c>
      <c r="U53" s="472"/>
      <c r="V53" s="6"/>
      <c r="W53" s="470">
        <f>VLOOKUP(V52,Matches!$B$4:$K$58,5,0)</f>
        <v>45472.75</v>
      </c>
      <c r="X53" s="472"/>
    </row>
    <row r="54" spans="1:25" x14ac:dyDescent="0.25">
      <c r="B54" s="53" t="str">
        <f ca="1">VLOOKUP(A52,Matches!$B$4:$K$58,8,0)</f>
        <v/>
      </c>
      <c r="C54" s="54" t="str">
        <f ca="1">VLOOKUP(A52,Matches!$B$4:$K$58,9,0)</f>
        <v/>
      </c>
      <c r="E54" s="53" t="str">
        <f ca="1">VLOOKUP(D52,Matches!$B$4:$K$58,8,0)</f>
        <v/>
      </c>
      <c r="F54" s="54" t="str">
        <f ca="1">VLOOKUP(D52,Matches!$B$4:$K$58,9,0)</f>
        <v/>
      </c>
      <c r="H54" s="53" t="str">
        <f ca="1">VLOOKUP(G52,Matches!$B$4:$K$58,8,0)</f>
        <v/>
      </c>
      <c r="I54" s="54" t="str">
        <f ca="1">VLOOKUP(G52,Matches!$B$4:$K$58,9,0)</f>
        <v/>
      </c>
      <c r="K54" s="53" t="str">
        <f ca="1">VLOOKUP(J52,Matches!$B$4:$K$58,8,0)</f>
        <v/>
      </c>
      <c r="L54" s="54" t="str">
        <f ca="1">VLOOKUP(J52,Matches!$B$4:$K$58,9,0)</f>
        <v/>
      </c>
      <c r="N54" s="53" t="str">
        <f ca="1">VLOOKUP(M52,Matches!$B$4:$K$58,8,0)</f>
        <v/>
      </c>
      <c r="O54" s="54" t="str">
        <f ca="1">VLOOKUP(M52,Matches!$B$4:$K$58,9,0)</f>
        <v/>
      </c>
      <c r="Q54" s="53" t="str">
        <f ca="1">VLOOKUP(P52,Matches!$B$4:$K$58,8,0)</f>
        <v/>
      </c>
      <c r="R54" s="54" t="str">
        <f ca="1">VLOOKUP(P52,Matches!$B$4:$K$58,9,0)</f>
        <v/>
      </c>
      <c r="T54" s="53" t="str">
        <f ca="1">VLOOKUP(S52,Matches!$B$4:$K$58,8,0)</f>
        <v/>
      </c>
      <c r="U54" s="54" t="str">
        <f ca="1">VLOOKUP(S52,Matches!$B$4:$K$58,9,0)</f>
        <v/>
      </c>
      <c r="W54" s="53" t="str">
        <f ca="1">VLOOKUP(V52,Matches!$B$4:$K$58,8,0)</f>
        <v/>
      </c>
      <c r="X54" s="54" t="str">
        <f ca="1">VLOOKUP(V52,Matches!$B$4:$K$58,9,0)</f>
        <v/>
      </c>
    </row>
    <row r="55" spans="1:25" ht="15.75" thickBot="1" x14ac:dyDescent="0.3">
      <c r="B55" s="1"/>
      <c r="C55" s="2"/>
      <c r="D55" s="285"/>
      <c r="E55" s="1"/>
      <c r="F55" s="2"/>
      <c r="G55" s="285"/>
      <c r="H55" s="1"/>
      <c r="I55" s="2"/>
      <c r="J55" s="285"/>
      <c r="K55" s="1"/>
      <c r="L55" s="2"/>
      <c r="M55" s="285"/>
      <c r="N55" s="1"/>
      <c r="O55" s="2"/>
      <c r="P55" s="285"/>
      <c r="Q55" s="1"/>
      <c r="R55" s="2"/>
      <c r="S55" s="285"/>
      <c r="T55" s="1"/>
      <c r="U55" s="2"/>
      <c r="V55" s="285"/>
      <c r="W55" s="1"/>
      <c r="X55" s="2"/>
      <c r="Y55" s="286"/>
    </row>
    <row r="56" spans="1:25" ht="9.9499999999999993" customHeight="1" x14ac:dyDescent="0.25">
      <c r="B56" s="475" t="str">
        <f>Language!$E$127</f>
        <v>Elfmeterschießen:</v>
      </c>
      <c r="C56" s="476"/>
      <c r="E56" s="475" t="str">
        <f>Language!$E$127</f>
        <v>Elfmeterschießen:</v>
      </c>
      <c r="F56" s="476"/>
      <c r="H56" s="475" t="str">
        <f>Language!$E$127</f>
        <v>Elfmeterschießen:</v>
      </c>
      <c r="I56" s="476"/>
      <c r="K56" s="475" t="str">
        <f>Language!$E$127</f>
        <v>Elfmeterschießen:</v>
      </c>
      <c r="L56" s="476"/>
      <c r="N56" s="475" t="str">
        <f>Language!$E$127</f>
        <v>Elfmeterschießen:</v>
      </c>
      <c r="O56" s="476"/>
      <c r="Q56" s="475" t="str">
        <f>Language!$E$127</f>
        <v>Elfmeterschießen:</v>
      </c>
      <c r="R56" s="476"/>
      <c r="T56" s="475" t="str">
        <f>Language!$E$127</f>
        <v>Elfmeterschießen:</v>
      </c>
      <c r="U56" s="476"/>
      <c r="W56" s="475" t="str">
        <f>Language!$E$127</f>
        <v>Elfmeterschießen:</v>
      </c>
      <c r="X56" s="476"/>
    </row>
    <row r="57" spans="1:25" ht="15.75" thickBot="1" x14ac:dyDescent="0.3">
      <c r="B57" s="280"/>
      <c r="C57" s="281"/>
      <c r="E57" s="280"/>
      <c r="F57" s="281"/>
      <c r="H57" s="280"/>
      <c r="I57" s="281"/>
      <c r="K57" s="280"/>
      <c r="L57" s="281"/>
      <c r="N57" s="280"/>
      <c r="O57" s="281"/>
      <c r="Q57" s="280"/>
      <c r="R57" s="281"/>
      <c r="T57" s="280"/>
      <c r="U57" s="281"/>
      <c r="W57" s="280"/>
      <c r="X57" s="281"/>
    </row>
    <row r="58" spans="1:25" s="9" customFormat="1" ht="12" x14ac:dyDescent="0.2">
      <c r="B58" s="10" t="str">
        <f>VLOOKUP(A52,Matches!$B$4:$K$58,2,0)</f>
        <v>1B</v>
      </c>
      <c r="C58" s="10" t="str">
        <f>VLOOKUP(A52,Matches!$B$4:$K$58,3,0)</f>
        <v>3A/D/E/F</v>
      </c>
      <c r="E58" s="10" t="str">
        <f>VLOOKUP(D52,Matches!$B$4:$K$58,2,0)</f>
        <v>1A</v>
      </c>
      <c r="F58" s="10" t="str">
        <f>VLOOKUP(D52,Matches!$B$4:$K$58,3,0)</f>
        <v>2C</v>
      </c>
      <c r="G58" s="224"/>
      <c r="H58" s="10" t="str">
        <f>VLOOKUP(G52,Matches!$B$4:$K$58,2,0)</f>
        <v>1F</v>
      </c>
      <c r="I58" s="10" t="str">
        <f>VLOOKUP(G52,Matches!$B$4:$K$58,3,0)</f>
        <v>3A/B/C</v>
      </c>
      <c r="J58" s="10"/>
      <c r="K58" s="10" t="str">
        <f>VLOOKUP(J52,Matches!$B$4:$K$58,2,0)</f>
        <v>2D</v>
      </c>
      <c r="L58" s="10" t="str">
        <f>VLOOKUP(J52,Matches!$B$4:$K$58,3,0)</f>
        <v>2E</v>
      </c>
      <c r="M58" s="10"/>
      <c r="N58" s="10" t="str">
        <f>VLOOKUP(M52,Matches!$B$4:$K$58,2,0)</f>
        <v>1E</v>
      </c>
      <c r="O58" s="10" t="str">
        <f>VLOOKUP(M52,Matches!$B$4:$K$58,3,0)</f>
        <v>3A/B/C/D</v>
      </c>
      <c r="P58" s="10"/>
      <c r="Q58" s="10" t="str">
        <f>VLOOKUP(P52,Matches!$B$4:$K$58,2,0)</f>
        <v>1D</v>
      </c>
      <c r="R58" s="10" t="str">
        <f>VLOOKUP(P52,Matches!$B$4:$K$58,3,0)</f>
        <v>2F</v>
      </c>
      <c r="S58" s="10"/>
      <c r="T58" s="10" t="str">
        <f>VLOOKUP(S52,Matches!$B$4:$K$58,2,0)</f>
        <v>1C</v>
      </c>
      <c r="U58" s="10" t="str">
        <f>VLOOKUP(S52,Matches!$B$4:$K$58,3,0)</f>
        <v>3D/E/F</v>
      </c>
      <c r="V58" s="10"/>
      <c r="W58" s="10" t="str">
        <f>VLOOKUP(V52,Matches!$B$4:$K$58,2,0)</f>
        <v>2A</v>
      </c>
      <c r="X58" s="10" t="str">
        <f>VLOOKUP(V52,Matches!$B$4:$K$58,3,0)</f>
        <v>2B</v>
      </c>
    </row>
    <row r="59" spans="1:25" s="9" customFormat="1" ht="12" x14ac:dyDescent="0.2">
      <c r="B59" s="474" t="str">
        <f>IF(AND(B55&lt;&gt;"",C55&lt;&gt;"",B55=C55,B57&lt;&gt;"",C57&lt;&gt;"",B57=C57),Language!$E$141,"")</f>
        <v/>
      </c>
      <c r="C59" s="474"/>
      <c r="D59" s="224"/>
      <c r="E59" s="474" t="str">
        <f>IF(AND(E55&lt;&gt;"",F55&lt;&gt;"",E55=F55,E57&lt;&gt;"",F57&lt;&gt;"",E57=F57),Language!$E$141,"")</f>
        <v/>
      </c>
      <c r="F59" s="474"/>
      <c r="G59" s="10"/>
      <c r="H59" s="474" t="str">
        <f>IF(AND(H55&lt;&gt;"",I55&lt;&gt;"",H55=I55,H57&lt;&gt;"",I57&lt;&gt;"",H57=I57),Language!$E$141,"")</f>
        <v/>
      </c>
      <c r="I59" s="474"/>
      <c r="J59" s="10"/>
      <c r="K59" s="474" t="str">
        <f>IF(AND(K55&lt;&gt;"",L55&lt;&gt;"",K55=L55,K57&lt;&gt;"",L57&lt;&gt;"",K57=L57),Language!$E$141,"")</f>
        <v/>
      </c>
      <c r="L59" s="474"/>
      <c r="M59" s="10"/>
      <c r="N59" s="474" t="str">
        <f>IF(AND(N55&lt;&gt;"",O55&lt;&gt;"",N55=O55,N57&lt;&gt;"",O57&lt;&gt;"",N57=O57),Language!$E$141,"")</f>
        <v/>
      </c>
      <c r="O59" s="474"/>
      <c r="P59" s="10"/>
      <c r="Q59" s="474" t="str">
        <f>IF(AND(Q55&lt;&gt;"",R55&lt;&gt;"",Q55=R55,Q57&lt;&gt;"",R57&lt;&gt;"",Q57=R57),Language!$E$141,"")</f>
        <v/>
      </c>
      <c r="R59" s="474"/>
      <c r="S59" s="10"/>
      <c r="T59" s="474" t="str">
        <f>IF(AND(T55&lt;&gt;"",U55&lt;&gt;"",T55=U55,T57&lt;&gt;"",U57&lt;&gt;"",T57=U57),Language!$E$141,"")</f>
        <v/>
      </c>
      <c r="U59" s="474"/>
      <c r="V59" s="10"/>
      <c r="W59" s="474" t="str">
        <f>IF(AND(W55&lt;&gt;"",X55&lt;&gt;"",W55=X55,W57&lt;&gt;"",X57&lt;&gt;"",W57=X57),Language!$E$141,"")</f>
        <v/>
      </c>
      <c r="X59" s="474"/>
    </row>
    <row r="60" spans="1:25" x14ac:dyDescent="0.25">
      <c r="C60" s="11"/>
      <c r="E60" s="11"/>
    </row>
    <row r="61" spans="1:25" ht="15.75" customHeight="1" x14ac:dyDescent="0.25">
      <c r="C61" s="473" t="str">
        <f>VLOOKUP(VLOOKUP(B62,Matches!$B$50:$K$53,10,0),Language!$D$118:$E$121,2,0)</f>
        <v>Viertelfinale 1</v>
      </c>
      <c r="D61" s="473"/>
      <c r="E61" s="473"/>
      <c r="I61" s="473" t="str">
        <f>VLOOKUP(VLOOKUP(H62,Matches!$B$50:$K$53,10,0),Language!$D$118:$E$121,2,0)</f>
        <v>Viertelfinale 2</v>
      </c>
      <c r="J61" s="473"/>
      <c r="K61" s="473"/>
      <c r="O61" s="473" t="str">
        <f>VLOOKUP(VLOOKUP(N62,Matches!$B$50:$K$53,10,0),Language!$D$118:$E$121,2,0)</f>
        <v>Viertelfinale 4</v>
      </c>
      <c r="P61" s="473"/>
      <c r="Q61" s="473"/>
      <c r="U61" s="473" t="str">
        <f>VLOOKUP(VLOOKUP(T62,Matches!$B$50:$K$53,10,0),Language!$D$118:$E$121,2,0)</f>
        <v>Viertelfinale 3</v>
      </c>
      <c r="V61" s="473"/>
      <c r="W61" s="473"/>
    </row>
    <row r="62" spans="1:25" ht="15.75" customHeight="1" x14ac:dyDescent="0.25">
      <c r="B62" s="105">
        <f>RIGHT($F$78,2)*1</f>
        <v>45</v>
      </c>
      <c r="C62" s="466" t="str">
        <f>VLOOKUP(B62,Matches!$B$4:$K$58,7,0)</f>
        <v>Stuttgart</v>
      </c>
      <c r="D62" s="467"/>
      <c r="E62" s="468"/>
      <c r="H62" s="105">
        <f>RIGHT($H$78,2)*1</f>
        <v>46</v>
      </c>
      <c r="I62" s="466" t="str">
        <f>VLOOKUP(H62,Matches!$B$4:$K$58,7,0)</f>
        <v>Hamburg</v>
      </c>
      <c r="J62" s="467"/>
      <c r="K62" s="468"/>
      <c r="N62" s="105">
        <f>RIGHT($R$78,2)*1</f>
        <v>47</v>
      </c>
      <c r="O62" s="466" t="str">
        <f>VLOOKUP(N62,Matches!$B$4:$K$58,7,0)</f>
        <v>Berlin</v>
      </c>
      <c r="P62" s="467"/>
      <c r="Q62" s="468"/>
      <c r="T62" s="105">
        <f>RIGHT($T$78,2)*1</f>
        <v>48</v>
      </c>
      <c r="U62" s="466" t="str">
        <f>VLOOKUP(T62,Matches!$B$4:$K$58,7,0)</f>
        <v>Düsseldorf</v>
      </c>
      <c r="V62" s="467"/>
      <c r="W62" s="468"/>
    </row>
    <row r="63" spans="1:25" x14ac:dyDescent="0.25">
      <c r="C63" s="470">
        <f>VLOOKUP(B62,Matches!$B$4:$K$58,5,0)</f>
        <v>45478.75</v>
      </c>
      <c r="D63" s="471"/>
      <c r="E63" s="472"/>
      <c r="I63" s="470">
        <f>VLOOKUP(H62,Matches!$B$4:$K$58,5,0)</f>
        <v>45478.875</v>
      </c>
      <c r="J63" s="471"/>
      <c r="K63" s="472"/>
      <c r="O63" s="470">
        <f>VLOOKUP(N62,Matches!$B$4:$K$58,5,0)</f>
        <v>45479.875</v>
      </c>
      <c r="P63" s="471"/>
      <c r="Q63" s="472"/>
      <c r="U63" s="470">
        <f>VLOOKUP(T62,Matches!$B$4:$K$58,5,0)</f>
        <v>45479.75</v>
      </c>
      <c r="V63" s="471"/>
      <c r="W63" s="472"/>
    </row>
    <row r="64" spans="1:25" x14ac:dyDescent="0.25">
      <c r="C64" s="7" t="str">
        <f>IF(AND(B55&lt;&gt;"",C55&lt;&gt;""),IF(B55&gt;C55,B54,IF(B55&lt;C55,C54,IF(AND(B57&lt;&gt;"",C57&lt;&gt;""),IF(B57&gt;C57,B54,IF(B57&lt;C57,C54,"")),""))),"")</f>
        <v/>
      </c>
      <c r="E64" s="8" t="str">
        <f>IF(AND(E55&lt;&gt;"",F55&lt;&gt;""),IF(E55&gt;F55,E54,IF(E55&lt;F55,F54,IF(AND(E57&lt;&gt;"",F57&lt;&gt;""),IF(E57&gt;F57,E54,IF(E57&lt;F57,F54,"")),""))),"")</f>
        <v/>
      </c>
      <c r="I64" s="7" t="str">
        <f>IF(AND(H55&lt;&gt;"",I55&lt;&gt;""),IF(H55&gt;I55,H54,IF(H55&lt;I55,I54,IF(AND(H57&lt;&gt;"",I57&lt;&gt;""),IF(H57&gt;I57,H54,IF(H57&lt;I57,I54,"")),""))),"")</f>
        <v/>
      </c>
      <c r="K64" s="8" t="str">
        <f>IF(AND(K55&lt;&gt;"",L55&lt;&gt;""),IF(K55&gt;L55,K54,IF(K55&lt;L55,L54,IF(AND(K57&lt;&gt;"",L57&lt;&gt;""),IF(K57&gt;L57,K54,IF(K57&lt;L57,L54,"")),""))),"")</f>
        <v/>
      </c>
      <c r="O64" s="7" t="str">
        <f>IF(AND(N55&lt;&gt;"",O55&lt;&gt;""),IF(N55&gt;O55,N54,IF(N55&lt;O55,O54,IF(AND(N57&lt;&gt;"",O57&lt;&gt;""),IF(N57&gt;O57,N54,IF(N57&lt;O57,O54,"")),""))),"")</f>
        <v/>
      </c>
      <c r="Q64" s="8" t="str">
        <f>IF(AND(Q55&lt;&gt;"",R55&lt;&gt;""),IF(Q55&gt;R55,Q54,IF(Q55&lt;R55,R54,IF(AND(Q57&lt;&gt;"",R57&lt;&gt;""),IF(Q57&gt;R57,Q54,IF(Q57&lt;R57,R54,"")),""))),"")</f>
        <v/>
      </c>
      <c r="U64" s="7" t="str">
        <f>IF(AND(T55&lt;&gt;"",U55&lt;&gt;""),IF(T55&gt;U55,T54,IF(T55&lt;U55,U54,IF(AND(T57&lt;&gt;"",U57&lt;&gt;""),IF(T57&gt;U57,T54,IF(T57&lt;U57,U54,"")),""))),"")</f>
        <v/>
      </c>
      <c r="W64" s="8" t="str">
        <f>IF(AND(W55&lt;&gt;"",X55&lt;&gt;""),IF(W55&gt;X55,W54,IF(W55&lt;X55,X54,IF(AND(W57&lt;&gt;"",X57&lt;&gt;""),IF(W57&gt;X57,W54,IF(W57&lt;X57,X54,"")),""))),"")</f>
        <v/>
      </c>
    </row>
    <row r="65" spans="3:24" ht="15.75" thickBot="1" x14ac:dyDescent="0.3">
      <c r="C65" s="1"/>
      <c r="D65" s="12"/>
      <c r="E65" s="3"/>
      <c r="F65" s="286"/>
      <c r="I65" s="1"/>
      <c r="J65" s="12"/>
      <c r="K65" s="3"/>
      <c r="L65" s="286"/>
      <c r="O65" s="1"/>
      <c r="P65" s="12"/>
      <c r="Q65" s="3"/>
      <c r="R65" s="286"/>
      <c r="U65" s="1"/>
      <c r="V65" s="12"/>
      <c r="W65" s="3"/>
      <c r="X65" s="286"/>
    </row>
    <row r="66" spans="3:24" ht="9.9499999999999993" customHeight="1" x14ac:dyDescent="0.25">
      <c r="C66" s="456" t="str">
        <f>Language!$E$127</f>
        <v>Elfmeterschießen:</v>
      </c>
      <c r="D66" s="457"/>
      <c r="E66" s="458"/>
      <c r="I66" s="456" t="str">
        <f>Language!$E$127</f>
        <v>Elfmeterschießen:</v>
      </c>
      <c r="J66" s="457"/>
      <c r="K66" s="458"/>
      <c r="O66" s="456" t="str">
        <f>Language!$E$127</f>
        <v>Elfmeterschießen:</v>
      </c>
      <c r="P66" s="457"/>
      <c r="Q66" s="458"/>
      <c r="U66" s="456" t="str">
        <f>Language!$E$127</f>
        <v>Elfmeterschießen:</v>
      </c>
      <c r="V66" s="457"/>
      <c r="W66" s="458"/>
    </row>
    <row r="67" spans="3:24" ht="15.75" thickBot="1" x14ac:dyDescent="0.3">
      <c r="C67" s="282"/>
      <c r="D67" s="12"/>
      <c r="E67" s="283"/>
      <c r="I67" s="282"/>
      <c r="J67" s="12"/>
      <c r="K67" s="283"/>
      <c r="O67" s="282"/>
      <c r="P67" s="12"/>
      <c r="Q67" s="283"/>
      <c r="U67" s="282"/>
      <c r="V67" s="12"/>
      <c r="W67" s="283"/>
    </row>
    <row r="68" spans="3:24" s="9" customFormat="1" x14ac:dyDescent="0.25">
      <c r="C68" s="10" t="str">
        <f>VLOOKUP(B62,Matches!$B$50:$K$58,2,0)</f>
        <v>W39</v>
      </c>
      <c r="D68" s="13"/>
      <c r="E68" s="10" t="str">
        <f>VLOOKUP(B62,Matches!$B$50:$K$58,3,0)</f>
        <v>W37</v>
      </c>
      <c r="F68" s="225"/>
      <c r="G68" s="14"/>
      <c r="H68" s="14"/>
      <c r="I68" s="10" t="str">
        <f>VLOOKUP(H62,Matches!$B$50:$K$58,2,0)</f>
        <v>W41</v>
      </c>
      <c r="J68" s="13"/>
      <c r="K68" s="10" t="str">
        <f>VLOOKUP(H62,Matches!$B$50:$K$58,3,0)</f>
        <v>W42</v>
      </c>
      <c r="L68" s="14"/>
      <c r="M68" s="14"/>
      <c r="N68" s="14"/>
      <c r="O68" s="10" t="str">
        <f>VLOOKUP(N62,Matches!$B$50:$K$58,2,0)</f>
        <v>W43</v>
      </c>
      <c r="P68"/>
      <c r="Q68" s="10" t="str">
        <f>VLOOKUP(N62,Matches!$B$50:$K$58,3,0)</f>
        <v>W44</v>
      </c>
      <c r="R68" s="14"/>
      <c r="S68" s="14"/>
      <c r="T68" s="14"/>
      <c r="U68" s="10" t="str">
        <f>VLOOKUP(T62,Matches!$B$50:$K$58,2,0)</f>
        <v>W40</v>
      </c>
      <c r="V68" s="13"/>
      <c r="W68" s="10" t="str">
        <f>VLOOKUP(T62,Matches!$B$50:$K$58,3,0)</f>
        <v>W38</v>
      </c>
    </row>
    <row r="69" spans="3:24" ht="12" customHeight="1" x14ac:dyDescent="0.25">
      <c r="C69" s="459" t="str">
        <f>IF(AND(C65&lt;&gt;"",E65&lt;&gt;"",C65=E65,C67&lt;&gt;"",E67&lt;&gt;"",C67=E67),Language!$E$141,"")</f>
        <v/>
      </c>
      <c r="D69" s="459"/>
      <c r="E69" s="459"/>
      <c r="F69" s="226"/>
      <c r="I69" s="459" t="str">
        <f>IF(AND(I65&lt;&gt;"",K65&lt;&gt;"",I65=K65,I67&lt;&gt;"",K67&lt;&gt;"",I67=K67),Language!$E$141,"")</f>
        <v/>
      </c>
      <c r="J69" s="459"/>
      <c r="K69" s="459"/>
      <c r="O69" s="459" t="str">
        <f>IF(AND(O65&lt;&gt;"",Q65&lt;&gt;"",O65=Q65,O67&lt;&gt;"",Q67&lt;&gt;"",O67=Q67),Language!$E$141,"")</f>
        <v/>
      </c>
      <c r="P69" s="459"/>
      <c r="Q69" s="459"/>
      <c r="U69" s="459" t="str">
        <f>IF(AND(U65&lt;&gt;"",W65&lt;&gt;"",U65=W65,U67&lt;&gt;"",W67&lt;&gt;"",U67=W67),Language!$E$141,"")</f>
        <v/>
      </c>
      <c r="V69" s="459"/>
      <c r="W69" s="459"/>
    </row>
    <row r="70" spans="3:24" x14ac:dyDescent="0.25"/>
    <row r="71" spans="3:24" ht="15.75" x14ac:dyDescent="0.25">
      <c r="F71" s="473" t="str">
        <f>VLOOKUP(E72,Matches!$B$50:$K$58,10,0)</f>
        <v>Halbfinale 1</v>
      </c>
      <c r="G71" s="473"/>
      <c r="H71" s="473"/>
      <c r="R71" s="473" t="str">
        <f>VLOOKUP(Q72,Matches!$B$50:$K$58,10,0)</f>
        <v>Halbfinale 2</v>
      </c>
      <c r="S71" s="473"/>
      <c r="T71" s="473"/>
    </row>
    <row r="72" spans="3:24" x14ac:dyDescent="0.25">
      <c r="E72" s="105">
        <f>RIGHT($L$88,2)*1</f>
        <v>49</v>
      </c>
      <c r="F72" s="466" t="str">
        <f>VLOOKUP(E72,Matches!$B$4:$K$58,7,0)</f>
        <v>München</v>
      </c>
      <c r="G72" s="467"/>
      <c r="H72" s="468"/>
      <c r="Q72" s="105">
        <f>RIGHT($N$88,2)*1</f>
        <v>50</v>
      </c>
      <c r="R72" s="466" t="str">
        <f>VLOOKUP(Q72,Matches!$B$4:$K$58,7,0)</f>
        <v>Dortmund</v>
      </c>
      <c r="S72" s="467"/>
      <c r="T72" s="468"/>
    </row>
    <row r="73" spans="3:24" ht="15.75" x14ac:dyDescent="0.25">
      <c r="F73" s="470">
        <f>VLOOKUP(E72,Matches!$B$4:$K$58,5,0)</f>
        <v>45482.875</v>
      </c>
      <c r="G73" s="471"/>
      <c r="H73" s="472"/>
      <c r="L73" s="27"/>
      <c r="M73" s="27"/>
      <c r="R73" s="470">
        <f>VLOOKUP(Q72,Matches!$B$4:$K$58,5,0)</f>
        <v>45483.875</v>
      </c>
      <c r="S73" s="471"/>
      <c r="T73" s="472"/>
    </row>
    <row r="74" spans="3:24" x14ac:dyDescent="0.25">
      <c r="F74" s="7" t="str">
        <f>IF(AND(C65&lt;&gt;"",E65&lt;&gt;""),IF(C65&gt;E65,C64,IF(C65&lt;E65,E64,IF(AND(C67&lt;&gt;"",E67&lt;&gt;""),IF(C67&gt;E67,C64,IF(C67&lt;E67,E64,"")),""))),"")</f>
        <v/>
      </c>
      <c r="H74" s="8" t="str">
        <f>IF(AND(I65&lt;&gt;"",K65&lt;&gt;""),IF(I65&gt;K65,I64,IF(I65&lt;K65,K64,IF(AND(I67&lt;&gt;"",K67&lt;&gt;""),IF(I67&gt;K67,I64,IF(I67&lt;K67,K64,"")),""))),"")</f>
        <v/>
      </c>
      <c r="L74" s="25"/>
      <c r="M74" s="25"/>
      <c r="R74" s="7" t="str">
        <f>IF(AND(O65&lt;&gt;"",Q65&lt;&gt;""),IF(O65&gt;Q65,O64,IF(O65&lt;Q65,Q64,IF(AND(O67&lt;&gt;"",Q67&lt;&gt;""),IF(O67&gt;Q67,O64,IF(O67&lt;Q67,Q64,"")),""))),"")</f>
        <v/>
      </c>
      <c r="T74" s="8" t="str">
        <f>IF(AND(U65&lt;&gt;"",W65&lt;&gt;""),IF(U65&gt;W65,U64,IF(U65&lt;W65,W64,IF(AND(U67&lt;&gt;"",W67&lt;&gt;""),IF(U67&gt;W67,U64,IF(U67&lt;W67,W64,"")),""))),"")</f>
        <v/>
      </c>
    </row>
    <row r="75" spans="3:24" ht="15.75" thickBot="1" x14ac:dyDescent="0.3">
      <c r="F75" s="1"/>
      <c r="G75" s="12"/>
      <c r="H75" s="3"/>
      <c r="I75" s="286"/>
      <c r="L75" s="16"/>
      <c r="R75" s="1"/>
      <c r="S75" s="12"/>
      <c r="T75" s="3"/>
      <c r="U75" s="286"/>
    </row>
    <row r="76" spans="3:24" ht="9.9499999999999993" customHeight="1" x14ac:dyDescent="0.25">
      <c r="F76" s="456" t="str">
        <f>Language!$E$127</f>
        <v>Elfmeterschießen:</v>
      </c>
      <c r="G76" s="457"/>
      <c r="H76" s="458"/>
      <c r="L76" s="16"/>
      <c r="R76" s="456" t="str">
        <f>Language!$E$127</f>
        <v>Elfmeterschießen:</v>
      </c>
      <c r="S76" s="457"/>
      <c r="T76" s="458"/>
    </row>
    <row r="77" spans="3:24" ht="15.75" thickBot="1" x14ac:dyDescent="0.3">
      <c r="F77" s="282"/>
      <c r="G77" s="12"/>
      <c r="H77" s="283"/>
      <c r="L77" s="16"/>
      <c r="R77" s="282"/>
      <c r="S77" s="12"/>
      <c r="T77" s="283"/>
    </row>
    <row r="78" spans="3:24" x14ac:dyDescent="0.25">
      <c r="F78" s="10" t="str">
        <f>VLOOKUP(E72,Matches!$B$50:$K$58,2,0)</f>
        <v>W45</v>
      </c>
      <c r="G78" s="13"/>
      <c r="H78" s="10" t="str">
        <f>VLOOKUP(E72,Matches!$B$50:$K$58,3,0)</f>
        <v>W46</v>
      </c>
      <c r="I78" s="226"/>
      <c r="L78" s="17"/>
      <c r="R78" s="10" t="str">
        <f>VLOOKUP(Q72,Matches!$B$50:$K$58,2,0)</f>
        <v>W47</v>
      </c>
      <c r="S78" s="13"/>
      <c r="T78" s="10" t="str">
        <f>VLOOKUP(Q72,Matches!$B$50:$K$58,3,0)</f>
        <v>W48</v>
      </c>
    </row>
    <row r="79" spans="3:24" ht="12" customHeight="1" x14ac:dyDescent="0.25">
      <c r="F79" s="459" t="str">
        <f>IF(AND(F75&lt;&gt;"",H75&lt;&gt;"",F75=H75,F77&lt;&gt;"",H77&lt;&gt;"",F77=H77),Language!$E$141,"")</f>
        <v/>
      </c>
      <c r="G79" s="459"/>
      <c r="H79" s="459"/>
      <c r="L79" s="223"/>
      <c r="M79" s="223"/>
      <c r="N79" s="223"/>
      <c r="R79" s="459" t="str">
        <f>IF(AND(R75&lt;&gt;"",T75&lt;&gt;"",R75=T75,R77&lt;&gt;"",T77&lt;&gt;"",R77=T77),Language!$E$141,"")</f>
        <v/>
      </c>
      <c r="S79" s="459"/>
      <c r="T79" s="459"/>
    </row>
    <row r="80" spans="3:24" x14ac:dyDescent="0.25"/>
    <row r="81" spans="2:24" ht="31.5" x14ac:dyDescent="0.25">
      <c r="L81" s="463" t="str">
        <f>VLOOKUP(K82,Matches!$B$50:$K$58,10,0)</f>
        <v>Finale</v>
      </c>
      <c r="M81" s="464"/>
      <c r="N81" s="465"/>
    </row>
    <row r="82" spans="2:24" ht="15" customHeight="1" x14ac:dyDescent="0.25">
      <c r="K82" s="105">
        <v>51</v>
      </c>
      <c r="L82" s="466" t="str">
        <f>VLOOKUP(K82,Matches!$B$4:$K$58,7,0)</f>
        <v>Berlin</v>
      </c>
      <c r="M82" s="467"/>
      <c r="N82" s="468"/>
      <c r="R82" s="469" t="str">
        <f>Language!$E$109</f>
        <v>Europameister 2024:</v>
      </c>
      <c r="S82" s="469"/>
      <c r="T82" s="469"/>
      <c r="U82" s="469"/>
      <c r="V82" s="469"/>
      <c r="W82" s="469"/>
    </row>
    <row r="83" spans="2:24" ht="15" customHeight="1" x14ac:dyDescent="0.25">
      <c r="L83" s="470">
        <f>VLOOKUP(K82,Matches!$B$4:$K$58,5,0)</f>
        <v>45487.875</v>
      </c>
      <c r="M83" s="471"/>
      <c r="N83" s="472"/>
      <c r="R83" s="469"/>
      <c r="S83" s="469"/>
      <c r="T83" s="469"/>
      <c r="U83" s="469"/>
      <c r="V83" s="469"/>
      <c r="W83" s="469"/>
    </row>
    <row r="84" spans="2:24" ht="15" customHeight="1" x14ac:dyDescent="0.25">
      <c r="L84" s="7" t="str">
        <f>IF(AND(F75&lt;&gt;"",H75&lt;&gt;""),IF(F75&gt;H75,F74,IF(F75&lt;H75,H74,IF(AND(F77&lt;&gt;"",H77&lt;&gt;""),IF(F77&gt;H77,F74,IF(F77&lt;H77,H74,"")),""))),"")</f>
        <v/>
      </c>
      <c r="N84" s="8" t="str">
        <f>IF(AND(R75&lt;&gt;"",T75&lt;&gt;""),IF(R75&gt;T75,R74,IF(R75&lt;T75,T74,IF(AND(R77&lt;&gt;"",T77&lt;&gt;""),IF(R77&gt;T77,R74,IF(R77&lt;T77,T74,"")),""))),"")</f>
        <v/>
      </c>
      <c r="R84" s="455" t="str">
        <f>IF(AND(L85&lt;&gt;"",N85&lt;&gt;""),IF(L85&gt;N85,L84,IF(L85&lt;N85,N84,IF(AND(L87&lt;&gt;"",N87&lt;&gt;""),IF(L87&gt;N87,L84,IF(L87&lt;N87,N84,"")),""))),"")</f>
        <v/>
      </c>
      <c r="S84" s="455"/>
      <c r="T84" s="455"/>
      <c r="U84" s="455"/>
      <c r="V84" s="455"/>
      <c r="W84" s="455"/>
    </row>
    <row r="85" spans="2:24" ht="15" customHeight="1" thickBot="1" x14ac:dyDescent="0.3">
      <c r="B85" s="15"/>
      <c r="L85" s="1"/>
      <c r="M85" s="11"/>
      <c r="N85" s="3"/>
      <c r="O85" s="286"/>
      <c r="R85" s="455"/>
      <c r="S85" s="455"/>
      <c r="T85" s="455"/>
      <c r="U85" s="455"/>
      <c r="V85" s="455"/>
      <c r="W85" s="455"/>
    </row>
    <row r="86" spans="2:24" ht="9.9499999999999993" customHeight="1" x14ac:dyDescent="0.25">
      <c r="B86" s="15"/>
      <c r="L86" s="456" t="str">
        <f>Language!$E$127</f>
        <v>Elfmeterschießen:</v>
      </c>
      <c r="M86" s="457"/>
      <c r="N86" s="458"/>
      <c r="R86" s="284"/>
      <c r="S86" s="284"/>
      <c r="T86" s="284"/>
      <c r="U86" s="284"/>
      <c r="V86" s="284"/>
      <c r="W86" s="284"/>
    </row>
    <row r="87" spans="2:24" ht="15" customHeight="1" thickBot="1" x14ac:dyDescent="0.3">
      <c r="B87" s="15"/>
      <c r="L87" s="282"/>
      <c r="M87" s="12"/>
      <c r="N87" s="283"/>
      <c r="R87" s="284"/>
      <c r="S87" s="284"/>
      <c r="T87" s="284"/>
      <c r="U87" s="284"/>
      <c r="V87" s="284"/>
      <c r="W87" s="284"/>
    </row>
    <row r="88" spans="2:24" x14ac:dyDescent="0.25">
      <c r="L88" s="10" t="str">
        <f>VLOOKUP(K82,Matches!$B$50:$K$58,2,0)</f>
        <v>W49</v>
      </c>
      <c r="M88" s="13"/>
      <c r="N88" s="10" t="str">
        <f>VLOOKUP(K82,Matches!$B$50:$K$58,3,0)</f>
        <v>W50</v>
      </c>
      <c r="O88" s="226"/>
    </row>
    <row r="89" spans="2:24" ht="12" customHeight="1" x14ac:dyDescent="0.25">
      <c r="L89" s="459" t="str">
        <f>IF(AND(L85&lt;&gt;"",N85&lt;&gt;"",L85=N85,L87&lt;&gt;"",N87&lt;&gt;"",L87=N87),Language!$E$141,"")</f>
        <v/>
      </c>
      <c r="M89" s="459"/>
      <c r="N89" s="459"/>
    </row>
    <row r="90" spans="2:24" x14ac:dyDescent="0.25"/>
    <row r="91" spans="2:24" x14ac:dyDescent="0.25">
      <c r="U91" s="460"/>
      <c r="V91" s="460"/>
      <c r="W91" s="460"/>
      <c r="X91" s="460"/>
    </row>
    <row r="92" spans="2:24" x14ac:dyDescent="0.25">
      <c r="B92" s="461" t="s">
        <v>1135</v>
      </c>
      <c r="C92" s="461"/>
      <c r="D92" s="461"/>
      <c r="T92" s="462" t="s">
        <v>742</v>
      </c>
      <c r="U92" s="462"/>
      <c r="V92" s="462"/>
      <c r="W92" s="462"/>
      <c r="X92" s="462"/>
    </row>
    <row r="93" spans="2:24" x14ac:dyDescent="0.25"/>
  </sheetData>
  <sheetProtection sheet="1" objects="1" scenarios="1" selectLockedCells="1"/>
  <mergeCells count="233">
    <mergeCell ref="W8:X8"/>
    <mergeCell ref="B9:C9"/>
    <mergeCell ref="E9:F9"/>
    <mergeCell ref="H9:I9"/>
    <mergeCell ref="K9:L9"/>
    <mergeCell ref="N9:O9"/>
    <mergeCell ref="Q9:R9"/>
    <mergeCell ref="B1:C1"/>
    <mergeCell ref="E1:U1"/>
    <mergeCell ref="B7:R7"/>
    <mergeCell ref="B8:C8"/>
    <mergeCell ref="E8:F8"/>
    <mergeCell ref="H8:I8"/>
    <mergeCell ref="K8:L8"/>
    <mergeCell ref="N8:O8"/>
    <mergeCell ref="Q8:R8"/>
    <mergeCell ref="T8:U8"/>
    <mergeCell ref="T11:X12"/>
    <mergeCell ref="B12:C12"/>
    <mergeCell ref="E12:F12"/>
    <mergeCell ref="H12:I12"/>
    <mergeCell ref="K12:L12"/>
    <mergeCell ref="N12:O12"/>
    <mergeCell ref="Q12:R12"/>
    <mergeCell ref="B11:C11"/>
    <mergeCell ref="E11:F11"/>
    <mergeCell ref="H11:I11"/>
    <mergeCell ref="K11:L11"/>
    <mergeCell ref="N11:O11"/>
    <mergeCell ref="Q11:R11"/>
    <mergeCell ref="T14:X15"/>
    <mergeCell ref="B16:C16"/>
    <mergeCell ref="E16:F16"/>
    <mergeCell ref="H16:I16"/>
    <mergeCell ref="K16:L16"/>
    <mergeCell ref="N16:O16"/>
    <mergeCell ref="Q16:R16"/>
    <mergeCell ref="T16:X27"/>
    <mergeCell ref="B17:C17"/>
    <mergeCell ref="E17:F17"/>
    <mergeCell ref="B22:C22"/>
    <mergeCell ref="E22:F22"/>
    <mergeCell ref="H22:I22"/>
    <mergeCell ref="K22:L22"/>
    <mergeCell ref="N22:O22"/>
    <mergeCell ref="Q22:R22"/>
    <mergeCell ref="H17:I17"/>
    <mergeCell ref="K17:L17"/>
    <mergeCell ref="N17:O17"/>
    <mergeCell ref="Q17:R17"/>
    <mergeCell ref="B21:C21"/>
    <mergeCell ref="E21:F21"/>
    <mergeCell ref="H21:I21"/>
    <mergeCell ref="K21:L21"/>
    <mergeCell ref="N21:O21"/>
    <mergeCell ref="Q21:R21"/>
    <mergeCell ref="B27:C27"/>
    <mergeCell ref="E27:F27"/>
    <mergeCell ref="H27:I27"/>
    <mergeCell ref="K27:L27"/>
    <mergeCell ref="N27:O27"/>
    <mergeCell ref="Q27:R27"/>
    <mergeCell ref="B26:C26"/>
    <mergeCell ref="E26:F26"/>
    <mergeCell ref="H26:I26"/>
    <mergeCell ref="K26:L26"/>
    <mergeCell ref="N26:O26"/>
    <mergeCell ref="Q26:R26"/>
    <mergeCell ref="T33:X36"/>
    <mergeCell ref="B35:C35"/>
    <mergeCell ref="E35:F35"/>
    <mergeCell ref="H35:I35"/>
    <mergeCell ref="K35:L35"/>
    <mergeCell ref="N35:O35"/>
    <mergeCell ref="Q35:R35"/>
    <mergeCell ref="T31:X32"/>
    <mergeCell ref="B32:C32"/>
    <mergeCell ref="E32:F32"/>
    <mergeCell ref="H32:I32"/>
    <mergeCell ref="K32:L32"/>
    <mergeCell ref="N32:O32"/>
    <mergeCell ref="Q32:R32"/>
    <mergeCell ref="B31:C31"/>
    <mergeCell ref="E31:F31"/>
    <mergeCell ref="H31:I31"/>
    <mergeCell ref="K31:L31"/>
    <mergeCell ref="N31:O31"/>
    <mergeCell ref="Q31:R31"/>
    <mergeCell ref="B38:C38"/>
    <mergeCell ref="E38:F38"/>
    <mergeCell ref="H38:I38"/>
    <mergeCell ref="K38:L38"/>
    <mergeCell ref="N38:O38"/>
    <mergeCell ref="Q38:R38"/>
    <mergeCell ref="B37:C37"/>
    <mergeCell ref="E37:F37"/>
    <mergeCell ref="H37:I37"/>
    <mergeCell ref="K37:L37"/>
    <mergeCell ref="N37:O37"/>
    <mergeCell ref="Q37:R37"/>
    <mergeCell ref="B42:C42"/>
    <mergeCell ref="E42:F42"/>
    <mergeCell ref="H42:I42"/>
    <mergeCell ref="K42:L42"/>
    <mergeCell ref="N42:O42"/>
    <mergeCell ref="Q42:R42"/>
    <mergeCell ref="B39:C39"/>
    <mergeCell ref="E39:F39"/>
    <mergeCell ref="H39:I39"/>
    <mergeCell ref="K39:L39"/>
    <mergeCell ref="N39:O39"/>
    <mergeCell ref="Q39:R39"/>
    <mergeCell ref="W45:X45"/>
    <mergeCell ref="B46:C46"/>
    <mergeCell ref="E46:F46"/>
    <mergeCell ref="H46:I46"/>
    <mergeCell ref="K46:L46"/>
    <mergeCell ref="N46:O46"/>
    <mergeCell ref="Q46:R46"/>
    <mergeCell ref="W46:X46"/>
    <mergeCell ref="T44:U44"/>
    <mergeCell ref="B45:C45"/>
    <mergeCell ref="E45:F45"/>
    <mergeCell ref="H45:I45"/>
    <mergeCell ref="K45:L45"/>
    <mergeCell ref="N45:O45"/>
    <mergeCell ref="Q45:R45"/>
    <mergeCell ref="T45:U45"/>
    <mergeCell ref="B44:C44"/>
    <mergeCell ref="E44:F44"/>
    <mergeCell ref="H44:I44"/>
    <mergeCell ref="K44:L44"/>
    <mergeCell ref="N44:O44"/>
    <mergeCell ref="Q44:R44"/>
    <mergeCell ref="B49:C49"/>
    <mergeCell ref="E49:F49"/>
    <mergeCell ref="H49:I49"/>
    <mergeCell ref="K49:L49"/>
    <mergeCell ref="N49:O49"/>
    <mergeCell ref="Q49:R49"/>
    <mergeCell ref="W47:X47"/>
    <mergeCell ref="B48:C48"/>
    <mergeCell ref="E48:F48"/>
    <mergeCell ref="H48:I48"/>
    <mergeCell ref="K48:L48"/>
    <mergeCell ref="N48:O48"/>
    <mergeCell ref="Q48:R48"/>
    <mergeCell ref="B47:C47"/>
    <mergeCell ref="E47:F47"/>
    <mergeCell ref="H47:I47"/>
    <mergeCell ref="K47:L47"/>
    <mergeCell ref="N47:O47"/>
    <mergeCell ref="Q47:R47"/>
    <mergeCell ref="T51:U51"/>
    <mergeCell ref="W51:X51"/>
    <mergeCell ref="B52:C52"/>
    <mergeCell ref="E52:F52"/>
    <mergeCell ref="H52:I52"/>
    <mergeCell ref="K52:L52"/>
    <mergeCell ref="N52:O52"/>
    <mergeCell ref="Q52:R52"/>
    <mergeCell ref="T52:U52"/>
    <mergeCell ref="W52:X52"/>
    <mergeCell ref="B51:C51"/>
    <mergeCell ref="E51:F51"/>
    <mergeCell ref="H51:I51"/>
    <mergeCell ref="K51:L51"/>
    <mergeCell ref="N51:O51"/>
    <mergeCell ref="Q51:R51"/>
    <mergeCell ref="T53:U53"/>
    <mergeCell ref="W53:X53"/>
    <mergeCell ref="B56:C56"/>
    <mergeCell ref="E56:F56"/>
    <mergeCell ref="H56:I56"/>
    <mergeCell ref="K56:L56"/>
    <mergeCell ref="N56:O56"/>
    <mergeCell ref="Q56:R56"/>
    <mergeCell ref="T56:U56"/>
    <mergeCell ref="W56:X56"/>
    <mergeCell ref="B53:C53"/>
    <mergeCell ref="E53:F53"/>
    <mergeCell ref="H53:I53"/>
    <mergeCell ref="K53:L53"/>
    <mergeCell ref="N53:O53"/>
    <mergeCell ref="Q53:R53"/>
    <mergeCell ref="T59:U59"/>
    <mergeCell ref="W59:X59"/>
    <mergeCell ref="C61:E61"/>
    <mergeCell ref="I61:K61"/>
    <mergeCell ref="O61:Q61"/>
    <mergeCell ref="U61:W61"/>
    <mergeCell ref="B59:C59"/>
    <mergeCell ref="E59:F59"/>
    <mergeCell ref="H59:I59"/>
    <mergeCell ref="K59:L59"/>
    <mergeCell ref="N59:O59"/>
    <mergeCell ref="Q59:R59"/>
    <mergeCell ref="U66:W66"/>
    <mergeCell ref="C69:E69"/>
    <mergeCell ref="I69:K69"/>
    <mergeCell ref="O69:Q69"/>
    <mergeCell ref="U69:W69"/>
    <mergeCell ref="C62:E62"/>
    <mergeCell ref="I62:K62"/>
    <mergeCell ref="O62:Q62"/>
    <mergeCell ref="U62:W62"/>
    <mergeCell ref="C63:E63"/>
    <mergeCell ref="I63:K63"/>
    <mergeCell ref="O63:Q63"/>
    <mergeCell ref="U63:W63"/>
    <mergeCell ref="F71:H71"/>
    <mergeCell ref="R71:T71"/>
    <mergeCell ref="F72:H72"/>
    <mergeCell ref="R72:T72"/>
    <mergeCell ref="F73:H73"/>
    <mergeCell ref="R73:T73"/>
    <mergeCell ref="C66:E66"/>
    <mergeCell ref="I66:K66"/>
    <mergeCell ref="O66:Q66"/>
    <mergeCell ref="R84:W85"/>
    <mergeCell ref="L86:N86"/>
    <mergeCell ref="L89:N89"/>
    <mergeCell ref="U91:X91"/>
    <mergeCell ref="B92:D92"/>
    <mergeCell ref="T92:X92"/>
    <mergeCell ref="F76:H76"/>
    <mergeCell ref="R76:T76"/>
    <mergeCell ref="F79:H79"/>
    <mergeCell ref="R79:T79"/>
    <mergeCell ref="L81:N81"/>
    <mergeCell ref="L82:N82"/>
    <mergeCell ref="R82:W83"/>
    <mergeCell ref="L83:N83"/>
  </mergeCells>
  <conditionalFormatting sqref="B12">
    <cfRule type="expression" dxfId="225" priority="220">
      <formula>INT(B12)=TODAY()</formula>
    </cfRule>
  </conditionalFormatting>
  <conditionalFormatting sqref="L75:L77">
    <cfRule type="expression" dxfId="224" priority="219">
      <formula>AND(L75=TODAY())</formula>
    </cfRule>
  </conditionalFormatting>
  <conditionalFormatting sqref="C14">
    <cfRule type="expression" dxfId="223" priority="218">
      <formula>AND(B12&lt;TODAY(),C14="")</formula>
    </cfRule>
  </conditionalFormatting>
  <conditionalFormatting sqref="B14 C65 I65 O65 U65 R75 F75 L85">
    <cfRule type="expression" dxfId="222" priority="217">
      <formula>AND(B12&lt;TODAY(),B14="")</formula>
    </cfRule>
  </conditionalFormatting>
  <conditionalFormatting sqref="V53">
    <cfRule type="expression" dxfId="221" priority="216">
      <formula>AND(V53=TODAY())</formula>
    </cfRule>
  </conditionalFormatting>
  <conditionalFormatting sqref="E65 K65 Q65 W65 T75 H75 N85">
    <cfRule type="expression" dxfId="220" priority="215">
      <formula>AND(C63&lt;TODAY(),E65="")</formula>
    </cfRule>
  </conditionalFormatting>
  <conditionalFormatting sqref="C63">
    <cfRule type="expression" dxfId="219" priority="214">
      <formula>INT(C63)=TODAY()</formula>
    </cfRule>
  </conditionalFormatting>
  <conditionalFormatting sqref="B19">
    <cfRule type="expression" dxfId="218" priority="213">
      <formula>AND(B17&lt;TODAY(),B19="")</formula>
    </cfRule>
  </conditionalFormatting>
  <conditionalFormatting sqref="B24">
    <cfRule type="expression" dxfId="217" priority="212">
      <formula>AND(B22&lt;TODAY(),B24="")</formula>
    </cfRule>
  </conditionalFormatting>
  <conditionalFormatting sqref="B55">
    <cfRule type="expression" dxfId="216" priority="190">
      <formula>AND(B53&lt;TODAY(),B55="")</formula>
    </cfRule>
  </conditionalFormatting>
  <conditionalFormatting sqref="C19">
    <cfRule type="expression" dxfId="215" priority="182">
      <formula>AND(B17&lt;TODAY(),C19="")</formula>
    </cfRule>
  </conditionalFormatting>
  <conditionalFormatting sqref="C24">
    <cfRule type="expression" dxfId="214" priority="181">
      <formula>AND(B22&lt;TODAY(),C24="")</formula>
    </cfRule>
  </conditionalFormatting>
  <conditionalFormatting sqref="C55">
    <cfRule type="expression" dxfId="213" priority="159">
      <formula>AND(B53&lt;TODAY(),C55="")</formula>
    </cfRule>
  </conditionalFormatting>
  <conditionalFormatting sqref="E12">
    <cfRule type="expression" dxfId="212" priority="151">
      <formula>INT(E12)=TODAY()</formula>
    </cfRule>
  </conditionalFormatting>
  <conditionalFormatting sqref="K12 H12">
    <cfRule type="expression" dxfId="211" priority="150">
      <formula>INT(H12)=TODAY()</formula>
    </cfRule>
  </conditionalFormatting>
  <conditionalFormatting sqref="Q12 N12">
    <cfRule type="expression" dxfId="210" priority="149">
      <formula>INT(N12)=TODAY()</formula>
    </cfRule>
  </conditionalFormatting>
  <conditionalFormatting sqref="B17 E17 H17 K17 N17 Q17">
    <cfRule type="expression" dxfId="209" priority="148">
      <formula>INT(B17)=TODAY()</formula>
    </cfRule>
  </conditionalFormatting>
  <conditionalFormatting sqref="B27 E27 H27 K27 N27 Q27 Q22 N22 K22 H22 E22 B22">
    <cfRule type="expression" dxfId="208" priority="147">
      <formula>INT(B22)=TODAY()</formula>
    </cfRule>
  </conditionalFormatting>
  <conditionalFormatting sqref="Q39 N39 K39 H39 E39 B39 B32 E32 H32 K32 N32 Q32">
    <cfRule type="expression" dxfId="207" priority="146">
      <formula>INT(B32)=TODAY()</formula>
    </cfRule>
  </conditionalFormatting>
  <conditionalFormatting sqref="B53 E53 H53 K53 N53 Q53 T53 W53">
    <cfRule type="expression" dxfId="206" priority="145">
      <formula>INT(B53)=TODAY()</formula>
    </cfRule>
  </conditionalFormatting>
  <conditionalFormatting sqref="I63">
    <cfRule type="expression" dxfId="205" priority="144">
      <formula>INT(I63)=TODAY()</formula>
    </cfRule>
  </conditionalFormatting>
  <conditionalFormatting sqref="O63">
    <cfRule type="expression" dxfId="204" priority="143">
      <formula>INT(O63)=TODAY()</formula>
    </cfRule>
  </conditionalFormatting>
  <conditionalFormatting sqref="U63">
    <cfRule type="expression" dxfId="203" priority="142">
      <formula>INT(U63)=TODAY()</formula>
    </cfRule>
  </conditionalFormatting>
  <conditionalFormatting sqref="R73">
    <cfRule type="expression" dxfId="202" priority="141">
      <formula>INT(R73)=TODAY()</formula>
    </cfRule>
  </conditionalFormatting>
  <conditionalFormatting sqref="F73">
    <cfRule type="expression" dxfId="201" priority="140">
      <formula>INT(F73)=TODAY()</formula>
    </cfRule>
  </conditionalFormatting>
  <conditionalFormatting sqref="L83">
    <cfRule type="expression" dxfId="200" priority="139">
      <formula>INT(L83)=TODAY()</formula>
    </cfRule>
  </conditionalFormatting>
  <conditionalFormatting sqref="T16">
    <cfRule type="expression" dxfId="199" priority="138">
      <formula>AND(T16=TODAY())</formula>
    </cfRule>
  </conditionalFormatting>
  <conditionalFormatting sqref="C57">
    <cfRule type="expression" dxfId="198" priority="137">
      <formula>AND(B55=C55,B55&lt;&gt;"")</formula>
    </cfRule>
  </conditionalFormatting>
  <conditionalFormatting sqref="B57">
    <cfRule type="expression" dxfId="197" priority="136">
      <formula>AND(B55=C55,B55&lt;&gt;"")</formula>
    </cfRule>
  </conditionalFormatting>
  <conditionalFormatting sqref="C66:E66">
    <cfRule type="expression" dxfId="196" priority="135">
      <formula>AND(C65=E65,C65&lt;&gt;"",E65&lt;&gt;"")</formula>
    </cfRule>
  </conditionalFormatting>
  <conditionalFormatting sqref="C67">
    <cfRule type="expression" dxfId="195" priority="134">
      <formula>AND(C65=E65,C65&lt;&gt;"")</formula>
    </cfRule>
  </conditionalFormatting>
  <conditionalFormatting sqref="E67">
    <cfRule type="expression" dxfId="194" priority="133">
      <formula>AND(C65=E65,C65&lt;&gt;"")</formula>
    </cfRule>
  </conditionalFormatting>
  <conditionalFormatting sqref="Q56:R56">
    <cfRule type="expression" dxfId="193" priority="132">
      <formula>AND(Q55=R55,Q55&lt;&gt;"",R55&lt;&gt;"")</formula>
    </cfRule>
  </conditionalFormatting>
  <conditionalFormatting sqref="F57">
    <cfRule type="expression" dxfId="192" priority="131">
      <formula>AND(E55=F55,E55&lt;&gt;"")</formula>
    </cfRule>
  </conditionalFormatting>
  <conditionalFormatting sqref="E57">
    <cfRule type="expression" dxfId="191" priority="130">
      <formula>AND(E55=F55,E55&lt;&gt;"")</formula>
    </cfRule>
  </conditionalFormatting>
  <conditionalFormatting sqref="I57">
    <cfRule type="expression" dxfId="190" priority="129">
      <formula>AND(H55=I55,H55&lt;&gt;"")</formula>
    </cfRule>
  </conditionalFormatting>
  <conditionalFormatting sqref="H57">
    <cfRule type="expression" dxfId="189" priority="128">
      <formula>AND(H55=I55,H55&lt;&gt;"")</formula>
    </cfRule>
  </conditionalFormatting>
  <conditionalFormatting sqref="L57">
    <cfRule type="expression" dxfId="188" priority="127">
      <formula>AND(K55=L55,K55&lt;&gt;"")</formula>
    </cfRule>
  </conditionalFormatting>
  <conditionalFormatting sqref="K57">
    <cfRule type="expression" dxfId="187" priority="126">
      <formula>AND(K55=L55,K55&lt;&gt;"")</formula>
    </cfRule>
  </conditionalFormatting>
  <conditionalFormatting sqref="O57">
    <cfRule type="expression" dxfId="186" priority="125">
      <formula>AND(N55=O55,N55&lt;&gt;"")</formula>
    </cfRule>
  </conditionalFormatting>
  <conditionalFormatting sqref="N57">
    <cfRule type="expression" dxfId="185" priority="124">
      <formula>AND(N55=O55,N55&lt;&gt;"")</formula>
    </cfRule>
  </conditionalFormatting>
  <conditionalFormatting sqref="R57">
    <cfRule type="expression" dxfId="184" priority="123">
      <formula>AND(Q55=R55,Q55&lt;&gt;"")</formula>
    </cfRule>
  </conditionalFormatting>
  <conditionalFormatting sqref="Q57">
    <cfRule type="expression" dxfId="183" priority="122">
      <formula>AND(Q55=R55,Q55&lt;&gt;"")</formula>
    </cfRule>
  </conditionalFormatting>
  <conditionalFormatting sqref="U57">
    <cfRule type="expression" dxfId="182" priority="121">
      <formula>AND(T55=U55,T55&lt;&gt;"")</formula>
    </cfRule>
  </conditionalFormatting>
  <conditionalFormatting sqref="T57">
    <cfRule type="expression" dxfId="181" priority="120">
      <formula>AND(T55=U55,T55&lt;&gt;"")</formula>
    </cfRule>
  </conditionalFormatting>
  <conditionalFormatting sqref="X57">
    <cfRule type="expression" dxfId="180" priority="119">
      <formula>AND(W55=X55,W55&lt;&gt;"")</formula>
    </cfRule>
  </conditionalFormatting>
  <conditionalFormatting sqref="W57">
    <cfRule type="expression" dxfId="179" priority="118">
      <formula>AND(W55=X55,W55&lt;&gt;"")</formula>
    </cfRule>
  </conditionalFormatting>
  <conditionalFormatting sqref="I67">
    <cfRule type="expression" dxfId="178" priority="117">
      <formula>AND(I65=K65,I65&lt;&gt;"")</formula>
    </cfRule>
  </conditionalFormatting>
  <conditionalFormatting sqref="K67">
    <cfRule type="expression" dxfId="177" priority="116">
      <formula>AND(I65=K65,I65&lt;&gt;"")</formula>
    </cfRule>
  </conditionalFormatting>
  <conditionalFormatting sqref="O67">
    <cfRule type="expression" dxfId="176" priority="115">
      <formula>AND(O65=Q65,O65&lt;&gt;"")</formula>
    </cfRule>
  </conditionalFormatting>
  <conditionalFormatting sqref="Q67">
    <cfRule type="expression" dxfId="175" priority="114">
      <formula>AND(O65=Q65,O65&lt;&gt;"")</formula>
    </cfRule>
  </conditionalFormatting>
  <conditionalFormatting sqref="U67">
    <cfRule type="expression" dxfId="174" priority="113">
      <formula>AND(U65=W65,U65&lt;&gt;"")</formula>
    </cfRule>
  </conditionalFormatting>
  <conditionalFormatting sqref="W67">
    <cfRule type="expression" dxfId="173" priority="112">
      <formula>AND(U65=W65,U65&lt;&gt;"")</formula>
    </cfRule>
  </conditionalFormatting>
  <conditionalFormatting sqref="F77">
    <cfRule type="expression" dxfId="172" priority="111">
      <formula>AND(F75=H75,F75&lt;&gt;"")</formula>
    </cfRule>
  </conditionalFormatting>
  <conditionalFormatting sqref="H77">
    <cfRule type="expression" dxfId="171" priority="110">
      <formula>AND(F75=H75,F75&lt;&gt;"")</formula>
    </cfRule>
  </conditionalFormatting>
  <conditionalFormatting sqref="R77">
    <cfRule type="expression" dxfId="170" priority="109">
      <formula>AND(R75=T75,R75&lt;&gt;"")</formula>
    </cfRule>
  </conditionalFormatting>
  <conditionalFormatting sqref="T77">
    <cfRule type="expression" dxfId="169" priority="108">
      <formula>AND(R75=T75,R75&lt;&gt;"")</formula>
    </cfRule>
  </conditionalFormatting>
  <conditionalFormatting sqref="L87">
    <cfRule type="expression" dxfId="168" priority="107">
      <formula>AND(L85=N85,L85&lt;&gt;"")</formula>
    </cfRule>
  </conditionalFormatting>
  <conditionalFormatting sqref="N87">
    <cfRule type="expression" dxfId="167" priority="106">
      <formula>AND(L85=N85,L85&lt;&gt;"")</formula>
    </cfRule>
  </conditionalFormatting>
  <conditionalFormatting sqref="Q5:R5">
    <cfRule type="expression" dxfId="166" priority="105">
      <formula>OR($V$46="F",$V$47="F",$V$48="F",$V$49="F")</formula>
    </cfRule>
  </conditionalFormatting>
  <conditionalFormatting sqref="N5:O5">
    <cfRule type="expression" dxfId="165" priority="104">
      <formula>OR($V$46="E",$V$47="E",$V$48="E",$V$49="E")</formula>
    </cfRule>
  </conditionalFormatting>
  <conditionalFormatting sqref="K5:L5">
    <cfRule type="expression" dxfId="164" priority="103">
      <formula>OR($V$46="D",$V$47="d",$V$48="d",$V$49="d")</formula>
    </cfRule>
  </conditionalFormatting>
  <conditionalFormatting sqref="H5:I5">
    <cfRule type="expression" dxfId="163" priority="102">
      <formula>OR($V$46="c",$V$47="c",$V$48="c",$V$49="c")</formula>
    </cfRule>
  </conditionalFormatting>
  <conditionalFormatting sqref="E5:F5">
    <cfRule type="expression" dxfId="162" priority="101">
      <formula>OR($V$46="b",$V$47="b",$V$48="b",$V$49="b")</formula>
    </cfRule>
  </conditionalFormatting>
  <conditionalFormatting sqref="B5:C5">
    <cfRule type="expression" dxfId="161" priority="100">
      <formula>OR($V$46="a",$V$47="a",$V$48="a",$V$49="a")</formula>
    </cfRule>
  </conditionalFormatting>
  <conditionalFormatting sqref="B48:C48">
    <cfRule type="expression" dxfId="160" priority="99">
      <formula>OR($V$46="a",$V$47="a",$V$48="a",$V$49="a")</formula>
    </cfRule>
  </conditionalFormatting>
  <conditionalFormatting sqref="E48:F48">
    <cfRule type="expression" dxfId="159" priority="98">
      <formula>OR($V$46="b",$V$47="b",$V$48="b",$V$49="b")</formula>
    </cfRule>
  </conditionalFormatting>
  <conditionalFormatting sqref="H48:I48">
    <cfRule type="expression" dxfId="158" priority="97">
      <formula>OR($V$46="c",$V$47="c",$V$48="c",$V$49="c")</formula>
    </cfRule>
  </conditionalFormatting>
  <conditionalFormatting sqref="K48:L48">
    <cfRule type="expression" dxfId="157" priority="96">
      <formula>OR($V$46="d",$V$47="d",$V$48="d",$V$49="d")</formula>
    </cfRule>
  </conditionalFormatting>
  <conditionalFormatting sqref="N48:O48">
    <cfRule type="expression" dxfId="156" priority="95">
      <formula>OR($V$46="e",$V$47="e",$V$48="e",$V$49="e")</formula>
    </cfRule>
  </conditionalFormatting>
  <conditionalFormatting sqref="Q48:R48">
    <cfRule type="expression" dxfId="155" priority="94">
      <formula>OR($V$46="F",$V$47="F",$V$48="F",$V$49="F")</formula>
    </cfRule>
  </conditionalFormatting>
  <conditionalFormatting sqref="T56:U56">
    <cfRule type="expression" dxfId="154" priority="93">
      <formula>AND(T55=U55,T55&lt;&gt;"",U55&lt;&gt;"")</formula>
    </cfRule>
  </conditionalFormatting>
  <conditionalFormatting sqref="W56:X56">
    <cfRule type="expression" dxfId="153" priority="92">
      <formula>AND(W55=X55,W55&lt;&gt;"",X55&lt;&gt;"")</formula>
    </cfRule>
  </conditionalFormatting>
  <conditionalFormatting sqref="N56:O56">
    <cfRule type="expression" dxfId="152" priority="91">
      <formula>AND(N55=O55,N55&lt;&gt;"",O55&lt;&gt;"")</formula>
    </cfRule>
  </conditionalFormatting>
  <conditionalFormatting sqref="K56:L56">
    <cfRule type="expression" dxfId="151" priority="90">
      <formula>AND(K55=L55,K55&lt;&gt;"",L55&lt;&gt;"")</formula>
    </cfRule>
  </conditionalFormatting>
  <conditionalFormatting sqref="H56:I56">
    <cfRule type="expression" dxfId="150" priority="89">
      <formula>AND(H55=I55,H55&lt;&gt;"",I55&lt;&gt;"")</formula>
    </cfRule>
  </conditionalFormatting>
  <conditionalFormatting sqref="E56:F56">
    <cfRule type="expression" dxfId="149" priority="88">
      <formula>AND(E55=F55,E55&lt;&gt;"",F55&lt;&gt;"")</formula>
    </cfRule>
  </conditionalFormatting>
  <conditionalFormatting sqref="B56:C56">
    <cfRule type="expression" dxfId="148" priority="87">
      <formula>AND(B55=C55,B55&lt;&gt;"",C55&lt;&gt;"")</formula>
    </cfRule>
  </conditionalFormatting>
  <conditionalFormatting sqref="I66:K66">
    <cfRule type="expression" dxfId="147" priority="86">
      <formula>AND(I65=K65,I65&lt;&gt;"",K65&lt;&gt;"")</formula>
    </cfRule>
  </conditionalFormatting>
  <conditionalFormatting sqref="O66:Q66">
    <cfRule type="expression" dxfId="146" priority="85">
      <formula>AND(O65=Q65,O65&lt;&gt;"",Q65&lt;&gt;"")</formula>
    </cfRule>
  </conditionalFormatting>
  <conditionalFormatting sqref="U66:W66">
    <cfRule type="expression" dxfId="145" priority="84">
      <formula>AND(U65=W65,U65&lt;&gt;"",W65&lt;&gt;"")</formula>
    </cfRule>
  </conditionalFormatting>
  <conditionalFormatting sqref="R76:T76">
    <cfRule type="expression" dxfId="144" priority="83">
      <formula>AND(R75=T75,R75&lt;&gt;"",T75&lt;&gt;"")</formula>
    </cfRule>
  </conditionalFormatting>
  <conditionalFormatting sqref="F76:H76">
    <cfRule type="expression" dxfId="143" priority="82">
      <formula>AND(F75=H75,F75&lt;&gt;"",H75&lt;&gt;"")</formula>
    </cfRule>
  </conditionalFormatting>
  <conditionalFormatting sqref="L86:N86">
    <cfRule type="expression" dxfId="142" priority="81">
      <formula>AND(L85=N85,L85&lt;&gt;"",N85&lt;&gt;"")</formula>
    </cfRule>
  </conditionalFormatting>
  <conditionalFormatting sqref="F14">
    <cfRule type="expression" dxfId="141" priority="80">
      <formula>AND(E12&lt;TODAY(),F14="")</formula>
    </cfRule>
  </conditionalFormatting>
  <conditionalFormatting sqref="E14">
    <cfRule type="expression" dxfId="140" priority="79">
      <formula>AND(E12&lt;TODAY(),E14="")</formula>
    </cfRule>
  </conditionalFormatting>
  <conditionalFormatting sqref="I14">
    <cfRule type="expression" dxfId="139" priority="78">
      <formula>AND(H12&lt;TODAY(),I14="")</formula>
    </cfRule>
  </conditionalFormatting>
  <conditionalFormatting sqref="H14">
    <cfRule type="expression" dxfId="138" priority="77">
      <formula>AND(H12&lt;TODAY(),H14="")</formula>
    </cfRule>
  </conditionalFormatting>
  <conditionalFormatting sqref="L14">
    <cfRule type="expression" dxfId="137" priority="76">
      <formula>AND(K12&lt;TODAY(),L14="")</formula>
    </cfRule>
  </conditionalFormatting>
  <conditionalFormatting sqref="K14">
    <cfRule type="expression" dxfId="136" priority="75">
      <formula>AND(K12&lt;TODAY(),K14="")</formula>
    </cfRule>
  </conditionalFormatting>
  <conditionalFormatting sqref="O14">
    <cfRule type="expression" dxfId="135" priority="74">
      <formula>AND(N12&lt;TODAY(),O14="")</formula>
    </cfRule>
  </conditionalFormatting>
  <conditionalFormatting sqref="N14">
    <cfRule type="expression" dxfId="134" priority="73">
      <formula>AND(N12&lt;TODAY(),N14="")</formula>
    </cfRule>
  </conditionalFormatting>
  <conditionalFormatting sqref="R14">
    <cfRule type="expression" dxfId="133" priority="72">
      <formula>AND(Q12&lt;TODAY(),R14="")</formula>
    </cfRule>
  </conditionalFormatting>
  <conditionalFormatting sqref="Q14">
    <cfRule type="expression" dxfId="132" priority="71">
      <formula>AND(Q12&lt;TODAY(),Q14="")</formula>
    </cfRule>
  </conditionalFormatting>
  <conditionalFormatting sqref="E19">
    <cfRule type="expression" dxfId="131" priority="70">
      <formula>AND(E17&lt;TODAY(),E19="")</formula>
    </cfRule>
  </conditionalFormatting>
  <conditionalFormatting sqref="F19">
    <cfRule type="expression" dxfId="130" priority="69">
      <formula>AND(E17&lt;TODAY(),F19="")</formula>
    </cfRule>
  </conditionalFormatting>
  <conditionalFormatting sqref="H19">
    <cfRule type="expression" dxfId="129" priority="68">
      <formula>AND(H17&lt;TODAY(),H19="")</formula>
    </cfRule>
  </conditionalFormatting>
  <conditionalFormatting sqref="I19">
    <cfRule type="expression" dxfId="128" priority="67">
      <formula>AND(H17&lt;TODAY(),I19="")</formula>
    </cfRule>
  </conditionalFormatting>
  <conditionalFormatting sqref="K19">
    <cfRule type="expression" dxfId="127" priority="66">
      <formula>AND(K17&lt;TODAY(),K19="")</formula>
    </cfRule>
  </conditionalFormatting>
  <conditionalFormatting sqref="L19">
    <cfRule type="expression" dxfId="126" priority="65">
      <formula>AND(K17&lt;TODAY(),L19="")</formula>
    </cfRule>
  </conditionalFormatting>
  <conditionalFormatting sqref="N19">
    <cfRule type="expression" dxfId="125" priority="64">
      <formula>AND(N17&lt;TODAY(),N19="")</formula>
    </cfRule>
  </conditionalFormatting>
  <conditionalFormatting sqref="O19">
    <cfRule type="expression" dxfId="124" priority="63">
      <formula>AND(N17&lt;TODAY(),O19="")</formula>
    </cfRule>
  </conditionalFormatting>
  <conditionalFormatting sqref="Q19">
    <cfRule type="expression" dxfId="123" priority="62">
      <formula>AND(Q17&lt;TODAY(),Q19="")</formula>
    </cfRule>
  </conditionalFormatting>
  <conditionalFormatting sqref="R19">
    <cfRule type="expression" dxfId="122" priority="61">
      <formula>AND(Q17&lt;TODAY(),R19="")</formula>
    </cfRule>
  </conditionalFormatting>
  <conditionalFormatting sqref="B29">
    <cfRule type="expression" dxfId="121" priority="60">
      <formula>AND(B27&lt;TODAY(),B29="")</formula>
    </cfRule>
  </conditionalFormatting>
  <conditionalFormatting sqref="C29">
    <cfRule type="expression" dxfId="120" priority="59">
      <formula>AND(B27&lt;TODAY(),C29="")</formula>
    </cfRule>
  </conditionalFormatting>
  <conditionalFormatting sqref="B34">
    <cfRule type="expression" dxfId="119" priority="58">
      <formula>AND(B32&lt;TODAY(),B34="")</formula>
    </cfRule>
  </conditionalFormatting>
  <conditionalFormatting sqref="C34">
    <cfRule type="expression" dxfId="118" priority="57">
      <formula>AND(B32&lt;TODAY(),C34="")</formula>
    </cfRule>
  </conditionalFormatting>
  <conditionalFormatting sqref="B41">
    <cfRule type="expression" dxfId="117" priority="56">
      <formula>AND(B39&lt;TODAY(),B41="")</formula>
    </cfRule>
  </conditionalFormatting>
  <conditionalFormatting sqref="C41">
    <cfRule type="expression" dxfId="116" priority="55">
      <formula>AND(B39&lt;TODAY(),C41="")</formula>
    </cfRule>
  </conditionalFormatting>
  <conditionalFormatting sqref="E24">
    <cfRule type="expression" dxfId="115" priority="54">
      <formula>AND(E22&lt;TODAY(),E24="")</formula>
    </cfRule>
  </conditionalFormatting>
  <conditionalFormatting sqref="F24">
    <cfRule type="expression" dxfId="114" priority="53">
      <formula>AND(E22&lt;TODAY(),F24="")</formula>
    </cfRule>
  </conditionalFormatting>
  <conditionalFormatting sqref="E29">
    <cfRule type="expression" dxfId="113" priority="52">
      <formula>AND(E27&lt;TODAY(),E29="")</formula>
    </cfRule>
  </conditionalFormatting>
  <conditionalFormatting sqref="F29">
    <cfRule type="expression" dxfId="112" priority="51">
      <formula>AND(E27&lt;TODAY(),F29="")</formula>
    </cfRule>
  </conditionalFormatting>
  <conditionalFormatting sqref="E34">
    <cfRule type="expression" dxfId="111" priority="50">
      <formula>AND(E32&lt;TODAY(),E34="")</formula>
    </cfRule>
  </conditionalFormatting>
  <conditionalFormatting sqref="F34">
    <cfRule type="expression" dxfId="110" priority="49">
      <formula>AND(E32&lt;TODAY(),F34="")</formula>
    </cfRule>
  </conditionalFormatting>
  <conditionalFormatting sqref="E41">
    <cfRule type="expression" dxfId="109" priority="48">
      <formula>AND(E39&lt;TODAY(),E41="")</formula>
    </cfRule>
  </conditionalFormatting>
  <conditionalFormatting sqref="F41">
    <cfRule type="expression" dxfId="108" priority="47">
      <formula>AND(E39&lt;TODAY(),F41="")</formula>
    </cfRule>
  </conditionalFormatting>
  <conditionalFormatting sqref="H24">
    <cfRule type="expression" dxfId="107" priority="46">
      <formula>AND(H22&lt;TODAY(),H24="")</formula>
    </cfRule>
  </conditionalFormatting>
  <conditionalFormatting sqref="I24">
    <cfRule type="expression" dxfId="106" priority="45">
      <formula>AND(H22&lt;TODAY(),I24="")</formula>
    </cfRule>
  </conditionalFormatting>
  <conditionalFormatting sqref="H29">
    <cfRule type="expression" dxfId="105" priority="44">
      <formula>AND(H27&lt;TODAY(),H29="")</formula>
    </cfRule>
  </conditionalFormatting>
  <conditionalFormatting sqref="I29">
    <cfRule type="expression" dxfId="104" priority="43">
      <formula>AND(H27&lt;TODAY(),I29="")</formula>
    </cfRule>
  </conditionalFormatting>
  <conditionalFormatting sqref="H34">
    <cfRule type="expression" dxfId="103" priority="42">
      <formula>AND(H32&lt;TODAY(),H34="")</formula>
    </cfRule>
  </conditionalFormatting>
  <conditionalFormatting sqref="I34">
    <cfRule type="expression" dxfId="102" priority="41">
      <formula>AND(H32&lt;TODAY(),I34="")</formula>
    </cfRule>
  </conditionalFormatting>
  <conditionalFormatting sqref="H41">
    <cfRule type="expression" dxfId="101" priority="40">
      <formula>AND(H39&lt;TODAY(),H41="")</formula>
    </cfRule>
  </conditionalFormatting>
  <conditionalFormatting sqref="I41">
    <cfRule type="expression" dxfId="100" priority="39">
      <formula>AND(H39&lt;TODAY(),I41="")</formula>
    </cfRule>
  </conditionalFormatting>
  <conditionalFormatting sqref="K24">
    <cfRule type="expression" dxfId="99" priority="38">
      <formula>AND(K22&lt;TODAY(),K24="")</formula>
    </cfRule>
  </conditionalFormatting>
  <conditionalFormatting sqref="L24">
    <cfRule type="expression" dxfId="98" priority="37">
      <formula>AND(K22&lt;TODAY(),L24="")</formula>
    </cfRule>
  </conditionalFormatting>
  <conditionalFormatting sqref="K29">
    <cfRule type="expression" dxfId="97" priority="36">
      <formula>AND(K27&lt;TODAY(),K29="")</formula>
    </cfRule>
  </conditionalFormatting>
  <conditionalFormatting sqref="L29">
    <cfRule type="expression" dxfId="96" priority="35">
      <formula>AND(K27&lt;TODAY(),L29="")</formula>
    </cfRule>
  </conditionalFormatting>
  <conditionalFormatting sqref="K34">
    <cfRule type="expression" dxfId="95" priority="34">
      <formula>AND(K32&lt;TODAY(),K34="")</formula>
    </cfRule>
  </conditionalFormatting>
  <conditionalFormatting sqref="L34">
    <cfRule type="expression" dxfId="94" priority="33">
      <formula>AND(K32&lt;TODAY(),L34="")</formula>
    </cfRule>
  </conditionalFormatting>
  <conditionalFormatting sqref="K41">
    <cfRule type="expression" dxfId="93" priority="32">
      <formula>AND(K39&lt;TODAY(),K41="")</formula>
    </cfRule>
  </conditionalFormatting>
  <conditionalFormatting sqref="L41">
    <cfRule type="expression" dxfId="92" priority="31">
      <formula>AND(K39&lt;TODAY(),L41="")</formula>
    </cfRule>
  </conditionalFormatting>
  <conditionalFormatting sqref="N24">
    <cfRule type="expression" dxfId="91" priority="30">
      <formula>AND(N22&lt;TODAY(),N24="")</formula>
    </cfRule>
  </conditionalFormatting>
  <conditionalFormatting sqref="O24">
    <cfRule type="expression" dxfId="90" priority="29">
      <formula>AND(N22&lt;TODAY(),O24="")</formula>
    </cfRule>
  </conditionalFormatting>
  <conditionalFormatting sqref="N29">
    <cfRule type="expression" dxfId="89" priority="28">
      <formula>AND(N27&lt;TODAY(),N29="")</formula>
    </cfRule>
  </conditionalFormatting>
  <conditionalFormatting sqref="O29">
    <cfRule type="expression" dxfId="88" priority="27">
      <formula>AND(N27&lt;TODAY(),O29="")</formula>
    </cfRule>
  </conditionalFormatting>
  <conditionalFormatting sqref="N34">
    <cfRule type="expression" dxfId="87" priority="26">
      <formula>AND(N32&lt;TODAY(),N34="")</formula>
    </cfRule>
  </conditionalFormatting>
  <conditionalFormatting sqref="O34">
    <cfRule type="expression" dxfId="86" priority="25">
      <formula>AND(N32&lt;TODAY(),O34="")</formula>
    </cfRule>
  </conditionalFormatting>
  <conditionalFormatting sqref="N41">
    <cfRule type="expression" dxfId="85" priority="24">
      <formula>AND(N39&lt;TODAY(),N41="")</formula>
    </cfRule>
  </conditionalFormatting>
  <conditionalFormatting sqref="O41">
    <cfRule type="expression" dxfId="84" priority="23">
      <formula>AND(N39&lt;TODAY(),O41="")</formula>
    </cfRule>
  </conditionalFormatting>
  <conditionalFormatting sqref="Q24">
    <cfRule type="expression" dxfId="83" priority="22">
      <formula>AND(Q22&lt;TODAY(),Q24="")</formula>
    </cfRule>
  </conditionalFormatting>
  <conditionalFormatting sqref="R24">
    <cfRule type="expression" dxfId="82" priority="21">
      <formula>AND(Q22&lt;TODAY(),R24="")</formula>
    </cfRule>
  </conditionalFormatting>
  <conditionalFormatting sqref="Q29">
    <cfRule type="expression" dxfId="81" priority="20">
      <formula>AND(Q27&lt;TODAY(),Q29="")</formula>
    </cfRule>
  </conditionalFormatting>
  <conditionalFormatting sqref="R29">
    <cfRule type="expression" dxfId="80" priority="19">
      <formula>AND(Q27&lt;TODAY(),R29="")</formula>
    </cfRule>
  </conditionalFormatting>
  <conditionalFormatting sqref="Q34">
    <cfRule type="expression" dxfId="79" priority="18">
      <formula>AND(Q32&lt;TODAY(),Q34="")</formula>
    </cfRule>
  </conditionalFormatting>
  <conditionalFormatting sqref="R34">
    <cfRule type="expression" dxfId="78" priority="17">
      <formula>AND(Q32&lt;TODAY(),R34="")</formula>
    </cfRule>
  </conditionalFormatting>
  <conditionalFormatting sqref="Q41">
    <cfRule type="expression" dxfId="77" priority="16">
      <formula>AND(Q39&lt;TODAY(),Q41="")</formula>
    </cfRule>
  </conditionalFormatting>
  <conditionalFormatting sqref="R41">
    <cfRule type="expression" dxfId="76" priority="15">
      <formula>AND(Q39&lt;TODAY(),R41="")</formula>
    </cfRule>
  </conditionalFormatting>
  <conditionalFormatting sqref="E55">
    <cfRule type="expression" dxfId="75" priority="14">
      <formula>AND(E53&lt;TODAY(),E55="")</formula>
    </cfRule>
  </conditionalFormatting>
  <conditionalFormatting sqref="F55">
    <cfRule type="expression" dxfId="74" priority="13">
      <formula>AND(E53&lt;TODAY(),F55="")</formula>
    </cfRule>
  </conditionalFormatting>
  <conditionalFormatting sqref="H55">
    <cfRule type="expression" dxfId="73" priority="12">
      <formula>AND(H53&lt;TODAY(),H55="")</formula>
    </cfRule>
  </conditionalFormatting>
  <conditionalFormatting sqref="I55">
    <cfRule type="expression" dxfId="72" priority="11">
      <formula>AND(H53&lt;TODAY(),I55="")</formula>
    </cfRule>
  </conditionalFormatting>
  <conditionalFormatting sqref="K55">
    <cfRule type="expression" dxfId="71" priority="10">
      <formula>AND(K53&lt;TODAY(),K55="")</formula>
    </cfRule>
  </conditionalFormatting>
  <conditionalFormatting sqref="L55">
    <cfRule type="expression" dxfId="70" priority="9">
      <formula>AND(K53&lt;TODAY(),L55="")</formula>
    </cfRule>
  </conditionalFormatting>
  <conditionalFormatting sqref="N55">
    <cfRule type="expression" dxfId="69" priority="8">
      <formula>AND(N53&lt;TODAY(),N55="")</formula>
    </cfRule>
  </conditionalFormatting>
  <conditionalFormatting sqref="O55">
    <cfRule type="expression" dxfId="68" priority="7">
      <formula>AND(N53&lt;TODAY(),O55="")</formula>
    </cfRule>
  </conditionalFormatting>
  <conditionalFormatting sqref="Q55">
    <cfRule type="expression" dxfId="67" priority="6">
      <formula>AND(Q53&lt;TODAY(),Q55="")</formula>
    </cfRule>
  </conditionalFormatting>
  <conditionalFormatting sqref="R55">
    <cfRule type="expression" dxfId="66" priority="5">
      <formula>AND(Q53&lt;TODAY(),R55="")</formula>
    </cfRule>
  </conditionalFormatting>
  <conditionalFormatting sqref="T55">
    <cfRule type="expression" dxfId="65" priority="4">
      <formula>AND(T53&lt;TODAY(),T55="")</formula>
    </cfRule>
  </conditionalFormatting>
  <conditionalFormatting sqref="U55">
    <cfRule type="expression" dxfId="64" priority="3">
      <formula>AND(T53&lt;TODAY(),U55="")</formula>
    </cfRule>
  </conditionalFormatting>
  <conditionalFormatting sqref="W55">
    <cfRule type="expression" dxfId="63" priority="2">
      <formula>AND(W53&lt;TODAY(),W55="")</formula>
    </cfRule>
  </conditionalFormatting>
  <conditionalFormatting sqref="X55">
    <cfRule type="expression" dxfId="62" priority="1">
      <formula>AND(W53&lt;TODAY(),X55="")</formula>
    </cfRule>
  </conditionalFormatting>
  <dataValidations count="2">
    <dataValidation type="textLength" operator="lessThanOrEqual" allowBlank="1" showInputMessage="1" showErrorMessage="1" sqref="Y48:Y49 V46:V49" xr:uid="{00000000-0002-0000-0000-000000000000}">
      <formula1>1</formula1>
    </dataValidation>
    <dataValidation type="whole" allowBlank="1" showInputMessage="1" showErrorMessage="1" sqref="B14:C15 Q36:R36 H14:I15 K14:L15 N14:O15 Q14:R15 Q19:R20 N19:O20 K19:L20 H19:I20 E19:F20 B19:C20 B24:C25 E24:F25 H24:I25 K24:L25 N24:O25 Q24:R25 Q29:R30 N29:O30 K29:L30 H29:I30 E29:F30 B29:C30 K43:L43 N43:O43 Q43:R43 T43:U43 N34:O34 N41:O41 K41:L41 Q34:R34 B34:C34 L87 W43:X43 B43:C43 N36:O36 H41:I41 E34:F34 K36:L36 H36:I36 E36:F36 B36:C36 H43:I43 E43:F43 N85 K57:L57 E57:F57 N57:O57 H57:I57 Q41:R41 B57:C57 Q57:R57 T57:U57 U67 Q67 O67 K67 I67 C67 W57:X57 E67 H75 W67 T75 H77 R77 E41:F41 B41:C41 H34:I34 K34:L34 B55:C55 E55:F55 H55:I55 K55:L55 N55:O55 Q55:R55 T55:U55 W55:X55 E65 C65 I65 K65 O65 Q65 U65 W65 F75 F77 R75 T77 L85 N87 E14:F15" xr:uid="{00000000-0002-0000-0000-000001000000}">
      <formula1>0</formula1>
      <formula2>99</formula2>
    </dataValidation>
  </dataValidations>
  <hyperlinks>
    <hyperlink ref="T92" r:id="rId1" display="https://hermann-baum.de/excel/WorldCup2022/de" xr:uid="{00000000-0004-0000-0000-000000000000}"/>
    <hyperlink ref="T92:X92" r:id="rId2" display="https://hermann-baum.de/excel/UEFA_EURO/de/" xr:uid="{00000000-0004-0000-0000-000001000000}"/>
  </hyperlinks>
  <pageMargins left="0.7" right="0.7" top="0.78740157499999996" bottom="0.78740157499999996" header="0.3" footer="0.3"/>
  <pageSetup paperSize="9" orientation="portrait" horizontalDpi="4294967293" verticalDpi="0" r:id="rId3"/>
  <drawing r:id="rId4"/>
  <extLst>
    <ext xmlns:x14="http://schemas.microsoft.com/office/spreadsheetml/2009/9/main" uri="{78C0D931-6437-407d-A8EE-F0AAD7539E65}">
      <x14:conditionalFormattings>
        <x14:conditionalFormatting xmlns:xm="http://schemas.microsoft.com/office/excel/2006/main">
          <x14:cfRule type="expression" priority="221" id="{9BCA18C3-066B-4BCD-9631-EE0E12FEC124}">
            <xm:f>Distinctness!$D$4&gt;0</xm:f>
            <x14:dxf>
              <font>
                <b val="0"/>
                <i val="0"/>
                <color rgb="FFC02000"/>
              </font>
            </x14:dxf>
          </x14:cfRule>
          <xm:sqref>B7</xm:sqref>
        </x14:conditionalFormatting>
        <x14:conditionalFormatting xmlns:xm="http://schemas.microsoft.com/office/excel/2006/main">
          <x14:cfRule type="expression" priority="222" id="{B068167C-D4DF-4A5F-BE96-F44501714C1A}">
            <xm:f>GrpA!$Y$11&gt;0</xm:f>
            <x14:dxf>
              <font>
                <color rgb="FFC02000"/>
              </font>
            </x14:dxf>
          </x14:cfRule>
          <xm:sqref>B35:C35</xm:sqref>
        </x14:conditionalFormatting>
        <x14:conditionalFormatting xmlns:xm="http://schemas.microsoft.com/office/excel/2006/main">
          <x14:cfRule type="expression" priority="223" id="{687BE352-A9EE-4550-A551-BA5D317C92B6}">
            <xm:f>GrpA!$Y$12&gt;0</xm:f>
            <x14:dxf>
              <font>
                <color rgb="FFC02000"/>
              </font>
            </x14:dxf>
          </x14:cfRule>
          <xm:sqref>B42:C42</xm:sqref>
        </x14:conditionalFormatting>
        <x14:conditionalFormatting xmlns:xm="http://schemas.microsoft.com/office/excel/2006/main">
          <x14:cfRule type="expression" priority="224" id="{0B042E8A-3EE9-4D12-ABDD-D37E99D0A897}">
            <xm:f>GrpA!$Y$11&gt;0</xm:f>
            <x14:dxf>
              <font>
                <color theme="1"/>
              </font>
            </x14:dxf>
          </x14:cfRule>
          <xm:sqref>B36:C36</xm:sqref>
        </x14:conditionalFormatting>
        <x14:conditionalFormatting xmlns:xm="http://schemas.microsoft.com/office/excel/2006/main">
          <x14:cfRule type="expression" priority="225" id="{14926DA8-C738-47D8-963E-9CC173A486A5}">
            <xm:f>GrpA!$Y$12&gt;0</xm:f>
            <x14:dxf>
              <font>
                <color theme="1"/>
              </font>
            </x14:dxf>
          </x14:cfRule>
          <xm:sqref>B43:C43</xm:sqref>
        </x14:conditionalFormatting>
        <x14:conditionalFormatting xmlns:xm="http://schemas.microsoft.com/office/excel/2006/main">
          <x14:cfRule type="expression" priority="226" id="{CB0ED77D-06FB-4789-AC9E-04C26061CEDF}">
            <xm:f>GrpB!$Y$11&gt;0</xm:f>
            <x14:dxf>
              <font>
                <color rgb="FFC02000"/>
              </font>
            </x14:dxf>
          </x14:cfRule>
          <xm:sqref>E35:F35</xm:sqref>
        </x14:conditionalFormatting>
        <x14:conditionalFormatting xmlns:xm="http://schemas.microsoft.com/office/excel/2006/main">
          <x14:cfRule type="expression" priority="227" id="{ECA10199-579F-4C41-B953-D9B103C098AD}">
            <xm:f>GrpB!$Y$12&gt;0</xm:f>
            <x14:dxf>
              <font>
                <color rgb="FFC02000"/>
              </font>
            </x14:dxf>
          </x14:cfRule>
          <xm:sqref>E42:F42</xm:sqref>
        </x14:conditionalFormatting>
        <x14:conditionalFormatting xmlns:xm="http://schemas.microsoft.com/office/excel/2006/main">
          <x14:cfRule type="expression" priority="228" id="{42525D2F-9CE6-4043-800D-B21A022D15C4}">
            <xm:f>GrpB!$Y$11&gt;0</xm:f>
            <x14:dxf>
              <font>
                <color theme="1"/>
              </font>
            </x14:dxf>
          </x14:cfRule>
          <xm:sqref>E36:F36</xm:sqref>
        </x14:conditionalFormatting>
        <x14:conditionalFormatting xmlns:xm="http://schemas.microsoft.com/office/excel/2006/main">
          <x14:cfRule type="expression" priority="229" id="{D289B60E-A1E5-4814-B4C1-B2BDCC35A07C}">
            <xm:f>GrpB!$Y$12&gt;0</xm:f>
            <x14:dxf>
              <font>
                <color theme="1"/>
              </font>
            </x14:dxf>
          </x14:cfRule>
          <xm:sqref>E43:F43</xm:sqref>
        </x14:conditionalFormatting>
        <x14:conditionalFormatting xmlns:xm="http://schemas.microsoft.com/office/excel/2006/main">
          <x14:cfRule type="expression" priority="230" id="{2BFEFEA5-7F85-4EF4-9176-858E5D6EA8D0}">
            <xm:f>GrpC!$Y$11&gt;0</xm:f>
            <x14:dxf>
              <font>
                <color rgb="FFC02000"/>
              </font>
            </x14:dxf>
          </x14:cfRule>
          <xm:sqref>H35:I35</xm:sqref>
        </x14:conditionalFormatting>
        <x14:conditionalFormatting xmlns:xm="http://schemas.microsoft.com/office/excel/2006/main">
          <x14:cfRule type="expression" priority="231" id="{5D7D0ED5-139E-40ED-AD4B-4DC579EAF268}">
            <xm:f>GrpC!$Y$12&gt;0</xm:f>
            <x14:dxf>
              <font>
                <color rgb="FFC02000"/>
              </font>
            </x14:dxf>
          </x14:cfRule>
          <xm:sqref>H42:I42</xm:sqref>
        </x14:conditionalFormatting>
        <x14:conditionalFormatting xmlns:xm="http://schemas.microsoft.com/office/excel/2006/main">
          <x14:cfRule type="expression" priority="232" id="{88B498AC-9603-4578-9425-8F8783F689A3}">
            <xm:f>GrpC!$Y$11&gt;0</xm:f>
            <x14:dxf>
              <font>
                <color theme="1"/>
              </font>
            </x14:dxf>
          </x14:cfRule>
          <xm:sqref>H36:I36</xm:sqref>
        </x14:conditionalFormatting>
        <x14:conditionalFormatting xmlns:xm="http://schemas.microsoft.com/office/excel/2006/main">
          <x14:cfRule type="expression" priority="233" id="{164BABCA-1835-4552-90B9-C16244DE5E37}">
            <xm:f>GrpC!$Y$12&gt;0</xm:f>
            <x14:dxf>
              <font>
                <color theme="1"/>
              </font>
            </x14:dxf>
          </x14:cfRule>
          <xm:sqref>H43:I43</xm:sqref>
        </x14:conditionalFormatting>
        <x14:conditionalFormatting xmlns:xm="http://schemas.microsoft.com/office/excel/2006/main">
          <x14:cfRule type="expression" priority="234" id="{43B808C0-BA3E-4156-B044-3654FDB7A590}">
            <xm:f>GrpD!$Y$11&gt;0</xm:f>
            <x14:dxf>
              <font>
                <color rgb="FFC02000"/>
              </font>
            </x14:dxf>
          </x14:cfRule>
          <xm:sqref>K35:L35</xm:sqref>
        </x14:conditionalFormatting>
        <x14:conditionalFormatting xmlns:xm="http://schemas.microsoft.com/office/excel/2006/main">
          <x14:cfRule type="expression" priority="235" id="{CB7C6351-CBEF-4F06-B1C3-5FBA7A5D491B}">
            <xm:f>GrpD!$Y$12&gt;0</xm:f>
            <x14:dxf>
              <font>
                <color rgb="FFC02000"/>
              </font>
            </x14:dxf>
          </x14:cfRule>
          <xm:sqref>K42:L42</xm:sqref>
        </x14:conditionalFormatting>
        <x14:conditionalFormatting xmlns:xm="http://schemas.microsoft.com/office/excel/2006/main">
          <x14:cfRule type="expression" priority="236" id="{C26EC0FF-B0A2-42E2-85F2-EFE56A794175}">
            <xm:f>GrpD!$Y$11&gt;0</xm:f>
            <x14:dxf>
              <font>
                <color theme="1"/>
              </font>
            </x14:dxf>
          </x14:cfRule>
          <xm:sqref>K36:L36</xm:sqref>
        </x14:conditionalFormatting>
        <x14:conditionalFormatting xmlns:xm="http://schemas.microsoft.com/office/excel/2006/main">
          <x14:cfRule type="expression" priority="237" id="{12F3E9F9-2281-4599-8D20-5D896ADCD69A}">
            <xm:f>GrpD!$Y$12&gt;0</xm:f>
            <x14:dxf>
              <font>
                <color theme="1"/>
              </font>
            </x14:dxf>
          </x14:cfRule>
          <xm:sqref>K43:L43</xm:sqref>
        </x14:conditionalFormatting>
        <x14:conditionalFormatting xmlns:xm="http://schemas.microsoft.com/office/excel/2006/main">
          <x14:cfRule type="expression" priority="238" id="{46347EF5-CBDF-4C69-AC4D-FBA8C69266A1}">
            <xm:f>GrpE!$Y$11&gt;0</xm:f>
            <x14:dxf>
              <font>
                <color rgb="FFC02000"/>
              </font>
            </x14:dxf>
          </x14:cfRule>
          <xm:sqref>N35:O35</xm:sqref>
        </x14:conditionalFormatting>
        <x14:conditionalFormatting xmlns:xm="http://schemas.microsoft.com/office/excel/2006/main">
          <x14:cfRule type="expression" priority="239" id="{00640CD2-5441-4B06-B374-1F32EBFBEB70}">
            <xm:f>GrpE!$Y$12&gt;0</xm:f>
            <x14:dxf>
              <font>
                <color rgb="FFC02000"/>
              </font>
            </x14:dxf>
          </x14:cfRule>
          <xm:sqref>N42:O42</xm:sqref>
        </x14:conditionalFormatting>
        <x14:conditionalFormatting xmlns:xm="http://schemas.microsoft.com/office/excel/2006/main">
          <x14:cfRule type="expression" priority="240" id="{925655BB-B631-43A8-B9C5-C6AD7F85684F}">
            <xm:f>GrpE!$Y$11&gt;0</xm:f>
            <x14:dxf>
              <font>
                <color theme="1"/>
              </font>
            </x14:dxf>
          </x14:cfRule>
          <xm:sqref>N36:O36</xm:sqref>
        </x14:conditionalFormatting>
        <x14:conditionalFormatting xmlns:xm="http://schemas.microsoft.com/office/excel/2006/main">
          <x14:cfRule type="expression" priority="241" id="{94F1C8F0-37F9-417A-92E5-7C84DC386DFE}">
            <xm:f>GrpE!$Y$12&gt;0</xm:f>
            <x14:dxf>
              <font>
                <color theme="1"/>
              </font>
            </x14:dxf>
          </x14:cfRule>
          <xm:sqref>N43:O43</xm:sqref>
        </x14:conditionalFormatting>
        <x14:conditionalFormatting xmlns:xm="http://schemas.microsoft.com/office/excel/2006/main">
          <x14:cfRule type="expression" priority="242" id="{B111DCCF-CA38-4615-B56D-3E911017908C}">
            <xm:f>GrpF!$Y$11&gt;0</xm:f>
            <x14:dxf>
              <font>
                <color rgb="FFC02000"/>
              </font>
            </x14:dxf>
          </x14:cfRule>
          <xm:sqref>Q35:R35</xm:sqref>
        </x14:conditionalFormatting>
        <x14:conditionalFormatting xmlns:xm="http://schemas.microsoft.com/office/excel/2006/main">
          <x14:cfRule type="expression" priority="243" id="{FEC72F4B-4479-46FA-AC82-9D25C2674526}">
            <xm:f>GrpF!$Y$12&gt;0</xm:f>
            <x14:dxf>
              <font>
                <color rgb="FFC02000"/>
              </font>
            </x14:dxf>
          </x14:cfRule>
          <xm:sqref>Q42:R42</xm:sqref>
        </x14:conditionalFormatting>
        <x14:conditionalFormatting xmlns:xm="http://schemas.microsoft.com/office/excel/2006/main">
          <x14:cfRule type="expression" priority="244" id="{9C39EC8B-89BF-450E-B504-765CAFC0E444}">
            <xm:f>GrpF!$Y$11&gt;0</xm:f>
            <x14:dxf>
              <font>
                <color theme="1"/>
              </font>
            </x14:dxf>
          </x14:cfRule>
          <xm:sqref>Q36:R36</xm:sqref>
        </x14:conditionalFormatting>
        <x14:conditionalFormatting xmlns:xm="http://schemas.microsoft.com/office/excel/2006/main">
          <x14:cfRule type="expression" priority="245" id="{C45CDFFA-F5F3-41C8-B860-6526D4917111}">
            <xm:f>GrpF!$Y$12&gt;0</xm:f>
            <x14:dxf>
              <font>
                <color theme="1"/>
              </font>
            </x14:dxf>
          </x14:cfRule>
          <xm:sqref>Q43:R43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A1:G27"/>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6" width="13" customWidth="1"/>
    <col min="7" max="7" width="11.42578125" customWidth="1"/>
    <col min="8" max="16384" width="11.42578125" hidden="1"/>
  </cols>
  <sheetData>
    <row r="1" spans="1:6" x14ac:dyDescent="0.25"/>
    <row r="2" spans="1:6" ht="38.25" customHeight="1" x14ac:dyDescent="0.25">
      <c r="B2" s="526" t="str">
        <f>Language!$E$86</f>
        <v>Fair-Play oder Los</v>
      </c>
      <c r="C2" s="527"/>
      <c r="D2" s="527"/>
      <c r="E2" s="527"/>
      <c r="F2" s="527"/>
    </row>
    <row r="3" spans="1:6" ht="75.75" customHeight="1" x14ac:dyDescent="0.25">
      <c r="B3" s="528" t="str">
        <f>Language!$E$142</f>
        <v>Entscheidet bei zwei Mannschaften die Fair-Play-Wertung oder das Los über die bessere Platzierung in der Gruppe, so wird hier für die bessere Mannschaft eine "1" eingetragen.</v>
      </c>
      <c r="C3" s="528"/>
      <c r="D3" s="528"/>
      <c r="E3" s="528"/>
      <c r="F3" s="528"/>
    </row>
    <row r="4" spans="1:6" ht="18" customHeight="1" x14ac:dyDescent="0.25">
      <c r="B4" s="83"/>
      <c r="C4" s="83"/>
      <c r="D4" s="83"/>
      <c r="E4" s="83"/>
      <c r="F4" s="83"/>
    </row>
    <row r="5" spans="1:6" ht="19.5" thickBot="1" x14ac:dyDescent="0.35">
      <c r="A5" s="179" t="s">
        <v>30</v>
      </c>
      <c r="B5" s="298" t="str">
        <f>Language!$E$95&amp;" "&amp;A5</f>
        <v>Gruppe A</v>
      </c>
      <c r="C5" s="299" t="str">
        <f>Language!$E$126</f>
        <v>Bonus</v>
      </c>
      <c r="D5" s="179" t="s">
        <v>31</v>
      </c>
      <c r="E5" s="298" t="str">
        <f>Language!$E$95&amp;" "&amp;D5</f>
        <v>Gruppe D</v>
      </c>
      <c r="F5" s="299" t="str">
        <f>Language!$E$126</f>
        <v>Bonus</v>
      </c>
    </row>
    <row r="6" spans="1:6" x14ac:dyDescent="0.25">
      <c r="B6" s="26" t="str">
        <f>VLOOKUP(A5&amp;"1",Groups!$B$7:$D$35,3,0)</f>
        <v>Deutschland</v>
      </c>
      <c r="C6" s="84">
        <v>0</v>
      </c>
      <c r="E6" s="26" t="str">
        <f>VLOOKUP(D5&amp;"1",Groups!$B$7:$D$35,3,0)</f>
        <v>Polen</v>
      </c>
      <c r="F6" s="84">
        <v>0</v>
      </c>
    </row>
    <row r="7" spans="1:6" x14ac:dyDescent="0.25">
      <c r="B7" s="26" t="str">
        <f>VLOOKUP(A5&amp;"2",Groups!$B$7:$D$35,3,0)</f>
        <v>Schottland</v>
      </c>
      <c r="C7" s="85">
        <v>0</v>
      </c>
      <c r="E7" s="26" t="str">
        <f>VLOOKUP(D5&amp;"2",Groups!$B$7:$D$35,3,0)</f>
        <v>Niederlande</v>
      </c>
      <c r="F7" s="85">
        <v>0</v>
      </c>
    </row>
    <row r="8" spans="1:6" x14ac:dyDescent="0.25">
      <c r="B8" s="26" t="str">
        <f>VLOOKUP(A5&amp;"3",Groups!$B$7:$D$35,3,0)</f>
        <v>Ungarn</v>
      </c>
      <c r="C8" s="85">
        <v>0</v>
      </c>
      <c r="E8" s="26" t="str">
        <f>VLOOKUP(D5&amp;"3",Groups!$B$7:$D$35,3,0)</f>
        <v>Österreich</v>
      </c>
      <c r="F8" s="85">
        <v>0</v>
      </c>
    </row>
    <row r="9" spans="1:6" x14ac:dyDescent="0.25">
      <c r="B9" s="26" t="str">
        <f>VLOOKUP(A5&amp;"4",Groups!$B$7:$D$35,3,0)</f>
        <v>Schweiz</v>
      </c>
      <c r="C9" s="85">
        <v>0</v>
      </c>
      <c r="E9" s="26" t="str">
        <f>VLOOKUP(D5&amp;"4",Groups!$B$7:$D$35,3,0)</f>
        <v>Frankreich</v>
      </c>
      <c r="F9" s="85">
        <v>0</v>
      </c>
    </row>
    <row r="10" spans="1:6" x14ac:dyDescent="0.25">
      <c r="C10" s="25"/>
    </row>
    <row r="11" spans="1:6" ht="19.5" thickBot="1" x14ac:dyDescent="0.35">
      <c r="A11" s="179" t="s">
        <v>26</v>
      </c>
      <c r="B11" s="298" t="str">
        <f>Language!$E$95&amp;" "&amp;A11</f>
        <v>Gruppe B</v>
      </c>
      <c r="C11" s="299" t="str">
        <f>Language!$E$126</f>
        <v>Bonus</v>
      </c>
      <c r="D11" s="179" t="s">
        <v>28</v>
      </c>
      <c r="E11" s="298" t="str">
        <f>Language!$E$95&amp;" "&amp;D11</f>
        <v>Gruppe E</v>
      </c>
      <c r="F11" s="299" t="str">
        <f>Language!$E$126</f>
        <v>Bonus</v>
      </c>
    </row>
    <row r="12" spans="1:6" x14ac:dyDescent="0.25">
      <c r="B12" s="26" t="str">
        <f>VLOOKUP(A11&amp;"1",Groups!$B$7:$D$35,3,0)</f>
        <v>Spanien</v>
      </c>
      <c r="C12" s="84">
        <v>0</v>
      </c>
      <c r="E12" s="26" t="str">
        <f>VLOOKUP(D11&amp;"1",Groups!$B$7:$D$35,3,0)</f>
        <v>Belgien</v>
      </c>
      <c r="F12" s="84">
        <v>0</v>
      </c>
    </row>
    <row r="13" spans="1:6" x14ac:dyDescent="0.25">
      <c r="B13" s="26" t="str">
        <f>VLOOKUP(A11&amp;"2",Groups!$B$7:$D$35,3,0)</f>
        <v>Kroatien</v>
      </c>
      <c r="C13" s="85">
        <v>0</v>
      </c>
      <c r="E13" s="26" t="str">
        <f>VLOOKUP(D11&amp;"2",Groups!$B$7:$D$35,3,0)</f>
        <v>Slowakei</v>
      </c>
      <c r="F13" s="85">
        <v>0</v>
      </c>
    </row>
    <row r="14" spans="1:6" x14ac:dyDescent="0.25">
      <c r="B14" s="26" t="str">
        <f>VLOOKUP(A11&amp;"3",Groups!$B$7:$D$35,3,0)</f>
        <v>Italien</v>
      </c>
      <c r="C14" s="85">
        <v>0</v>
      </c>
      <c r="E14" s="26" t="str">
        <f>VLOOKUP(D11&amp;"3",Groups!$B$7:$D$35,3,0)</f>
        <v>Rumänien</v>
      </c>
      <c r="F14" s="85">
        <v>0</v>
      </c>
    </row>
    <row r="15" spans="1:6" x14ac:dyDescent="0.25">
      <c r="B15" s="26" t="str">
        <f>VLOOKUP(A11&amp;"4",Groups!$B$7:$D$35,3,0)</f>
        <v>Albanien</v>
      </c>
      <c r="C15" s="85">
        <v>0</v>
      </c>
      <c r="E15" s="26" t="str">
        <f>VLOOKUP(D11&amp;"4",Groups!$B$7:$D$35,3,0)</f>
        <v>Ukraine</v>
      </c>
      <c r="F15" s="85">
        <v>0</v>
      </c>
    </row>
    <row r="16" spans="1:6" x14ac:dyDescent="0.25">
      <c r="C16" s="25"/>
      <c r="F16" s="25"/>
    </row>
    <row r="17" spans="1:6" ht="19.5" thickBot="1" x14ac:dyDescent="0.35">
      <c r="A17" s="179" t="s">
        <v>27</v>
      </c>
      <c r="B17" s="298" t="str">
        <f>Language!$E$95&amp;" "&amp;A17</f>
        <v>Gruppe C</v>
      </c>
      <c r="C17" s="299" t="str">
        <f>Language!$E$126</f>
        <v>Bonus</v>
      </c>
      <c r="D17" s="179" t="s">
        <v>29</v>
      </c>
      <c r="E17" s="298" t="str">
        <f>Language!$E$95&amp;" "&amp;D17</f>
        <v>Gruppe F</v>
      </c>
      <c r="F17" s="299" t="str">
        <f>Language!$E$126</f>
        <v>Bonus</v>
      </c>
    </row>
    <row r="18" spans="1:6" x14ac:dyDescent="0.25">
      <c r="B18" s="26" t="str">
        <f>VLOOKUP(A17&amp;"1",Groups!$B$7:$D$35,3,0)</f>
        <v>Slowenien</v>
      </c>
      <c r="C18" s="84">
        <v>0</v>
      </c>
      <c r="E18" s="26" t="str">
        <f>VLOOKUP(D17&amp;"1",Groups!$B$7:$D$35,3,0)</f>
        <v>Türkei</v>
      </c>
      <c r="F18" s="84">
        <v>0</v>
      </c>
    </row>
    <row r="19" spans="1:6" x14ac:dyDescent="0.25">
      <c r="B19" s="26" t="str">
        <f>VLOOKUP(A17&amp;"2",Groups!$B$7:$D$35,3,0)</f>
        <v>Dänemark</v>
      </c>
      <c r="C19" s="85">
        <v>0</v>
      </c>
      <c r="E19" s="26" t="str">
        <f>VLOOKUP(D17&amp;"2",Groups!$B$7:$D$35,3,0)</f>
        <v>Georgien</v>
      </c>
      <c r="F19" s="85">
        <v>0</v>
      </c>
    </row>
    <row r="20" spans="1:6" x14ac:dyDescent="0.25">
      <c r="B20" s="26" t="str">
        <f>VLOOKUP(A17&amp;"3",Groups!$B$7:$D$35,3,0)</f>
        <v>Serbien</v>
      </c>
      <c r="C20" s="85">
        <v>0</v>
      </c>
      <c r="E20" s="26" t="str">
        <f>VLOOKUP(D17&amp;"3",Groups!$B$7:$D$35,3,0)</f>
        <v>Portugal</v>
      </c>
      <c r="F20" s="85">
        <v>0</v>
      </c>
    </row>
    <row r="21" spans="1:6" x14ac:dyDescent="0.25">
      <c r="B21" s="26" t="str">
        <f>VLOOKUP(A17&amp;"4",Groups!$B$7:$D$35,3,0)</f>
        <v>England</v>
      </c>
      <c r="C21" s="85">
        <v>0</v>
      </c>
      <c r="E21" s="26" t="str">
        <f>VLOOKUP(D17&amp;"4",Groups!$B$7:$D$35,3,0)</f>
        <v>Tschechien</v>
      </c>
      <c r="F21" s="85">
        <v>0</v>
      </c>
    </row>
    <row r="22" spans="1:6" x14ac:dyDescent="0.25">
      <c r="C22" s="25"/>
      <c r="F22" s="25"/>
    </row>
    <row r="23" spans="1:6" ht="15" customHeight="1" x14ac:dyDescent="0.3">
      <c r="A23" s="179"/>
      <c r="D23" s="179"/>
      <c r="E23" s="218"/>
      <c r="F23" s="219"/>
    </row>
    <row r="24" spans="1:6" hidden="1" x14ac:dyDescent="0.25">
      <c r="E24" s="15"/>
      <c r="F24" s="220"/>
    </row>
    <row r="25" spans="1:6" hidden="1" x14ac:dyDescent="0.25">
      <c r="E25" s="15"/>
      <c r="F25" s="220"/>
    </row>
    <row r="26" spans="1:6" hidden="1" x14ac:dyDescent="0.25">
      <c r="E26" s="15"/>
      <c r="F26" s="220"/>
    </row>
    <row r="27" spans="1:6" hidden="1" x14ac:dyDescent="0.25">
      <c r="E27" s="15"/>
      <c r="F27" s="220"/>
    </row>
  </sheetData>
  <sheetProtection sheet="1" selectLockedCells="1"/>
  <mergeCells count="2">
    <mergeCell ref="B2:F2"/>
    <mergeCell ref="B3:F3"/>
  </mergeCells>
  <conditionalFormatting sqref="C6:C9">
    <cfRule type="cellIs" dxfId="36" priority="13" stopIfTrue="1" operator="notEqual">
      <formula>0</formula>
    </cfRule>
  </conditionalFormatting>
  <conditionalFormatting sqref="F24:F27">
    <cfRule type="cellIs" dxfId="35" priority="6" operator="greaterThan">
      <formula>0</formula>
    </cfRule>
  </conditionalFormatting>
  <conditionalFormatting sqref="C12:C15">
    <cfRule type="cellIs" dxfId="34" priority="5" stopIfTrue="1" operator="notEqual">
      <formula>0</formula>
    </cfRule>
  </conditionalFormatting>
  <conditionalFormatting sqref="C18:C21">
    <cfRule type="cellIs" dxfId="33" priority="4" stopIfTrue="1" operator="notEqual">
      <formula>0</formula>
    </cfRule>
  </conditionalFormatting>
  <conditionalFormatting sqref="F6:F9">
    <cfRule type="cellIs" dxfId="32" priority="3" stopIfTrue="1" operator="notEqual">
      <formula>0</formula>
    </cfRule>
  </conditionalFormatting>
  <conditionalFormatting sqref="F12:F15">
    <cfRule type="cellIs" dxfId="31" priority="2" stopIfTrue="1" operator="notEqual">
      <formula>0</formula>
    </cfRule>
  </conditionalFormatting>
  <conditionalFormatting sqref="F18:F21">
    <cfRule type="cellIs" dxfId="30" priority="1" stopIfTrue="1" operator="notEqual">
      <formula>0</formula>
    </cfRule>
  </conditionalFormatting>
  <dataValidations count="2">
    <dataValidation type="whole" allowBlank="1" showInputMessage="1" showErrorMessage="1" sqref="F24:F27" xr:uid="{00000000-0002-0000-0800-000000000000}">
      <formula1>0</formula1>
      <formula2>99</formula2>
    </dataValidation>
    <dataValidation type="whole" allowBlank="1" showInputMessage="1" showErrorMessage="1" sqref="C6:C9 C12:C15 C18:C21 F6:F9 F12:F15 F18:F21" xr:uid="{00000000-0002-0000-0800-000001000000}">
      <formula1>-9</formula1>
      <formula2>9</formula2>
    </dataValidation>
  </dataValidations>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dimension ref="A1:I24"/>
  <sheetViews>
    <sheetView showGridLines="0" showRowColHeaders="0" workbookViewId="0">
      <selection activeCell="J1" sqref="J1:XFD1048576"/>
    </sheetView>
  </sheetViews>
  <sheetFormatPr baseColWidth="10" defaultColWidth="0" defaultRowHeight="15" zeroHeight="1" x14ac:dyDescent="0.25"/>
  <cols>
    <col min="1" max="2" width="11.42578125" customWidth="1"/>
    <col min="3" max="3" width="17.140625" customWidth="1"/>
    <col min="4" max="7" width="15.28515625" customWidth="1"/>
    <col min="8" max="9" width="11.42578125" customWidth="1"/>
    <col min="10" max="16384" width="11.42578125" hidden="1"/>
  </cols>
  <sheetData>
    <row r="1" spans="1:9" x14ac:dyDescent="0.25"/>
    <row r="2" spans="1:9" ht="28.5" x14ac:dyDescent="0.45">
      <c r="A2" s="534" t="str">
        <f>Language!$E$90</f>
        <v>Zuordnung der Gruppendritten im Achtelfinale</v>
      </c>
      <c r="B2" s="534"/>
      <c r="C2" s="534"/>
      <c r="D2" s="534"/>
      <c r="E2" s="534"/>
      <c r="F2" s="534"/>
      <c r="G2" s="534"/>
      <c r="H2" s="534"/>
      <c r="I2" s="534"/>
    </row>
    <row r="3" spans="1:9" x14ac:dyDescent="0.25"/>
    <row r="4" spans="1:9" ht="16.5" thickBot="1" x14ac:dyDescent="0.3">
      <c r="C4" s="227"/>
      <c r="D4" s="395" t="s">
        <v>557</v>
      </c>
      <c r="E4" s="395" t="s">
        <v>558</v>
      </c>
      <c r="F4" s="395" t="s">
        <v>559</v>
      </c>
      <c r="G4" s="395" t="s">
        <v>556</v>
      </c>
    </row>
    <row r="5" spans="1:9" ht="36" customHeight="1" thickTop="1" x14ac:dyDescent="0.25">
      <c r="C5" s="531" t="str">
        <f>Language!$E$131</f>
        <v>Gruppen-kombination:</v>
      </c>
      <c r="D5" s="230" t="str">
        <f>Language!$E$132</f>
        <v>Erster der Gruppe</v>
      </c>
      <c r="E5" s="231" t="str">
        <f>Language!$E$132</f>
        <v>Erster der Gruppe</v>
      </c>
      <c r="F5" s="231" t="str">
        <f>Language!$E$132</f>
        <v>Erster der Gruppe</v>
      </c>
      <c r="G5" s="232" t="str">
        <f>Language!$E$132</f>
        <v>Erster der Gruppe</v>
      </c>
    </row>
    <row r="6" spans="1:9" ht="15.75" x14ac:dyDescent="0.25">
      <c r="C6" s="532"/>
      <c r="D6" s="233" t="s">
        <v>26</v>
      </c>
      <c r="E6" s="234" t="s">
        <v>27</v>
      </c>
      <c r="F6" s="234" t="s">
        <v>28</v>
      </c>
      <c r="G6" s="235" t="s">
        <v>29</v>
      </c>
    </row>
    <row r="7" spans="1:9" ht="53.25" customHeight="1" thickBot="1" x14ac:dyDescent="0.3">
      <c r="C7" s="533"/>
      <c r="D7" s="236" t="str">
        <f>Language!$E$133</f>
        <v>gegen Dritten der Gruppe</v>
      </c>
      <c r="E7" s="237" t="str">
        <f>Language!$E$133</f>
        <v>gegen Dritten der Gruppe</v>
      </c>
      <c r="F7" s="237" t="str">
        <f>Language!$E$133</f>
        <v>gegen Dritten der Gruppe</v>
      </c>
      <c r="G7" s="238" t="str">
        <f>Language!$E$133</f>
        <v>gegen Dritten der Gruppe</v>
      </c>
    </row>
    <row r="8" spans="1:9" ht="22.5" customHeight="1" x14ac:dyDescent="0.25">
      <c r="C8" s="228" t="s">
        <v>560</v>
      </c>
      <c r="D8" s="239" t="s">
        <v>30</v>
      </c>
      <c r="E8" s="240" t="s">
        <v>31</v>
      </c>
      <c r="F8" s="240" t="s">
        <v>26</v>
      </c>
      <c r="G8" s="241" t="s">
        <v>27</v>
      </c>
    </row>
    <row r="9" spans="1:9" ht="22.5" customHeight="1" x14ac:dyDescent="0.25">
      <c r="C9" s="228" t="s">
        <v>561</v>
      </c>
      <c r="D9" s="239" t="s">
        <v>30</v>
      </c>
      <c r="E9" s="240" t="s">
        <v>28</v>
      </c>
      <c r="F9" s="240" t="s">
        <v>26</v>
      </c>
      <c r="G9" s="241" t="s">
        <v>27</v>
      </c>
    </row>
    <row r="10" spans="1:9" ht="22.5" customHeight="1" x14ac:dyDescent="0.25">
      <c r="C10" s="228" t="s">
        <v>562</v>
      </c>
      <c r="D10" s="239" t="s">
        <v>30</v>
      </c>
      <c r="E10" s="240" t="s">
        <v>29</v>
      </c>
      <c r="F10" s="240" t="s">
        <v>26</v>
      </c>
      <c r="G10" s="241" t="s">
        <v>27</v>
      </c>
    </row>
    <row r="11" spans="1:9" ht="22.5" customHeight="1" x14ac:dyDescent="0.25">
      <c r="C11" s="228" t="s">
        <v>563</v>
      </c>
      <c r="D11" s="239" t="s">
        <v>31</v>
      </c>
      <c r="E11" s="240" t="s">
        <v>28</v>
      </c>
      <c r="F11" s="240" t="s">
        <v>30</v>
      </c>
      <c r="G11" s="241" t="s">
        <v>26</v>
      </c>
    </row>
    <row r="12" spans="1:9" ht="22.5" customHeight="1" x14ac:dyDescent="0.25">
      <c r="C12" s="228" t="s">
        <v>564</v>
      </c>
      <c r="D12" s="239" t="s">
        <v>31</v>
      </c>
      <c r="E12" s="240" t="s">
        <v>29</v>
      </c>
      <c r="F12" s="240" t="s">
        <v>30</v>
      </c>
      <c r="G12" s="241" t="s">
        <v>26</v>
      </c>
    </row>
    <row r="13" spans="1:9" ht="22.5" customHeight="1" x14ac:dyDescent="0.25">
      <c r="C13" s="228" t="s">
        <v>565</v>
      </c>
      <c r="D13" s="239" t="s">
        <v>28</v>
      </c>
      <c r="E13" s="240" t="s">
        <v>29</v>
      </c>
      <c r="F13" s="240" t="s">
        <v>26</v>
      </c>
      <c r="G13" s="241" t="s">
        <v>30</v>
      </c>
    </row>
    <row r="14" spans="1:9" ht="22.5" customHeight="1" x14ac:dyDescent="0.25">
      <c r="C14" s="228" t="s">
        <v>566</v>
      </c>
      <c r="D14" s="239" t="s">
        <v>28</v>
      </c>
      <c r="E14" s="240" t="s">
        <v>31</v>
      </c>
      <c r="F14" s="240" t="s">
        <v>27</v>
      </c>
      <c r="G14" s="241" t="s">
        <v>30</v>
      </c>
    </row>
    <row r="15" spans="1:9" ht="22.5" customHeight="1" x14ac:dyDescent="0.25">
      <c r="C15" s="228" t="s">
        <v>567</v>
      </c>
      <c r="D15" s="239" t="s">
        <v>29</v>
      </c>
      <c r="E15" s="240" t="s">
        <v>31</v>
      </c>
      <c r="F15" s="240" t="s">
        <v>27</v>
      </c>
      <c r="G15" s="241" t="s">
        <v>30</v>
      </c>
    </row>
    <row r="16" spans="1:9" ht="22.5" customHeight="1" x14ac:dyDescent="0.25">
      <c r="C16" s="228" t="s">
        <v>568</v>
      </c>
      <c r="D16" s="239" t="s">
        <v>28</v>
      </c>
      <c r="E16" s="240" t="s">
        <v>29</v>
      </c>
      <c r="F16" s="240" t="s">
        <v>27</v>
      </c>
      <c r="G16" s="241" t="s">
        <v>30</v>
      </c>
    </row>
    <row r="17" spans="3:7" ht="22.5" customHeight="1" x14ac:dyDescent="0.25">
      <c r="C17" s="228" t="s">
        <v>569</v>
      </c>
      <c r="D17" s="239" t="s">
        <v>28</v>
      </c>
      <c r="E17" s="240" t="s">
        <v>29</v>
      </c>
      <c r="F17" s="240" t="s">
        <v>31</v>
      </c>
      <c r="G17" s="241" t="s">
        <v>30</v>
      </c>
    </row>
    <row r="18" spans="3:7" ht="22.5" customHeight="1" x14ac:dyDescent="0.25">
      <c r="C18" s="228" t="s">
        <v>570</v>
      </c>
      <c r="D18" s="239" t="s">
        <v>28</v>
      </c>
      <c r="E18" s="240" t="s">
        <v>31</v>
      </c>
      <c r="F18" s="240" t="s">
        <v>26</v>
      </c>
      <c r="G18" s="241" t="s">
        <v>27</v>
      </c>
    </row>
    <row r="19" spans="3:7" ht="22.5" customHeight="1" x14ac:dyDescent="0.25">
      <c r="C19" s="228" t="s">
        <v>571</v>
      </c>
      <c r="D19" s="239" t="s">
        <v>29</v>
      </c>
      <c r="E19" s="240" t="s">
        <v>31</v>
      </c>
      <c r="F19" s="240" t="s">
        <v>27</v>
      </c>
      <c r="G19" s="241" t="s">
        <v>26</v>
      </c>
    </row>
    <row r="20" spans="3:7" ht="22.5" customHeight="1" x14ac:dyDescent="0.25">
      <c r="C20" s="228" t="s">
        <v>572</v>
      </c>
      <c r="D20" s="239" t="s">
        <v>29</v>
      </c>
      <c r="E20" s="240" t="s">
        <v>28</v>
      </c>
      <c r="F20" s="240" t="s">
        <v>27</v>
      </c>
      <c r="G20" s="241" t="s">
        <v>26</v>
      </c>
    </row>
    <row r="21" spans="3:7" ht="22.5" customHeight="1" x14ac:dyDescent="0.25">
      <c r="C21" s="228" t="s">
        <v>573</v>
      </c>
      <c r="D21" s="239" t="s">
        <v>29</v>
      </c>
      <c r="E21" s="240" t="s">
        <v>28</v>
      </c>
      <c r="F21" s="240" t="s">
        <v>31</v>
      </c>
      <c r="G21" s="241" t="s">
        <v>26</v>
      </c>
    </row>
    <row r="22" spans="3:7" ht="22.5" customHeight="1" thickBot="1" x14ac:dyDescent="0.3">
      <c r="C22" s="229" t="s">
        <v>574</v>
      </c>
      <c r="D22" s="242" t="s">
        <v>29</v>
      </c>
      <c r="E22" s="243" t="s">
        <v>28</v>
      </c>
      <c r="F22" s="243" t="s">
        <v>31</v>
      </c>
      <c r="G22" s="244" t="s">
        <v>27</v>
      </c>
    </row>
    <row r="23" spans="3:7" ht="15.75" thickTop="1" x14ac:dyDescent="0.25"/>
    <row r="24" spans="3:7" x14ac:dyDescent="0.25"/>
  </sheetData>
  <sheetProtection sheet="1" selectLockedCells="1"/>
  <mergeCells count="2">
    <mergeCell ref="C5:C7"/>
    <mergeCell ref="A2:I2"/>
  </mergeCells>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5" id="{94EAC46D-4690-4FA0-BA93-5FBA6BDD2873}">
            <xm:f>$C8=ThirdPlaced!$J$18</xm:f>
            <x14:dxf>
              <fill>
                <patternFill>
                  <bgColor rgb="FFEDFBC1"/>
                </patternFill>
              </fill>
            </x14:dxf>
          </x14:cfRule>
          <xm:sqref>C8:G8</xm:sqref>
        </x14:conditionalFormatting>
        <x14:conditionalFormatting xmlns:xm="http://schemas.microsoft.com/office/excel/2006/main">
          <x14:cfRule type="expression" priority="14" id="{9B77D469-16A5-453D-94D0-A49577BAAFA8}">
            <xm:f>$C9=ThirdPlaced!$J$18</xm:f>
            <x14:dxf>
              <fill>
                <patternFill>
                  <bgColor rgb="FFEDFBC1"/>
                </patternFill>
              </fill>
            </x14:dxf>
          </x14:cfRule>
          <xm:sqref>C9:G9</xm:sqref>
        </x14:conditionalFormatting>
        <x14:conditionalFormatting xmlns:xm="http://schemas.microsoft.com/office/excel/2006/main">
          <x14:cfRule type="expression" priority="13" id="{66FD6249-EE88-4C0B-8975-DF6EF5F0DCC0}">
            <xm:f>$C10=ThirdPlaced!$J$18</xm:f>
            <x14:dxf>
              <fill>
                <patternFill>
                  <bgColor rgb="FFEDFBC1"/>
                </patternFill>
              </fill>
            </x14:dxf>
          </x14:cfRule>
          <xm:sqref>C10:G10</xm:sqref>
        </x14:conditionalFormatting>
        <x14:conditionalFormatting xmlns:xm="http://schemas.microsoft.com/office/excel/2006/main">
          <x14:cfRule type="expression" priority="12" id="{BC3BFAB8-4E14-4438-9B2B-BB21C5F2CC94}">
            <xm:f>$C11=ThirdPlaced!$J$18</xm:f>
            <x14:dxf>
              <fill>
                <patternFill>
                  <bgColor rgb="FFEDFBC1"/>
                </patternFill>
              </fill>
            </x14:dxf>
          </x14:cfRule>
          <xm:sqref>C11:G11</xm:sqref>
        </x14:conditionalFormatting>
        <x14:conditionalFormatting xmlns:xm="http://schemas.microsoft.com/office/excel/2006/main">
          <x14:cfRule type="expression" priority="11" id="{12D1043D-823D-4FB7-83CB-847FA23C85C9}">
            <xm:f>$C12=ThirdPlaced!$J$18</xm:f>
            <x14:dxf>
              <fill>
                <patternFill>
                  <bgColor rgb="FFEDFBC1"/>
                </patternFill>
              </fill>
            </x14:dxf>
          </x14:cfRule>
          <xm:sqref>C12:G12</xm:sqref>
        </x14:conditionalFormatting>
        <x14:conditionalFormatting xmlns:xm="http://schemas.microsoft.com/office/excel/2006/main">
          <x14:cfRule type="expression" priority="10" id="{2D16E38D-3FA5-49F1-976B-CB625E1D252B}">
            <xm:f>$C13=ThirdPlaced!$J$18</xm:f>
            <x14:dxf>
              <fill>
                <patternFill>
                  <bgColor rgb="FFEDFBC1"/>
                </patternFill>
              </fill>
            </x14:dxf>
          </x14:cfRule>
          <xm:sqref>C13:G13</xm:sqref>
        </x14:conditionalFormatting>
        <x14:conditionalFormatting xmlns:xm="http://schemas.microsoft.com/office/excel/2006/main">
          <x14:cfRule type="expression" priority="9" id="{F9AD351A-18CE-4702-91F5-5793AD9D18DF}">
            <xm:f>$C14=ThirdPlaced!$J$18</xm:f>
            <x14:dxf>
              <fill>
                <patternFill>
                  <bgColor rgb="FFEDFBC1"/>
                </patternFill>
              </fill>
            </x14:dxf>
          </x14:cfRule>
          <xm:sqref>C14:G14</xm:sqref>
        </x14:conditionalFormatting>
        <x14:conditionalFormatting xmlns:xm="http://schemas.microsoft.com/office/excel/2006/main">
          <x14:cfRule type="expression" priority="8" id="{2EEED3F1-2884-4DCA-BD30-C15018B88234}">
            <xm:f>$C15=ThirdPlaced!$J$18</xm:f>
            <x14:dxf>
              <fill>
                <patternFill>
                  <bgColor rgb="FFEDFBC1"/>
                </patternFill>
              </fill>
            </x14:dxf>
          </x14:cfRule>
          <xm:sqref>C15:G15</xm:sqref>
        </x14:conditionalFormatting>
        <x14:conditionalFormatting xmlns:xm="http://schemas.microsoft.com/office/excel/2006/main">
          <x14:cfRule type="expression" priority="7" id="{64CF1479-FD70-49C1-AB9B-4EE685679425}">
            <xm:f>$C16=ThirdPlaced!$J$18</xm:f>
            <x14:dxf>
              <fill>
                <patternFill>
                  <bgColor rgb="FFEDFBC1"/>
                </patternFill>
              </fill>
            </x14:dxf>
          </x14:cfRule>
          <xm:sqref>C16:G16</xm:sqref>
        </x14:conditionalFormatting>
        <x14:conditionalFormatting xmlns:xm="http://schemas.microsoft.com/office/excel/2006/main">
          <x14:cfRule type="expression" priority="6" id="{91432A57-E40F-4B66-99CF-7928B7C934B1}">
            <xm:f>$C17=ThirdPlaced!$J$18</xm:f>
            <x14:dxf>
              <fill>
                <patternFill>
                  <bgColor rgb="FFEDFBC1"/>
                </patternFill>
              </fill>
            </x14:dxf>
          </x14:cfRule>
          <xm:sqref>C17:G17</xm:sqref>
        </x14:conditionalFormatting>
        <x14:conditionalFormatting xmlns:xm="http://schemas.microsoft.com/office/excel/2006/main">
          <x14:cfRule type="expression" priority="5" id="{3A15DAFA-8E17-42D2-AACA-15B8E5C53F89}">
            <xm:f>$C18=ThirdPlaced!$J$18</xm:f>
            <x14:dxf>
              <fill>
                <patternFill>
                  <bgColor rgb="FFEDFBC1"/>
                </patternFill>
              </fill>
            </x14:dxf>
          </x14:cfRule>
          <xm:sqref>C18:G18</xm:sqref>
        </x14:conditionalFormatting>
        <x14:conditionalFormatting xmlns:xm="http://schemas.microsoft.com/office/excel/2006/main">
          <x14:cfRule type="expression" priority="4" id="{98C233E0-2FF7-48A2-95D1-223E7653CD83}">
            <xm:f>$C19=ThirdPlaced!$J$18</xm:f>
            <x14:dxf>
              <fill>
                <patternFill>
                  <bgColor rgb="FFEDFBC1"/>
                </patternFill>
              </fill>
            </x14:dxf>
          </x14:cfRule>
          <xm:sqref>C19:G19</xm:sqref>
        </x14:conditionalFormatting>
        <x14:conditionalFormatting xmlns:xm="http://schemas.microsoft.com/office/excel/2006/main">
          <x14:cfRule type="expression" priority="3" id="{32FB4217-29CC-4F77-8C60-DCE3A56EF03E}">
            <xm:f>$C20=ThirdPlaced!$J$18</xm:f>
            <x14:dxf>
              <fill>
                <patternFill>
                  <bgColor rgb="FFEDFBC1"/>
                </patternFill>
              </fill>
            </x14:dxf>
          </x14:cfRule>
          <xm:sqref>C20:G20</xm:sqref>
        </x14:conditionalFormatting>
        <x14:conditionalFormatting xmlns:xm="http://schemas.microsoft.com/office/excel/2006/main">
          <x14:cfRule type="expression" priority="2" id="{9771A114-3CE3-4531-B179-A554F9831403}">
            <xm:f>$C21=ThirdPlaced!$J$18</xm:f>
            <x14:dxf>
              <fill>
                <patternFill>
                  <bgColor rgb="FFEDFBC1"/>
                </patternFill>
              </fill>
            </x14:dxf>
          </x14:cfRule>
          <xm:sqref>C21:G21</xm:sqref>
        </x14:conditionalFormatting>
        <x14:conditionalFormatting xmlns:xm="http://schemas.microsoft.com/office/excel/2006/main">
          <x14:cfRule type="expression" priority="1" id="{CEEE53D2-97F4-4061-8039-4C8774C1657F}">
            <xm:f>$C22=ThirdPlaced!$J$18</xm:f>
            <x14:dxf>
              <fill>
                <patternFill>
                  <bgColor rgb="FFEDFBC1"/>
                </patternFill>
              </fill>
            </x14:dxf>
          </x14:cfRule>
          <xm:sqref>C22:G22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
  <dimension ref="A1:R239"/>
  <sheetViews>
    <sheetView showGridLines="0" showRowColHeaders="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customWidth="1"/>
    <col min="5" max="5" width="22.7109375" hidden="1" customWidth="1"/>
    <col min="6" max="15" width="22.7109375" customWidth="1"/>
    <col min="16" max="16" width="3.85546875" customWidth="1"/>
    <col min="17" max="17" width="17.7109375" customWidth="1"/>
    <col min="18" max="18" width="9.140625" customWidth="1"/>
    <col min="19" max="16384" width="11.42578125" hidden="1"/>
  </cols>
  <sheetData>
    <row r="1" spans="2:17" ht="29.25" customHeight="1" thickBot="1" x14ac:dyDescent="0.5">
      <c r="B1" s="115"/>
      <c r="D1" s="408" t="s">
        <v>1186</v>
      </c>
      <c r="F1" s="534" t="str">
        <f>Language!$E$89</f>
        <v>Wahl der Sprache</v>
      </c>
      <c r="G1" s="534"/>
      <c r="H1" s="534"/>
      <c r="I1" s="534"/>
      <c r="J1" s="534"/>
      <c r="K1" s="376"/>
      <c r="L1" s="424"/>
      <c r="M1" s="428" t="str">
        <f>Language!$E$145</f>
        <v>Hier klicken und Sprache wählen:</v>
      </c>
      <c r="N1" s="393" t="s">
        <v>106</v>
      </c>
      <c r="O1" s="321" t="str">
        <f>_xlfn.UNICHAR(8592)</f>
        <v>←</v>
      </c>
      <c r="P1" s="429"/>
      <c r="Q1" s="430"/>
    </row>
    <row r="2" spans="2:17" ht="11.25" customHeight="1" thickBot="1" x14ac:dyDescent="0.3">
      <c r="D2" s="407">
        <v>45280</v>
      </c>
      <c r="F2" s="537"/>
      <c r="G2" s="537"/>
      <c r="H2" s="537"/>
      <c r="I2" s="537"/>
      <c r="J2" s="537"/>
      <c r="K2" s="377"/>
      <c r="L2" s="425"/>
      <c r="M2" s="411"/>
      <c r="N2" s="413"/>
      <c r="P2" s="106"/>
      <c r="Q2" s="107"/>
    </row>
    <row r="3" spans="2:17" ht="15.75" thickTop="1" x14ac:dyDescent="0.25">
      <c r="B3" s="24" t="s">
        <v>93</v>
      </c>
      <c r="C3" s="50">
        <f>IF(AND($N$1&lt;&gt;B4,$N$1&lt;&gt;B5,$N$1&lt;&gt;B6,$N$1&lt;&gt;B7,$N$1&lt;&gt;B8,$N$1&lt;&gt;B9,$N$1&lt;&gt;B10,$N$1&lt;&gt;B11),1,0)</f>
        <v>0</v>
      </c>
      <c r="D3" s="538" t="s">
        <v>1185</v>
      </c>
      <c r="E3" s="542"/>
      <c r="F3" s="543" t="s">
        <v>93</v>
      </c>
      <c r="G3" s="540" t="s">
        <v>94</v>
      </c>
      <c r="H3" s="540" t="s">
        <v>95</v>
      </c>
      <c r="I3" s="540" t="s">
        <v>96</v>
      </c>
      <c r="J3" s="540" t="s">
        <v>106</v>
      </c>
      <c r="K3" s="540" t="s">
        <v>924</v>
      </c>
      <c r="L3" s="540" t="s">
        <v>1674</v>
      </c>
      <c r="M3" s="540" t="s">
        <v>1204</v>
      </c>
      <c r="N3" s="540" t="s">
        <v>1358</v>
      </c>
      <c r="O3" s="535" t="s">
        <v>97</v>
      </c>
      <c r="P3" s="22"/>
    </row>
    <row r="4" spans="2:17" x14ac:dyDescent="0.25">
      <c r="B4" t="s">
        <v>1358</v>
      </c>
      <c r="C4" s="50">
        <f t="shared" ref="C4:C12" si="0">IF($N$1=B4,1,0)</f>
        <v>0</v>
      </c>
      <c r="D4" s="539"/>
      <c r="E4" s="542"/>
      <c r="F4" s="544"/>
      <c r="G4" s="541"/>
      <c r="H4" s="541"/>
      <c r="I4" s="541"/>
      <c r="J4" s="541"/>
      <c r="K4" s="541"/>
      <c r="L4" s="541"/>
      <c r="M4" s="541"/>
      <c r="N4" s="541"/>
      <c r="O4" s="536"/>
      <c r="P4" s="56"/>
      <c r="Q4" s="57"/>
    </row>
    <row r="5" spans="2:17" x14ac:dyDescent="0.25">
      <c r="B5" t="s">
        <v>1674</v>
      </c>
      <c r="C5" s="50">
        <f t="shared" si="0"/>
        <v>0</v>
      </c>
      <c r="D5" s="149">
        <v>1</v>
      </c>
      <c r="E5" s="24" t="str">
        <f>IF($C$3,F5,IF($C$11,G5,IF($C$9,H5,IF($C$7,I5,IF($C$8,J5,IF($C$6,K5,IF($C$5,L5,IF($C$10,M5,IF($C$4,N5,IF(O5&lt;&gt;"",O5,F5))))))))))</f>
        <v>Portugal</v>
      </c>
      <c r="F5" s="128" t="s">
        <v>0</v>
      </c>
      <c r="G5" s="129" t="s">
        <v>0</v>
      </c>
      <c r="H5" s="127" t="s">
        <v>92</v>
      </c>
      <c r="I5" s="130" t="s">
        <v>0</v>
      </c>
      <c r="J5" s="127" t="s">
        <v>0</v>
      </c>
      <c r="K5" s="378" t="s">
        <v>0</v>
      </c>
      <c r="L5" s="414" t="s">
        <v>0</v>
      </c>
      <c r="M5" s="130" t="s">
        <v>0</v>
      </c>
      <c r="N5" s="414" t="s">
        <v>1359</v>
      </c>
      <c r="O5" s="90"/>
    </row>
    <row r="6" spans="2:17" x14ac:dyDescent="0.25">
      <c r="B6" s="24" t="s">
        <v>924</v>
      </c>
      <c r="C6" s="50">
        <f t="shared" si="0"/>
        <v>0</v>
      </c>
      <c r="D6" s="149">
        <v>2</v>
      </c>
      <c r="E6" s="24" t="str">
        <f t="shared" ref="E6:E69" si="1">IF($C$3,F6,IF($C$11,G6,IF($C$9,H6,IF($C$7,I6,IF($C$8,J6,IF($C$6,K6,IF($C$5,L6,IF($C$10,M6,IF($C$4,N6,IF(O6&lt;&gt;"",O6,F6))))))))))</f>
        <v>Frankreich</v>
      </c>
      <c r="F6" s="128" t="s">
        <v>50</v>
      </c>
      <c r="G6" s="129" t="s">
        <v>76</v>
      </c>
      <c r="H6" s="127" t="s">
        <v>76</v>
      </c>
      <c r="I6" s="130" t="s">
        <v>50</v>
      </c>
      <c r="J6" s="127" t="s">
        <v>99</v>
      </c>
      <c r="K6" s="378" t="s">
        <v>930</v>
      </c>
      <c r="L6" s="414" t="s">
        <v>1543</v>
      </c>
      <c r="M6" s="130" t="s">
        <v>1205</v>
      </c>
      <c r="N6" s="414" t="s">
        <v>1360</v>
      </c>
      <c r="O6" s="90"/>
    </row>
    <row r="7" spans="2:17" x14ac:dyDescent="0.25">
      <c r="B7" s="24" t="s">
        <v>96</v>
      </c>
      <c r="C7" s="50">
        <f t="shared" si="0"/>
        <v>0</v>
      </c>
      <c r="D7" s="149">
        <v>3</v>
      </c>
      <c r="E7" s="24" t="str">
        <f t="shared" si="1"/>
        <v>Spanien</v>
      </c>
      <c r="F7" s="128" t="s">
        <v>49</v>
      </c>
      <c r="G7" s="129" t="s">
        <v>74</v>
      </c>
      <c r="H7" s="127" t="s">
        <v>88</v>
      </c>
      <c r="I7" s="130" t="s">
        <v>89</v>
      </c>
      <c r="J7" s="127" t="s">
        <v>100</v>
      </c>
      <c r="K7" s="378" t="s">
        <v>928</v>
      </c>
      <c r="L7" s="414" t="s">
        <v>100</v>
      </c>
      <c r="M7" s="130" t="s">
        <v>1206</v>
      </c>
      <c r="N7" s="414" t="s">
        <v>1361</v>
      </c>
      <c r="O7" s="90"/>
    </row>
    <row r="8" spans="2:17" x14ac:dyDescent="0.25">
      <c r="B8" t="s">
        <v>106</v>
      </c>
      <c r="C8" s="50">
        <f t="shared" si="0"/>
        <v>1</v>
      </c>
      <c r="D8" s="149">
        <v>4</v>
      </c>
      <c r="E8" s="24" t="str">
        <f t="shared" si="1"/>
        <v>Belgien</v>
      </c>
      <c r="F8" s="128" t="s">
        <v>48</v>
      </c>
      <c r="G8" s="129" t="s">
        <v>70</v>
      </c>
      <c r="H8" s="127" t="s">
        <v>81</v>
      </c>
      <c r="I8" s="130" t="s">
        <v>82</v>
      </c>
      <c r="J8" s="127" t="s">
        <v>104</v>
      </c>
      <c r="K8" s="378" t="s">
        <v>925</v>
      </c>
      <c r="L8" s="414" t="s">
        <v>104</v>
      </c>
      <c r="M8" s="130" t="s">
        <v>70</v>
      </c>
      <c r="N8" s="414" t="s">
        <v>1362</v>
      </c>
      <c r="O8" s="90"/>
    </row>
    <row r="9" spans="2:17" x14ac:dyDescent="0.25">
      <c r="B9" s="24" t="s">
        <v>95</v>
      </c>
      <c r="C9" s="50">
        <f t="shared" si="0"/>
        <v>0</v>
      </c>
      <c r="D9" s="149">
        <v>5</v>
      </c>
      <c r="E9" s="24" t="str">
        <f t="shared" si="1"/>
        <v>England</v>
      </c>
      <c r="F9" s="128" t="s">
        <v>1</v>
      </c>
      <c r="G9" s="129" t="s">
        <v>71</v>
      </c>
      <c r="H9" s="127" t="s">
        <v>83</v>
      </c>
      <c r="I9" s="130" t="s">
        <v>84</v>
      </c>
      <c r="J9" s="127" t="s">
        <v>1</v>
      </c>
      <c r="K9" s="378" t="s">
        <v>927</v>
      </c>
      <c r="L9" s="414" t="s">
        <v>1</v>
      </c>
      <c r="M9" s="130" t="s">
        <v>71</v>
      </c>
      <c r="N9" s="414" t="s">
        <v>1363</v>
      </c>
      <c r="O9" s="90"/>
    </row>
    <row r="10" spans="2:17" x14ac:dyDescent="0.25">
      <c r="B10" t="s">
        <v>1204</v>
      </c>
      <c r="C10" s="50">
        <f t="shared" si="0"/>
        <v>0</v>
      </c>
      <c r="D10" s="149">
        <v>6</v>
      </c>
      <c r="E10" s="24" t="str">
        <f t="shared" si="1"/>
        <v>Ungarn</v>
      </c>
      <c r="F10" s="128" t="s">
        <v>371</v>
      </c>
      <c r="G10" s="129" t="s">
        <v>414</v>
      </c>
      <c r="H10" s="127" t="s">
        <v>413</v>
      </c>
      <c r="I10" s="130" t="s">
        <v>411</v>
      </c>
      <c r="J10" s="127" t="s">
        <v>412</v>
      </c>
      <c r="K10" s="378" t="s">
        <v>948</v>
      </c>
      <c r="L10" s="414" t="s">
        <v>412</v>
      </c>
      <c r="M10" s="130" t="s">
        <v>1207</v>
      </c>
      <c r="N10" s="414" t="s">
        <v>1364</v>
      </c>
      <c r="O10" s="90"/>
    </row>
    <row r="11" spans="2:17" x14ac:dyDescent="0.25">
      <c r="B11" s="24" t="s">
        <v>94</v>
      </c>
      <c r="C11" s="50">
        <f t="shared" si="0"/>
        <v>0</v>
      </c>
      <c r="D11" s="149">
        <v>7</v>
      </c>
      <c r="E11" s="24" t="str">
        <f t="shared" si="1"/>
        <v>Türkei</v>
      </c>
      <c r="F11" s="128" t="s">
        <v>1136</v>
      </c>
      <c r="G11" s="129" t="s">
        <v>419</v>
      </c>
      <c r="H11" s="127" t="s">
        <v>418</v>
      </c>
      <c r="I11" s="130" t="s">
        <v>417</v>
      </c>
      <c r="J11" s="127" t="s">
        <v>420</v>
      </c>
      <c r="K11" s="378" t="s">
        <v>934</v>
      </c>
      <c r="L11" s="414" t="s">
        <v>1544</v>
      </c>
      <c r="M11" s="130" t="s">
        <v>1208</v>
      </c>
      <c r="N11" s="414" t="s">
        <v>1365</v>
      </c>
      <c r="O11" s="90"/>
    </row>
    <row r="12" spans="2:17" x14ac:dyDescent="0.25">
      <c r="B12" s="24" t="s">
        <v>97</v>
      </c>
      <c r="C12" s="50">
        <f t="shared" si="0"/>
        <v>0</v>
      </c>
      <c r="D12" s="149">
        <v>8</v>
      </c>
      <c r="E12" s="24" t="str">
        <f t="shared" si="1"/>
        <v>Rumänien</v>
      </c>
      <c r="F12" s="128" t="s">
        <v>375</v>
      </c>
      <c r="G12" s="129" t="s">
        <v>428</v>
      </c>
      <c r="H12" s="127" t="s">
        <v>375</v>
      </c>
      <c r="I12" s="130" t="s">
        <v>427</v>
      </c>
      <c r="J12" s="127" t="s">
        <v>429</v>
      </c>
      <c r="K12" s="378" t="s">
        <v>950</v>
      </c>
      <c r="L12" s="414" t="s">
        <v>1545</v>
      </c>
      <c r="M12" s="130" t="s">
        <v>1209</v>
      </c>
      <c r="N12" s="414" t="s">
        <v>1366</v>
      </c>
      <c r="O12" s="90"/>
    </row>
    <row r="13" spans="2:17" x14ac:dyDescent="0.25">
      <c r="D13" s="149">
        <v>9</v>
      </c>
      <c r="E13" s="24" t="str">
        <f t="shared" si="1"/>
        <v>Dänemark</v>
      </c>
      <c r="F13" s="128" t="s">
        <v>53</v>
      </c>
      <c r="G13" s="129" t="s">
        <v>69</v>
      </c>
      <c r="H13" s="127" t="s">
        <v>79</v>
      </c>
      <c r="I13" s="130" t="s">
        <v>80</v>
      </c>
      <c r="J13" s="127" t="s">
        <v>103</v>
      </c>
      <c r="K13" s="378" t="s">
        <v>935</v>
      </c>
      <c r="L13" s="414" t="s">
        <v>1546</v>
      </c>
      <c r="M13" s="130" t="s">
        <v>69</v>
      </c>
      <c r="N13" s="414" t="s">
        <v>1367</v>
      </c>
      <c r="O13" s="90"/>
    </row>
    <row r="14" spans="2:17" x14ac:dyDescent="0.25">
      <c r="D14" s="149">
        <v>10</v>
      </c>
      <c r="E14" s="24" t="str">
        <f t="shared" si="1"/>
        <v>Albanien</v>
      </c>
      <c r="F14" s="128" t="s">
        <v>382</v>
      </c>
      <c r="G14" s="129" t="s">
        <v>382</v>
      </c>
      <c r="H14" s="127" t="s">
        <v>382</v>
      </c>
      <c r="I14" s="130" t="s">
        <v>449</v>
      </c>
      <c r="J14" s="127" t="s">
        <v>450</v>
      </c>
      <c r="K14" s="378" t="s">
        <v>952</v>
      </c>
      <c r="L14" s="414" t="s">
        <v>450</v>
      </c>
      <c r="M14" s="130" t="s">
        <v>1210</v>
      </c>
      <c r="N14" s="414" t="s">
        <v>1368</v>
      </c>
      <c r="O14" s="90"/>
    </row>
    <row r="15" spans="2:17" x14ac:dyDescent="0.25">
      <c r="D15" s="149">
        <v>11</v>
      </c>
      <c r="E15" s="24" t="str">
        <f t="shared" si="1"/>
        <v>Österreich</v>
      </c>
      <c r="F15" s="128" t="s">
        <v>372</v>
      </c>
      <c r="G15" s="129" t="s">
        <v>372</v>
      </c>
      <c r="H15" s="127" t="s">
        <v>372</v>
      </c>
      <c r="I15" s="130" t="s">
        <v>415</v>
      </c>
      <c r="J15" s="127" t="s">
        <v>416</v>
      </c>
      <c r="K15" s="378" t="s">
        <v>936</v>
      </c>
      <c r="L15" s="414" t="s">
        <v>1547</v>
      </c>
      <c r="M15" s="130" t="s">
        <v>1211</v>
      </c>
      <c r="N15" s="414" t="s">
        <v>1369</v>
      </c>
      <c r="O15" s="90"/>
    </row>
    <row r="16" spans="2:17" x14ac:dyDescent="0.25">
      <c r="D16" s="149">
        <v>12</v>
      </c>
      <c r="E16" s="24" t="str">
        <f t="shared" si="1"/>
        <v>Niederlande</v>
      </c>
      <c r="F16" s="128" t="s">
        <v>366</v>
      </c>
      <c r="G16" s="129" t="s">
        <v>393</v>
      </c>
      <c r="H16" s="127" t="s">
        <v>394</v>
      </c>
      <c r="I16" s="130" t="s">
        <v>395</v>
      </c>
      <c r="J16" s="127" t="s">
        <v>396</v>
      </c>
      <c r="K16" s="378" t="s">
        <v>933</v>
      </c>
      <c r="L16" s="414" t="s">
        <v>1548</v>
      </c>
      <c r="M16" s="130" t="s">
        <v>1212</v>
      </c>
      <c r="N16" s="414" t="s">
        <v>1370</v>
      </c>
      <c r="O16" s="90"/>
    </row>
    <row r="17" spans="4:15" x14ac:dyDescent="0.25">
      <c r="D17" s="149">
        <v>13</v>
      </c>
      <c r="E17" s="24" t="str">
        <f t="shared" si="1"/>
        <v>Schottland</v>
      </c>
      <c r="F17" s="128" t="s">
        <v>377</v>
      </c>
      <c r="G17" s="129" t="s">
        <v>437</v>
      </c>
      <c r="H17" s="127" t="s">
        <v>436</v>
      </c>
      <c r="I17" s="130" t="s">
        <v>434</v>
      </c>
      <c r="J17" s="127" t="s">
        <v>435</v>
      </c>
      <c r="K17" s="378" t="s">
        <v>946</v>
      </c>
      <c r="L17" s="414" t="s">
        <v>1549</v>
      </c>
      <c r="M17" s="130" t="s">
        <v>1213</v>
      </c>
      <c r="N17" s="414" t="s">
        <v>1371</v>
      </c>
      <c r="O17" s="90"/>
    </row>
    <row r="18" spans="4:15" x14ac:dyDescent="0.25">
      <c r="D18" s="149">
        <v>14</v>
      </c>
      <c r="E18" s="24" t="str">
        <f t="shared" si="1"/>
        <v>Kroatien</v>
      </c>
      <c r="F18" s="128" t="s">
        <v>52</v>
      </c>
      <c r="G18" s="129" t="s">
        <v>72</v>
      </c>
      <c r="H18" s="127" t="s">
        <v>85</v>
      </c>
      <c r="I18" s="130" t="s">
        <v>86</v>
      </c>
      <c r="J18" s="127" t="s">
        <v>105</v>
      </c>
      <c r="K18" s="378" t="s">
        <v>932</v>
      </c>
      <c r="L18" s="414" t="s">
        <v>105</v>
      </c>
      <c r="M18" s="130" t="s">
        <v>1214</v>
      </c>
      <c r="N18" s="414" t="s">
        <v>1372</v>
      </c>
      <c r="O18" s="90"/>
    </row>
    <row r="19" spans="4:15" x14ac:dyDescent="0.25">
      <c r="D19" s="149">
        <v>15</v>
      </c>
      <c r="E19" s="24" t="str">
        <f t="shared" si="1"/>
        <v>Slowenien</v>
      </c>
      <c r="F19" s="128" t="s">
        <v>380</v>
      </c>
      <c r="G19" s="129" t="s">
        <v>442</v>
      </c>
      <c r="H19" s="127" t="s">
        <v>380</v>
      </c>
      <c r="I19" s="130" t="s">
        <v>443</v>
      </c>
      <c r="J19" s="127" t="s">
        <v>444</v>
      </c>
      <c r="K19" s="378" t="s">
        <v>949</v>
      </c>
      <c r="L19" s="414" t="s">
        <v>1550</v>
      </c>
      <c r="M19" s="130" t="s">
        <v>1215</v>
      </c>
      <c r="N19" s="414" t="s">
        <v>1373</v>
      </c>
      <c r="O19" s="90"/>
    </row>
    <row r="20" spans="4:15" x14ac:dyDescent="0.25">
      <c r="D20" s="149">
        <v>16</v>
      </c>
      <c r="E20" s="24" t="str">
        <f t="shared" si="1"/>
        <v>Slowakei</v>
      </c>
      <c r="F20" s="128" t="s">
        <v>376</v>
      </c>
      <c r="G20" s="129" t="s">
        <v>430</v>
      </c>
      <c r="H20" s="127" t="s">
        <v>431</v>
      </c>
      <c r="I20" s="130" t="s">
        <v>432</v>
      </c>
      <c r="J20" s="127" t="s">
        <v>433</v>
      </c>
      <c r="K20" s="378" t="s">
        <v>940</v>
      </c>
      <c r="L20" s="414" t="s">
        <v>1551</v>
      </c>
      <c r="M20" s="130" t="s">
        <v>1216</v>
      </c>
      <c r="N20" s="414" t="s">
        <v>1374</v>
      </c>
      <c r="O20" s="90"/>
    </row>
    <row r="21" spans="4:15" x14ac:dyDescent="0.25">
      <c r="D21" s="149">
        <v>17</v>
      </c>
      <c r="E21" s="24" t="str">
        <f t="shared" si="1"/>
        <v>Tschechien</v>
      </c>
      <c r="F21" s="128" t="s">
        <v>367</v>
      </c>
      <c r="G21" s="129" t="s">
        <v>400</v>
      </c>
      <c r="H21" s="127" t="s">
        <v>399</v>
      </c>
      <c r="I21" s="130" t="s">
        <v>398</v>
      </c>
      <c r="J21" s="127" t="s">
        <v>404</v>
      </c>
      <c r="K21" s="378" t="s">
        <v>938</v>
      </c>
      <c r="L21" s="414" t="s">
        <v>1552</v>
      </c>
      <c r="M21" s="130" t="s">
        <v>1217</v>
      </c>
      <c r="N21" s="414" t="s">
        <v>1375</v>
      </c>
      <c r="O21" s="90"/>
    </row>
    <row r="22" spans="4:15" x14ac:dyDescent="0.25">
      <c r="D22" s="149">
        <v>18</v>
      </c>
      <c r="E22" s="24" t="str">
        <f t="shared" si="1"/>
        <v>Italien</v>
      </c>
      <c r="F22" s="128" t="s">
        <v>365</v>
      </c>
      <c r="G22" s="129" t="s">
        <v>390</v>
      </c>
      <c r="H22" s="127" t="s">
        <v>390</v>
      </c>
      <c r="I22" s="130" t="s">
        <v>391</v>
      </c>
      <c r="J22" s="127" t="s">
        <v>392</v>
      </c>
      <c r="K22" s="378" t="s">
        <v>926</v>
      </c>
      <c r="L22" s="414" t="s">
        <v>392</v>
      </c>
      <c r="M22" s="130" t="s">
        <v>1218</v>
      </c>
      <c r="N22" s="414" t="s">
        <v>1376</v>
      </c>
      <c r="O22" s="90"/>
    </row>
    <row r="23" spans="4:15" x14ac:dyDescent="0.25">
      <c r="D23" s="149">
        <v>19</v>
      </c>
      <c r="E23" s="24" t="str">
        <f t="shared" si="1"/>
        <v>Serbien</v>
      </c>
      <c r="F23" s="128" t="s">
        <v>318</v>
      </c>
      <c r="G23" s="129" t="s">
        <v>318</v>
      </c>
      <c r="H23" s="127" t="s">
        <v>318</v>
      </c>
      <c r="I23" s="130" t="s">
        <v>319</v>
      </c>
      <c r="J23" s="127" t="s">
        <v>259</v>
      </c>
      <c r="K23" s="378" t="s">
        <v>939</v>
      </c>
      <c r="L23" s="414" t="s">
        <v>259</v>
      </c>
      <c r="M23" s="130" t="s">
        <v>1219</v>
      </c>
      <c r="N23" s="414" t="s">
        <v>1377</v>
      </c>
      <c r="O23" s="90"/>
    </row>
    <row r="24" spans="4:15" x14ac:dyDescent="0.25">
      <c r="D24" s="149">
        <v>20</v>
      </c>
      <c r="E24" s="24" t="str">
        <f t="shared" si="1"/>
        <v>Schweiz</v>
      </c>
      <c r="F24" s="128" t="s">
        <v>67</v>
      </c>
      <c r="G24" s="129" t="s">
        <v>68</v>
      </c>
      <c r="H24" s="127" t="s">
        <v>77</v>
      </c>
      <c r="I24" s="130" t="s">
        <v>78</v>
      </c>
      <c r="J24" s="127" t="s">
        <v>102</v>
      </c>
      <c r="K24" s="378" t="s">
        <v>931</v>
      </c>
      <c r="L24" s="414" t="s">
        <v>102</v>
      </c>
      <c r="M24" s="130" t="s">
        <v>1220</v>
      </c>
      <c r="N24" s="414" t="s">
        <v>1378</v>
      </c>
      <c r="O24" s="90"/>
    </row>
    <row r="25" spans="4:15" x14ac:dyDescent="0.25">
      <c r="D25" s="149">
        <v>21</v>
      </c>
      <c r="E25" s="24" t="str">
        <f t="shared" si="1"/>
        <v>Ukraine</v>
      </c>
      <c r="F25" s="128" t="s">
        <v>369</v>
      </c>
      <c r="G25" s="129" t="s">
        <v>406</v>
      </c>
      <c r="H25" s="127" t="s">
        <v>405</v>
      </c>
      <c r="I25" s="130" t="s">
        <v>369</v>
      </c>
      <c r="J25" s="127" t="s">
        <v>369</v>
      </c>
      <c r="K25" s="378" t="s">
        <v>929</v>
      </c>
      <c r="L25" s="414" t="s">
        <v>369</v>
      </c>
      <c r="M25" s="130" t="s">
        <v>1221</v>
      </c>
      <c r="N25" s="414" t="s">
        <v>1379</v>
      </c>
      <c r="O25" s="90"/>
    </row>
    <row r="26" spans="4:15" x14ac:dyDescent="0.25">
      <c r="D26" s="149">
        <v>22</v>
      </c>
      <c r="E26" s="24" t="str">
        <f t="shared" si="1"/>
        <v>Griechenland</v>
      </c>
      <c r="F26" s="128" t="s">
        <v>374</v>
      </c>
      <c r="G26" s="129" t="s">
        <v>426</v>
      </c>
      <c r="H26" s="127" t="s">
        <v>426</v>
      </c>
      <c r="I26" s="130" t="s">
        <v>424</v>
      </c>
      <c r="J26" s="127" t="s">
        <v>425</v>
      </c>
      <c r="K26" s="378" t="s">
        <v>945</v>
      </c>
      <c r="L26" s="414" t="s">
        <v>1553</v>
      </c>
      <c r="M26" s="130" t="s">
        <v>1222</v>
      </c>
      <c r="N26" s="414" t="s">
        <v>1380</v>
      </c>
      <c r="O26" s="90"/>
    </row>
    <row r="27" spans="4:15" x14ac:dyDescent="0.25">
      <c r="D27" s="149">
        <v>23</v>
      </c>
      <c r="E27" s="24" t="str">
        <f t="shared" si="1"/>
        <v>Finnland</v>
      </c>
      <c r="F27" s="128" t="s">
        <v>373</v>
      </c>
      <c r="G27" s="129" t="s">
        <v>423</v>
      </c>
      <c r="H27" s="127" t="s">
        <v>423</v>
      </c>
      <c r="I27" s="130" t="s">
        <v>421</v>
      </c>
      <c r="J27" s="127" t="s">
        <v>496</v>
      </c>
      <c r="K27" s="378" t="s">
        <v>373</v>
      </c>
      <c r="L27" s="414" t="s">
        <v>373</v>
      </c>
      <c r="M27" s="130" t="s">
        <v>1223</v>
      </c>
      <c r="N27" s="414" t="s">
        <v>1381</v>
      </c>
      <c r="O27" s="90"/>
    </row>
    <row r="28" spans="4:15" x14ac:dyDescent="0.25">
      <c r="D28" s="149">
        <v>24</v>
      </c>
      <c r="E28" s="24" t="str">
        <f t="shared" si="1"/>
        <v>Wales</v>
      </c>
      <c r="F28" s="128" t="s">
        <v>368</v>
      </c>
      <c r="G28" s="129" t="s">
        <v>403</v>
      </c>
      <c r="H28" s="127" t="s">
        <v>402</v>
      </c>
      <c r="I28" s="130" t="s">
        <v>401</v>
      </c>
      <c r="J28" s="127" t="s">
        <v>368</v>
      </c>
      <c r="K28" s="378" t="s">
        <v>368</v>
      </c>
      <c r="L28" s="414" t="s">
        <v>368</v>
      </c>
      <c r="M28" s="130" t="s">
        <v>1224</v>
      </c>
      <c r="N28" s="414" t="s">
        <v>1382</v>
      </c>
      <c r="O28" s="90"/>
    </row>
    <row r="29" spans="4:15" x14ac:dyDescent="0.25">
      <c r="D29" s="149">
        <v>25</v>
      </c>
      <c r="E29" s="24" t="str">
        <f t="shared" si="1"/>
        <v>Norwegen</v>
      </c>
      <c r="F29" s="128" t="s">
        <v>370</v>
      </c>
      <c r="G29" s="129" t="s">
        <v>407</v>
      </c>
      <c r="H29" s="127" t="s">
        <v>408</v>
      </c>
      <c r="I29" s="130" t="s">
        <v>409</v>
      </c>
      <c r="J29" s="127" t="s">
        <v>410</v>
      </c>
      <c r="K29" s="378" t="s">
        <v>944</v>
      </c>
      <c r="L29" s="414" t="s">
        <v>1554</v>
      </c>
      <c r="M29" s="130" t="s">
        <v>407</v>
      </c>
      <c r="N29" s="414" t="s">
        <v>1383</v>
      </c>
      <c r="O29" s="90"/>
    </row>
    <row r="30" spans="4:15" x14ac:dyDescent="0.25">
      <c r="D30" s="149">
        <v>26</v>
      </c>
      <c r="E30" s="24" t="str">
        <f t="shared" si="1"/>
        <v>Polen</v>
      </c>
      <c r="F30" s="128" t="s">
        <v>51</v>
      </c>
      <c r="G30" s="129" t="s">
        <v>73</v>
      </c>
      <c r="H30" s="127" t="s">
        <v>73</v>
      </c>
      <c r="I30" s="130" t="s">
        <v>87</v>
      </c>
      <c r="J30" s="127" t="s">
        <v>98</v>
      </c>
      <c r="K30" s="378" t="s">
        <v>98</v>
      </c>
      <c r="L30" s="414" t="s">
        <v>98</v>
      </c>
      <c r="M30" s="130" t="s">
        <v>1225</v>
      </c>
      <c r="N30" s="414" t="s">
        <v>1384</v>
      </c>
      <c r="O30" s="90"/>
    </row>
    <row r="31" spans="4:15" x14ac:dyDescent="0.25">
      <c r="D31" s="149">
        <v>27</v>
      </c>
      <c r="E31" s="24" t="str">
        <f t="shared" si="1"/>
        <v>Montenegro</v>
      </c>
      <c r="F31" s="128" t="s">
        <v>386</v>
      </c>
      <c r="G31" s="129" t="s">
        <v>386</v>
      </c>
      <c r="H31" s="127" t="s">
        <v>386</v>
      </c>
      <c r="I31" s="130" t="s">
        <v>459</v>
      </c>
      <c r="J31" s="127" t="s">
        <v>386</v>
      </c>
      <c r="K31" s="378" t="s">
        <v>386</v>
      </c>
      <c r="L31" s="414" t="s">
        <v>386</v>
      </c>
      <c r="M31" s="130" t="s">
        <v>386</v>
      </c>
      <c r="N31" s="414" t="s">
        <v>1385</v>
      </c>
      <c r="O31" s="90"/>
    </row>
    <row r="32" spans="4:15" x14ac:dyDescent="0.25">
      <c r="D32" s="149">
        <v>28</v>
      </c>
      <c r="E32" s="24" t="str">
        <f t="shared" si="1"/>
        <v>Luxemburg</v>
      </c>
      <c r="F32" s="128" t="s">
        <v>498</v>
      </c>
      <c r="G32" s="129" t="s">
        <v>509</v>
      </c>
      <c r="H32" s="127" t="s">
        <v>510</v>
      </c>
      <c r="I32" s="130" t="s">
        <v>498</v>
      </c>
      <c r="J32" s="127" t="s">
        <v>508</v>
      </c>
      <c r="K32" s="378" t="s">
        <v>508</v>
      </c>
      <c r="L32" s="414" t="s">
        <v>498</v>
      </c>
      <c r="M32" s="130" t="s">
        <v>509</v>
      </c>
      <c r="N32" s="414" t="s">
        <v>1386</v>
      </c>
      <c r="O32" s="90"/>
    </row>
    <row r="33" spans="4:15" x14ac:dyDescent="0.25">
      <c r="D33" s="149">
        <v>29</v>
      </c>
      <c r="E33" s="24" t="str">
        <f t="shared" si="1"/>
        <v>Schweden</v>
      </c>
      <c r="F33" s="128" t="s">
        <v>54</v>
      </c>
      <c r="G33" s="129" t="s">
        <v>75</v>
      </c>
      <c r="H33" s="127" t="s">
        <v>90</v>
      </c>
      <c r="I33" s="130" t="s">
        <v>91</v>
      </c>
      <c r="J33" s="127" t="s">
        <v>101</v>
      </c>
      <c r="K33" s="378" t="s">
        <v>937</v>
      </c>
      <c r="L33" s="414" t="s">
        <v>1555</v>
      </c>
      <c r="M33" s="130" t="s">
        <v>1226</v>
      </c>
      <c r="N33" s="414" t="s">
        <v>1387</v>
      </c>
      <c r="O33" s="90"/>
    </row>
    <row r="34" spans="4:15" x14ac:dyDescent="0.25">
      <c r="D34" s="149">
        <v>30</v>
      </c>
      <c r="E34" s="24" t="str">
        <f t="shared" si="1"/>
        <v>Israel</v>
      </c>
      <c r="F34" s="128" t="s">
        <v>378</v>
      </c>
      <c r="G34" s="129" t="s">
        <v>378</v>
      </c>
      <c r="H34" s="127" t="s">
        <v>422</v>
      </c>
      <c r="I34" s="130" t="s">
        <v>438</v>
      </c>
      <c r="J34" s="127" t="s">
        <v>378</v>
      </c>
      <c r="K34" s="378" t="s">
        <v>438</v>
      </c>
      <c r="L34" s="414" t="s">
        <v>378</v>
      </c>
      <c r="M34" s="130" t="s">
        <v>378</v>
      </c>
      <c r="N34" s="414" t="s">
        <v>1388</v>
      </c>
      <c r="O34" s="90"/>
    </row>
    <row r="35" spans="4:15" x14ac:dyDescent="0.25">
      <c r="D35" s="149">
        <v>31</v>
      </c>
      <c r="E35" s="24" t="str">
        <f t="shared" si="1"/>
        <v>Kasachstan</v>
      </c>
      <c r="F35" s="128" t="s">
        <v>500</v>
      </c>
      <c r="G35" s="129" t="s">
        <v>517</v>
      </c>
      <c r="H35" s="127" t="s">
        <v>516</v>
      </c>
      <c r="I35" s="130" t="s">
        <v>500</v>
      </c>
      <c r="J35" s="127" t="s">
        <v>515</v>
      </c>
      <c r="K35" s="378" t="s">
        <v>955</v>
      </c>
      <c r="L35" s="414" t="s">
        <v>1556</v>
      </c>
      <c r="M35" s="130" t="s">
        <v>1227</v>
      </c>
      <c r="N35" s="414" t="s">
        <v>1389</v>
      </c>
      <c r="O35" s="90"/>
    </row>
    <row r="36" spans="4:15" x14ac:dyDescent="0.25">
      <c r="D36" s="149">
        <v>32</v>
      </c>
      <c r="E36" s="24" t="str">
        <f t="shared" si="1"/>
        <v>Moldavien</v>
      </c>
      <c r="F36" s="128" t="s">
        <v>506</v>
      </c>
      <c r="G36" s="129" t="s">
        <v>506</v>
      </c>
      <c r="H36" s="127" t="s">
        <v>506</v>
      </c>
      <c r="I36" s="130" t="s">
        <v>529</v>
      </c>
      <c r="J36" s="127" t="s">
        <v>530</v>
      </c>
      <c r="K36" s="378" t="s">
        <v>958</v>
      </c>
      <c r="L36" s="414" t="s">
        <v>506</v>
      </c>
      <c r="M36" s="130" t="s">
        <v>1228</v>
      </c>
      <c r="N36" s="414" t="s">
        <v>1390</v>
      </c>
      <c r="O36" s="90"/>
    </row>
    <row r="37" spans="4:15" x14ac:dyDescent="0.25">
      <c r="D37" s="149">
        <v>33</v>
      </c>
      <c r="E37" s="24" t="str">
        <f t="shared" si="1"/>
        <v>Armenien</v>
      </c>
      <c r="F37" s="128" t="s">
        <v>384</v>
      </c>
      <c r="G37" s="129" t="s">
        <v>384</v>
      </c>
      <c r="H37" s="127" t="s">
        <v>384</v>
      </c>
      <c r="I37" s="130" t="s">
        <v>455</v>
      </c>
      <c r="J37" s="127" t="s">
        <v>456</v>
      </c>
      <c r="K37" s="378" t="s">
        <v>954</v>
      </c>
      <c r="L37" s="414" t="s">
        <v>456</v>
      </c>
      <c r="M37" s="130" t="s">
        <v>1229</v>
      </c>
      <c r="N37" s="414" t="s">
        <v>1391</v>
      </c>
      <c r="O37" s="90"/>
    </row>
    <row r="38" spans="4:15" x14ac:dyDescent="0.25">
      <c r="D38" s="149">
        <v>34</v>
      </c>
      <c r="E38" s="24" t="str">
        <f t="shared" si="1"/>
        <v>Georgien</v>
      </c>
      <c r="F38" s="128" t="s">
        <v>388</v>
      </c>
      <c r="G38" s="129" t="s">
        <v>388</v>
      </c>
      <c r="H38" s="127" t="s">
        <v>388</v>
      </c>
      <c r="I38" s="130" t="s">
        <v>460</v>
      </c>
      <c r="J38" s="127" t="s">
        <v>461</v>
      </c>
      <c r="K38" s="378" t="s">
        <v>951</v>
      </c>
      <c r="L38" s="414" t="s">
        <v>461</v>
      </c>
      <c r="M38" s="130" t="s">
        <v>1230</v>
      </c>
      <c r="N38" s="414" t="s">
        <v>1392</v>
      </c>
      <c r="O38" s="90"/>
    </row>
    <row r="39" spans="4:15" x14ac:dyDescent="0.25">
      <c r="D39" s="149">
        <v>35</v>
      </c>
      <c r="E39" s="24" t="str">
        <f t="shared" si="1"/>
        <v>Belarus</v>
      </c>
      <c r="F39" s="128" t="s">
        <v>389</v>
      </c>
      <c r="G39" s="129" t="s">
        <v>1145</v>
      </c>
      <c r="H39" s="127" t="s">
        <v>1146</v>
      </c>
      <c r="I39" s="130" t="s">
        <v>1147</v>
      </c>
      <c r="J39" s="127" t="s">
        <v>389</v>
      </c>
      <c r="K39" s="378" t="s">
        <v>1148</v>
      </c>
      <c r="L39" s="414" t="s">
        <v>389</v>
      </c>
      <c r="M39" s="130" t="s">
        <v>1231</v>
      </c>
      <c r="N39" s="414" t="s">
        <v>1393</v>
      </c>
      <c r="O39" s="90"/>
    </row>
    <row r="40" spans="4:15" x14ac:dyDescent="0.25">
      <c r="D40" s="149">
        <v>36</v>
      </c>
      <c r="E40" s="24" t="str">
        <f t="shared" si="1"/>
        <v>Nordmazedonien</v>
      </c>
      <c r="F40" s="128" t="s">
        <v>383</v>
      </c>
      <c r="G40" s="129" t="s">
        <v>454</v>
      </c>
      <c r="H40" s="127" t="s">
        <v>453</v>
      </c>
      <c r="I40" s="130" t="s">
        <v>452</v>
      </c>
      <c r="J40" s="127" t="s">
        <v>451</v>
      </c>
      <c r="K40" s="378" t="s">
        <v>947</v>
      </c>
      <c r="L40" s="414" t="s">
        <v>1557</v>
      </c>
      <c r="M40" s="130" t="s">
        <v>1232</v>
      </c>
      <c r="N40" s="414" t="s">
        <v>1394</v>
      </c>
      <c r="O40" s="90"/>
    </row>
    <row r="41" spans="4:15" x14ac:dyDescent="0.25">
      <c r="D41" s="149">
        <v>37</v>
      </c>
      <c r="E41" s="24" t="str">
        <f t="shared" si="1"/>
        <v>Aserbaidschan</v>
      </c>
      <c r="F41" s="128" t="s">
        <v>501</v>
      </c>
      <c r="G41" s="129" t="s">
        <v>518</v>
      </c>
      <c r="H41" s="127" t="s">
        <v>501</v>
      </c>
      <c r="I41" s="130" t="s">
        <v>519</v>
      </c>
      <c r="J41" s="127" t="s">
        <v>520</v>
      </c>
      <c r="K41" s="378" t="s">
        <v>956</v>
      </c>
      <c r="L41" s="414" t="s">
        <v>1558</v>
      </c>
      <c r="M41" s="130" t="s">
        <v>1233</v>
      </c>
      <c r="N41" s="414" t="s">
        <v>1395</v>
      </c>
      <c r="O41" s="90"/>
    </row>
    <row r="42" spans="4:15" x14ac:dyDescent="0.25">
      <c r="D42" s="149">
        <v>38</v>
      </c>
      <c r="E42" s="24" t="str">
        <f t="shared" si="1"/>
        <v>Irland</v>
      </c>
      <c r="F42" s="128" t="s">
        <v>379</v>
      </c>
      <c r="G42" s="129" t="s">
        <v>441</v>
      </c>
      <c r="H42" s="127" t="s">
        <v>441</v>
      </c>
      <c r="I42" s="130" t="s">
        <v>439</v>
      </c>
      <c r="J42" s="127" t="s">
        <v>440</v>
      </c>
      <c r="K42" s="378" t="s">
        <v>941</v>
      </c>
      <c r="L42" s="414" t="s">
        <v>440</v>
      </c>
      <c r="M42" s="130" t="s">
        <v>441</v>
      </c>
      <c r="N42" s="414" t="s">
        <v>1396</v>
      </c>
      <c r="O42" s="90"/>
    </row>
    <row r="43" spans="4:15" x14ac:dyDescent="0.25">
      <c r="D43" s="149">
        <v>39</v>
      </c>
      <c r="E43" s="24" t="str">
        <f t="shared" si="1"/>
        <v>Litauen</v>
      </c>
      <c r="F43" s="128" t="s">
        <v>503</v>
      </c>
      <c r="G43" s="129" t="s">
        <v>524</v>
      </c>
      <c r="H43" s="127" t="s">
        <v>524</v>
      </c>
      <c r="I43" s="130" t="s">
        <v>525</v>
      </c>
      <c r="J43" s="127" t="s">
        <v>526</v>
      </c>
      <c r="K43" s="378" t="s">
        <v>957</v>
      </c>
      <c r="L43" s="414" t="s">
        <v>526</v>
      </c>
      <c r="M43" s="130" t="s">
        <v>1234</v>
      </c>
      <c r="N43" s="414" t="s">
        <v>1397</v>
      </c>
      <c r="O43" s="90"/>
    </row>
    <row r="44" spans="4:15" x14ac:dyDescent="0.25">
      <c r="D44" s="149">
        <v>40</v>
      </c>
      <c r="E44" s="24" t="str">
        <f t="shared" si="1"/>
        <v>Island</v>
      </c>
      <c r="F44" s="128" t="s">
        <v>314</v>
      </c>
      <c r="G44" s="129" t="s">
        <v>315</v>
      </c>
      <c r="H44" s="127" t="s">
        <v>316</v>
      </c>
      <c r="I44" s="130" t="s">
        <v>317</v>
      </c>
      <c r="J44" s="127" t="s">
        <v>258</v>
      </c>
      <c r="K44" s="378" t="s">
        <v>942</v>
      </c>
      <c r="L44" s="414" t="s">
        <v>258</v>
      </c>
      <c r="M44" s="130" t="s">
        <v>1235</v>
      </c>
      <c r="N44" s="414" t="s">
        <v>1398</v>
      </c>
      <c r="O44" s="90"/>
    </row>
    <row r="45" spans="4:15" x14ac:dyDescent="0.25">
      <c r="D45" s="149">
        <v>41</v>
      </c>
      <c r="E45" s="24" t="str">
        <f t="shared" si="1"/>
        <v>Kosovo</v>
      </c>
      <c r="F45" s="128" t="s">
        <v>387</v>
      </c>
      <c r="G45" s="129" t="s">
        <v>387</v>
      </c>
      <c r="H45" s="127" t="s">
        <v>387</v>
      </c>
      <c r="I45" s="130" t="s">
        <v>387</v>
      </c>
      <c r="J45" s="127" t="s">
        <v>387</v>
      </c>
      <c r="K45" s="378" t="s">
        <v>387</v>
      </c>
      <c r="L45" s="414" t="s">
        <v>1559</v>
      </c>
      <c r="M45" s="130" t="s">
        <v>387</v>
      </c>
      <c r="N45" s="414" t="s">
        <v>1399</v>
      </c>
      <c r="O45" s="90"/>
    </row>
    <row r="46" spans="4:15" x14ac:dyDescent="0.25">
      <c r="D46" s="149">
        <v>42</v>
      </c>
      <c r="E46" s="24" t="str">
        <f t="shared" si="1"/>
        <v>Bulgarien</v>
      </c>
      <c r="F46" s="128" t="s">
        <v>385</v>
      </c>
      <c r="G46" s="129" t="s">
        <v>385</v>
      </c>
      <c r="H46" s="127" t="s">
        <v>385</v>
      </c>
      <c r="I46" s="130" t="s">
        <v>457</v>
      </c>
      <c r="J46" s="127" t="s">
        <v>458</v>
      </c>
      <c r="K46" s="378" t="s">
        <v>953</v>
      </c>
      <c r="L46" s="414" t="s">
        <v>458</v>
      </c>
      <c r="M46" s="130" t="s">
        <v>1236</v>
      </c>
      <c r="N46" s="414" t="s">
        <v>1400</v>
      </c>
      <c r="O46" s="90"/>
    </row>
    <row r="47" spans="4:15" x14ac:dyDescent="0.25">
      <c r="D47" s="149">
        <v>43</v>
      </c>
      <c r="E47" s="24" t="str">
        <f t="shared" si="1"/>
        <v>Nordirland</v>
      </c>
      <c r="F47" s="128" t="s">
        <v>381</v>
      </c>
      <c r="G47" s="129" t="s">
        <v>448</v>
      </c>
      <c r="H47" s="127" t="s">
        <v>447</v>
      </c>
      <c r="I47" s="130" t="s">
        <v>446</v>
      </c>
      <c r="J47" s="127" t="s">
        <v>445</v>
      </c>
      <c r="K47" s="378" t="s">
        <v>943</v>
      </c>
      <c r="L47" s="414" t="s">
        <v>445</v>
      </c>
      <c r="M47" s="130" t="s">
        <v>1237</v>
      </c>
      <c r="N47" s="414" t="s">
        <v>1401</v>
      </c>
      <c r="O47" s="90"/>
    </row>
    <row r="48" spans="4:15" x14ac:dyDescent="0.25">
      <c r="D48" s="149">
        <v>44</v>
      </c>
      <c r="E48" s="24" t="str">
        <f t="shared" si="1"/>
        <v>Bosnien/Herzeg.</v>
      </c>
      <c r="F48" s="128" t="s">
        <v>1139</v>
      </c>
      <c r="G48" s="129" t="s">
        <v>1140</v>
      </c>
      <c r="H48" s="127" t="s">
        <v>1141</v>
      </c>
      <c r="I48" s="130" t="s">
        <v>1142</v>
      </c>
      <c r="J48" s="127" t="s">
        <v>1143</v>
      </c>
      <c r="K48" s="378" t="s">
        <v>1144</v>
      </c>
      <c r="L48" s="414" t="s">
        <v>1560</v>
      </c>
      <c r="M48" s="130" t="s">
        <v>1238</v>
      </c>
      <c r="N48" s="414" t="s">
        <v>1402</v>
      </c>
      <c r="O48" s="90"/>
    </row>
    <row r="49" spans="4:15" x14ac:dyDescent="0.25">
      <c r="D49" s="149">
        <v>45</v>
      </c>
      <c r="E49" s="24" t="str">
        <f t="shared" si="1"/>
        <v>Lettland</v>
      </c>
      <c r="F49" s="128" t="s">
        <v>1156</v>
      </c>
      <c r="G49" s="129" t="s">
        <v>1157</v>
      </c>
      <c r="H49" s="127" t="s">
        <v>1158</v>
      </c>
      <c r="I49" s="130" t="s">
        <v>1159</v>
      </c>
      <c r="J49" s="127" t="s">
        <v>1160</v>
      </c>
      <c r="K49" s="378" t="s">
        <v>1161</v>
      </c>
      <c r="L49" s="414" t="s">
        <v>1161</v>
      </c>
      <c r="M49" s="130" t="s">
        <v>1239</v>
      </c>
      <c r="N49" s="414" t="s">
        <v>1403</v>
      </c>
      <c r="O49" s="90"/>
    </row>
    <row r="50" spans="4:15" x14ac:dyDescent="0.25">
      <c r="D50" s="149">
        <v>46</v>
      </c>
      <c r="E50" s="24" t="str">
        <f t="shared" si="1"/>
        <v>Färöer Inseln</v>
      </c>
      <c r="F50" s="128" t="s">
        <v>1149</v>
      </c>
      <c r="G50" s="129" t="s">
        <v>1150</v>
      </c>
      <c r="H50" s="127" t="s">
        <v>1151</v>
      </c>
      <c r="I50" s="130" t="s">
        <v>1152</v>
      </c>
      <c r="J50" s="127" t="s">
        <v>1153</v>
      </c>
      <c r="K50" s="378" t="s">
        <v>1154</v>
      </c>
      <c r="L50" s="414" t="s">
        <v>1561</v>
      </c>
      <c r="M50" s="130" t="s">
        <v>1240</v>
      </c>
      <c r="N50" s="414" t="s">
        <v>1404</v>
      </c>
      <c r="O50" s="90"/>
    </row>
    <row r="51" spans="4:15" x14ac:dyDescent="0.25">
      <c r="D51" s="149">
        <v>47</v>
      </c>
      <c r="E51" s="24" t="str">
        <f t="shared" si="1"/>
        <v>Estland</v>
      </c>
      <c r="F51" s="128" t="s">
        <v>504</v>
      </c>
      <c r="G51" s="129" t="s">
        <v>504</v>
      </c>
      <c r="H51" s="127" t="s">
        <v>504</v>
      </c>
      <c r="I51" s="130" t="s">
        <v>522</v>
      </c>
      <c r="J51" s="127" t="s">
        <v>527</v>
      </c>
      <c r="K51" s="378" t="s">
        <v>527</v>
      </c>
      <c r="L51" s="414" t="s">
        <v>527</v>
      </c>
      <c r="M51" s="130" t="s">
        <v>1241</v>
      </c>
      <c r="N51" s="414" t="s">
        <v>1405</v>
      </c>
      <c r="O51" s="90"/>
    </row>
    <row r="52" spans="4:15" x14ac:dyDescent="0.25">
      <c r="D52" s="149">
        <v>48</v>
      </c>
      <c r="E52" s="24" t="str">
        <f t="shared" si="1"/>
        <v>Malta</v>
      </c>
      <c r="F52" s="128" t="s">
        <v>507</v>
      </c>
      <c r="G52" s="129" t="s">
        <v>507</v>
      </c>
      <c r="H52" s="127" t="s">
        <v>507</v>
      </c>
      <c r="I52" s="130" t="s">
        <v>523</v>
      </c>
      <c r="J52" s="127" t="s">
        <v>507</v>
      </c>
      <c r="K52" s="378" t="s">
        <v>507</v>
      </c>
      <c r="L52" s="414" t="s">
        <v>507</v>
      </c>
      <c r="M52" s="130" t="s">
        <v>507</v>
      </c>
      <c r="N52" s="414" t="s">
        <v>1406</v>
      </c>
      <c r="O52" s="90"/>
    </row>
    <row r="53" spans="4:15" x14ac:dyDescent="0.25">
      <c r="D53" s="149">
        <v>49</v>
      </c>
      <c r="E53" s="24" t="str">
        <f t="shared" si="1"/>
        <v>Zypern</v>
      </c>
      <c r="F53" s="128" t="s">
        <v>499</v>
      </c>
      <c r="G53" s="129" t="s">
        <v>514</v>
      </c>
      <c r="H53" s="127" t="s">
        <v>513</v>
      </c>
      <c r="I53" s="130" t="s">
        <v>511</v>
      </c>
      <c r="J53" s="127" t="s">
        <v>512</v>
      </c>
      <c r="K53" s="378" t="s">
        <v>499</v>
      </c>
      <c r="L53" s="414" t="s">
        <v>1562</v>
      </c>
      <c r="M53" s="130" t="s">
        <v>514</v>
      </c>
      <c r="N53" s="414" t="s">
        <v>1407</v>
      </c>
      <c r="O53" s="90"/>
    </row>
    <row r="54" spans="4:15" x14ac:dyDescent="0.25">
      <c r="D54" s="149">
        <v>50</v>
      </c>
      <c r="E54" s="24" t="str">
        <f t="shared" si="1"/>
        <v>Gibraltar</v>
      </c>
      <c r="F54" s="128" t="s">
        <v>505</v>
      </c>
      <c r="G54" s="129" t="s">
        <v>505</v>
      </c>
      <c r="H54" s="127" t="s">
        <v>528</v>
      </c>
      <c r="I54" s="130" t="s">
        <v>505</v>
      </c>
      <c r="J54" s="127" t="s">
        <v>505</v>
      </c>
      <c r="K54" s="378" t="s">
        <v>505</v>
      </c>
      <c r="L54" s="414" t="s">
        <v>505</v>
      </c>
      <c r="M54" s="130" t="s">
        <v>505</v>
      </c>
      <c r="N54" s="414" t="s">
        <v>1408</v>
      </c>
      <c r="O54" s="90"/>
    </row>
    <row r="55" spans="4:15" x14ac:dyDescent="0.25">
      <c r="D55" s="149">
        <v>51</v>
      </c>
      <c r="E55" s="24" t="str">
        <f t="shared" si="1"/>
        <v>Andorra</v>
      </c>
      <c r="F55" s="128" t="s">
        <v>502</v>
      </c>
      <c r="G55" s="129" t="s">
        <v>502</v>
      </c>
      <c r="H55" s="127" t="s">
        <v>502</v>
      </c>
      <c r="I55" s="130" t="s">
        <v>521</v>
      </c>
      <c r="J55" s="127" t="s">
        <v>502</v>
      </c>
      <c r="K55" s="378" t="s">
        <v>502</v>
      </c>
      <c r="L55" s="414" t="s">
        <v>502</v>
      </c>
      <c r="M55" s="130" t="s">
        <v>502</v>
      </c>
      <c r="N55" s="414" t="s">
        <v>1409</v>
      </c>
      <c r="O55" s="90"/>
    </row>
    <row r="56" spans="4:15" x14ac:dyDescent="0.25">
      <c r="D56" s="149">
        <v>52</v>
      </c>
      <c r="E56" s="24" t="str">
        <f t="shared" si="1"/>
        <v>Liechtenstein</v>
      </c>
      <c r="F56" s="128" t="s">
        <v>1138</v>
      </c>
      <c r="G56" s="129" t="s">
        <v>1138</v>
      </c>
      <c r="H56" s="127" t="s">
        <v>1138</v>
      </c>
      <c r="I56" s="130" t="s">
        <v>1138</v>
      </c>
      <c r="J56" s="127" t="s">
        <v>1138</v>
      </c>
      <c r="K56" s="378" t="s">
        <v>1138</v>
      </c>
      <c r="L56" s="414" t="s">
        <v>1138</v>
      </c>
      <c r="M56" s="130" t="s">
        <v>1138</v>
      </c>
      <c r="N56" s="414" t="s">
        <v>1410</v>
      </c>
      <c r="O56" s="90"/>
    </row>
    <row r="57" spans="4:15" x14ac:dyDescent="0.25">
      <c r="D57" s="149">
        <v>53</v>
      </c>
      <c r="E57" s="24" t="str">
        <f t="shared" si="1"/>
        <v>San Marino</v>
      </c>
      <c r="F57" s="128" t="s">
        <v>1137</v>
      </c>
      <c r="G57" s="129" t="s">
        <v>1137</v>
      </c>
      <c r="H57" s="127" t="s">
        <v>1137</v>
      </c>
      <c r="I57" s="130" t="s">
        <v>1155</v>
      </c>
      <c r="J57" s="127" t="s">
        <v>1137</v>
      </c>
      <c r="K57" s="378" t="s">
        <v>1137</v>
      </c>
      <c r="L57" s="414" t="s">
        <v>1137</v>
      </c>
      <c r="M57" s="130" t="s">
        <v>1242</v>
      </c>
      <c r="N57" s="414" t="s">
        <v>1411</v>
      </c>
      <c r="O57" s="90"/>
    </row>
    <row r="58" spans="4:15" x14ac:dyDescent="0.25">
      <c r="D58" s="149">
        <v>54</v>
      </c>
      <c r="E58" s="24" t="str">
        <f t="shared" si="1"/>
        <v>Deutschland</v>
      </c>
      <c r="F58" s="128" t="s">
        <v>1162</v>
      </c>
      <c r="G58" s="129" t="s">
        <v>1163</v>
      </c>
      <c r="H58" s="127" t="s">
        <v>1164</v>
      </c>
      <c r="I58" s="130" t="s">
        <v>1165</v>
      </c>
      <c r="J58" s="127" t="s">
        <v>1166</v>
      </c>
      <c r="K58" s="378" t="s">
        <v>1167</v>
      </c>
      <c r="L58" s="414" t="s">
        <v>1563</v>
      </c>
      <c r="M58" s="130" t="s">
        <v>1243</v>
      </c>
      <c r="N58" s="414" t="s">
        <v>1412</v>
      </c>
      <c r="O58" s="90"/>
    </row>
    <row r="59" spans="4:15" x14ac:dyDescent="0.25">
      <c r="D59" s="149">
        <v>55</v>
      </c>
      <c r="E59" s="24" t="str">
        <f t="shared" si="1"/>
        <v>Russland</v>
      </c>
      <c r="F59" s="128" t="s">
        <v>1168</v>
      </c>
      <c r="G59" s="129" t="s">
        <v>1169</v>
      </c>
      <c r="H59" s="127" t="s">
        <v>1168</v>
      </c>
      <c r="I59" s="130" t="s">
        <v>1170</v>
      </c>
      <c r="J59" s="127" t="s">
        <v>1171</v>
      </c>
      <c r="K59" s="378" t="s">
        <v>1172</v>
      </c>
      <c r="L59" s="414" t="s">
        <v>1172</v>
      </c>
      <c r="M59" s="130" t="s">
        <v>1244</v>
      </c>
      <c r="N59" s="414" t="s">
        <v>1413</v>
      </c>
      <c r="O59" s="90"/>
    </row>
    <row r="60" spans="4:15" x14ac:dyDescent="0.25">
      <c r="D60" s="149">
        <v>71</v>
      </c>
      <c r="E60" s="24" t="str">
        <f t="shared" si="1"/>
        <v>Play-off A</v>
      </c>
      <c r="F60" s="128" t="s">
        <v>1245</v>
      </c>
      <c r="G60" s="129" t="s">
        <v>1245</v>
      </c>
      <c r="H60" s="127" t="s">
        <v>1245</v>
      </c>
      <c r="I60" s="130" t="s">
        <v>1245</v>
      </c>
      <c r="J60" s="127" t="s">
        <v>1245</v>
      </c>
      <c r="K60" s="378" t="s">
        <v>1245</v>
      </c>
      <c r="L60" s="414" t="s">
        <v>1245</v>
      </c>
      <c r="M60" s="130" t="s">
        <v>1245</v>
      </c>
      <c r="N60" s="414" t="s">
        <v>1245</v>
      </c>
      <c r="O60" s="90"/>
    </row>
    <row r="61" spans="4:15" x14ac:dyDescent="0.25">
      <c r="D61" s="149">
        <v>72</v>
      </c>
      <c r="E61" s="24" t="str">
        <f t="shared" si="1"/>
        <v>Play-off B</v>
      </c>
      <c r="F61" s="128" t="s">
        <v>1246</v>
      </c>
      <c r="G61" s="129" t="s">
        <v>1246</v>
      </c>
      <c r="H61" s="127" t="s">
        <v>1246</v>
      </c>
      <c r="I61" s="130" t="s">
        <v>1246</v>
      </c>
      <c r="J61" s="127" t="s">
        <v>1246</v>
      </c>
      <c r="K61" s="378" t="s">
        <v>1246</v>
      </c>
      <c r="L61" s="414" t="s">
        <v>1246</v>
      </c>
      <c r="M61" s="130" t="s">
        <v>1246</v>
      </c>
      <c r="N61" s="414" t="s">
        <v>1246</v>
      </c>
      <c r="O61" s="90"/>
    </row>
    <row r="62" spans="4:15" x14ac:dyDescent="0.25">
      <c r="D62" s="149">
        <v>73</v>
      </c>
      <c r="E62" s="24" t="str">
        <f t="shared" si="1"/>
        <v>Play-off C</v>
      </c>
      <c r="F62" s="128" t="s">
        <v>1247</v>
      </c>
      <c r="G62" s="129" t="s">
        <v>1247</v>
      </c>
      <c r="H62" s="127" t="s">
        <v>1247</v>
      </c>
      <c r="I62" s="130" t="s">
        <v>1247</v>
      </c>
      <c r="J62" s="127" t="s">
        <v>1247</v>
      </c>
      <c r="K62" s="378" t="s">
        <v>1247</v>
      </c>
      <c r="L62" s="414" t="s">
        <v>1247</v>
      </c>
      <c r="M62" s="130" t="s">
        <v>1247</v>
      </c>
      <c r="N62" s="414" t="s">
        <v>1247</v>
      </c>
      <c r="O62" s="90"/>
    </row>
    <row r="63" spans="4:15" ht="15.75" thickBot="1" x14ac:dyDescent="0.3">
      <c r="D63" s="174"/>
      <c r="E63" s="24">
        <f t="shared" si="1"/>
        <v>0</v>
      </c>
      <c r="F63" s="131"/>
      <c r="G63" s="132"/>
      <c r="H63" s="133"/>
      <c r="I63" s="134"/>
      <c r="J63" s="133"/>
      <c r="K63" s="431"/>
      <c r="L63" s="415"/>
      <c r="M63" s="134"/>
      <c r="N63" s="415"/>
      <c r="O63" s="91"/>
    </row>
    <row r="64" spans="4:15" ht="16.5" thickTop="1" thickBot="1" x14ac:dyDescent="0.3">
      <c r="E64" s="24"/>
      <c r="F64" s="60"/>
      <c r="G64" s="60"/>
      <c r="H64" s="60"/>
      <c r="I64" s="60"/>
      <c r="J64" s="60"/>
      <c r="K64" s="60"/>
      <c r="L64" s="60"/>
      <c r="M64" s="60"/>
      <c r="N64" s="60"/>
      <c r="O64" s="60"/>
    </row>
    <row r="65" spans="4:15" ht="30.75" thickTop="1" x14ac:dyDescent="0.45">
      <c r="D65" s="148" t="s">
        <v>349</v>
      </c>
      <c r="E65" s="24"/>
      <c r="F65" s="152" t="s">
        <v>107</v>
      </c>
      <c r="G65" s="153"/>
      <c r="H65" s="153"/>
      <c r="I65" s="153"/>
      <c r="J65" s="153"/>
      <c r="K65" s="153"/>
      <c r="L65" s="153"/>
      <c r="M65" s="153"/>
      <c r="N65" s="153"/>
      <c r="O65" s="154"/>
    </row>
    <row r="66" spans="4:15" x14ac:dyDescent="0.25">
      <c r="D66" s="149">
        <v>1</v>
      </c>
      <c r="E66" s="24" t="str">
        <f t="shared" si="1"/>
        <v>Berlin</v>
      </c>
      <c r="F66" s="128" t="s">
        <v>715</v>
      </c>
      <c r="G66" s="129" t="s">
        <v>724</v>
      </c>
      <c r="H66" s="127" t="s">
        <v>725</v>
      </c>
      <c r="I66" s="130" t="s">
        <v>715</v>
      </c>
      <c r="J66" s="127" t="s">
        <v>715</v>
      </c>
      <c r="K66" s="378" t="s">
        <v>1028</v>
      </c>
      <c r="L66" s="414" t="s">
        <v>715</v>
      </c>
      <c r="M66" s="130" t="s">
        <v>1248</v>
      </c>
      <c r="N66" s="414" t="s">
        <v>1414</v>
      </c>
      <c r="O66" s="90"/>
    </row>
    <row r="67" spans="4:15" x14ac:dyDescent="0.25">
      <c r="D67" s="123">
        <v>2</v>
      </c>
      <c r="E67" s="24" t="str">
        <f t="shared" si="1"/>
        <v>Leipzig</v>
      </c>
      <c r="F67" s="128" t="s">
        <v>716</v>
      </c>
      <c r="G67" s="129" t="s">
        <v>716</v>
      </c>
      <c r="H67" s="127" t="s">
        <v>716</v>
      </c>
      <c r="I67" s="130" t="s">
        <v>716</v>
      </c>
      <c r="J67" s="127" t="s">
        <v>716</v>
      </c>
      <c r="K67" s="378" t="s">
        <v>716</v>
      </c>
      <c r="L67" s="414" t="s">
        <v>716</v>
      </c>
      <c r="M67" s="130" t="s">
        <v>716</v>
      </c>
      <c r="N67" s="414" t="s">
        <v>1415</v>
      </c>
      <c r="O67" s="90"/>
    </row>
    <row r="68" spans="4:15" x14ac:dyDescent="0.25">
      <c r="D68" s="123">
        <v>3</v>
      </c>
      <c r="E68" s="24" t="str">
        <f t="shared" si="1"/>
        <v>Hamburg</v>
      </c>
      <c r="F68" s="128" t="s">
        <v>717</v>
      </c>
      <c r="G68" s="129" t="s">
        <v>727</v>
      </c>
      <c r="H68" s="127" t="s">
        <v>726</v>
      </c>
      <c r="I68" s="130" t="s">
        <v>728</v>
      </c>
      <c r="J68" s="127" t="s">
        <v>717</v>
      </c>
      <c r="K68" s="378" t="s">
        <v>717</v>
      </c>
      <c r="L68" s="414" t="s">
        <v>1564</v>
      </c>
      <c r="M68" s="130" t="s">
        <v>727</v>
      </c>
      <c r="N68" s="414" t="s">
        <v>1416</v>
      </c>
      <c r="O68" s="90"/>
    </row>
    <row r="69" spans="4:15" x14ac:dyDescent="0.25">
      <c r="D69" s="123">
        <v>4</v>
      </c>
      <c r="E69" s="24" t="str">
        <f t="shared" si="1"/>
        <v>Dortmund</v>
      </c>
      <c r="F69" s="128" t="s">
        <v>718</v>
      </c>
      <c r="G69" s="129" t="s">
        <v>729</v>
      </c>
      <c r="H69" s="127" t="s">
        <v>718</v>
      </c>
      <c r="I69" s="130" t="s">
        <v>718</v>
      </c>
      <c r="J69" s="127" t="s">
        <v>718</v>
      </c>
      <c r="K69" s="378" t="s">
        <v>718</v>
      </c>
      <c r="L69" s="414" t="s">
        <v>718</v>
      </c>
      <c r="M69" s="130" t="s">
        <v>718</v>
      </c>
      <c r="N69" s="414" t="s">
        <v>1417</v>
      </c>
      <c r="O69" s="90"/>
    </row>
    <row r="70" spans="4:15" x14ac:dyDescent="0.25">
      <c r="D70" s="123">
        <v>5</v>
      </c>
      <c r="E70" s="24" t="str">
        <f t="shared" ref="E70:E133" si="2">IF($C$3,F70,IF($C$11,G70,IF($C$9,H70,IF($C$7,I70,IF($C$8,J70,IF($C$6,K70,IF($C$5,L70,IF($C$10,M70,IF($C$4,N70,IF(O70&lt;&gt;"",O70,F70))))))))))</f>
        <v>Gelsenkirchen</v>
      </c>
      <c r="F70" s="128" t="s">
        <v>719</v>
      </c>
      <c r="G70" s="129" t="s">
        <v>719</v>
      </c>
      <c r="H70" s="127" t="s">
        <v>719</v>
      </c>
      <c r="I70" s="130" t="s">
        <v>719</v>
      </c>
      <c r="J70" s="127" t="s">
        <v>719</v>
      </c>
      <c r="K70" s="378" t="s">
        <v>719</v>
      </c>
      <c r="L70" s="414" t="s">
        <v>719</v>
      </c>
      <c r="M70" s="130" t="s">
        <v>719</v>
      </c>
      <c r="N70" s="414" t="s">
        <v>1418</v>
      </c>
      <c r="O70" s="90"/>
    </row>
    <row r="71" spans="4:15" x14ac:dyDescent="0.25">
      <c r="D71" s="123">
        <v>6</v>
      </c>
      <c r="E71" s="24" t="str">
        <f t="shared" si="2"/>
        <v>Düsseldorf</v>
      </c>
      <c r="F71" s="128" t="s">
        <v>730</v>
      </c>
      <c r="G71" s="129" t="s">
        <v>720</v>
      </c>
      <c r="H71" s="127" t="s">
        <v>730</v>
      </c>
      <c r="I71" s="130" t="s">
        <v>720</v>
      </c>
      <c r="J71" s="127" t="s">
        <v>720</v>
      </c>
      <c r="K71" s="378" t="s">
        <v>720</v>
      </c>
      <c r="L71" s="414" t="s">
        <v>720</v>
      </c>
      <c r="M71" s="130" t="s">
        <v>720</v>
      </c>
      <c r="N71" s="414" t="s">
        <v>1419</v>
      </c>
      <c r="O71" s="90"/>
    </row>
    <row r="72" spans="4:15" x14ac:dyDescent="0.25">
      <c r="D72" s="123">
        <v>7</v>
      </c>
      <c r="E72" s="24" t="str">
        <f t="shared" si="2"/>
        <v>Köln</v>
      </c>
      <c r="F72" s="128" t="s">
        <v>731</v>
      </c>
      <c r="G72" s="129" t="s">
        <v>732</v>
      </c>
      <c r="H72" s="127" t="s">
        <v>732</v>
      </c>
      <c r="I72" s="130" t="s">
        <v>731</v>
      </c>
      <c r="J72" s="127" t="s">
        <v>721</v>
      </c>
      <c r="K72" s="378" t="s">
        <v>1029</v>
      </c>
      <c r="L72" s="414" t="s">
        <v>721</v>
      </c>
      <c r="M72" s="130" t="s">
        <v>1249</v>
      </c>
      <c r="N72" s="414" t="s">
        <v>1420</v>
      </c>
      <c r="O72" s="90"/>
    </row>
    <row r="73" spans="4:15" x14ac:dyDescent="0.25">
      <c r="D73" s="123">
        <v>8</v>
      </c>
      <c r="E73" s="24" t="str">
        <f t="shared" si="2"/>
        <v>Frankfurt</v>
      </c>
      <c r="F73" s="128" t="s">
        <v>722</v>
      </c>
      <c r="G73" s="129" t="s">
        <v>734</v>
      </c>
      <c r="H73" s="127" t="s">
        <v>735</v>
      </c>
      <c r="I73" s="130" t="s">
        <v>733</v>
      </c>
      <c r="J73" s="127" t="s">
        <v>722</v>
      </c>
      <c r="K73" s="378" t="s">
        <v>722</v>
      </c>
      <c r="L73" s="414" t="s">
        <v>722</v>
      </c>
      <c r="M73" s="130" t="s">
        <v>722</v>
      </c>
      <c r="N73" s="414" t="s">
        <v>1421</v>
      </c>
      <c r="O73" s="90"/>
    </row>
    <row r="74" spans="4:15" x14ac:dyDescent="0.25">
      <c r="D74" s="123">
        <v>9</v>
      </c>
      <c r="E74" s="24" t="str">
        <f t="shared" si="2"/>
        <v>Stuttgart</v>
      </c>
      <c r="F74" s="128" t="s">
        <v>723</v>
      </c>
      <c r="G74" s="129" t="s">
        <v>723</v>
      </c>
      <c r="H74" s="127" t="s">
        <v>736</v>
      </c>
      <c r="I74" s="130" t="s">
        <v>723</v>
      </c>
      <c r="J74" s="127" t="s">
        <v>723</v>
      </c>
      <c r="K74" s="378" t="s">
        <v>723</v>
      </c>
      <c r="L74" s="414" t="s">
        <v>723</v>
      </c>
      <c r="M74" s="130" t="s">
        <v>1250</v>
      </c>
      <c r="N74" s="414" t="s">
        <v>1422</v>
      </c>
      <c r="O74" s="90"/>
    </row>
    <row r="75" spans="4:15" x14ac:dyDescent="0.25">
      <c r="D75" s="123">
        <v>10</v>
      </c>
      <c r="E75" s="24" t="str">
        <f t="shared" si="2"/>
        <v>München</v>
      </c>
      <c r="F75" s="128" t="s">
        <v>533</v>
      </c>
      <c r="G75" s="129" t="s">
        <v>533</v>
      </c>
      <c r="H75" s="127" t="s">
        <v>532</v>
      </c>
      <c r="I75" s="130" t="s">
        <v>533</v>
      </c>
      <c r="J75" s="127" t="s">
        <v>531</v>
      </c>
      <c r="K75" s="378" t="s">
        <v>531</v>
      </c>
      <c r="L75" s="414" t="s">
        <v>531</v>
      </c>
      <c r="M75" s="130" t="s">
        <v>1251</v>
      </c>
      <c r="N75" s="414" t="s">
        <v>1423</v>
      </c>
      <c r="O75" s="90"/>
    </row>
    <row r="76" spans="4:15" x14ac:dyDescent="0.25">
      <c r="D76" s="123">
        <v>11</v>
      </c>
      <c r="E76" s="24">
        <f t="shared" si="2"/>
        <v>0</v>
      </c>
      <c r="F76" s="128"/>
      <c r="G76" s="129"/>
      <c r="H76" s="127"/>
      <c r="I76" s="130"/>
      <c r="J76" s="127"/>
      <c r="K76" s="378"/>
      <c r="L76" s="414"/>
      <c r="M76" s="130"/>
      <c r="N76" s="414"/>
      <c r="O76" s="90"/>
    </row>
    <row r="77" spans="4:15" x14ac:dyDescent="0.25">
      <c r="D77" s="123">
        <v>12</v>
      </c>
      <c r="E77" s="24">
        <f t="shared" si="2"/>
        <v>0</v>
      </c>
      <c r="F77" s="128"/>
      <c r="G77" s="129"/>
      <c r="H77" s="127"/>
      <c r="I77" s="130"/>
      <c r="J77" s="127"/>
      <c r="K77" s="378"/>
      <c r="L77" s="414"/>
      <c r="M77" s="130"/>
      <c r="N77" s="414"/>
      <c r="O77" s="90"/>
    </row>
    <row r="78" spans="4:15" x14ac:dyDescent="0.25">
      <c r="D78" s="123">
        <v>13</v>
      </c>
      <c r="E78" s="24">
        <f t="shared" si="2"/>
        <v>0</v>
      </c>
      <c r="F78" s="128"/>
      <c r="G78" s="129"/>
      <c r="H78" s="127"/>
      <c r="I78" s="130"/>
      <c r="J78" s="127"/>
      <c r="K78" s="378"/>
      <c r="L78" s="414"/>
      <c r="M78" s="130"/>
      <c r="N78" s="414"/>
      <c r="O78" s="90"/>
    </row>
    <row r="79" spans="4:15" x14ac:dyDescent="0.25">
      <c r="D79" s="123">
        <v>14</v>
      </c>
      <c r="E79" s="24">
        <f t="shared" si="2"/>
        <v>0</v>
      </c>
      <c r="F79" s="128"/>
      <c r="G79" s="129"/>
      <c r="H79" s="127"/>
      <c r="I79" s="130"/>
      <c r="J79" s="127"/>
      <c r="K79" s="378"/>
      <c r="L79" s="414"/>
      <c r="M79" s="130"/>
      <c r="N79" s="414"/>
      <c r="O79" s="90"/>
    </row>
    <row r="80" spans="4:15" x14ac:dyDescent="0.25">
      <c r="D80" s="123">
        <v>15</v>
      </c>
      <c r="E80" s="24">
        <f t="shared" si="2"/>
        <v>0</v>
      </c>
      <c r="F80" s="128"/>
      <c r="G80" s="129"/>
      <c r="H80" s="127"/>
      <c r="I80" s="130"/>
      <c r="J80" s="127"/>
      <c r="K80" s="378"/>
      <c r="L80" s="414"/>
      <c r="M80" s="130"/>
      <c r="N80" s="414"/>
      <c r="O80" s="90"/>
    </row>
    <row r="81" spans="4:16" ht="15.75" thickBot="1" x14ac:dyDescent="0.3">
      <c r="D81" s="126">
        <v>16</v>
      </c>
      <c r="E81" s="24">
        <f t="shared" si="2"/>
        <v>0</v>
      </c>
      <c r="F81" s="131"/>
      <c r="G81" s="132"/>
      <c r="H81" s="133"/>
      <c r="I81" s="134"/>
      <c r="J81" s="133"/>
      <c r="K81" s="431"/>
      <c r="L81" s="415"/>
      <c r="M81" s="134"/>
      <c r="N81" s="415"/>
      <c r="O81" s="91"/>
    </row>
    <row r="82" spans="4:16" ht="16.5" thickTop="1" thickBot="1" x14ac:dyDescent="0.3">
      <c r="D82" s="25"/>
      <c r="E82" s="24"/>
      <c r="F82" s="155"/>
      <c r="G82" s="155"/>
      <c r="H82" s="155"/>
      <c r="I82" s="155"/>
      <c r="J82" s="155"/>
      <c r="K82" s="155"/>
      <c r="L82" s="155"/>
      <c r="M82" s="155"/>
      <c r="N82" s="155"/>
      <c r="O82" s="155"/>
    </row>
    <row r="83" spans="4:16" ht="29.25" thickTop="1" x14ac:dyDescent="0.45">
      <c r="E83" s="24"/>
      <c r="F83" s="92" t="s">
        <v>269</v>
      </c>
      <c r="G83" s="93"/>
      <c r="H83" s="93"/>
      <c r="I83" s="93"/>
      <c r="J83" s="93"/>
      <c r="K83" s="93"/>
      <c r="L83" s="93"/>
      <c r="M83" s="93"/>
      <c r="N83" s="93"/>
      <c r="O83" s="94"/>
    </row>
    <row r="84" spans="4:16" ht="30" x14ac:dyDescent="0.25">
      <c r="E84" s="24" t="str">
        <f t="shared" si="2"/>
        <v>EURO 2024</v>
      </c>
      <c r="F84" s="360" t="s">
        <v>714</v>
      </c>
      <c r="G84" s="361" t="s">
        <v>713</v>
      </c>
      <c r="H84" s="362" t="s">
        <v>712</v>
      </c>
      <c r="I84" s="363" t="s">
        <v>711</v>
      </c>
      <c r="J84" s="362" t="s">
        <v>710</v>
      </c>
      <c r="K84" s="378" t="s">
        <v>710</v>
      </c>
      <c r="L84" s="414" t="s">
        <v>1565</v>
      </c>
      <c r="M84" s="363" t="s">
        <v>1252</v>
      </c>
      <c r="N84" s="416" t="s">
        <v>1424</v>
      </c>
      <c r="O84" s="364"/>
    </row>
    <row r="85" spans="4:16" ht="30" x14ac:dyDescent="0.25">
      <c r="E85" s="24" t="str">
        <f t="shared" si="2"/>
        <v>Direkte Vergleiche</v>
      </c>
      <c r="F85" s="360" t="s">
        <v>280</v>
      </c>
      <c r="G85" s="361" t="s">
        <v>289</v>
      </c>
      <c r="H85" s="362" t="s">
        <v>290</v>
      </c>
      <c r="I85" s="363" t="s">
        <v>288</v>
      </c>
      <c r="J85" s="362" t="s">
        <v>287</v>
      </c>
      <c r="K85" s="432" t="s">
        <v>959</v>
      </c>
      <c r="L85" s="414" t="s">
        <v>1566</v>
      </c>
      <c r="M85" s="363" t="s">
        <v>1253</v>
      </c>
      <c r="N85" s="416" t="s">
        <v>1425</v>
      </c>
      <c r="O85" s="364"/>
    </row>
    <row r="86" spans="4:16" ht="30" x14ac:dyDescent="0.25">
      <c r="E86" s="24" t="str">
        <f t="shared" si="2"/>
        <v>Fair-Play oder Los</v>
      </c>
      <c r="F86" s="360" t="s">
        <v>1174</v>
      </c>
      <c r="G86" s="361" t="s">
        <v>1176</v>
      </c>
      <c r="H86" s="362" t="s">
        <v>1177</v>
      </c>
      <c r="I86" s="363" t="s">
        <v>1175</v>
      </c>
      <c r="J86" s="362" t="s">
        <v>1173</v>
      </c>
      <c r="K86" s="378" t="s">
        <v>1178</v>
      </c>
      <c r="L86" s="414" t="s">
        <v>1567</v>
      </c>
      <c r="M86" s="363" t="s">
        <v>1254</v>
      </c>
      <c r="N86" s="416" t="s">
        <v>1426</v>
      </c>
      <c r="O86" s="364"/>
    </row>
    <row r="87" spans="4:16" ht="30" x14ac:dyDescent="0.25">
      <c r="E87" s="24" t="str">
        <f t="shared" si="2"/>
        <v>Wahl der Zeitzone</v>
      </c>
      <c r="F87" s="360" t="s">
        <v>328</v>
      </c>
      <c r="G87" s="361" t="s">
        <v>336</v>
      </c>
      <c r="H87" s="362" t="s">
        <v>335</v>
      </c>
      <c r="I87" s="363" t="s">
        <v>334</v>
      </c>
      <c r="J87" s="362" t="s">
        <v>329</v>
      </c>
      <c r="K87" s="378" t="s">
        <v>960</v>
      </c>
      <c r="L87" s="414" t="s">
        <v>1568</v>
      </c>
      <c r="M87" s="363" t="s">
        <v>1255</v>
      </c>
      <c r="N87" s="416" t="s">
        <v>1427</v>
      </c>
      <c r="O87" s="364"/>
    </row>
    <row r="88" spans="4:16" x14ac:dyDescent="0.25">
      <c r="E88" s="24" t="str">
        <f t="shared" si="2"/>
        <v>Spiele</v>
      </c>
      <c r="F88" s="360" t="s">
        <v>257</v>
      </c>
      <c r="G88" s="361" t="s">
        <v>337</v>
      </c>
      <c r="H88" s="362" t="s">
        <v>338</v>
      </c>
      <c r="I88" s="363" t="s">
        <v>333</v>
      </c>
      <c r="J88" s="362" t="s">
        <v>330</v>
      </c>
      <c r="K88" s="378" t="s">
        <v>961</v>
      </c>
      <c r="L88" s="414" t="s">
        <v>1569</v>
      </c>
      <c r="M88" s="363" t="s">
        <v>1256</v>
      </c>
      <c r="N88" s="416" t="s">
        <v>1428</v>
      </c>
      <c r="O88" s="364"/>
    </row>
    <row r="89" spans="4:16" x14ac:dyDescent="0.25">
      <c r="E89" s="24" t="str">
        <f t="shared" si="2"/>
        <v>Wahl der Sprache</v>
      </c>
      <c r="F89" s="360" t="s">
        <v>108</v>
      </c>
      <c r="G89" s="361" t="s">
        <v>340</v>
      </c>
      <c r="H89" s="362" t="s">
        <v>339</v>
      </c>
      <c r="I89" s="363" t="s">
        <v>331</v>
      </c>
      <c r="J89" s="362" t="s">
        <v>332</v>
      </c>
      <c r="K89" s="378" t="s">
        <v>962</v>
      </c>
      <c r="L89" s="414" t="s">
        <v>1570</v>
      </c>
      <c r="M89" s="363" t="s">
        <v>1257</v>
      </c>
      <c r="N89" s="416" t="s">
        <v>1429</v>
      </c>
      <c r="O89" s="364"/>
    </row>
    <row r="90" spans="4:16" ht="63" customHeight="1" x14ac:dyDescent="0.25">
      <c r="E90" s="24" t="str">
        <f t="shared" si="2"/>
        <v>Zuordnung der Gruppendritten im Achtelfinale</v>
      </c>
      <c r="F90" s="360" t="s">
        <v>590</v>
      </c>
      <c r="G90" s="361" t="s">
        <v>588</v>
      </c>
      <c r="H90" s="362" t="s">
        <v>589</v>
      </c>
      <c r="I90" s="363" t="s">
        <v>587</v>
      </c>
      <c r="J90" s="362" t="s">
        <v>591</v>
      </c>
      <c r="K90" s="433" t="s">
        <v>1048</v>
      </c>
      <c r="L90" s="444" t="s">
        <v>1571</v>
      </c>
      <c r="M90" s="363" t="s">
        <v>1258</v>
      </c>
      <c r="N90" s="416" t="s">
        <v>1430</v>
      </c>
      <c r="O90" s="364"/>
    </row>
    <row r="91" spans="4:16" x14ac:dyDescent="0.25">
      <c r="E91" s="24" t="str">
        <f t="shared" si="2"/>
        <v>Gruppen</v>
      </c>
      <c r="F91" s="360" t="s">
        <v>397</v>
      </c>
      <c r="G91" s="361" t="s">
        <v>744</v>
      </c>
      <c r="H91" s="362" t="s">
        <v>745</v>
      </c>
      <c r="I91" s="363" t="s">
        <v>746</v>
      </c>
      <c r="J91" s="362" t="s">
        <v>747</v>
      </c>
      <c r="K91" s="378" t="s">
        <v>963</v>
      </c>
      <c r="L91" s="414" t="s">
        <v>1572</v>
      </c>
      <c r="M91" s="363" t="s">
        <v>744</v>
      </c>
      <c r="N91" s="416" t="s">
        <v>1431</v>
      </c>
      <c r="O91" s="364"/>
    </row>
    <row r="92" spans="4:16" ht="30" x14ac:dyDescent="0.25">
      <c r="E92" s="24" t="str">
        <f t="shared" si="2"/>
        <v>Vorhersagen-Ranking</v>
      </c>
      <c r="F92" s="360" t="s">
        <v>906</v>
      </c>
      <c r="G92" s="361" t="s">
        <v>907</v>
      </c>
      <c r="H92" s="362" t="s">
        <v>908</v>
      </c>
      <c r="I92" s="363" t="s">
        <v>909</v>
      </c>
      <c r="J92" s="362" t="s">
        <v>910</v>
      </c>
      <c r="K92" s="432" t="s">
        <v>995</v>
      </c>
      <c r="L92" s="416" t="s">
        <v>1573</v>
      </c>
      <c r="M92" s="363" t="s">
        <v>1259</v>
      </c>
      <c r="N92" s="416" t="s">
        <v>1432</v>
      </c>
      <c r="O92" s="364"/>
    </row>
    <row r="93" spans="4:16" x14ac:dyDescent="0.25">
      <c r="E93" s="24">
        <f t="shared" si="2"/>
        <v>0</v>
      </c>
      <c r="F93" s="360"/>
      <c r="G93" s="361"/>
      <c r="H93" s="362"/>
      <c r="I93" s="363"/>
      <c r="J93" s="362"/>
      <c r="K93" s="378"/>
      <c r="L93" s="414"/>
      <c r="M93" s="363"/>
      <c r="N93" s="416"/>
      <c r="O93" s="364"/>
    </row>
    <row r="94" spans="4:16" ht="28.5" x14ac:dyDescent="0.45">
      <c r="E94" s="24"/>
      <c r="F94" s="380" t="s">
        <v>149</v>
      </c>
      <c r="G94" s="379"/>
      <c r="H94" s="379"/>
      <c r="I94" s="379"/>
      <c r="J94" s="379"/>
      <c r="K94" s="379"/>
      <c r="L94" s="423"/>
      <c r="M94" s="410"/>
      <c r="N94" s="412"/>
      <c r="O94" s="381"/>
      <c r="P94" s="58"/>
    </row>
    <row r="95" spans="4:16" ht="15" customHeight="1" x14ac:dyDescent="0.45">
      <c r="E95" s="24" t="str">
        <f t="shared" si="2"/>
        <v>Gruppe</v>
      </c>
      <c r="F95" s="360" t="s">
        <v>209</v>
      </c>
      <c r="G95" s="361" t="s">
        <v>361</v>
      </c>
      <c r="H95" s="362" t="s">
        <v>362</v>
      </c>
      <c r="I95" s="363" t="s">
        <v>363</v>
      </c>
      <c r="J95" s="362" t="s">
        <v>364</v>
      </c>
      <c r="K95" s="434" t="s">
        <v>964</v>
      </c>
      <c r="L95" s="435" t="s">
        <v>364</v>
      </c>
      <c r="M95" s="363" t="s">
        <v>744</v>
      </c>
      <c r="N95" s="416" t="s">
        <v>1433</v>
      </c>
      <c r="O95" s="364"/>
      <c r="P95" s="58"/>
    </row>
    <row r="96" spans="4:16" ht="15" customHeight="1" x14ac:dyDescent="0.45">
      <c r="E96" s="24" t="str">
        <f t="shared" si="2"/>
        <v>Grp</v>
      </c>
      <c r="F96" s="360" t="s">
        <v>541</v>
      </c>
      <c r="G96" s="361" t="s">
        <v>541</v>
      </c>
      <c r="H96" s="362" t="s">
        <v>541</v>
      </c>
      <c r="I96" s="363" t="s">
        <v>541</v>
      </c>
      <c r="J96" s="362" t="s">
        <v>541</v>
      </c>
      <c r="K96" s="434" t="s">
        <v>541</v>
      </c>
      <c r="L96" s="435" t="s">
        <v>541</v>
      </c>
      <c r="M96" s="363" t="s">
        <v>541</v>
      </c>
      <c r="N96" s="416" t="s">
        <v>1434</v>
      </c>
      <c r="O96" s="364"/>
      <c r="P96" s="58"/>
    </row>
    <row r="97" spans="4:18" ht="15" customHeight="1" x14ac:dyDescent="0.45">
      <c r="E97" s="24" t="str">
        <f t="shared" si="2"/>
        <v>Pkt</v>
      </c>
      <c r="F97" s="360" t="s">
        <v>603</v>
      </c>
      <c r="G97" s="361" t="s">
        <v>606</v>
      </c>
      <c r="H97" s="362" t="s">
        <v>606</v>
      </c>
      <c r="I97" s="363" t="s">
        <v>606</v>
      </c>
      <c r="J97" s="362" t="s">
        <v>607</v>
      </c>
      <c r="K97" s="434" t="s">
        <v>606</v>
      </c>
      <c r="L97" s="435" t="s">
        <v>603</v>
      </c>
      <c r="M97" s="363" t="s">
        <v>1260</v>
      </c>
      <c r="N97" s="416" t="s">
        <v>1435</v>
      </c>
      <c r="O97" s="364"/>
      <c r="P97" s="58"/>
    </row>
    <row r="98" spans="4:18" ht="15" customHeight="1" x14ac:dyDescent="0.45">
      <c r="E98" s="24" t="str">
        <f t="shared" si="2"/>
        <v>TD</v>
      </c>
      <c r="F98" s="360" t="s">
        <v>190</v>
      </c>
      <c r="G98" s="361" t="s">
        <v>609</v>
      </c>
      <c r="H98" s="362" t="s">
        <v>608</v>
      </c>
      <c r="I98" s="363" t="s">
        <v>608</v>
      </c>
      <c r="J98" s="362" t="s">
        <v>491</v>
      </c>
      <c r="K98" s="434" t="s">
        <v>965</v>
      </c>
      <c r="L98" s="435" t="s">
        <v>190</v>
      </c>
      <c r="M98" s="363" t="s">
        <v>1261</v>
      </c>
      <c r="N98" s="416" t="s">
        <v>1436</v>
      </c>
      <c r="O98" s="364"/>
      <c r="P98" s="58"/>
    </row>
    <row r="99" spans="4:18" ht="15" customHeight="1" x14ac:dyDescent="0.45">
      <c r="E99" s="24" t="str">
        <f t="shared" si="2"/>
        <v>Tore</v>
      </c>
      <c r="F99" s="360" t="s">
        <v>283</v>
      </c>
      <c r="G99" s="361" t="s">
        <v>285</v>
      </c>
      <c r="H99" s="362" t="s">
        <v>284</v>
      </c>
      <c r="I99" s="363" t="s">
        <v>282</v>
      </c>
      <c r="J99" s="362" t="s">
        <v>281</v>
      </c>
      <c r="K99" s="434" t="s">
        <v>966</v>
      </c>
      <c r="L99" s="435" t="s">
        <v>1574</v>
      </c>
      <c r="M99" s="363" t="s">
        <v>1262</v>
      </c>
      <c r="N99" s="416" t="s">
        <v>1437</v>
      </c>
      <c r="O99" s="364"/>
      <c r="P99" s="58"/>
    </row>
    <row r="100" spans="4:18" ht="15" customHeight="1" x14ac:dyDescent="0.45">
      <c r="E100" s="24" t="str">
        <f t="shared" si="2"/>
        <v>Siege</v>
      </c>
      <c r="F100" s="360" t="s">
        <v>673</v>
      </c>
      <c r="G100" s="361" t="s">
        <v>679</v>
      </c>
      <c r="H100" s="362" t="s">
        <v>678</v>
      </c>
      <c r="I100" s="363" t="s">
        <v>677</v>
      </c>
      <c r="J100" s="362" t="s">
        <v>676</v>
      </c>
      <c r="K100" s="434" t="s">
        <v>1049</v>
      </c>
      <c r="L100" s="435" t="s">
        <v>1575</v>
      </c>
      <c r="M100" s="363" t="s">
        <v>1263</v>
      </c>
      <c r="N100" s="416" t="s">
        <v>1438</v>
      </c>
      <c r="O100" s="364"/>
      <c r="P100" s="58"/>
    </row>
    <row r="101" spans="4:18" ht="15" customHeight="1" x14ac:dyDescent="0.45">
      <c r="E101" s="24" t="str">
        <f t="shared" si="2"/>
        <v>Elfm</v>
      </c>
      <c r="F101" s="360" t="s">
        <v>693</v>
      </c>
      <c r="G101" s="361" t="s">
        <v>693</v>
      </c>
      <c r="H101" s="362" t="s">
        <v>695</v>
      </c>
      <c r="I101" s="363" t="s">
        <v>696</v>
      </c>
      <c r="J101" s="362" t="s">
        <v>694</v>
      </c>
      <c r="K101" s="434" t="s">
        <v>1047</v>
      </c>
      <c r="L101" s="435" t="s">
        <v>693</v>
      </c>
      <c r="M101" s="363" t="s">
        <v>693</v>
      </c>
      <c r="N101" s="416" t="s">
        <v>1439</v>
      </c>
      <c r="O101" s="364"/>
      <c r="P101" s="58"/>
    </row>
    <row r="102" spans="4:18" ht="15" customHeight="1" x14ac:dyDescent="0.45">
      <c r="E102" s="24" t="str">
        <f t="shared" si="2"/>
        <v xml:space="preserve">  Pkt      Tore</v>
      </c>
      <c r="F102" s="360" t="s">
        <v>610</v>
      </c>
      <c r="G102" s="361" t="s">
        <v>611</v>
      </c>
      <c r="H102" s="362" t="s">
        <v>612</v>
      </c>
      <c r="I102" s="363" t="s">
        <v>613</v>
      </c>
      <c r="J102" s="362" t="s">
        <v>614</v>
      </c>
      <c r="K102" s="434" t="s">
        <v>1053</v>
      </c>
      <c r="L102" s="435" t="s">
        <v>1576</v>
      </c>
      <c r="M102" s="363" t="s">
        <v>1264</v>
      </c>
      <c r="N102" s="416" t="s">
        <v>1440</v>
      </c>
      <c r="O102" s="364"/>
      <c r="P102" s="58"/>
    </row>
    <row r="103" spans="4:18" ht="15" customHeight="1" x14ac:dyDescent="0.45">
      <c r="E103" s="24" t="str">
        <f t="shared" si="2"/>
        <v>Total</v>
      </c>
      <c r="F103" s="360" t="s">
        <v>286</v>
      </c>
      <c r="G103" s="361" t="s">
        <v>286</v>
      </c>
      <c r="H103" s="362" t="s">
        <v>294</v>
      </c>
      <c r="I103" s="363" t="s">
        <v>286</v>
      </c>
      <c r="J103" s="362" t="s">
        <v>286</v>
      </c>
      <c r="K103" s="434" t="s">
        <v>996</v>
      </c>
      <c r="L103" s="435" t="s">
        <v>286</v>
      </c>
      <c r="M103" s="363" t="s">
        <v>286</v>
      </c>
      <c r="N103" s="416" t="s">
        <v>1441</v>
      </c>
      <c r="O103" s="364"/>
      <c r="P103" s="58"/>
    </row>
    <row r="104" spans="4:18" ht="15" customHeight="1" x14ac:dyDescent="0.45">
      <c r="E104" s="24" t="str">
        <f t="shared" si="2"/>
        <v>Fair-Play</v>
      </c>
      <c r="F104" s="360" t="s">
        <v>753</v>
      </c>
      <c r="G104" s="361" t="s">
        <v>753</v>
      </c>
      <c r="H104" s="362" t="s">
        <v>753</v>
      </c>
      <c r="I104" s="363" t="s">
        <v>540</v>
      </c>
      <c r="J104" s="362" t="s">
        <v>540</v>
      </c>
      <c r="K104" s="434" t="s">
        <v>540</v>
      </c>
      <c r="L104" s="435" t="s">
        <v>753</v>
      </c>
      <c r="M104" s="363" t="s">
        <v>1265</v>
      </c>
      <c r="N104" s="416" t="s">
        <v>1442</v>
      </c>
      <c r="O104" s="364"/>
      <c r="P104" s="58"/>
    </row>
    <row r="105" spans="4:18" ht="15" customHeight="1" x14ac:dyDescent="0.45">
      <c r="E105" s="24" t="str">
        <f t="shared" si="2"/>
        <v>Nicht klar</v>
      </c>
      <c r="F105" s="360" t="s">
        <v>210</v>
      </c>
      <c r="G105" s="361" t="s">
        <v>299</v>
      </c>
      <c r="H105" s="362" t="s">
        <v>300</v>
      </c>
      <c r="I105" s="363" t="s">
        <v>301</v>
      </c>
      <c r="J105" s="362" t="s">
        <v>302</v>
      </c>
      <c r="K105" s="434" t="s">
        <v>1050</v>
      </c>
      <c r="L105" s="435" t="s">
        <v>1577</v>
      </c>
      <c r="M105" s="363" t="s">
        <v>1266</v>
      </c>
      <c r="N105" s="416"/>
      <c r="O105" s="364"/>
      <c r="P105" s="58"/>
    </row>
    <row r="106" spans="4:18" ht="15" customHeight="1" x14ac:dyDescent="0.45">
      <c r="E106" s="24" t="str">
        <f t="shared" si="2"/>
        <v>Dir. Vergl.(2)</v>
      </c>
      <c r="F106" s="360" t="s">
        <v>1089</v>
      </c>
      <c r="G106" s="361" t="s">
        <v>297</v>
      </c>
      <c r="H106" s="362" t="s">
        <v>296</v>
      </c>
      <c r="I106" s="363" t="s">
        <v>297</v>
      </c>
      <c r="J106" s="362" t="s">
        <v>291</v>
      </c>
      <c r="K106" s="434" t="s">
        <v>291</v>
      </c>
      <c r="L106" s="435" t="s">
        <v>1578</v>
      </c>
      <c r="M106" s="363" t="s">
        <v>1267</v>
      </c>
      <c r="N106" s="416" t="s">
        <v>1443</v>
      </c>
      <c r="O106" s="364"/>
      <c r="P106" s="58"/>
    </row>
    <row r="107" spans="4:18" ht="15" customHeight="1" x14ac:dyDescent="0.45">
      <c r="E107" s="24" t="str">
        <f t="shared" si="2"/>
        <v>Dir. Vergl.(3)</v>
      </c>
      <c r="F107" s="360" t="s">
        <v>293</v>
      </c>
      <c r="G107" s="361" t="s">
        <v>298</v>
      </c>
      <c r="H107" s="362" t="s">
        <v>295</v>
      </c>
      <c r="I107" s="363" t="s">
        <v>298</v>
      </c>
      <c r="J107" s="362" t="s">
        <v>292</v>
      </c>
      <c r="K107" s="434" t="s">
        <v>292</v>
      </c>
      <c r="L107" s="435" t="s">
        <v>1579</v>
      </c>
      <c r="M107" s="363" t="s">
        <v>1268</v>
      </c>
      <c r="N107" s="416" t="s">
        <v>1444</v>
      </c>
      <c r="O107" s="364"/>
      <c r="P107" s="58"/>
    </row>
    <row r="108" spans="4:18" x14ac:dyDescent="0.25">
      <c r="E108" s="24" t="str">
        <f t="shared" si="2"/>
        <v>Schlusstabelle</v>
      </c>
      <c r="F108" s="360" t="s">
        <v>55</v>
      </c>
      <c r="G108" s="361" t="s">
        <v>213</v>
      </c>
      <c r="H108" s="362" t="s">
        <v>212</v>
      </c>
      <c r="I108" s="363" t="s">
        <v>211</v>
      </c>
      <c r="J108" s="362" t="s">
        <v>151</v>
      </c>
      <c r="K108" s="434" t="s">
        <v>967</v>
      </c>
      <c r="L108" s="435" t="s">
        <v>1580</v>
      </c>
      <c r="M108" s="363" t="s">
        <v>1269</v>
      </c>
      <c r="N108" s="416" t="s">
        <v>1445</v>
      </c>
      <c r="O108" s="364"/>
      <c r="P108" s="89"/>
      <c r="Q108" s="89"/>
      <c r="R108" s="89"/>
    </row>
    <row r="109" spans="4:18" ht="30.75" thickBot="1" x14ac:dyDescent="0.3">
      <c r="E109" s="24" t="str">
        <f t="shared" si="2"/>
        <v>Europameister 2024:</v>
      </c>
      <c r="F109" s="360" t="s">
        <v>741</v>
      </c>
      <c r="G109" s="361" t="s">
        <v>740</v>
      </c>
      <c r="H109" s="362" t="s">
        <v>739</v>
      </c>
      <c r="I109" s="363" t="s">
        <v>738</v>
      </c>
      <c r="J109" s="362" t="s">
        <v>737</v>
      </c>
      <c r="K109" s="434" t="s">
        <v>1027</v>
      </c>
      <c r="L109" s="435" t="s">
        <v>1581</v>
      </c>
      <c r="M109" s="363" t="s">
        <v>1270</v>
      </c>
      <c r="N109" s="416" t="s">
        <v>1446</v>
      </c>
      <c r="O109" s="364"/>
      <c r="P109" s="89"/>
      <c r="Q109" s="89"/>
      <c r="R109" s="89"/>
    </row>
    <row r="110" spans="4:18" ht="15.75" thickTop="1" x14ac:dyDescent="0.25">
      <c r="D110" s="172">
        <v>1</v>
      </c>
      <c r="E110" s="24" t="str">
        <f t="shared" si="2"/>
        <v>Achtelfinale 1</v>
      </c>
      <c r="F110" s="360" t="s">
        <v>60</v>
      </c>
      <c r="G110" s="361" t="s">
        <v>214</v>
      </c>
      <c r="H110" s="362" t="s">
        <v>222</v>
      </c>
      <c r="I110" s="363" t="s">
        <v>230</v>
      </c>
      <c r="J110" s="362" t="s">
        <v>152</v>
      </c>
      <c r="K110" s="434" t="s">
        <v>968</v>
      </c>
      <c r="L110" s="435" t="s">
        <v>1582</v>
      </c>
      <c r="M110" s="363" t="s">
        <v>1271</v>
      </c>
      <c r="N110" s="416" t="s">
        <v>1447</v>
      </c>
      <c r="O110" s="364"/>
      <c r="P110" s="89"/>
      <c r="Q110" s="89"/>
      <c r="R110" s="89"/>
    </row>
    <row r="111" spans="4:18" x14ac:dyDescent="0.25">
      <c r="D111" s="123">
        <v>2</v>
      </c>
      <c r="E111" s="24" t="str">
        <f t="shared" si="2"/>
        <v>Achtelfinale 2</v>
      </c>
      <c r="F111" s="360" t="s">
        <v>58</v>
      </c>
      <c r="G111" s="361" t="s">
        <v>215</v>
      </c>
      <c r="H111" s="362" t="s">
        <v>223</v>
      </c>
      <c r="I111" s="363" t="s">
        <v>231</v>
      </c>
      <c r="J111" s="362" t="s">
        <v>153</v>
      </c>
      <c r="K111" s="434" t="s">
        <v>969</v>
      </c>
      <c r="L111" s="435" t="s">
        <v>1583</v>
      </c>
      <c r="M111" s="363" t="s">
        <v>1272</v>
      </c>
      <c r="N111" s="416" t="s">
        <v>1448</v>
      </c>
      <c r="O111" s="364"/>
      <c r="P111" s="89"/>
      <c r="Q111" s="89"/>
      <c r="R111" s="89"/>
    </row>
    <row r="112" spans="4:18" x14ac:dyDescent="0.25">
      <c r="D112" s="123">
        <v>3</v>
      </c>
      <c r="E112" s="24" t="str">
        <f t="shared" si="2"/>
        <v>Achtelfinale 3</v>
      </c>
      <c r="F112" s="360" t="s">
        <v>61</v>
      </c>
      <c r="G112" s="361" t="s">
        <v>216</v>
      </c>
      <c r="H112" s="362" t="s">
        <v>224</v>
      </c>
      <c r="I112" s="363" t="s">
        <v>232</v>
      </c>
      <c r="J112" s="362" t="s">
        <v>154</v>
      </c>
      <c r="K112" s="434" t="s">
        <v>970</v>
      </c>
      <c r="L112" s="435" t="s">
        <v>1584</v>
      </c>
      <c r="M112" s="363" t="s">
        <v>1273</v>
      </c>
      <c r="N112" s="416" t="s">
        <v>1449</v>
      </c>
      <c r="O112" s="364"/>
      <c r="P112" s="89"/>
      <c r="Q112" s="89"/>
      <c r="R112" s="89"/>
    </row>
    <row r="113" spans="4:18" x14ac:dyDescent="0.25">
      <c r="D113" s="123">
        <v>4</v>
      </c>
      <c r="E113" s="24" t="str">
        <f t="shared" si="2"/>
        <v>Achtelfinale 4</v>
      </c>
      <c r="F113" s="360" t="s">
        <v>59</v>
      </c>
      <c r="G113" s="361" t="s">
        <v>217</v>
      </c>
      <c r="H113" s="362" t="s">
        <v>225</v>
      </c>
      <c r="I113" s="363" t="s">
        <v>233</v>
      </c>
      <c r="J113" s="362" t="s">
        <v>155</v>
      </c>
      <c r="K113" s="434" t="s">
        <v>971</v>
      </c>
      <c r="L113" s="435" t="s">
        <v>1585</v>
      </c>
      <c r="M113" s="363" t="s">
        <v>1274</v>
      </c>
      <c r="N113" s="416" t="s">
        <v>1450</v>
      </c>
      <c r="O113" s="364"/>
      <c r="P113" s="89"/>
      <c r="Q113" s="89"/>
      <c r="R113" s="89"/>
    </row>
    <row r="114" spans="4:18" x14ac:dyDescent="0.25">
      <c r="D114" s="123">
        <v>5</v>
      </c>
      <c r="E114" s="24" t="str">
        <f t="shared" si="2"/>
        <v>Achtelfinale 5</v>
      </c>
      <c r="F114" s="360" t="s">
        <v>56</v>
      </c>
      <c r="G114" s="361" t="s">
        <v>218</v>
      </c>
      <c r="H114" s="362" t="s">
        <v>226</v>
      </c>
      <c r="I114" s="363" t="s">
        <v>234</v>
      </c>
      <c r="J114" s="362" t="s">
        <v>156</v>
      </c>
      <c r="K114" s="434" t="s">
        <v>972</v>
      </c>
      <c r="L114" s="435" t="s">
        <v>1586</v>
      </c>
      <c r="M114" s="363" t="s">
        <v>1275</v>
      </c>
      <c r="N114" s="416" t="s">
        <v>1451</v>
      </c>
      <c r="O114" s="364"/>
      <c r="P114" s="89"/>
      <c r="Q114" s="89"/>
      <c r="R114" s="89"/>
    </row>
    <row r="115" spans="4:18" x14ac:dyDescent="0.25">
      <c r="D115" s="123">
        <v>6</v>
      </c>
      <c r="E115" s="24" t="str">
        <f t="shared" si="2"/>
        <v>Achtelfinale 6</v>
      </c>
      <c r="F115" s="360" t="s">
        <v>57</v>
      </c>
      <c r="G115" s="361" t="s">
        <v>219</v>
      </c>
      <c r="H115" s="362" t="s">
        <v>227</v>
      </c>
      <c r="I115" s="363" t="s">
        <v>235</v>
      </c>
      <c r="J115" s="362" t="s">
        <v>157</v>
      </c>
      <c r="K115" s="434" t="s">
        <v>973</v>
      </c>
      <c r="L115" s="435" t="s">
        <v>1587</v>
      </c>
      <c r="M115" s="363" t="s">
        <v>1276</v>
      </c>
      <c r="N115" s="416" t="s">
        <v>1452</v>
      </c>
      <c r="O115" s="364"/>
      <c r="P115" s="89"/>
      <c r="Q115" s="89"/>
      <c r="R115" s="89"/>
    </row>
    <row r="116" spans="4:18" x14ac:dyDescent="0.25">
      <c r="D116" s="123">
        <v>7</v>
      </c>
      <c r="E116" s="24" t="str">
        <f t="shared" si="2"/>
        <v>Achtelfinale 7</v>
      </c>
      <c r="F116" s="360" t="s">
        <v>62</v>
      </c>
      <c r="G116" s="361" t="s">
        <v>220</v>
      </c>
      <c r="H116" s="362" t="s">
        <v>228</v>
      </c>
      <c r="I116" s="363" t="s">
        <v>236</v>
      </c>
      <c r="J116" s="362" t="s">
        <v>158</v>
      </c>
      <c r="K116" s="434" t="s">
        <v>974</v>
      </c>
      <c r="L116" s="435" t="s">
        <v>1588</v>
      </c>
      <c r="M116" s="363" t="s">
        <v>1277</v>
      </c>
      <c r="N116" s="416" t="s">
        <v>1453</v>
      </c>
      <c r="O116" s="364"/>
    </row>
    <row r="117" spans="4:18" ht="15.75" thickBot="1" x14ac:dyDescent="0.3">
      <c r="D117" s="126">
        <v>8</v>
      </c>
      <c r="E117" s="24" t="str">
        <f t="shared" si="2"/>
        <v>Achtelfinale 8</v>
      </c>
      <c r="F117" s="360" t="s">
        <v>63</v>
      </c>
      <c r="G117" s="361" t="s">
        <v>221</v>
      </c>
      <c r="H117" s="362" t="s">
        <v>229</v>
      </c>
      <c r="I117" s="363" t="s">
        <v>237</v>
      </c>
      <c r="J117" s="362" t="s">
        <v>159</v>
      </c>
      <c r="K117" s="434" t="s">
        <v>975</v>
      </c>
      <c r="L117" s="435" t="s">
        <v>1589</v>
      </c>
      <c r="M117" s="363" t="s">
        <v>1278</v>
      </c>
      <c r="N117" s="416" t="s">
        <v>1454</v>
      </c>
      <c r="O117" s="364"/>
    </row>
    <row r="118" spans="4:18" ht="15.75" thickTop="1" x14ac:dyDescent="0.25">
      <c r="D118" s="172">
        <v>1</v>
      </c>
      <c r="E118" s="24" t="str">
        <f t="shared" si="2"/>
        <v>Viertelfinale 1</v>
      </c>
      <c r="F118" s="382" t="s">
        <v>323</v>
      </c>
      <c r="G118" s="361" t="s">
        <v>246</v>
      </c>
      <c r="H118" s="362" t="s">
        <v>242</v>
      </c>
      <c r="I118" s="363" t="s">
        <v>238</v>
      </c>
      <c r="J118" s="362" t="s">
        <v>160</v>
      </c>
      <c r="K118" s="434" t="s">
        <v>976</v>
      </c>
      <c r="L118" s="435" t="s">
        <v>1590</v>
      </c>
      <c r="M118" s="363" t="s">
        <v>1279</v>
      </c>
      <c r="N118" s="416" t="s">
        <v>1455</v>
      </c>
      <c r="O118" s="364"/>
    </row>
    <row r="119" spans="4:18" x14ac:dyDescent="0.25">
      <c r="D119" s="123">
        <v>2</v>
      </c>
      <c r="E119" s="24" t="str">
        <f t="shared" si="2"/>
        <v>Viertelfinale 2</v>
      </c>
      <c r="F119" s="382" t="s">
        <v>324</v>
      </c>
      <c r="G119" s="361" t="s">
        <v>247</v>
      </c>
      <c r="H119" s="362" t="s">
        <v>243</v>
      </c>
      <c r="I119" s="363" t="s">
        <v>239</v>
      </c>
      <c r="J119" s="362" t="s">
        <v>161</v>
      </c>
      <c r="K119" s="434" t="s">
        <v>977</v>
      </c>
      <c r="L119" s="435" t="s">
        <v>1591</v>
      </c>
      <c r="M119" s="363" t="s">
        <v>1280</v>
      </c>
      <c r="N119" s="416" t="s">
        <v>1456</v>
      </c>
      <c r="O119" s="364"/>
    </row>
    <row r="120" spans="4:18" x14ac:dyDescent="0.25">
      <c r="D120" s="123">
        <v>3</v>
      </c>
      <c r="E120" s="24" t="str">
        <f t="shared" si="2"/>
        <v>Viertelfinale 3</v>
      </c>
      <c r="F120" s="382" t="s">
        <v>325</v>
      </c>
      <c r="G120" s="361" t="s">
        <v>248</v>
      </c>
      <c r="H120" s="362" t="s">
        <v>244</v>
      </c>
      <c r="I120" s="363" t="s">
        <v>240</v>
      </c>
      <c r="J120" s="362" t="s">
        <v>162</v>
      </c>
      <c r="K120" s="434" t="s">
        <v>978</v>
      </c>
      <c r="L120" s="435" t="s">
        <v>1592</v>
      </c>
      <c r="M120" s="363" t="s">
        <v>1281</v>
      </c>
      <c r="N120" s="416" t="s">
        <v>1457</v>
      </c>
      <c r="O120" s="364"/>
    </row>
    <row r="121" spans="4:18" ht="15.75" thickBot="1" x14ac:dyDescent="0.3">
      <c r="D121" s="126">
        <v>4</v>
      </c>
      <c r="E121" s="24" t="str">
        <f t="shared" si="2"/>
        <v>Viertelfinale 4</v>
      </c>
      <c r="F121" s="382" t="s">
        <v>326</v>
      </c>
      <c r="G121" s="361" t="s">
        <v>249</v>
      </c>
      <c r="H121" s="362" t="s">
        <v>245</v>
      </c>
      <c r="I121" s="363" t="s">
        <v>241</v>
      </c>
      <c r="J121" s="362" t="s">
        <v>163</v>
      </c>
      <c r="K121" s="434" t="s">
        <v>979</v>
      </c>
      <c r="L121" s="435" t="s">
        <v>1593</v>
      </c>
      <c r="M121" s="363" t="s">
        <v>1282</v>
      </c>
      <c r="N121" s="416" t="s">
        <v>1458</v>
      </c>
      <c r="O121" s="364"/>
    </row>
    <row r="122" spans="4:18" ht="15.75" thickTop="1" x14ac:dyDescent="0.25">
      <c r="E122" s="24" t="str">
        <f t="shared" si="2"/>
        <v>Halbfinale 1</v>
      </c>
      <c r="F122" s="360" t="s">
        <v>64</v>
      </c>
      <c r="G122" s="361" t="s">
        <v>250</v>
      </c>
      <c r="H122" s="362" t="s">
        <v>252</v>
      </c>
      <c r="I122" s="363" t="s">
        <v>254</v>
      </c>
      <c r="J122" s="362" t="s">
        <v>164</v>
      </c>
      <c r="K122" s="434" t="s">
        <v>980</v>
      </c>
      <c r="L122" s="435" t="s">
        <v>1594</v>
      </c>
      <c r="M122" s="363" t="s">
        <v>1283</v>
      </c>
      <c r="N122" s="416" t="s">
        <v>1459</v>
      </c>
      <c r="O122" s="364"/>
    </row>
    <row r="123" spans="4:18" x14ac:dyDescent="0.25">
      <c r="E123" s="24" t="str">
        <f t="shared" si="2"/>
        <v>Halbfinale 2</v>
      </c>
      <c r="F123" s="360" t="s">
        <v>65</v>
      </c>
      <c r="G123" s="361" t="s">
        <v>251</v>
      </c>
      <c r="H123" s="362" t="s">
        <v>253</v>
      </c>
      <c r="I123" s="363" t="s">
        <v>255</v>
      </c>
      <c r="J123" s="362" t="s">
        <v>165</v>
      </c>
      <c r="K123" s="434" t="s">
        <v>981</v>
      </c>
      <c r="L123" s="435" t="s">
        <v>1595</v>
      </c>
      <c r="M123" s="363" t="s">
        <v>1284</v>
      </c>
      <c r="N123" s="416" t="s">
        <v>1460</v>
      </c>
      <c r="O123" s="364"/>
    </row>
    <row r="124" spans="4:18" x14ac:dyDescent="0.25">
      <c r="E124" s="24" t="str">
        <f t="shared" si="2"/>
        <v>Dritter Platz</v>
      </c>
      <c r="F124" s="360" t="s">
        <v>150</v>
      </c>
      <c r="G124" s="361" t="s">
        <v>354</v>
      </c>
      <c r="H124" s="362" t="s">
        <v>355</v>
      </c>
      <c r="I124" s="363" t="s">
        <v>256</v>
      </c>
      <c r="J124" s="362" t="s">
        <v>166</v>
      </c>
      <c r="K124" s="434" t="s">
        <v>982</v>
      </c>
      <c r="L124" s="435" t="s">
        <v>1596</v>
      </c>
      <c r="M124" s="363" t="s">
        <v>1285</v>
      </c>
      <c r="N124" s="416" t="s">
        <v>1461</v>
      </c>
      <c r="O124" s="364"/>
    </row>
    <row r="125" spans="4:18" x14ac:dyDescent="0.25">
      <c r="E125" s="24" t="str">
        <f t="shared" si="2"/>
        <v>Finale</v>
      </c>
      <c r="F125" s="360" t="s">
        <v>66</v>
      </c>
      <c r="G125" s="361" t="s">
        <v>66</v>
      </c>
      <c r="H125" s="362" t="s">
        <v>167</v>
      </c>
      <c r="I125" s="363" t="s">
        <v>66</v>
      </c>
      <c r="J125" s="362" t="s">
        <v>167</v>
      </c>
      <c r="K125" s="434" t="s">
        <v>167</v>
      </c>
      <c r="L125" s="435" t="s">
        <v>167</v>
      </c>
      <c r="M125" s="363" t="s">
        <v>66</v>
      </c>
      <c r="N125" s="416" t="s">
        <v>1462</v>
      </c>
      <c r="O125" s="364"/>
    </row>
    <row r="126" spans="4:18" x14ac:dyDescent="0.25">
      <c r="E126" s="24" t="str">
        <f t="shared" si="2"/>
        <v>Bonus</v>
      </c>
      <c r="F126" s="360" t="s">
        <v>270</v>
      </c>
      <c r="G126" s="361" t="s">
        <v>353</v>
      </c>
      <c r="H126" s="362" t="s">
        <v>270</v>
      </c>
      <c r="I126" s="363" t="s">
        <v>352</v>
      </c>
      <c r="J126" s="362" t="s">
        <v>270</v>
      </c>
      <c r="K126" s="434" t="s">
        <v>270</v>
      </c>
      <c r="L126" s="435" t="s">
        <v>270</v>
      </c>
      <c r="M126" s="363" t="s">
        <v>1286</v>
      </c>
      <c r="N126" s="416" t="s">
        <v>1463</v>
      </c>
      <c r="O126" s="364"/>
    </row>
    <row r="127" spans="4:18" ht="30" x14ac:dyDescent="0.25">
      <c r="E127" s="24" t="str">
        <f t="shared" si="2"/>
        <v>Elfmeterschießen:</v>
      </c>
      <c r="F127" s="360" t="s">
        <v>486</v>
      </c>
      <c r="G127" s="361" t="s">
        <v>487</v>
      </c>
      <c r="H127" s="362" t="s">
        <v>488</v>
      </c>
      <c r="I127" s="363" t="s">
        <v>489</v>
      </c>
      <c r="J127" s="362" t="s">
        <v>485</v>
      </c>
      <c r="K127" s="434" t="s">
        <v>983</v>
      </c>
      <c r="L127" s="435" t="s">
        <v>1597</v>
      </c>
      <c r="M127" s="363" t="s">
        <v>1287</v>
      </c>
      <c r="N127" s="416" t="s">
        <v>1464</v>
      </c>
      <c r="O127" s="364"/>
    </row>
    <row r="128" spans="4:18" x14ac:dyDescent="0.25">
      <c r="E128" s="24" t="str">
        <f t="shared" si="2"/>
        <v>Gruppendritte</v>
      </c>
      <c r="F128" s="360" t="s">
        <v>544</v>
      </c>
      <c r="G128" s="361" t="s">
        <v>543</v>
      </c>
      <c r="H128" s="362" t="s">
        <v>545</v>
      </c>
      <c r="I128" s="363" t="s">
        <v>546</v>
      </c>
      <c r="J128" s="362" t="s">
        <v>490</v>
      </c>
      <c r="K128" s="434" t="s">
        <v>984</v>
      </c>
      <c r="L128" s="435" t="s">
        <v>1598</v>
      </c>
      <c r="M128" s="363" t="s">
        <v>1288</v>
      </c>
      <c r="N128" s="416" t="s">
        <v>1465</v>
      </c>
      <c r="O128" s="364"/>
    </row>
    <row r="129" spans="5:15" ht="30" x14ac:dyDescent="0.25">
      <c r="E129" s="24" t="str">
        <f t="shared" si="2"/>
        <v>Gruppenkombination:</v>
      </c>
      <c r="F129" s="360" t="s">
        <v>548</v>
      </c>
      <c r="G129" s="361" t="s">
        <v>549</v>
      </c>
      <c r="H129" s="362" t="s">
        <v>550</v>
      </c>
      <c r="I129" s="363" t="s">
        <v>551</v>
      </c>
      <c r="J129" s="362" t="s">
        <v>495</v>
      </c>
      <c r="K129" s="434" t="s">
        <v>985</v>
      </c>
      <c r="L129" s="435" t="s">
        <v>1599</v>
      </c>
      <c r="M129" s="363" t="s">
        <v>1289</v>
      </c>
      <c r="N129" s="416" t="s">
        <v>1466</v>
      </c>
      <c r="O129" s="364"/>
    </row>
    <row r="130" spans="5:15" x14ac:dyDescent="0.25">
      <c r="E130" s="24" t="str">
        <f t="shared" si="2"/>
        <v>Nicht qualifiziert:</v>
      </c>
      <c r="F130" s="360" t="s">
        <v>555</v>
      </c>
      <c r="G130" s="361" t="s">
        <v>554</v>
      </c>
      <c r="H130" s="362" t="s">
        <v>553</v>
      </c>
      <c r="I130" s="363" t="s">
        <v>552</v>
      </c>
      <c r="J130" s="362" t="s">
        <v>542</v>
      </c>
      <c r="K130" s="434" t="s">
        <v>1046</v>
      </c>
      <c r="L130" s="435" t="s">
        <v>1600</v>
      </c>
      <c r="M130" s="363" t="s">
        <v>1290</v>
      </c>
      <c r="N130" s="416" t="s">
        <v>1467</v>
      </c>
      <c r="O130" s="364"/>
    </row>
    <row r="131" spans="5:15" ht="30" x14ac:dyDescent="0.25">
      <c r="E131" s="24" t="str">
        <f t="shared" si="2"/>
        <v>Gruppen-kombination:</v>
      </c>
      <c r="F131" s="360" t="s">
        <v>548</v>
      </c>
      <c r="G131" s="361" t="s">
        <v>549</v>
      </c>
      <c r="H131" s="362" t="s">
        <v>550</v>
      </c>
      <c r="I131" s="363" t="s">
        <v>551</v>
      </c>
      <c r="J131" s="362" t="s">
        <v>602</v>
      </c>
      <c r="K131" s="434" t="s">
        <v>986</v>
      </c>
      <c r="L131" s="435" t="s">
        <v>1599</v>
      </c>
      <c r="M131" s="363" t="s">
        <v>1289</v>
      </c>
      <c r="N131" s="416" t="s">
        <v>1466</v>
      </c>
      <c r="O131" s="364"/>
    </row>
    <row r="132" spans="5:15" x14ac:dyDescent="0.25">
      <c r="E132" s="24" t="str">
        <f t="shared" si="2"/>
        <v>Erster der Gruppe</v>
      </c>
      <c r="F132" s="360" t="s">
        <v>601</v>
      </c>
      <c r="G132" s="361" t="s">
        <v>600</v>
      </c>
      <c r="H132" s="362" t="s">
        <v>599</v>
      </c>
      <c r="I132" s="363" t="s">
        <v>597</v>
      </c>
      <c r="J132" s="362" t="s">
        <v>598</v>
      </c>
      <c r="K132" s="434" t="s">
        <v>987</v>
      </c>
      <c r="L132" s="435" t="s">
        <v>1601</v>
      </c>
      <c r="M132" s="363" t="s">
        <v>1291</v>
      </c>
      <c r="N132" s="416" t="s">
        <v>1468</v>
      </c>
      <c r="O132" s="364"/>
    </row>
    <row r="133" spans="5:15" ht="32.25" customHeight="1" x14ac:dyDescent="0.25">
      <c r="E133" s="24" t="str">
        <f t="shared" si="2"/>
        <v>gegen Dritten der Gruppe</v>
      </c>
      <c r="F133" s="360" t="s">
        <v>593</v>
      </c>
      <c r="G133" s="361" t="s">
        <v>594</v>
      </c>
      <c r="H133" s="362" t="s">
        <v>595</v>
      </c>
      <c r="I133" s="363" t="s">
        <v>596</v>
      </c>
      <c r="J133" s="362" t="s">
        <v>592</v>
      </c>
      <c r="K133" s="434" t="s">
        <v>988</v>
      </c>
      <c r="L133" s="435" t="s">
        <v>1602</v>
      </c>
      <c r="M133" s="363" t="s">
        <v>1292</v>
      </c>
      <c r="N133" s="416" t="s">
        <v>1469</v>
      </c>
      <c r="O133" s="364"/>
    </row>
    <row r="134" spans="5:15" x14ac:dyDescent="0.25">
      <c r="E134" s="24" t="str">
        <f t="shared" ref="E134:E197" si="3">IF($C$3,F134,IF($C$11,G134,IF($C$9,H134,IF($C$7,I134,IF($C$8,J134,IF($C$6,K134,IF($C$5,L134,IF($C$10,M134,IF($C$4,N134,IF(O134&lt;&gt;"",O134,F134))))))))))</f>
        <v>Der rote Punkt   •</v>
      </c>
      <c r="F134" s="360" t="s">
        <v>754</v>
      </c>
      <c r="G134" s="361" t="s">
        <v>709</v>
      </c>
      <c r="H134" s="362" t="s">
        <v>708</v>
      </c>
      <c r="I134" s="363" t="s">
        <v>707</v>
      </c>
      <c r="J134" s="362" t="s">
        <v>706</v>
      </c>
      <c r="K134" s="434" t="s">
        <v>989</v>
      </c>
      <c r="L134" s="435" t="s">
        <v>1603</v>
      </c>
      <c r="M134" s="363" t="s">
        <v>1293</v>
      </c>
      <c r="N134" s="416" t="s">
        <v>1470</v>
      </c>
      <c r="O134" s="364"/>
    </row>
    <row r="135" spans="5:15" x14ac:dyDescent="0.25">
      <c r="E135" s="24" t="str">
        <f t="shared" si="3"/>
        <v>Name</v>
      </c>
      <c r="F135" s="360" t="s">
        <v>358</v>
      </c>
      <c r="G135" s="361" t="s">
        <v>911</v>
      </c>
      <c r="H135" s="362" t="s">
        <v>912</v>
      </c>
      <c r="I135" s="363" t="s">
        <v>913</v>
      </c>
      <c r="J135" s="362" t="s">
        <v>358</v>
      </c>
      <c r="K135" s="434" t="s">
        <v>997</v>
      </c>
      <c r="L135" s="435" t="s">
        <v>1604</v>
      </c>
      <c r="M135" s="363" t="s">
        <v>912</v>
      </c>
      <c r="N135" s="416" t="s">
        <v>1471</v>
      </c>
      <c r="O135" s="364"/>
    </row>
    <row r="136" spans="5:15" x14ac:dyDescent="0.25">
      <c r="E136" s="24" t="str">
        <f t="shared" si="3"/>
        <v>Austragungsort</v>
      </c>
      <c r="F136" s="360" t="s">
        <v>350</v>
      </c>
      <c r="G136" s="361" t="s">
        <v>1189</v>
      </c>
      <c r="H136" s="362" t="s">
        <v>1190</v>
      </c>
      <c r="I136" s="363" t="s">
        <v>1188</v>
      </c>
      <c r="J136" s="362" t="s">
        <v>1192</v>
      </c>
      <c r="K136" s="434" t="s">
        <v>1191</v>
      </c>
      <c r="L136" s="435" t="s">
        <v>1605</v>
      </c>
      <c r="M136" s="363" t="s">
        <v>1189</v>
      </c>
      <c r="N136" s="416" t="s">
        <v>1472</v>
      </c>
      <c r="O136" s="364"/>
    </row>
    <row r="137" spans="5:15" ht="29.25" thickBot="1" x14ac:dyDescent="0.3">
      <c r="E137" s="24"/>
      <c r="F137" s="380" t="s">
        <v>204</v>
      </c>
      <c r="G137" s="379"/>
      <c r="H137" s="379"/>
      <c r="I137" s="379"/>
      <c r="J137" s="379"/>
      <c r="K137" s="441"/>
      <c r="L137" s="441"/>
      <c r="M137" s="410"/>
      <c r="N137" s="412"/>
      <c r="O137" s="381"/>
    </row>
    <row r="138" spans="5:15" ht="54.75" customHeight="1" thickBot="1" x14ac:dyDescent="0.3">
      <c r="E138" s="24" t="str">
        <f t="shared" si="3"/>
        <v>Gruppen mit Fair-Play-Wertung:</v>
      </c>
      <c r="F138" s="360" t="s">
        <v>539</v>
      </c>
      <c r="G138" s="361" t="s">
        <v>538</v>
      </c>
      <c r="H138" s="362" t="s">
        <v>537</v>
      </c>
      <c r="I138" s="363" t="s">
        <v>536</v>
      </c>
      <c r="J138" s="362" t="s">
        <v>535</v>
      </c>
      <c r="K138" s="434" t="s">
        <v>1045</v>
      </c>
      <c r="L138" s="435" t="s">
        <v>1606</v>
      </c>
      <c r="M138" s="363" t="s">
        <v>1294</v>
      </c>
      <c r="N138" s="416" t="s">
        <v>1473</v>
      </c>
      <c r="O138" s="426"/>
    </row>
    <row r="139" spans="5:15" ht="51.75" customHeight="1" thickBot="1" x14ac:dyDescent="0.3">
      <c r="E139" s="24" t="str">
        <f t="shared" si="3"/>
        <v>Die Platzierung ist in allen Gruppen geklärt.</v>
      </c>
      <c r="F139" s="360" t="s">
        <v>272</v>
      </c>
      <c r="G139" s="361" t="s">
        <v>275</v>
      </c>
      <c r="H139" s="362" t="s">
        <v>274</v>
      </c>
      <c r="I139" s="363" t="s">
        <v>273</v>
      </c>
      <c r="J139" s="362" t="s">
        <v>271</v>
      </c>
      <c r="K139" s="434" t="s">
        <v>990</v>
      </c>
      <c r="L139" s="435" t="s">
        <v>1607</v>
      </c>
      <c r="M139" s="363" t="s">
        <v>1295</v>
      </c>
      <c r="N139" s="416" t="s">
        <v>1474</v>
      </c>
      <c r="O139" s="427"/>
    </row>
    <row r="140" spans="5:15" ht="16.5" customHeight="1" thickBot="1" x14ac:dyDescent="0.3">
      <c r="E140" s="24" t="str">
        <f t="shared" si="3"/>
        <v xml:space="preserve"> und </v>
      </c>
      <c r="F140" s="360" t="s">
        <v>307</v>
      </c>
      <c r="G140" s="361" t="s">
        <v>308</v>
      </c>
      <c r="H140" s="362" t="s">
        <v>309</v>
      </c>
      <c r="I140" s="363" t="s">
        <v>310</v>
      </c>
      <c r="J140" s="383" t="s">
        <v>311</v>
      </c>
      <c r="K140" s="436" t="s">
        <v>991</v>
      </c>
      <c r="L140" s="437" t="s">
        <v>1608</v>
      </c>
      <c r="M140" s="363" t="s">
        <v>1296</v>
      </c>
      <c r="N140" s="417" t="s">
        <v>1475</v>
      </c>
      <c r="O140" s="427"/>
    </row>
    <row r="141" spans="5:15" ht="20.25" customHeight="1" thickBot="1" x14ac:dyDescent="0.3">
      <c r="E141" s="24" t="str">
        <f t="shared" si="3"/>
        <v>Unzulässiges Ergebnis!</v>
      </c>
      <c r="F141" s="385" t="s">
        <v>265</v>
      </c>
      <c r="G141" s="386" t="s">
        <v>267</v>
      </c>
      <c r="H141" s="387" t="s">
        <v>266</v>
      </c>
      <c r="I141" s="388" t="s">
        <v>268</v>
      </c>
      <c r="J141" s="387" t="s">
        <v>264</v>
      </c>
      <c r="K141" s="434" t="s">
        <v>992</v>
      </c>
      <c r="L141" s="438" t="s">
        <v>1609</v>
      </c>
      <c r="M141" s="388" t="s">
        <v>1297</v>
      </c>
      <c r="N141" s="418" t="s">
        <v>1476</v>
      </c>
      <c r="O141" s="427"/>
    </row>
    <row r="142" spans="5:15" ht="135" customHeight="1" thickBot="1" x14ac:dyDescent="0.3">
      <c r="E142" s="24" t="str">
        <f t="shared" si="3"/>
        <v>Entscheidet bei zwei Mannschaften die Fair-Play-Wertung oder das Los über die bessere Platzierung in der Gruppe, so wird hier für die bessere Mannschaft eine "1" eingetragen.</v>
      </c>
      <c r="F142" s="135" t="s">
        <v>1184</v>
      </c>
      <c r="G142" s="136" t="s">
        <v>1181</v>
      </c>
      <c r="H142" s="137" t="s">
        <v>1182</v>
      </c>
      <c r="I142" s="138" t="s">
        <v>1183</v>
      </c>
      <c r="J142" s="137" t="s">
        <v>1179</v>
      </c>
      <c r="K142" s="436" t="s">
        <v>1180</v>
      </c>
      <c r="L142" s="437" t="s">
        <v>1610</v>
      </c>
      <c r="M142" s="138" t="s">
        <v>1298</v>
      </c>
      <c r="N142" s="417" t="s">
        <v>1477</v>
      </c>
      <c r="O142" s="427"/>
    </row>
    <row r="143" spans="5:15" ht="47.25" customHeight="1" thickBot="1" x14ac:dyDescent="0.3">
      <c r="E143" s="24" t="str">
        <f t="shared" si="3"/>
        <v>Hier klicken und
Zeitzone wählen:</v>
      </c>
      <c r="F143" s="135" t="s">
        <v>278</v>
      </c>
      <c r="G143" s="136" t="s">
        <v>343</v>
      </c>
      <c r="H143" s="137" t="s">
        <v>348</v>
      </c>
      <c r="I143" s="138" t="s">
        <v>347</v>
      </c>
      <c r="J143" s="147" t="s">
        <v>341</v>
      </c>
      <c r="K143" s="436" t="s">
        <v>1052</v>
      </c>
      <c r="L143" s="437" t="s">
        <v>1611</v>
      </c>
      <c r="M143" s="138" t="s">
        <v>1299</v>
      </c>
      <c r="N143" s="417" t="s">
        <v>1478</v>
      </c>
      <c r="O143" s="427"/>
    </row>
    <row r="144" spans="5:15" ht="47.25" customHeight="1" thickBot="1" x14ac:dyDescent="0.3">
      <c r="E144" s="24" t="str">
        <f t="shared" si="3"/>
        <v>Zeitzone des
Gastgeberlandes:</v>
      </c>
      <c r="F144" s="135" t="s">
        <v>748</v>
      </c>
      <c r="G144" s="136" t="s">
        <v>749</v>
      </c>
      <c r="H144" s="137" t="s">
        <v>750</v>
      </c>
      <c r="I144" s="138" t="s">
        <v>751</v>
      </c>
      <c r="J144" s="147" t="s">
        <v>752</v>
      </c>
      <c r="K144" s="436" t="s">
        <v>993</v>
      </c>
      <c r="L144" s="437" t="s">
        <v>1612</v>
      </c>
      <c r="M144" s="138" t="s">
        <v>1725</v>
      </c>
      <c r="N144" s="417" t="s">
        <v>1479</v>
      </c>
      <c r="O144" s="427"/>
    </row>
    <row r="145" spans="5:15" ht="39.75" customHeight="1" thickBot="1" x14ac:dyDescent="0.3">
      <c r="E145" s="24" t="str">
        <f t="shared" si="3"/>
        <v>Hier klicken und Sprache wählen:</v>
      </c>
      <c r="F145" s="135" t="s">
        <v>109</v>
      </c>
      <c r="G145" s="136" t="s">
        <v>344</v>
      </c>
      <c r="H145" s="137" t="s">
        <v>345</v>
      </c>
      <c r="I145" s="138" t="s">
        <v>346</v>
      </c>
      <c r="J145" s="147" t="s">
        <v>342</v>
      </c>
      <c r="K145" s="436" t="s">
        <v>994</v>
      </c>
      <c r="L145" s="437" t="s">
        <v>1613</v>
      </c>
      <c r="M145" s="138" t="s">
        <v>1300</v>
      </c>
      <c r="N145" s="417" t="s">
        <v>1480</v>
      </c>
      <c r="O145" s="427"/>
    </row>
    <row r="146" spans="5:15" ht="16.5" customHeight="1" thickBot="1" x14ac:dyDescent="0.3">
      <c r="E146" s="24" t="str">
        <f t="shared" si="3"/>
        <v xml:space="preserve"> : </v>
      </c>
      <c r="F146" s="360" t="s">
        <v>321</v>
      </c>
      <c r="G146" s="361" t="s">
        <v>321</v>
      </c>
      <c r="H146" s="362" t="s">
        <v>321</v>
      </c>
      <c r="I146" s="363" t="s">
        <v>321</v>
      </c>
      <c r="J146" s="383" t="s">
        <v>320</v>
      </c>
      <c r="K146" s="436" t="s">
        <v>320</v>
      </c>
      <c r="L146" s="437" t="s">
        <v>36</v>
      </c>
      <c r="M146" s="363" t="s">
        <v>494</v>
      </c>
      <c r="N146" s="417" t="s">
        <v>494</v>
      </c>
      <c r="O146" s="427"/>
    </row>
    <row r="147" spans="5:15" ht="91.5" customHeight="1" thickBot="1" x14ac:dyDescent="0.3">
      <c r="E147" s="24" t="str">
        <f t="shared" si="3"/>
        <v>Bei Sommerzeit muss die Zeitzone entsprechend angepasst werden (z. B. UTC+2 statt UTC+1)</v>
      </c>
      <c r="F147" s="135" t="s">
        <v>1074</v>
      </c>
      <c r="G147" s="136" t="s">
        <v>1077</v>
      </c>
      <c r="H147" s="137" t="s">
        <v>1075</v>
      </c>
      <c r="I147" s="138" t="s">
        <v>1076</v>
      </c>
      <c r="J147" s="147" t="s">
        <v>1073</v>
      </c>
      <c r="K147" s="436" t="s">
        <v>1078</v>
      </c>
      <c r="L147" s="437" t="s">
        <v>1614</v>
      </c>
      <c r="M147" s="138" t="s">
        <v>1301</v>
      </c>
      <c r="N147" s="417" t="s">
        <v>1481</v>
      </c>
      <c r="O147" s="427"/>
    </row>
    <row r="148" spans="5:15" ht="33.75" customHeight="1" thickBot="1" x14ac:dyDescent="0.3">
      <c r="E148" s="24" t="str">
        <f t="shared" si="3"/>
        <v>Qualifikation zum Achtelfinale</v>
      </c>
      <c r="F148" s="135" t="s">
        <v>619</v>
      </c>
      <c r="G148" s="136" t="s">
        <v>620</v>
      </c>
      <c r="H148" s="137" t="s">
        <v>621</v>
      </c>
      <c r="I148" s="138" t="s">
        <v>672</v>
      </c>
      <c r="J148" s="147" t="s">
        <v>618</v>
      </c>
      <c r="K148" s="436" t="s">
        <v>1034</v>
      </c>
      <c r="L148" s="437" t="s">
        <v>1615</v>
      </c>
      <c r="M148" s="138" t="s">
        <v>1302</v>
      </c>
      <c r="N148" s="417" t="s">
        <v>1482</v>
      </c>
      <c r="O148" s="427"/>
    </row>
    <row r="149" spans="5:15" ht="50.1" customHeight="1" thickBot="1" x14ac:dyDescent="0.3">
      <c r="E149" s="24" t="str">
        <f t="shared" si="3"/>
        <v>Kriterien für die Platzierung innerhalb der Gruppen:</v>
      </c>
      <c r="F149" s="135" t="s">
        <v>626</v>
      </c>
      <c r="G149" s="136" t="s">
        <v>625</v>
      </c>
      <c r="H149" s="137" t="s">
        <v>624</v>
      </c>
      <c r="I149" s="138" t="s">
        <v>623</v>
      </c>
      <c r="J149" s="147" t="s">
        <v>622</v>
      </c>
      <c r="K149" s="436" t="s">
        <v>1035</v>
      </c>
      <c r="L149" s="437" t="s">
        <v>1616</v>
      </c>
      <c r="M149" s="138" t="s">
        <v>1303</v>
      </c>
      <c r="N149" s="417" t="s">
        <v>1483</v>
      </c>
      <c r="O149" s="427"/>
    </row>
    <row r="150" spans="5:15" ht="50.1" customHeight="1" thickBot="1" x14ac:dyDescent="0.3">
      <c r="E150" s="24" t="str">
        <f t="shared" si="3"/>
        <v xml:space="preserve">  1.  Punkte aus allen Gruppenspielen</v>
      </c>
      <c r="F150" s="135" t="s">
        <v>687</v>
      </c>
      <c r="G150" s="136" t="s">
        <v>646</v>
      </c>
      <c r="H150" s="137" t="s">
        <v>640</v>
      </c>
      <c r="I150" s="138" t="s">
        <v>634</v>
      </c>
      <c r="J150" s="147" t="s">
        <v>627</v>
      </c>
      <c r="K150" s="436" t="s">
        <v>1036</v>
      </c>
      <c r="L150" s="437" t="s">
        <v>1617</v>
      </c>
      <c r="M150" s="138" t="s">
        <v>1304</v>
      </c>
      <c r="N150" s="417" t="s">
        <v>1484</v>
      </c>
      <c r="O150" s="427"/>
    </row>
    <row r="151" spans="5:15" ht="50.1" customHeight="1" thickBot="1" x14ac:dyDescent="0.3">
      <c r="E151" s="24" t="str">
        <f t="shared" si="3"/>
        <v xml:space="preserve">  2.  Punkte der direkten Begegnungen</v>
      </c>
      <c r="F151" s="135" t="s">
        <v>689</v>
      </c>
      <c r="G151" s="136" t="s">
        <v>647</v>
      </c>
      <c r="H151" s="137" t="s">
        <v>641</v>
      </c>
      <c r="I151" s="138" t="s">
        <v>635</v>
      </c>
      <c r="J151" s="147" t="s">
        <v>628</v>
      </c>
      <c r="K151" s="436" t="s">
        <v>1037</v>
      </c>
      <c r="L151" s="437" t="s">
        <v>1618</v>
      </c>
      <c r="M151" s="138" t="s">
        <v>1305</v>
      </c>
      <c r="N151" s="417" t="s">
        <v>1485</v>
      </c>
      <c r="O151" s="427"/>
    </row>
    <row r="152" spans="5:15" ht="50.1" customHeight="1" thickBot="1" x14ac:dyDescent="0.3">
      <c r="E152" s="24" t="str">
        <f t="shared" si="3"/>
        <v xml:space="preserve">  3.  Tordifferenz aus den Direkt-Begegnungen</v>
      </c>
      <c r="F152" s="135" t="s">
        <v>688</v>
      </c>
      <c r="G152" s="136" t="s">
        <v>692</v>
      </c>
      <c r="H152" s="137" t="s">
        <v>691</v>
      </c>
      <c r="I152" s="138" t="s">
        <v>690</v>
      </c>
      <c r="J152" s="147" t="s">
        <v>629</v>
      </c>
      <c r="K152" s="436" t="s">
        <v>1038</v>
      </c>
      <c r="L152" s="437" t="s">
        <v>1619</v>
      </c>
      <c r="M152" s="138" t="s">
        <v>1306</v>
      </c>
      <c r="N152" s="417" t="s">
        <v>1486</v>
      </c>
      <c r="O152" s="427"/>
    </row>
    <row r="153" spans="5:15" ht="50.1" customHeight="1" thickBot="1" x14ac:dyDescent="0.3">
      <c r="E153" s="24" t="str">
        <f t="shared" si="3"/>
        <v xml:space="preserve">  4.  Anzahl der in den Direkt-Begegnungen erzielten Tore</v>
      </c>
      <c r="F153" s="135" t="s">
        <v>652</v>
      </c>
      <c r="G153" s="136" t="s">
        <v>648</v>
      </c>
      <c r="H153" s="137" t="s">
        <v>642</v>
      </c>
      <c r="I153" s="138" t="s">
        <v>636</v>
      </c>
      <c r="J153" s="147" t="s">
        <v>630</v>
      </c>
      <c r="K153" s="436" t="s">
        <v>1039</v>
      </c>
      <c r="L153" s="437" t="s">
        <v>1620</v>
      </c>
      <c r="M153" s="138" t="s">
        <v>1307</v>
      </c>
      <c r="N153" s="417" t="s">
        <v>1487</v>
      </c>
      <c r="O153" s="427"/>
    </row>
    <row r="154" spans="5:15" ht="65.25" customHeight="1" thickBot="1" x14ac:dyDescent="0.3">
      <c r="E154" s="24" t="str">
        <f t="shared" si="3"/>
        <v xml:space="preserve">  5.  Nochmalige Anwendung der Krit. 2 - 4 nur auf die Mannschaften,</v>
      </c>
      <c r="F154" s="135" t="s">
        <v>681</v>
      </c>
      <c r="G154" s="136" t="s">
        <v>659</v>
      </c>
      <c r="H154" s="137" t="s">
        <v>657</v>
      </c>
      <c r="I154" s="138" t="s">
        <v>655</v>
      </c>
      <c r="J154" s="147" t="s">
        <v>653</v>
      </c>
      <c r="K154" s="436" t="s">
        <v>1040</v>
      </c>
      <c r="L154" s="437" t="s">
        <v>1621</v>
      </c>
      <c r="M154" s="138" t="s">
        <v>1308</v>
      </c>
      <c r="N154" s="417" t="s">
        <v>1488</v>
      </c>
      <c r="O154" s="427"/>
    </row>
    <row r="155" spans="5:15" ht="51" customHeight="1" thickBot="1" x14ac:dyDescent="0.3">
      <c r="E155" s="24" t="str">
        <f t="shared" si="3"/>
        <v xml:space="preserve">       die beim 1. Durchlauf nicht unterscheidbar waren</v>
      </c>
      <c r="F155" s="135" t="s">
        <v>661</v>
      </c>
      <c r="G155" s="136" t="s">
        <v>660</v>
      </c>
      <c r="H155" s="137" t="s">
        <v>658</v>
      </c>
      <c r="I155" s="138" t="s">
        <v>656</v>
      </c>
      <c r="J155" s="147" t="s">
        <v>654</v>
      </c>
      <c r="K155" s="436" t="s">
        <v>1041</v>
      </c>
      <c r="L155" s="437" t="s">
        <v>1622</v>
      </c>
      <c r="M155" s="138" t="s">
        <v>1309</v>
      </c>
      <c r="N155" s="417" t="s">
        <v>1489</v>
      </c>
      <c r="O155" s="427"/>
    </row>
    <row r="156" spans="5:15" ht="50.1" customHeight="1" thickBot="1" x14ac:dyDescent="0.3">
      <c r="E156" s="24" t="str">
        <f t="shared" si="3"/>
        <v xml:space="preserve">  6.  Tordifferenz aus allen Gruppenspielen</v>
      </c>
      <c r="F156" s="135" t="s">
        <v>682</v>
      </c>
      <c r="G156" s="136" t="s">
        <v>649</v>
      </c>
      <c r="H156" s="137" t="s">
        <v>643</v>
      </c>
      <c r="I156" s="138" t="s">
        <v>637</v>
      </c>
      <c r="J156" s="147" t="s">
        <v>631</v>
      </c>
      <c r="K156" s="436" t="s">
        <v>1042</v>
      </c>
      <c r="L156" s="437" t="s">
        <v>1623</v>
      </c>
      <c r="M156" s="138" t="s">
        <v>1310</v>
      </c>
      <c r="N156" s="417" t="s">
        <v>1490</v>
      </c>
      <c r="O156" s="427"/>
    </row>
    <row r="157" spans="5:15" ht="50.1" customHeight="1" thickBot="1" x14ac:dyDescent="0.3">
      <c r="E157" s="24" t="str">
        <f t="shared" si="3"/>
        <v xml:space="preserve">  7.  Anzahl der erzielten Tore aus allen Gruppenspielen</v>
      </c>
      <c r="F157" s="135" t="s">
        <v>683</v>
      </c>
      <c r="G157" s="136" t="s">
        <v>650</v>
      </c>
      <c r="H157" s="137" t="s">
        <v>644</v>
      </c>
      <c r="I157" s="138" t="s">
        <v>638</v>
      </c>
      <c r="J157" s="147" t="s">
        <v>632</v>
      </c>
      <c r="K157" s="436" t="s">
        <v>1043</v>
      </c>
      <c r="L157" s="437" t="s">
        <v>1624</v>
      </c>
      <c r="M157" s="138" t="s">
        <v>1311</v>
      </c>
      <c r="N157" s="417" t="s">
        <v>1491</v>
      </c>
      <c r="O157" s="427"/>
    </row>
    <row r="158" spans="5:15" ht="50.1" customHeight="1" thickBot="1" x14ac:dyDescent="0.3">
      <c r="E158" s="24" t="str">
        <f t="shared" si="3"/>
        <v xml:space="preserve">  8.  Anzahl der Siege aus allen Gruppenspielen</v>
      </c>
      <c r="F158" s="135" t="s">
        <v>684</v>
      </c>
      <c r="G158" s="136" t="s">
        <v>651</v>
      </c>
      <c r="H158" s="137" t="s">
        <v>667</v>
      </c>
      <c r="I158" s="138" t="s">
        <v>639</v>
      </c>
      <c r="J158" s="147" t="s">
        <v>633</v>
      </c>
      <c r="K158" s="436" t="s">
        <v>1044</v>
      </c>
      <c r="L158" s="437" t="s">
        <v>1625</v>
      </c>
      <c r="M158" s="138" t="s">
        <v>1312</v>
      </c>
      <c r="N158" s="417" t="s">
        <v>1492</v>
      </c>
      <c r="O158" s="427"/>
    </row>
    <row r="159" spans="5:15" ht="65.25" customHeight="1" thickBot="1" x14ac:dyDescent="0.3">
      <c r="E159" s="24" t="str">
        <f t="shared" si="3"/>
        <v xml:space="preserve">  9.  Fair-Play-Wertung bzw. Elfmeterschießen im letzten Gruppenspiel,</v>
      </c>
      <c r="F159" s="135" t="s">
        <v>669</v>
      </c>
      <c r="G159" s="136" t="s">
        <v>662</v>
      </c>
      <c r="H159" s="137" t="s">
        <v>645</v>
      </c>
      <c r="I159" s="138" t="s">
        <v>664</v>
      </c>
      <c r="J159" s="147" t="s">
        <v>666</v>
      </c>
      <c r="K159" s="436" t="s">
        <v>1033</v>
      </c>
      <c r="L159" s="437" t="s">
        <v>1626</v>
      </c>
      <c r="M159" s="138" t="s">
        <v>1313</v>
      </c>
      <c r="N159" s="417" t="s">
        <v>1493</v>
      </c>
      <c r="O159" s="427"/>
    </row>
    <row r="160" spans="5:15" ht="52.5" customHeight="1" thickBot="1" x14ac:dyDescent="0.3">
      <c r="E160" s="24" t="str">
        <f t="shared" si="3"/>
        <v xml:space="preserve">       wenn die Bedingungen dafür zutreffen</v>
      </c>
      <c r="F160" s="135" t="s">
        <v>663</v>
      </c>
      <c r="G160" s="136" t="s">
        <v>671</v>
      </c>
      <c r="H160" s="137" t="s">
        <v>668</v>
      </c>
      <c r="I160" s="138" t="s">
        <v>670</v>
      </c>
      <c r="J160" s="147" t="s">
        <v>665</v>
      </c>
      <c r="K160" s="436" t="s">
        <v>1032</v>
      </c>
      <c r="L160" s="437" t="s">
        <v>1627</v>
      </c>
      <c r="M160" s="138" t="s">
        <v>1314</v>
      </c>
      <c r="N160" s="417" t="s">
        <v>1494</v>
      </c>
      <c r="O160" s="427"/>
    </row>
    <row r="161" spans="5:15" ht="63" customHeight="1" thickBot="1" x14ac:dyDescent="0.3">
      <c r="E161" s="24" t="str">
        <f t="shared" si="3"/>
        <v>10.  Position in der Schlussrangliste der European Qualifiers</v>
      </c>
      <c r="F161" s="135" t="s">
        <v>685</v>
      </c>
      <c r="G161" s="136" t="s">
        <v>698</v>
      </c>
      <c r="H161" s="137" t="s">
        <v>699</v>
      </c>
      <c r="I161" s="138" t="s">
        <v>700</v>
      </c>
      <c r="J161" s="147" t="s">
        <v>686</v>
      </c>
      <c r="K161" s="436" t="s">
        <v>1051</v>
      </c>
      <c r="L161" s="437" t="s">
        <v>1628</v>
      </c>
      <c r="M161" s="138" t="s">
        <v>1315</v>
      </c>
      <c r="N161" s="417" t="s">
        <v>1495</v>
      </c>
      <c r="O161" s="427"/>
    </row>
    <row r="162" spans="5:15" ht="203.25" customHeight="1" thickBot="1" x14ac:dyDescent="0.3">
      <c r="E162" s="24" t="str">
        <f t="shared" si="3"/>
        <v>Wenn über dem Gruppennamen ein roter Punkt erscheint, ist die Rangreihenfolge innerhalb der Gruppe nicht geklärt. Die Fair-Play-Wertung oder die Schlussrangliste der European Qualifiers entscheiden dann. In diesem Fall Fair-Play eintragen!</v>
      </c>
      <c r="F162" s="135" t="s">
        <v>701</v>
      </c>
      <c r="G162" s="136" t="s">
        <v>702</v>
      </c>
      <c r="H162" s="137" t="s">
        <v>703</v>
      </c>
      <c r="I162" s="138" t="s">
        <v>704</v>
      </c>
      <c r="J162" s="147" t="s">
        <v>705</v>
      </c>
      <c r="K162" s="436" t="s">
        <v>1031</v>
      </c>
      <c r="L162" s="437" t="s">
        <v>1629</v>
      </c>
      <c r="M162" s="138" t="s">
        <v>1316</v>
      </c>
      <c r="N162" s="417" t="s">
        <v>1496</v>
      </c>
      <c r="O162" s="427"/>
    </row>
    <row r="163" spans="5:15" ht="15.75" thickBot="1" x14ac:dyDescent="0.3">
      <c r="E163" s="24">
        <f t="shared" si="3"/>
        <v>0</v>
      </c>
      <c r="F163" s="370"/>
      <c r="G163" s="371"/>
      <c r="H163" s="372"/>
      <c r="I163" s="373"/>
      <c r="J163" s="389"/>
      <c r="K163" s="439"/>
      <c r="L163" s="440"/>
      <c r="M163" s="373"/>
      <c r="N163" s="419"/>
      <c r="O163" s="374"/>
    </row>
    <row r="164" spans="5:15" ht="15.75" thickTop="1" x14ac:dyDescent="0.25">
      <c r="E164" s="24"/>
      <c r="F164" s="379"/>
      <c r="G164" s="379"/>
      <c r="H164" s="379"/>
      <c r="I164" s="379"/>
      <c r="J164" s="379"/>
      <c r="K164" s="379"/>
      <c r="L164" s="423"/>
      <c r="M164" s="410"/>
      <c r="N164" s="412"/>
      <c r="O164" s="379"/>
    </row>
    <row r="165" spans="5:15" x14ac:dyDescent="0.25">
      <c r="E165" s="24"/>
      <c r="F165" s="379"/>
      <c r="G165" s="379"/>
      <c r="H165" s="379"/>
      <c r="I165" s="379"/>
      <c r="J165" s="379"/>
      <c r="K165" s="379"/>
      <c r="L165" s="423"/>
      <c r="M165" s="410"/>
      <c r="N165" s="412"/>
      <c r="O165" s="379"/>
    </row>
    <row r="166" spans="5:15" x14ac:dyDescent="0.25">
      <c r="E166" s="24"/>
      <c r="F166" s="379"/>
      <c r="G166" s="379"/>
      <c r="H166" s="379"/>
      <c r="I166" s="379"/>
      <c r="J166" s="379"/>
      <c r="K166" s="379"/>
      <c r="L166" s="423"/>
      <c r="M166" s="410"/>
      <c r="N166" s="412"/>
      <c r="O166" s="379"/>
    </row>
    <row r="167" spans="5:15" x14ac:dyDescent="0.25">
      <c r="E167" s="24"/>
      <c r="F167" s="379"/>
      <c r="G167" s="379"/>
      <c r="H167" s="379"/>
      <c r="I167" s="379"/>
      <c r="J167" s="379"/>
      <c r="K167" s="379"/>
      <c r="L167" s="423"/>
      <c r="M167" s="410"/>
      <c r="N167" s="412"/>
      <c r="O167" s="379"/>
    </row>
    <row r="168" spans="5:15" x14ac:dyDescent="0.25">
      <c r="E168" s="24"/>
      <c r="F168" s="379"/>
      <c r="G168" s="379"/>
      <c r="H168" s="379"/>
      <c r="I168" s="379"/>
      <c r="J168" s="379"/>
      <c r="K168" s="379"/>
      <c r="L168" s="423"/>
      <c r="M168" s="410"/>
      <c r="N168" s="412"/>
      <c r="O168" s="379"/>
    </row>
    <row r="169" spans="5:15" x14ac:dyDescent="0.25">
      <c r="E169" s="24"/>
      <c r="F169" s="379"/>
      <c r="G169" s="379"/>
      <c r="H169" s="379"/>
      <c r="I169" s="379"/>
      <c r="J169" s="379"/>
      <c r="K169" s="379"/>
      <c r="L169" s="423"/>
      <c r="M169" s="410"/>
      <c r="N169" s="412"/>
      <c r="O169" s="379"/>
    </row>
    <row r="170" spans="5:15" ht="15.75" thickBot="1" x14ac:dyDescent="0.3">
      <c r="E170" s="24"/>
      <c r="F170" s="379"/>
      <c r="G170" s="379"/>
      <c r="H170" s="379"/>
      <c r="I170" s="379"/>
      <c r="J170" s="379"/>
      <c r="K170" s="379"/>
      <c r="L170" s="423"/>
      <c r="M170" s="410"/>
      <c r="N170" s="412"/>
      <c r="O170" s="379"/>
    </row>
    <row r="171" spans="5:15" ht="29.25" thickTop="1" x14ac:dyDescent="0.25">
      <c r="E171" s="24"/>
      <c r="F171" s="390" t="s">
        <v>755</v>
      </c>
      <c r="G171" s="391"/>
      <c r="H171" s="391"/>
      <c r="I171" s="391"/>
      <c r="J171" s="391"/>
      <c r="K171" s="391"/>
      <c r="L171" s="391"/>
      <c r="M171" s="391"/>
      <c r="N171" s="391"/>
      <c r="O171" s="392"/>
    </row>
    <row r="172" spans="5:15" x14ac:dyDescent="0.25">
      <c r="E172" s="24" t="str">
        <f t="shared" si="3"/>
        <v>Vorhersagen</v>
      </c>
      <c r="F172" s="360" t="s">
        <v>755</v>
      </c>
      <c r="G172" s="361" t="s">
        <v>756</v>
      </c>
      <c r="H172" s="362" t="s">
        <v>757</v>
      </c>
      <c r="I172" s="363" t="s">
        <v>758</v>
      </c>
      <c r="J172" s="362" t="s">
        <v>759</v>
      </c>
      <c r="K172" s="442" t="s">
        <v>998</v>
      </c>
      <c r="L172" s="443" t="s">
        <v>1630</v>
      </c>
      <c r="M172" s="363" t="s">
        <v>1317</v>
      </c>
      <c r="N172" s="417" t="s">
        <v>1497</v>
      </c>
      <c r="O172" s="384"/>
    </row>
    <row r="173" spans="5:15" x14ac:dyDescent="0.25">
      <c r="E173" s="24" t="str">
        <f t="shared" si="3"/>
        <v>Korrekte Ergebnisse</v>
      </c>
      <c r="F173" s="360" t="s">
        <v>760</v>
      </c>
      <c r="G173" s="361" t="s">
        <v>761</v>
      </c>
      <c r="H173" s="362" t="s">
        <v>762</v>
      </c>
      <c r="I173" s="363" t="s">
        <v>763</v>
      </c>
      <c r="J173" s="362" t="s">
        <v>764</v>
      </c>
      <c r="K173" s="442" t="s">
        <v>999</v>
      </c>
      <c r="L173" s="443" t="s">
        <v>1631</v>
      </c>
      <c r="M173" s="363" t="s">
        <v>1318</v>
      </c>
      <c r="N173" s="417" t="s">
        <v>1498</v>
      </c>
      <c r="O173" s="384"/>
    </row>
    <row r="174" spans="5:15" x14ac:dyDescent="0.25">
      <c r="E174" s="24" t="str">
        <f t="shared" si="3"/>
        <v>Ergebn.</v>
      </c>
      <c r="F174" s="360" t="s">
        <v>765</v>
      </c>
      <c r="G174" s="361" t="s">
        <v>766</v>
      </c>
      <c r="H174" s="362" t="s">
        <v>767</v>
      </c>
      <c r="I174" s="363" t="s">
        <v>768</v>
      </c>
      <c r="J174" s="362" t="s">
        <v>769</v>
      </c>
      <c r="K174" s="442" t="s">
        <v>1000</v>
      </c>
      <c r="L174" s="443" t="s">
        <v>1632</v>
      </c>
      <c r="M174" s="363" t="s">
        <v>774</v>
      </c>
      <c r="N174" s="417" t="s">
        <v>1499</v>
      </c>
      <c r="O174" s="384"/>
    </row>
    <row r="175" spans="5:15" x14ac:dyDescent="0.25">
      <c r="E175" s="24" t="str">
        <f t="shared" si="3"/>
        <v>Punkte:</v>
      </c>
      <c r="F175" s="360" t="s">
        <v>1193</v>
      </c>
      <c r="G175" s="361" t="s">
        <v>1194</v>
      </c>
      <c r="H175" s="362" t="s">
        <v>1195</v>
      </c>
      <c r="I175" s="363" t="s">
        <v>1193</v>
      </c>
      <c r="J175" s="362" t="s">
        <v>1196</v>
      </c>
      <c r="K175" s="442" t="s">
        <v>1197</v>
      </c>
      <c r="L175" s="443" t="s">
        <v>1193</v>
      </c>
      <c r="M175" s="363" t="s">
        <v>1319</v>
      </c>
      <c r="N175" s="417" t="s">
        <v>1500</v>
      </c>
      <c r="O175" s="384"/>
    </row>
    <row r="176" spans="5:15" x14ac:dyDescent="0.25">
      <c r="E176" s="24" t="str">
        <f t="shared" si="3"/>
        <v>Summe:</v>
      </c>
      <c r="F176" s="360" t="s">
        <v>189</v>
      </c>
      <c r="G176" s="361" t="s">
        <v>770</v>
      </c>
      <c r="H176" s="362" t="s">
        <v>771</v>
      </c>
      <c r="I176" s="363" t="s">
        <v>770</v>
      </c>
      <c r="J176" s="362" t="s">
        <v>772</v>
      </c>
      <c r="K176" s="442" t="s">
        <v>1001</v>
      </c>
      <c r="L176" s="443" t="s">
        <v>189</v>
      </c>
      <c r="M176" s="363" t="s">
        <v>770</v>
      </c>
      <c r="N176" s="417" t="s">
        <v>1501</v>
      </c>
      <c r="O176" s="384"/>
    </row>
    <row r="177" spans="5:15" x14ac:dyDescent="0.25">
      <c r="E177" s="24" t="str">
        <f t="shared" si="3"/>
        <v>Ergebn.</v>
      </c>
      <c r="F177" s="360" t="s">
        <v>773</v>
      </c>
      <c r="G177" s="361" t="s">
        <v>774</v>
      </c>
      <c r="H177" s="362" t="s">
        <v>775</v>
      </c>
      <c r="I177" s="363" t="s">
        <v>776</v>
      </c>
      <c r="J177" s="362" t="s">
        <v>769</v>
      </c>
      <c r="K177" s="442" t="s">
        <v>1000</v>
      </c>
      <c r="L177" s="443" t="s">
        <v>1633</v>
      </c>
      <c r="M177" s="363" t="s">
        <v>1320</v>
      </c>
      <c r="N177" s="417" t="s">
        <v>1502</v>
      </c>
      <c r="O177" s="384"/>
    </row>
    <row r="178" spans="5:15" x14ac:dyDescent="0.25">
      <c r="E178" s="24" t="str">
        <f t="shared" si="3"/>
        <v>G/U/V</v>
      </c>
      <c r="F178" s="360" t="s">
        <v>777</v>
      </c>
      <c r="G178" s="361" t="s">
        <v>778</v>
      </c>
      <c r="H178" s="362" t="s">
        <v>779</v>
      </c>
      <c r="I178" s="363" t="s">
        <v>780</v>
      </c>
      <c r="J178" s="362" t="s">
        <v>781</v>
      </c>
      <c r="K178" s="442" t="s">
        <v>1002</v>
      </c>
      <c r="L178" s="443" t="s">
        <v>1634</v>
      </c>
      <c r="M178" s="363" t="s">
        <v>1321</v>
      </c>
      <c r="N178" s="417" t="s">
        <v>1503</v>
      </c>
      <c r="O178" s="384"/>
    </row>
    <row r="179" spans="5:15" x14ac:dyDescent="0.25">
      <c r="E179" s="24" t="str">
        <f t="shared" si="3"/>
        <v>TD</v>
      </c>
      <c r="F179" s="360" t="s">
        <v>190</v>
      </c>
      <c r="G179" s="361" t="s">
        <v>782</v>
      </c>
      <c r="H179" s="362" t="s">
        <v>783</v>
      </c>
      <c r="I179" s="363" t="s">
        <v>784</v>
      </c>
      <c r="J179" s="362" t="s">
        <v>491</v>
      </c>
      <c r="K179" s="442" t="s">
        <v>965</v>
      </c>
      <c r="L179" s="443" t="s">
        <v>190</v>
      </c>
      <c r="M179" s="363" t="s">
        <v>1322</v>
      </c>
      <c r="N179" s="417" t="s">
        <v>1436</v>
      </c>
      <c r="O179" s="384"/>
    </row>
    <row r="180" spans="5:15" x14ac:dyDescent="0.25">
      <c r="E180" s="24" t="str">
        <f t="shared" si="3"/>
        <v>exakt</v>
      </c>
      <c r="F180" s="360" t="s">
        <v>785</v>
      </c>
      <c r="G180" s="361" t="s">
        <v>786</v>
      </c>
      <c r="H180" s="362" t="s">
        <v>787</v>
      </c>
      <c r="I180" s="363" t="s">
        <v>786</v>
      </c>
      <c r="J180" s="362" t="s">
        <v>788</v>
      </c>
      <c r="K180" s="442" t="s">
        <v>785</v>
      </c>
      <c r="L180" s="443" t="s">
        <v>1635</v>
      </c>
      <c r="M180" s="363" t="s">
        <v>1323</v>
      </c>
      <c r="N180" s="417" t="s">
        <v>1504</v>
      </c>
      <c r="O180" s="384"/>
    </row>
    <row r="181" spans="5:15" x14ac:dyDescent="0.25">
      <c r="E181" s="24" t="str">
        <f t="shared" si="3"/>
        <v>Teams</v>
      </c>
      <c r="F181" s="360" t="s">
        <v>789</v>
      </c>
      <c r="G181" s="361" t="s">
        <v>790</v>
      </c>
      <c r="H181" s="362" t="s">
        <v>791</v>
      </c>
      <c r="I181" s="363" t="s">
        <v>792</v>
      </c>
      <c r="J181" s="362" t="s">
        <v>305</v>
      </c>
      <c r="K181" s="442" t="s">
        <v>789</v>
      </c>
      <c r="L181" s="443" t="s">
        <v>1636</v>
      </c>
      <c r="M181" s="363" t="s">
        <v>1324</v>
      </c>
      <c r="N181" s="417" t="s">
        <v>1505</v>
      </c>
      <c r="O181" s="384"/>
    </row>
    <row r="182" spans="5:15" x14ac:dyDescent="0.25">
      <c r="E182" s="24" t="str">
        <f t="shared" si="3"/>
        <v>Achtelfinale</v>
      </c>
      <c r="F182" s="360" t="s">
        <v>793</v>
      </c>
      <c r="G182" s="361" t="s">
        <v>794</v>
      </c>
      <c r="H182" s="362" t="s">
        <v>795</v>
      </c>
      <c r="I182" s="363" t="s">
        <v>796</v>
      </c>
      <c r="J182" s="362" t="s">
        <v>797</v>
      </c>
      <c r="K182" s="442" t="s">
        <v>1003</v>
      </c>
      <c r="L182" s="443" t="s">
        <v>1637</v>
      </c>
      <c r="M182" s="363" t="s">
        <v>1325</v>
      </c>
      <c r="N182" s="417" t="s">
        <v>1506</v>
      </c>
      <c r="O182" s="384"/>
    </row>
    <row r="183" spans="5:15" x14ac:dyDescent="0.25">
      <c r="E183" s="24" t="str">
        <f t="shared" si="3"/>
        <v>Viertelfinale</v>
      </c>
      <c r="F183" s="382" t="s">
        <v>798</v>
      </c>
      <c r="G183" s="361" t="s">
        <v>799</v>
      </c>
      <c r="H183" s="362" t="s">
        <v>800</v>
      </c>
      <c r="I183" s="363" t="s">
        <v>801</v>
      </c>
      <c r="J183" s="362" t="s">
        <v>802</v>
      </c>
      <c r="K183" s="442" t="s">
        <v>1004</v>
      </c>
      <c r="L183" s="443" t="s">
        <v>1638</v>
      </c>
      <c r="M183" s="363" t="s">
        <v>1326</v>
      </c>
      <c r="N183" s="417" t="s">
        <v>1507</v>
      </c>
      <c r="O183" s="384"/>
    </row>
    <row r="184" spans="5:15" x14ac:dyDescent="0.25">
      <c r="E184" s="24" t="str">
        <f t="shared" si="3"/>
        <v>Halbfinale</v>
      </c>
      <c r="F184" s="360" t="s">
        <v>803</v>
      </c>
      <c r="G184" s="361" t="s">
        <v>804</v>
      </c>
      <c r="H184" s="362" t="s">
        <v>805</v>
      </c>
      <c r="I184" s="363" t="s">
        <v>806</v>
      </c>
      <c r="J184" s="362" t="s">
        <v>807</v>
      </c>
      <c r="K184" s="442" t="s">
        <v>1005</v>
      </c>
      <c r="L184" s="443" t="s">
        <v>1639</v>
      </c>
      <c r="M184" s="363" t="s">
        <v>1327</v>
      </c>
      <c r="N184" s="417" t="s">
        <v>1508</v>
      </c>
      <c r="O184" s="384"/>
    </row>
    <row r="185" spans="5:15" x14ac:dyDescent="0.25">
      <c r="E185" s="24" t="str">
        <f t="shared" si="3"/>
        <v>Dritter Platz</v>
      </c>
      <c r="F185" s="360" t="s">
        <v>150</v>
      </c>
      <c r="G185" s="361" t="s">
        <v>354</v>
      </c>
      <c r="H185" s="362" t="s">
        <v>355</v>
      </c>
      <c r="I185" s="363" t="s">
        <v>256</v>
      </c>
      <c r="J185" s="362" t="s">
        <v>166</v>
      </c>
      <c r="K185" s="442" t="s">
        <v>982</v>
      </c>
      <c r="L185" s="443" t="s">
        <v>1596</v>
      </c>
      <c r="M185" s="363" t="s">
        <v>1285</v>
      </c>
      <c r="N185" s="417" t="s">
        <v>1461</v>
      </c>
      <c r="O185" s="384"/>
    </row>
    <row r="186" spans="5:15" x14ac:dyDescent="0.25">
      <c r="E186" s="24" t="str">
        <f t="shared" si="3"/>
        <v>Finale</v>
      </c>
      <c r="F186" s="360" t="s">
        <v>66</v>
      </c>
      <c r="G186" s="361" t="s">
        <v>66</v>
      </c>
      <c r="H186" s="362" t="s">
        <v>167</v>
      </c>
      <c r="I186" s="363" t="s">
        <v>66</v>
      </c>
      <c r="J186" s="362" t="s">
        <v>167</v>
      </c>
      <c r="K186" s="442" t="s">
        <v>167</v>
      </c>
      <c r="L186" s="443" t="s">
        <v>167</v>
      </c>
      <c r="M186" s="363" t="s">
        <v>66</v>
      </c>
      <c r="N186" s="417" t="s">
        <v>1462</v>
      </c>
      <c r="O186" s="384"/>
    </row>
    <row r="187" spans="5:15" x14ac:dyDescent="0.25">
      <c r="E187" s="24" t="str">
        <f t="shared" si="3"/>
        <v>Weltmeister</v>
      </c>
      <c r="F187" s="135" t="s">
        <v>1079</v>
      </c>
      <c r="G187" s="136" t="s">
        <v>1080</v>
      </c>
      <c r="H187" s="137" t="s">
        <v>1081</v>
      </c>
      <c r="I187" s="138" t="s">
        <v>1082</v>
      </c>
      <c r="J187" s="137" t="s">
        <v>1083</v>
      </c>
      <c r="K187" s="442" t="s">
        <v>1084</v>
      </c>
      <c r="L187" s="443" t="s">
        <v>1640</v>
      </c>
      <c r="M187" s="138" t="s">
        <v>1328</v>
      </c>
      <c r="N187" s="417" t="s">
        <v>1509</v>
      </c>
      <c r="O187" s="121"/>
    </row>
    <row r="188" spans="5:15" x14ac:dyDescent="0.25">
      <c r="E188" s="24" t="str">
        <f t="shared" si="3"/>
        <v>Hinweis</v>
      </c>
      <c r="F188" s="135" t="s">
        <v>808</v>
      </c>
      <c r="G188" s="136" t="s">
        <v>809</v>
      </c>
      <c r="H188" s="137" t="s">
        <v>810</v>
      </c>
      <c r="I188" s="138" t="s">
        <v>811</v>
      </c>
      <c r="J188" s="137" t="s">
        <v>812</v>
      </c>
      <c r="K188" s="442" t="s">
        <v>1006</v>
      </c>
      <c r="L188" s="443" t="s">
        <v>1641</v>
      </c>
      <c r="M188" s="138" t="s">
        <v>1329</v>
      </c>
      <c r="N188" s="417" t="s">
        <v>1510</v>
      </c>
      <c r="O188" s="121"/>
    </row>
    <row r="189" spans="5:15" x14ac:dyDescent="0.25">
      <c r="E189" s="24" t="str">
        <f t="shared" si="3"/>
        <v>Faktoren</v>
      </c>
      <c r="F189" s="135" t="s">
        <v>617</v>
      </c>
      <c r="G189" s="136" t="s">
        <v>813</v>
      </c>
      <c r="H189" s="137" t="s">
        <v>814</v>
      </c>
      <c r="I189" s="138" t="s">
        <v>815</v>
      </c>
      <c r="J189" s="137" t="s">
        <v>37</v>
      </c>
      <c r="K189" s="442" t="s">
        <v>1007</v>
      </c>
      <c r="L189" s="443" t="s">
        <v>1642</v>
      </c>
      <c r="M189" s="138" t="s">
        <v>813</v>
      </c>
      <c r="N189" s="417" t="s">
        <v>1511</v>
      </c>
      <c r="O189" s="121"/>
    </row>
    <row r="190" spans="5:15" x14ac:dyDescent="0.25">
      <c r="E190" s="24" t="str">
        <f t="shared" si="3"/>
        <v>Einstellungen</v>
      </c>
      <c r="F190" s="135" t="s">
        <v>816</v>
      </c>
      <c r="G190" s="136" t="s">
        <v>817</v>
      </c>
      <c r="H190" s="137" t="s">
        <v>818</v>
      </c>
      <c r="I190" s="138" t="s">
        <v>819</v>
      </c>
      <c r="J190" s="137" t="s">
        <v>820</v>
      </c>
      <c r="K190" s="442" t="s">
        <v>1008</v>
      </c>
      <c r="L190" s="443" t="s">
        <v>1643</v>
      </c>
      <c r="M190" s="138" t="s">
        <v>817</v>
      </c>
      <c r="N190" s="417" t="s">
        <v>1512</v>
      </c>
      <c r="O190" s="121"/>
    </row>
    <row r="191" spans="5:15" x14ac:dyDescent="0.25">
      <c r="E191" s="24" t="str">
        <f t="shared" si="3"/>
        <v>gr. Anz.</v>
      </c>
      <c r="F191" s="360" t="s">
        <v>821</v>
      </c>
      <c r="G191" s="361" t="s">
        <v>822</v>
      </c>
      <c r="H191" s="362" t="s">
        <v>823</v>
      </c>
      <c r="I191" s="363" t="s">
        <v>824</v>
      </c>
      <c r="J191" s="362" t="s">
        <v>825</v>
      </c>
      <c r="K191" s="442" t="s">
        <v>1009</v>
      </c>
      <c r="L191" s="443" t="s">
        <v>1644</v>
      </c>
      <c r="M191" s="363" t="s">
        <v>1330</v>
      </c>
      <c r="N191" s="417" t="s">
        <v>1513</v>
      </c>
      <c r="O191" s="121"/>
    </row>
    <row r="192" spans="5:15" ht="31.5" customHeight="1" x14ac:dyDescent="0.25">
      <c r="E192" s="24" t="str">
        <f t="shared" si="3"/>
        <v>Gewonnen/Unentschieden/Verloren:</v>
      </c>
      <c r="F192" s="135" t="s">
        <v>826</v>
      </c>
      <c r="G192" s="136" t="s">
        <v>827</v>
      </c>
      <c r="H192" s="137" t="s">
        <v>828</v>
      </c>
      <c r="I192" s="138" t="s">
        <v>829</v>
      </c>
      <c r="J192" s="137" t="s">
        <v>830</v>
      </c>
      <c r="K192" s="442" t="s">
        <v>1010</v>
      </c>
      <c r="L192" s="443" t="s">
        <v>1645</v>
      </c>
      <c r="M192" s="138" t="s">
        <v>1331</v>
      </c>
      <c r="N192" s="417" t="s">
        <v>1514</v>
      </c>
      <c r="O192" s="121"/>
    </row>
    <row r="193" spans="5:15" ht="15" customHeight="1" x14ac:dyDescent="0.25">
      <c r="E193" s="24" t="str">
        <f t="shared" si="3"/>
        <v>Tordifferenz:</v>
      </c>
      <c r="F193" s="135" t="s">
        <v>831</v>
      </c>
      <c r="G193" s="136" t="s">
        <v>832</v>
      </c>
      <c r="H193" s="137" t="s">
        <v>833</v>
      </c>
      <c r="I193" s="138" t="s">
        <v>834</v>
      </c>
      <c r="J193" s="137" t="s">
        <v>835</v>
      </c>
      <c r="K193" s="442" t="s">
        <v>1011</v>
      </c>
      <c r="L193" s="443" t="s">
        <v>1646</v>
      </c>
      <c r="M193" s="138" t="s">
        <v>1332</v>
      </c>
      <c r="N193" s="417" t="s">
        <v>1515</v>
      </c>
      <c r="O193" s="121"/>
    </row>
    <row r="194" spans="5:15" ht="46.5" customHeight="1" x14ac:dyDescent="0.25">
      <c r="E194" s="24" t="str">
        <f t="shared" si="3"/>
        <v>Viele Tore - gute Annäherung</v>
      </c>
      <c r="F194" s="135" t="s">
        <v>836</v>
      </c>
      <c r="G194" s="136" t="s">
        <v>837</v>
      </c>
      <c r="H194" s="137" t="s">
        <v>838</v>
      </c>
      <c r="I194" s="138" t="s">
        <v>839</v>
      </c>
      <c r="J194" s="137" t="s">
        <v>840</v>
      </c>
      <c r="K194" s="442" t="s">
        <v>1012</v>
      </c>
      <c r="L194" s="443" t="s">
        <v>1647</v>
      </c>
      <c r="M194" s="138" t="s">
        <v>1333</v>
      </c>
      <c r="N194" s="417" t="s">
        <v>1516</v>
      </c>
      <c r="O194" s="121"/>
    </row>
    <row r="195" spans="5:15" ht="15" customHeight="1" x14ac:dyDescent="0.25">
      <c r="E195" s="24" t="str">
        <f t="shared" si="3"/>
        <v>Tore exakt:</v>
      </c>
      <c r="F195" s="135" t="s">
        <v>841</v>
      </c>
      <c r="G195" s="136" t="s">
        <v>842</v>
      </c>
      <c r="H195" s="137" t="s">
        <v>843</v>
      </c>
      <c r="I195" s="138" t="s">
        <v>844</v>
      </c>
      <c r="J195" s="137" t="s">
        <v>845</v>
      </c>
      <c r="K195" s="442" t="s">
        <v>1013</v>
      </c>
      <c r="L195" s="443" t="s">
        <v>1648</v>
      </c>
      <c r="M195" s="138" t="s">
        <v>1334</v>
      </c>
      <c r="N195" s="417" t="s">
        <v>1517</v>
      </c>
      <c r="O195" s="121"/>
    </row>
    <row r="196" spans="5:15" ht="35.25" customHeight="1" x14ac:dyDescent="0.25">
      <c r="E196" s="24" t="str">
        <f t="shared" si="3"/>
        <v>korrektes Team (KO-Phase):</v>
      </c>
      <c r="F196" s="135" t="s">
        <v>846</v>
      </c>
      <c r="G196" s="136" t="s">
        <v>847</v>
      </c>
      <c r="H196" s="137" t="s">
        <v>848</v>
      </c>
      <c r="I196" s="138" t="s">
        <v>849</v>
      </c>
      <c r="J196" s="137" t="s">
        <v>850</v>
      </c>
      <c r="K196" s="442" t="s">
        <v>1014</v>
      </c>
      <c r="L196" s="443" t="s">
        <v>1649</v>
      </c>
      <c r="M196" s="138" t="s">
        <v>1335</v>
      </c>
      <c r="N196" s="417" t="s">
        <v>1518</v>
      </c>
      <c r="O196" s="121"/>
    </row>
    <row r="197" spans="5:15" ht="121.5" customHeight="1" x14ac:dyDescent="0.25">
      <c r="E197" s="24" t="str">
        <f t="shared" si="3"/>
        <v>Um zum Beispiel zehn weitere Personen hinzuzufügen, selektiere die Spalten HI bis MG und kopiere sie nach rechts. Fertig. (Blattschutz entfernen!)</v>
      </c>
      <c r="F197" s="135" t="s">
        <v>919</v>
      </c>
      <c r="G197" s="136" t="s">
        <v>920</v>
      </c>
      <c r="H197" s="137" t="s">
        <v>921</v>
      </c>
      <c r="I197" s="138" t="s">
        <v>922</v>
      </c>
      <c r="J197" s="137" t="s">
        <v>923</v>
      </c>
      <c r="K197" s="442" t="s">
        <v>1015</v>
      </c>
      <c r="L197" s="443" t="s">
        <v>1650</v>
      </c>
      <c r="M197" s="138" t="s">
        <v>1336</v>
      </c>
      <c r="N197" s="417" t="s">
        <v>1519</v>
      </c>
      <c r="O197" s="121"/>
    </row>
    <row r="198" spans="5:15" ht="107.25" customHeight="1" x14ac:dyDescent="0.25">
      <c r="E198" s="24" t="str">
        <f t="shared" ref="E198:E233" si="4">IF($C$3,F198,IF($C$11,G198,IF($C$9,H198,IF($C$7,I198,IF($C$8,J198,IF($C$6,K198,IF($C$5,L198,IF($C$10,M198,IF($C$4,N198,IF(O198&lt;&gt;"",O198,F198))))))))))</f>
        <v>Um die Teams in der KO-Runde vorherzusagen, gib in den gelben Feldern die Nummern der Teams ein.</v>
      </c>
      <c r="F198" s="135" t="s">
        <v>851</v>
      </c>
      <c r="G198" s="136" t="s">
        <v>852</v>
      </c>
      <c r="H198" s="137" t="s">
        <v>853</v>
      </c>
      <c r="I198" s="138" t="s">
        <v>854</v>
      </c>
      <c r="J198" s="137" t="s">
        <v>855</v>
      </c>
      <c r="K198" s="442" t="s">
        <v>1016</v>
      </c>
      <c r="L198" s="443" t="s">
        <v>1651</v>
      </c>
      <c r="M198" s="138" t="s">
        <v>1337</v>
      </c>
      <c r="N198" s="417" t="s">
        <v>1520</v>
      </c>
      <c r="O198" s="121"/>
    </row>
    <row r="199" spans="5:15" ht="123" customHeight="1" x14ac:dyDescent="0.25">
      <c r="E199" s="24" t="str">
        <f t="shared" si="4"/>
        <v>Auf dem Tabellenblatt 'PrSettings' können die Faktoren für die einzelnen Kategorien und weitere Voreinstellungen gewählt werden.</v>
      </c>
      <c r="F199" s="135" t="s">
        <v>856</v>
      </c>
      <c r="G199" s="136" t="s">
        <v>857</v>
      </c>
      <c r="H199" s="137" t="s">
        <v>858</v>
      </c>
      <c r="I199" s="138" t="s">
        <v>859</v>
      </c>
      <c r="J199" s="137" t="s">
        <v>860</v>
      </c>
      <c r="K199" s="442" t="s">
        <v>1017</v>
      </c>
      <c r="L199" s="443" t="s">
        <v>1652</v>
      </c>
      <c r="M199" s="138" t="s">
        <v>1338</v>
      </c>
      <c r="N199" s="417" t="s">
        <v>1521</v>
      </c>
      <c r="O199" s="121"/>
    </row>
    <row r="200" spans="5:15" x14ac:dyDescent="0.25">
      <c r="E200" s="24" t="str">
        <f t="shared" si="4"/>
        <v>Zugriff auf die Datei</v>
      </c>
      <c r="F200" s="360" t="s">
        <v>861</v>
      </c>
      <c r="G200" s="361" t="s">
        <v>862</v>
      </c>
      <c r="H200" s="362" t="s">
        <v>863</v>
      </c>
      <c r="I200" s="363" t="s">
        <v>864</v>
      </c>
      <c r="J200" s="362" t="s">
        <v>865</v>
      </c>
      <c r="K200" s="433" t="s">
        <v>1018</v>
      </c>
      <c r="L200" s="444" t="s">
        <v>1653</v>
      </c>
      <c r="M200" s="363" t="s">
        <v>1339</v>
      </c>
      <c r="N200" s="416" t="s">
        <v>1522</v>
      </c>
      <c r="O200" s="364"/>
    </row>
    <row r="201" spans="5:15" x14ac:dyDescent="0.25">
      <c r="E201" s="24" t="str">
        <f t="shared" si="4"/>
        <v>Tabellenblatt</v>
      </c>
      <c r="F201" s="135" t="s">
        <v>866</v>
      </c>
      <c r="G201" s="136" t="s">
        <v>867</v>
      </c>
      <c r="H201" s="137" t="s">
        <v>868</v>
      </c>
      <c r="I201" s="138" t="s">
        <v>869</v>
      </c>
      <c r="J201" s="137" t="s">
        <v>870</v>
      </c>
      <c r="K201" s="442" t="s">
        <v>1019</v>
      </c>
      <c r="L201" s="443" t="s">
        <v>1654</v>
      </c>
      <c r="M201" s="138" t="s">
        <v>1340</v>
      </c>
      <c r="N201" s="417" t="s">
        <v>1523</v>
      </c>
      <c r="O201" s="121"/>
    </row>
    <row r="202" spans="5:15" x14ac:dyDescent="0.25">
      <c r="E202" s="24" t="str">
        <f t="shared" si="4"/>
        <v>Gewinner im Finale:</v>
      </c>
      <c r="F202" s="365" t="s">
        <v>918</v>
      </c>
      <c r="G202" s="366" t="s">
        <v>917</v>
      </c>
      <c r="H202" s="367" t="s">
        <v>916</v>
      </c>
      <c r="I202" s="368" t="s">
        <v>915</v>
      </c>
      <c r="J202" s="367" t="s">
        <v>914</v>
      </c>
      <c r="K202" s="445" t="s">
        <v>1030</v>
      </c>
      <c r="L202" s="446" t="s">
        <v>1655</v>
      </c>
      <c r="M202" s="368" t="s">
        <v>1341</v>
      </c>
      <c r="N202" s="420" t="s">
        <v>1524</v>
      </c>
      <c r="O202" s="369"/>
    </row>
    <row r="203" spans="5:15" ht="60" x14ac:dyDescent="0.25">
      <c r="E203" s="24" t="str">
        <f t="shared" si="4"/>
        <v>Punkte für die Tordifferenz bei Unentschieden:</v>
      </c>
      <c r="F203" s="360" t="s">
        <v>1729</v>
      </c>
      <c r="G203" s="361" t="s">
        <v>871</v>
      </c>
      <c r="H203" s="362" t="s">
        <v>872</v>
      </c>
      <c r="I203" s="363" t="s">
        <v>873</v>
      </c>
      <c r="J203" s="362" t="s">
        <v>874</v>
      </c>
      <c r="K203" s="433" t="s">
        <v>1020</v>
      </c>
      <c r="L203" s="444" t="s">
        <v>1656</v>
      </c>
      <c r="M203" s="363" t="s">
        <v>1342</v>
      </c>
      <c r="N203" s="416" t="s">
        <v>1525</v>
      </c>
      <c r="O203" s="364"/>
    </row>
    <row r="204" spans="5:15" x14ac:dyDescent="0.25">
      <c r="E204" s="24" t="str">
        <f t="shared" si="4"/>
        <v>ja</v>
      </c>
      <c r="F204" s="360" t="s">
        <v>875</v>
      </c>
      <c r="G204" s="361" t="s">
        <v>876</v>
      </c>
      <c r="H204" s="362" t="s">
        <v>877</v>
      </c>
      <c r="I204" s="363" t="s">
        <v>878</v>
      </c>
      <c r="J204" s="362" t="s">
        <v>879</v>
      </c>
      <c r="K204" s="433" t="s">
        <v>879</v>
      </c>
      <c r="L204" s="444" t="s">
        <v>1657</v>
      </c>
      <c r="M204" s="363" t="s">
        <v>1343</v>
      </c>
      <c r="N204" s="416" t="s">
        <v>1526</v>
      </c>
      <c r="O204" s="364"/>
    </row>
    <row r="205" spans="5:15" x14ac:dyDescent="0.25">
      <c r="E205" s="24" t="str">
        <f t="shared" si="4"/>
        <v>nein</v>
      </c>
      <c r="F205" s="360" t="s">
        <v>880</v>
      </c>
      <c r="G205" s="361" t="s">
        <v>880</v>
      </c>
      <c r="H205" s="362" t="s">
        <v>880</v>
      </c>
      <c r="I205" s="363" t="s">
        <v>881</v>
      </c>
      <c r="J205" s="362" t="s">
        <v>882</v>
      </c>
      <c r="K205" s="433" t="s">
        <v>1021</v>
      </c>
      <c r="L205" s="444" t="s">
        <v>1658</v>
      </c>
      <c r="M205" s="363" t="s">
        <v>1344</v>
      </c>
      <c r="N205" s="416" t="s">
        <v>1527</v>
      </c>
      <c r="O205" s="364"/>
    </row>
    <row r="206" spans="5:15" ht="60" x14ac:dyDescent="0.25">
      <c r="E206" s="24" t="str">
        <f t="shared" si="4"/>
        <v>Mindestanzahl für 'Viele Tore' bei Unentschieden:</v>
      </c>
      <c r="F206" s="135" t="s">
        <v>1730</v>
      </c>
      <c r="G206" s="136" t="s">
        <v>883</v>
      </c>
      <c r="H206" s="137" t="s">
        <v>884</v>
      </c>
      <c r="I206" s="138" t="s">
        <v>885</v>
      </c>
      <c r="J206" s="137" t="s">
        <v>886</v>
      </c>
      <c r="K206" s="442" t="s">
        <v>1022</v>
      </c>
      <c r="L206" s="443" t="s">
        <v>1659</v>
      </c>
      <c r="M206" s="138" t="s">
        <v>1345</v>
      </c>
      <c r="N206" s="417" t="s">
        <v>1528</v>
      </c>
      <c r="O206" s="121"/>
    </row>
    <row r="207" spans="5:15" ht="60" x14ac:dyDescent="0.25">
      <c r="E207" s="24" t="str">
        <f t="shared" si="4"/>
        <v>Mindestanzahl für eine große Tordifferenz:</v>
      </c>
      <c r="F207" s="135" t="s">
        <v>887</v>
      </c>
      <c r="G207" s="136" t="s">
        <v>888</v>
      </c>
      <c r="H207" s="137" t="s">
        <v>889</v>
      </c>
      <c r="I207" s="138" t="s">
        <v>890</v>
      </c>
      <c r="J207" s="137" t="s">
        <v>891</v>
      </c>
      <c r="K207" s="442" t="s">
        <v>1023</v>
      </c>
      <c r="L207" s="443" t="s">
        <v>1660</v>
      </c>
      <c r="M207" s="138" t="s">
        <v>1346</v>
      </c>
      <c r="N207" s="417" t="s">
        <v>1529</v>
      </c>
      <c r="O207" s="121"/>
    </row>
    <row r="208" spans="5:15" ht="138" customHeight="1" x14ac:dyDescent="0.25">
      <c r="E208" s="24" t="str">
        <f t="shared" si="4"/>
        <v>Sind viele Tore gefallen, kann man auch Punkte für eine gute Annäherung an das Ergebnis vergeben. Es gibt 3 Fälle:</v>
      </c>
      <c r="F208" s="135" t="s">
        <v>1700</v>
      </c>
      <c r="G208" s="136" t="s">
        <v>1698</v>
      </c>
      <c r="H208" s="137" t="s">
        <v>1696</v>
      </c>
      <c r="I208" s="138" t="s">
        <v>1694</v>
      </c>
      <c r="J208" s="137" t="s">
        <v>1686</v>
      </c>
      <c r="K208" s="442" t="s">
        <v>1728</v>
      </c>
      <c r="L208" s="443" t="s">
        <v>1691</v>
      </c>
      <c r="M208" s="138" t="s">
        <v>1726</v>
      </c>
      <c r="N208" s="417" t="s">
        <v>1688</v>
      </c>
      <c r="O208" s="121"/>
    </row>
    <row r="209" spans="5:15" ht="53.25" customHeight="1" x14ac:dyDescent="0.25">
      <c r="E209" s="24" t="str">
        <f t="shared" si="4"/>
        <v>a) Abweichung von maximal 1 Tor bei einem Unentschieden
     z.B.  4:4  statt 5:5</v>
      </c>
      <c r="F209" s="135" t="s">
        <v>1706</v>
      </c>
      <c r="G209" s="136" t="s">
        <v>1710</v>
      </c>
      <c r="H209" s="137" t="s">
        <v>1713</v>
      </c>
      <c r="I209" s="138" t="s">
        <v>1716</v>
      </c>
      <c r="J209" s="137" t="s">
        <v>1701</v>
      </c>
      <c r="K209" s="442" t="s">
        <v>1732</v>
      </c>
      <c r="L209" s="443" t="s">
        <v>1720</v>
      </c>
      <c r="M209" s="138" t="s">
        <v>1722</v>
      </c>
      <c r="N209" s="417" t="s">
        <v>1724</v>
      </c>
      <c r="O209" s="121"/>
    </row>
    <row r="210" spans="5:15" ht="53.25" customHeight="1" x14ac:dyDescent="0.25">
      <c r="E210" s="24" t="str">
        <f t="shared" si="4"/>
        <v>b) Abweichung von maximal 1 Tor bei der Tordifferenz
     z.B.  4:1 statt 5:1</v>
      </c>
      <c r="F210" s="135" t="s">
        <v>1707</v>
      </c>
      <c r="G210" s="136" t="s">
        <v>1709</v>
      </c>
      <c r="H210" s="137" t="s">
        <v>1712</v>
      </c>
      <c r="I210" s="138" t="s">
        <v>1715</v>
      </c>
      <c r="J210" s="137" t="s">
        <v>1702</v>
      </c>
      <c r="K210" s="442" t="s">
        <v>1717</v>
      </c>
      <c r="L210" s="443" t="s">
        <v>1719</v>
      </c>
      <c r="M210" s="138" t="s">
        <v>1721</v>
      </c>
      <c r="N210" s="417" t="s">
        <v>1723</v>
      </c>
      <c r="O210" s="121"/>
    </row>
    <row r="211" spans="5:15" ht="76.5" customHeight="1" x14ac:dyDescent="0.25">
      <c r="E211" s="24" t="str">
        <f t="shared" si="4"/>
        <v>c) Abweichung von maximal 1 Tor bei einer Mannschaft oder bei beiden Mannschaften. Eine Abweichung bei beiden Mannschaften muss in dieselbe Richtung gehen,
     z.B.  5:1 statt 6:2</v>
      </c>
      <c r="F211" s="135" t="s">
        <v>1734</v>
      </c>
      <c r="G211" s="136" t="s">
        <v>1708</v>
      </c>
      <c r="H211" s="137" t="s">
        <v>1711</v>
      </c>
      <c r="I211" s="138" t="s">
        <v>1714</v>
      </c>
      <c r="J211" s="137" t="s">
        <v>1733</v>
      </c>
      <c r="K211" s="442" t="s">
        <v>1703</v>
      </c>
      <c r="L211" s="443" t="s">
        <v>1718</v>
      </c>
      <c r="M211" s="138" t="s">
        <v>1704</v>
      </c>
      <c r="N211" s="417" t="s">
        <v>1705</v>
      </c>
      <c r="O211" s="121"/>
    </row>
    <row r="212" spans="5:15" ht="158.25" customHeight="1" x14ac:dyDescent="0.25">
      <c r="E212" s="24" t="str">
        <f t="shared" si="4"/>
        <v>Wer das nicht möchte, kann beim entsprechenden Faktor eine Null eintragen.
Man kann auch einzelne Optionen deaktivieren, indem man eine Mindestanzahl von 99 einträgt.</v>
      </c>
      <c r="F212" s="135" t="s">
        <v>1699</v>
      </c>
      <c r="G212" s="136" t="s">
        <v>1697</v>
      </c>
      <c r="H212" s="137" t="s">
        <v>1695</v>
      </c>
      <c r="I212" s="138" t="s">
        <v>1693</v>
      </c>
      <c r="J212" s="137" t="s">
        <v>1685</v>
      </c>
      <c r="K212" s="442" t="s">
        <v>1692</v>
      </c>
      <c r="L212" s="443" t="s">
        <v>1690</v>
      </c>
      <c r="M212" s="138" t="s">
        <v>1689</v>
      </c>
      <c r="N212" s="417" t="s">
        <v>1687</v>
      </c>
      <c r="O212" s="121"/>
    </row>
    <row r="213" spans="5:15" ht="300" x14ac:dyDescent="0.25">
      <c r="E213" s="24" t="str">
        <f t="shared" si="4"/>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F213" s="135" t="s">
        <v>1731</v>
      </c>
      <c r="G213" s="136" t="s">
        <v>892</v>
      </c>
      <c r="H213" s="137" t="s">
        <v>893</v>
      </c>
      <c r="I213" s="138" t="s">
        <v>894</v>
      </c>
      <c r="J213" s="137" t="s">
        <v>895</v>
      </c>
      <c r="K213" s="442" t="s">
        <v>1024</v>
      </c>
      <c r="L213" s="443" t="s">
        <v>1661</v>
      </c>
      <c r="M213" s="138" t="s">
        <v>1727</v>
      </c>
      <c r="N213" s="417" t="s">
        <v>1530</v>
      </c>
      <c r="O213" s="121"/>
    </row>
    <row r="214" spans="5:15" ht="47.25" customHeight="1" x14ac:dyDescent="0.25">
      <c r="E214" s="24" t="str">
        <f t="shared" si="4"/>
        <v>Mindestanzahl für eine große Summe an Toren:</v>
      </c>
      <c r="F214" s="135" t="s">
        <v>896</v>
      </c>
      <c r="G214" s="136" t="s">
        <v>897</v>
      </c>
      <c r="H214" s="137" t="s">
        <v>898</v>
      </c>
      <c r="I214" s="138" t="s">
        <v>899</v>
      </c>
      <c r="J214" s="137" t="s">
        <v>900</v>
      </c>
      <c r="K214" s="442" t="s">
        <v>1025</v>
      </c>
      <c r="L214" s="443" t="s">
        <v>1662</v>
      </c>
      <c r="M214" s="138" t="s">
        <v>1347</v>
      </c>
      <c r="N214" s="417" t="s">
        <v>1531</v>
      </c>
      <c r="O214" s="121"/>
    </row>
    <row r="215" spans="5:15" ht="257.25" customHeight="1" x14ac:dyDescent="0.25">
      <c r="E215" s="24" t="str">
        <f t="shared" si="4"/>
        <v>Im Achtelfinale, Viertelfinale und Halbfinale wird das Ergebnis ohne Elfmeterschießen vorhergesagt. Es kann also auch ein Unentschieden eingetragen werden. Im Finale und im Spiel um den dritten Platz muss das Gesamtergebnis (mit Elfmeterschießen) eingetragen werden.</v>
      </c>
      <c r="F215" s="135" t="s">
        <v>901</v>
      </c>
      <c r="G215" s="136" t="s">
        <v>902</v>
      </c>
      <c r="H215" s="137" t="s">
        <v>903</v>
      </c>
      <c r="I215" s="138" t="s">
        <v>904</v>
      </c>
      <c r="J215" s="137" t="s">
        <v>905</v>
      </c>
      <c r="K215" s="442" t="s">
        <v>1026</v>
      </c>
      <c r="L215" s="443" t="s">
        <v>1663</v>
      </c>
      <c r="M215" s="138" t="s">
        <v>1348</v>
      </c>
      <c r="N215" s="417" t="s">
        <v>1532</v>
      </c>
      <c r="O215" s="121"/>
    </row>
    <row r="216" spans="5:15" ht="19.5" customHeight="1" x14ac:dyDescent="0.25">
      <c r="E216" s="24" t="str">
        <f t="shared" si="4"/>
        <v>Anzahl:</v>
      </c>
      <c r="F216" s="135" t="s">
        <v>1198</v>
      </c>
      <c r="G216" s="136" t="s">
        <v>1199</v>
      </c>
      <c r="H216" s="137" t="s">
        <v>1200</v>
      </c>
      <c r="I216" s="138" t="s">
        <v>1201</v>
      </c>
      <c r="J216" s="137" t="s">
        <v>1202</v>
      </c>
      <c r="K216" s="442" t="s">
        <v>1203</v>
      </c>
      <c r="L216" s="443" t="s">
        <v>1203</v>
      </c>
      <c r="M216" s="138" t="s">
        <v>1199</v>
      </c>
      <c r="N216" s="417" t="s">
        <v>1533</v>
      </c>
      <c r="O216" s="121"/>
    </row>
    <row r="217" spans="5:15" ht="27.75" customHeight="1" x14ac:dyDescent="0.25">
      <c r="E217" s="24" t="str">
        <f t="shared" si="4"/>
        <v>Europameister</v>
      </c>
      <c r="F217" s="135" t="s">
        <v>1675</v>
      </c>
      <c r="G217" s="136" t="s">
        <v>1676</v>
      </c>
      <c r="H217" s="137" t="s">
        <v>1677</v>
      </c>
      <c r="I217" s="138" t="s">
        <v>1678</v>
      </c>
      <c r="J217" s="137" t="s">
        <v>1679</v>
      </c>
      <c r="K217" s="442" t="s">
        <v>1680</v>
      </c>
      <c r="L217" s="443" t="s">
        <v>1681</v>
      </c>
      <c r="M217" s="138" t="s">
        <v>1682</v>
      </c>
      <c r="N217" s="417" t="s">
        <v>1683</v>
      </c>
      <c r="O217" s="121"/>
    </row>
    <row r="218" spans="5:15" ht="15.75" thickBot="1" x14ac:dyDescent="0.3">
      <c r="E218" s="24">
        <f t="shared" si="4"/>
        <v>0</v>
      </c>
      <c r="F218" s="370"/>
      <c r="G218" s="371"/>
      <c r="H218" s="372"/>
      <c r="I218" s="373"/>
      <c r="J218" s="372"/>
      <c r="K218" s="447"/>
      <c r="L218" s="448"/>
      <c r="M218" s="373"/>
      <c r="N218" s="419"/>
      <c r="O218" s="374"/>
    </row>
    <row r="219" spans="5:15" ht="16.5" thickTop="1" thickBot="1" x14ac:dyDescent="0.3">
      <c r="E219" s="24"/>
    </row>
    <row r="220" spans="5:15" ht="29.25" thickTop="1" x14ac:dyDescent="0.45">
      <c r="E220" s="24"/>
      <c r="F220" s="92" t="s">
        <v>1092</v>
      </c>
      <c r="G220" s="396"/>
      <c r="H220" s="396"/>
      <c r="I220" s="396"/>
      <c r="J220" s="396"/>
      <c r="K220" s="397"/>
      <c r="L220" s="396"/>
      <c r="M220" s="396"/>
      <c r="N220" s="396"/>
      <c r="O220" s="398"/>
    </row>
    <row r="221" spans="5:15" x14ac:dyDescent="0.25">
      <c r="E221" s="24" t="str">
        <f t="shared" si="4"/>
        <v>Täglicher Spielplan</v>
      </c>
      <c r="F221" s="128" t="s">
        <v>1092</v>
      </c>
      <c r="G221" s="129" t="s">
        <v>1093</v>
      </c>
      <c r="H221" s="127" t="s">
        <v>1094</v>
      </c>
      <c r="I221" s="130" t="s">
        <v>1095</v>
      </c>
      <c r="J221" s="127" t="s">
        <v>1096</v>
      </c>
      <c r="K221" s="449" t="s">
        <v>1097</v>
      </c>
      <c r="L221" s="450" t="s">
        <v>1664</v>
      </c>
      <c r="M221" s="130" t="s">
        <v>1349</v>
      </c>
      <c r="N221" s="421" t="s">
        <v>1534</v>
      </c>
      <c r="O221" s="399"/>
    </row>
    <row r="222" spans="5:15" x14ac:dyDescent="0.25">
      <c r="E222" s="24" t="str">
        <f t="shared" si="4"/>
        <v>Spiel Nr.</v>
      </c>
      <c r="F222" s="128" t="s">
        <v>351</v>
      </c>
      <c r="G222" s="129" t="s">
        <v>1098</v>
      </c>
      <c r="H222" s="127" t="s">
        <v>1099</v>
      </c>
      <c r="I222" s="130" t="s">
        <v>1100</v>
      </c>
      <c r="J222" s="127" t="s">
        <v>1101</v>
      </c>
      <c r="K222" s="449" t="s">
        <v>1102</v>
      </c>
      <c r="L222" s="450" t="s">
        <v>1665</v>
      </c>
      <c r="M222" s="130" t="s">
        <v>1350</v>
      </c>
      <c r="N222" s="421" t="s">
        <v>1535</v>
      </c>
      <c r="O222" s="399"/>
    </row>
    <row r="223" spans="5:15" x14ac:dyDescent="0.25">
      <c r="E223" s="24" t="str">
        <f t="shared" si="4"/>
        <v>Teams</v>
      </c>
      <c r="F223" s="128" t="s">
        <v>305</v>
      </c>
      <c r="G223" s="129" t="s">
        <v>1103</v>
      </c>
      <c r="H223" s="127" t="s">
        <v>1104</v>
      </c>
      <c r="I223" s="130" t="s">
        <v>1105</v>
      </c>
      <c r="J223" s="127" t="s">
        <v>305</v>
      </c>
      <c r="K223" s="449" t="s">
        <v>305</v>
      </c>
      <c r="L223" s="450" t="s">
        <v>1666</v>
      </c>
      <c r="M223" s="130" t="s">
        <v>1324</v>
      </c>
      <c r="N223" s="421" t="s">
        <v>1536</v>
      </c>
      <c r="O223" s="399"/>
    </row>
    <row r="224" spans="5:15" x14ac:dyDescent="0.25">
      <c r="E224" s="24" t="str">
        <f t="shared" si="4"/>
        <v>Zeit</v>
      </c>
      <c r="F224" s="128" t="s">
        <v>1106</v>
      </c>
      <c r="G224" s="129" t="s">
        <v>1107</v>
      </c>
      <c r="H224" s="127" t="s">
        <v>1108</v>
      </c>
      <c r="I224" s="130" t="s">
        <v>1109</v>
      </c>
      <c r="J224" s="127" t="s">
        <v>1110</v>
      </c>
      <c r="K224" s="449" t="s">
        <v>1111</v>
      </c>
      <c r="L224" s="450" t="s">
        <v>1667</v>
      </c>
      <c r="M224" s="130" t="s">
        <v>1108</v>
      </c>
      <c r="N224" s="421" t="s">
        <v>1537</v>
      </c>
      <c r="O224" s="399"/>
    </row>
    <row r="225" spans="5:15" x14ac:dyDescent="0.25">
      <c r="E225" s="24" t="str">
        <f t="shared" si="4"/>
        <v>Team 1</v>
      </c>
      <c r="F225" s="128" t="s">
        <v>276</v>
      </c>
      <c r="G225" s="129" t="s">
        <v>1112</v>
      </c>
      <c r="H225" s="127" t="s">
        <v>1113</v>
      </c>
      <c r="I225" s="130" t="s">
        <v>1114</v>
      </c>
      <c r="J225" s="127" t="s">
        <v>276</v>
      </c>
      <c r="K225" s="449" t="s">
        <v>276</v>
      </c>
      <c r="L225" s="450" t="s">
        <v>1668</v>
      </c>
      <c r="M225" s="130" t="s">
        <v>1351</v>
      </c>
      <c r="N225" s="421" t="s">
        <v>1538</v>
      </c>
      <c r="O225" s="399"/>
    </row>
    <row r="226" spans="5:15" x14ac:dyDescent="0.25">
      <c r="E226" s="24" t="str">
        <f t="shared" si="4"/>
        <v>Team 2</v>
      </c>
      <c r="F226" s="128" t="s">
        <v>277</v>
      </c>
      <c r="G226" s="129" t="s">
        <v>1115</v>
      </c>
      <c r="H226" s="127" t="s">
        <v>1116</v>
      </c>
      <c r="I226" s="130" t="s">
        <v>1117</v>
      </c>
      <c r="J226" s="127" t="s">
        <v>277</v>
      </c>
      <c r="K226" s="449" t="s">
        <v>277</v>
      </c>
      <c r="L226" s="450" t="s">
        <v>1669</v>
      </c>
      <c r="M226" s="130" t="s">
        <v>1352</v>
      </c>
      <c r="N226" s="421" t="s">
        <v>1539</v>
      </c>
      <c r="O226" s="399"/>
    </row>
    <row r="227" spans="5:15" x14ac:dyDescent="0.25">
      <c r="E227" s="24" t="str">
        <f t="shared" si="4"/>
        <v>Achtelfinale</v>
      </c>
      <c r="F227" s="128" t="s">
        <v>793</v>
      </c>
      <c r="G227" s="129" t="s">
        <v>794</v>
      </c>
      <c r="H227" s="127" t="s">
        <v>795</v>
      </c>
      <c r="I227" s="130" t="s">
        <v>1118</v>
      </c>
      <c r="J227" s="127" t="s">
        <v>797</v>
      </c>
      <c r="K227" s="451" t="s">
        <v>1003</v>
      </c>
      <c r="L227" s="450" t="s">
        <v>1670</v>
      </c>
      <c r="M227" s="130" t="s">
        <v>1353</v>
      </c>
      <c r="N227" s="421" t="s">
        <v>1506</v>
      </c>
      <c r="O227" s="399"/>
    </row>
    <row r="228" spans="5:15" x14ac:dyDescent="0.25">
      <c r="E228" s="24" t="str">
        <f t="shared" si="4"/>
        <v>Viertelfinale</v>
      </c>
      <c r="F228" s="400" t="s">
        <v>798</v>
      </c>
      <c r="G228" s="129" t="s">
        <v>799</v>
      </c>
      <c r="H228" s="127" t="s">
        <v>800</v>
      </c>
      <c r="I228" s="130" t="s">
        <v>801</v>
      </c>
      <c r="J228" s="127" t="s">
        <v>802</v>
      </c>
      <c r="K228" s="451" t="s">
        <v>1004</v>
      </c>
      <c r="L228" s="450" t="s">
        <v>1638</v>
      </c>
      <c r="M228" s="130" t="s">
        <v>1354</v>
      </c>
      <c r="N228" s="421" t="s">
        <v>1507</v>
      </c>
      <c r="O228" s="399"/>
    </row>
    <row r="229" spans="5:15" x14ac:dyDescent="0.25">
      <c r="E229" s="24" t="str">
        <f t="shared" si="4"/>
        <v>Halbfinale</v>
      </c>
      <c r="F229" s="128" t="s">
        <v>803</v>
      </c>
      <c r="G229" s="129" t="s">
        <v>804</v>
      </c>
      <c r="H229" s="127" t="s">
        <v>805</v>
      </c>
      <c r="I229" s="130" t="s">
        <v>806</v>
      </c>
      <c r="J229" s="127" t="s">
        <v>807</v>
      </c>
      <c r="K229" s="451" t="s">
        <v>1005</v>
      </c>
      <c r="L229" s="450" t="s">
        <v>1639</v>
      </c>
      <c r="M229" s="130" t="s">
        <v>1355</v>
      </c>
      <c r="N229" s="421" t="s">
        <v>1508</v>
      </c>
      <c r="O229" s="399"/>
    </row>
    <row r="230" spans="5:15" x14ac:dyDescent="0.25">
      <c r="E230" s="24" t="str">
        <f t="shared" si="4"/>
        <v>Datum</v>
      </c>
      <c r="F230" s="128" t="s">
        <v>1119</v>
      </c>
      <c r="G230" s="129" t="s">
        <v>1120</v>
      </c>
      <c r="H230" s="127" t="s">
        <v>1121</v>
      </c>
      <c r="I230" s="130" t="s">
        <v>1119</v>
      </c>
      <c r="J230" s="127" t="s">
        <v>1122</v>
      </c>
      <c r="K230" s="449" t="s">
        <v>1122</v>
      </c>
      <c r="L230" s="450" t="s">
        <v>1671</v>
      </c>
      <c r="M230" s="130" t="s">
        <v>1121</v>
      </c>
      <c r="N230" s="421" t="s">
        <v>1540</v>
      </c>
      <c r="O230" s="399"/>
    </row>
    <row r="231" spans="5:15" x14ac:dyDescent="0.25">
      <c r="E231" s="24" t="str">
        <f t="shared" si="4"/>
        <v>Favoriten einfärben</v>
      </c>
      <c r="F231" s="128" t="s">
        <v>1123</v>
      </c>
      <c r="G231" s="129" t="s">
        <v>1124</v>
      </c>
      <c r="H231" s="127" t="s">
        <v>1125</v>
      </c>
      <c r="I231" s="130" t="s">
        <v>1126</v>
      </c>
      <c r="J231" s="127" t="s">
        <v>1127</v>
      </c>
      <c r="K231" s="449" t="s">
        <v>1128</v>
      </c>
      <c r="L231" s="450" t="s">
        <v>1672</v>
      </c>
      <c r="M231" s="130" t="s">
        <v>1356</v>
      </c>
      <c r="N231" s="421" t="s">
        <v>1541</v>
      </c>
      <c r="O231" s="399"/>
    </row>
    <row r="232" spans="5:15" ht="30" x14ac:dyDescent="0.25">
      <c r="E232" s="24" t="str">
        <f t="shared" si="4"/>
        <v>Hier den Gruppencode eingeben</v>
      </c>
      <c r="F232" s="401" t="s">
        <v>1129</v>
      </c>
      <c r="G232" s="402" t="s">
        <v>1130</v>
      </c>
      <c r="H232" s="403" t="s">
        <v>1131</v>
      </c>
      <c r="I232" s="404" t="s">
        <v>1132</v>
      </c>
      <c r="J232" s="403" t="s">
        <v>1133</v>
      </c>
      <c r="K232" s="449" t="s">
        <v>1134</v>
      </c>
      <c r="L232" s="452" t="s">
        <v>1673</v>
      </c>
      <c r="M232" s="404" t="s">
        <v>1357</v>
      </c>
      <c r="N232" s="422" t="s">
        <v>1542</v>
      </c>
      <c r="O232" s="399"/>
    </row>
    <row r="233" spans="5:15" ht="15.75" thickBot="1" x14ac:dyDescent="0.3">
      <c r="E233" s="24">
        <f t="shared" si="4"/>
        <v>0</v>
      </c>
      <c r="F233" s="131"/>
      <c r="G233" s="132"/>
      <c r="H233" s="133"/>
      <c r="I233" s="134"/>
      <c r="J233" s="133"/>
      <c r="K233" s="453"/>
      <c r="L233" s="454"/>
      <c r="M233" s="134"/>
      <c r="N233" s="415"/>
      <c r="O233" s="405"/>
    </row>
    <row r="234" spans="5:15" ht="15.75" thickTop="1" x14ac:dyDescent="0.25"/>
    <row r="235" spans="5:15" x14ac:dyDescent="0.25"/>
    <row r="236" spans="5:15" x14ac:dyDescent="0.25"/>
    <row r="237" spans="5:15" x14ac:dyDescent="0.25"/>
    <row r="238" spans="5:15" x14ac:dyDescent="0.25"/>
    <row r="239" spans="5:15" x14ac:dyDescent="0.25"/>
  </sheetData>
  <sheetProtection sheet="1" selectLockedCells="1"/>
  <mergeCells count="14">
    <mergeCell ref="O3:O4"/>
    <mergeCell ref="F1:J1"/>
    <mergeCell ref="F2:J2"/>
    <mergeCell ref="D3:D4"/>
    <mergeCell ref="J3:J4"/>
    <mergeCell ref="E3:E4"/>
    <mergeCell ref="F3:F4"/>
    <mergeCell ref="G3:G4"/>
    <mergeCell ref="H3:H4"/>
    <mergeCell ref="I3:I4"/>
    <mergeCell ref="K3:K4"/>
    <mergeCell ref="M3:M4"/>
    <mergeCell ref="N3:N4"/>
    <mergeCell ref="L3:L4"/>
  </mergeCells>
  <conditionalFormatting sqref="F3:F4">
    <cfRule type="expression" dxfId="14" priority="15">
      <formula>$C$3</formula>
    </cfRule>
  </conditionalFormatting>
  <conditionalFormatting sqref="G3:G4">
    <cfRule type="expression" dxfId="13" priority="14">
      <formula>$C$11</formula>
    </cfRule>
  </conditionalFormatting>
  <conditionalFormatting sqref="D3:D4">
    <cfRule type="expression" dxfId="12" priority="399">
      <formula>#REF!</formula>
    </cfRule>
  </conditionalFormatting>
  <conditionalFormatting sqref="H3:H4">
    <cfRule type="expression" dxfId="11" priority="400">
      <formula>$C$9</formula>
    </cfRule>
  </conditionalFormatting>
  <conditionalFormatting sqref="I3:I4">
    <cfRule type="expression" dxfId="10" priority="401">
      <formula>$C$7</formula>
    </cfRule>
  </conditionalFormatting>
  <conditionalFormatting sqref="J3:J4">
    <cfRule type="expression" dxfId="9" priority="402">
      <formula>$C$8</formula>
    </cfRule>
  </conditionalFormatting>
  <conditionalFormatting sqref="O3:O4">
    <cfRule type="expression" dxfId="8" priority="403">
      <formula>$C$12</formula>
    </cfRule>
  </conditionalFormatting>
  <conditionalFormatting sqref="K3:K4">
    <cfRule type="expression" dxfId="7" priority="4">
      <formula>$C$6</formula>
    </cfRule>
  </conditionalFormatting>
  <conditionalFormatting sqref="M3:M4">
    <cfRule type="expression" dxfId="6" priority="3">
      <formula>$C$10</formula>
    </cfRule>
  </conditionalFormatting>
  <conditionalFormatting sqref="N3:N4">
    <cfRule type="expression" dxfId="5" priority="2">
      <formula>$C$4</formula>
    </cfRule>
  </conditionalFormatting>
  <conditionalFormatting sqref="L3:L4">
    <cfRule type="expression" dxfId="4" priority="1">
      <formula>$C$5</formula>
    </cfRule>
  </conditionalFormatting>
  <dataValidations count="3">
    <dataValidation type="whole" allowBlank="1" showInputMessage="1" showErrorMessage="1" sqref="Q2" xr:uid="{00000000-0002-0000-0B00-000000000000}">
      <formula1>1</formula1>
      <formula2>5</formula2>
    </dataValidation>
    <dataValidation allowBlank="1" showErrorMessage="1" errorTitle="Language" error="Invalid language" promptTitle="Language" prompt="Please choose a language for the country names" sqref="P3" xr:uid="{00000000-0002-0000-0B00-000001000000}"/>
    <dataValidation type="list" allowBlank="1" showErrorMessage="1" errorTitle="Language" error="Invalid language" sqref="N1" xr:uid="{00000000-0002-0000-0B00-000002000000}">
      <formula1>$B$3:$B$12</formula1>
    </dataValidation>
  </dataValidation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4"/>
  <dimension ref="A1:N80"/>
  <sheetViews>
    <sheetView showGridLines="0" showRowColHeaders="0" workbookViewId="0">
      <selection activeCell="H1" sqref="H1"/>
    </sheetView>
  </sheetViews>
  <sheetFormatPr baseColWidth="10" defaultColWidth="0" defaultRowHeight="15" zeroHeight="1" x14ac:dyDescent="0.25"/>
  <cols>
    <col min="1" max="1" width="28" customWidth="1"/>
    <col min="2" max="2" width="11.42578125" hidden="1" customWidth="1"/>
    <col min="3" max="3" width="11.42578125" customWidth="1"/>
    <col min="4" max="4" width="13.140625" customWidth="1"/>
    <col min="5" max="5" width="5.140625" hidden="1" customWidth="1"/>
    <col min="6" max="6" width="11.42578125" customWidth="1"/>
    <col min="7" max="7" width="20.42578125" customWidth="1"/>
    <col min="8" max="8" width="15.5703125" customWidth="1"/>
    <col min="9" max="9" width="17" customWidth="1"/>
    <col min="10" max="10" width="20.28515625" customWidth="1"/>
    <col min="11" max="11" width="25.85546875" hidden="1" customWidth="1"/>
    <col min="12" max="12" width="15.85546875" hidden="1" customWidth="1"/>
    <col min="13" max="13" width="16.5703125" hidden="1" customWidth="1"/>
    <col min="14" max="14" width="16.85546875" hidden="1" customWidth="1"/>
    <col min="15" max="16384" width="11.42578125" hidden="1"/>
  </cols>
  <sheetData>
    <row r="1" spans="1:14" ht="36.75" customHeight="1" thickBot="1" x14ac:dyDescent="0.5">
      <c r="A1" s="534" t="str">
        <f>Language!$E$87</f>
        <v>Wahl der Zeitzone</v>
      </c>
      <c r="B1" s="534"/>
      <c r="C1" s="534"/>
      <c r="D1" s="534"/>
      <c r="E1" s="534"/>
      <c r="F1" s="534"/>
      <c r="G1" s="300" t="str">
        <f>Language!$E$143</f>
        <v>Hier klicken und
Zeitzone wählen:</v>
      </c>
      <c r="H1" s="59" t="s">
        <v>147</v>
      </c>
      <c r="I1" s="321" t="s">
        <v>1187</v>
      </c>
    </row>
    <row r="2" spans="1:14" x14ac:dyDescent="0.25"/>
    <row r="3" spans="1:14" x14ac:dyDescent="0.25">
      <c r="C3" s="36"/>
      <c r="D3" s="5"/>
    </row>
    <row r="4" spans="1:14" ht="15.75" thickBot="1" x14ac:dyDescent="0.3">
      <c r="B4" s="139">
        <v>-12</v>
      </c>
      <c r="C4" s="170" t="s">
        <v>135</v>
      </c>
      <c r="D4" s="171" t="s">
        <v>110</v>
      </c>
      <c r="E4">
        <f>$B4/24</f>
        <v>-0.5</v>
      </c>
      <c r="F4" s="140"/>
      <c r="G4" s="548" t="str">
        <f>Language!$E$147</f>
        <v>Bei Sommerzeit muss die Zeitzone entsprechend angepasst werden (z. B. UTC+2 statt UTC+1)</v>
      </c>
      <c r="H4" s="548"/>
      <c r="I4" s="548"/>
      <c r="J4" s="142"/>
    </row>
    <row r="5" spans="1:14" ht="15" customHeight="1" x14ac:dyDescent="0.25">
      <c r="B5" s="139">
        <v>-11</v>
      </c>
      <c r="C5" s="170" t="s">
        <v>136</v>
      </c>
      <c r="D5" s="171"/>
      <c r="E5">
        <f t="shared" ref="E5:E39" si="0">$B5/24</f>
        <v>-0.45833333333333331</v>
      </c>
      <c r="G5" s="548"/>
      <c r="H5" s="548"/>
      <c r="I5" s="548"/>
      <c r="J5" s="87"/>
      <c r="K5" s="545" t="str">
        <f>Language!$E$144</f>
        <v>Zeitzone des
Gastgeberlandes:</v>
      </c>
      <c r="L5" s="546" t="s">
        <v>147</v>
      </c>
      <c r="M5" s="60"/>
      <c r="N5" s="60"/>
    </row>
    <row r="6" spans="1:14" ht="15.75" thickBot="1" x14ac:dyDescent="0.3">
      <c r="B6" s="139">
        <v>-10</v>
      </c>
      <c r="C6" s="170" t="s">
        <v>137</v>
      </c>
      <c r="D6" s="171" t="s">
        <v>111</v>
      </c>
      <c r="E6">
        <f t="shared" si="0"/>
        <v>-0.41666666666666669</v>
      </c>
      <c r="G6" s="548"/>
      <c r="H6" s="548"/>
      <c r="I6" s="548"/>
      <c r="J6" s="87"/>
      <c r="K6" s="545"/>
      <c r="L6" s="547"/>
      <c r="M6" s="60"/>
      <c r="N6" s="60"/>
    </row>
    <row r="7" spans="1:14" x14ac:dyDescent="0.25">
      <c r="B7" s="139">
        <v>-9</v>
      </c>
      <c r="C7" s="170" t="s">
        <v>138</v>
      </c>
      <c r="D7" s="171" t="s">
        <v>112</v>
      </c>
      <c r="E7">
        <f t="shared" si="0"/>
        <v>-0.375</v>
      </c>
      <c r="G7" s="144"/>
      <c r="I7" s="139"/>
      <c r="J7" s="87"/>
      <c r="K7" s="87"/>
      <c r="L7" s="60"/>
      <c r="M7" s="60"/>
      <c r="N7" s="60"/>
    </row>
    <row r="8" spans="1:14" x14ac:dyDescent="0.25">
      <c r="B8" s="139">
        <v>-8</v>
      </c>
      <c r="C8" s="170" t="s">
        <v>139</v>
      </c>
      <c r="D8" s="171" t="s">
        <v>113</v>
      </c>
      <c r="E8">
        <f t="shared" si="0"/>
        <v>-0.33333333333333331</v>
      </c>
      <c r="I8" s="139"/>
      <c r="J8" s="87"/>
      <c r="K8" s="87"/>
      <c r="L8" s="60"/>
      <c r="M8" s="60"/>
      <c r="N8" s="60"/>
    </row>
    <row r="9" spans="1:14" x14ac:dyDescent="0.25">
      <c r="B9" s="139">
        <v>-7</v>
      </c>
      <c r="C9" s="170" t="s">
        <v>140</v>
      </c>
      <c r="D9" s="171" t="s">
        <v>114</v>
      </c>
      <c r="E9">
        <f t="shared" si="0"/>
        <v>-0.29166666666666669</v>
      </c>
      <c r="I9" s="139"/>
      <c r="J9" s="87"/>
      <c r="K9" s="87"/>
      <c r="L9" s="60"/>
      <c r="M9" s="60"/>
      <c r="N9" s="60"/>
    </row>
    <row r="10" spans="1:14" ht="15" customHeight="1" x14ac:dyDescent="0.25">
      <c r="B10" s="139">
        <v>-6</v>
      </c>
      <c r="C10" s="170" t="s">
        <v>141</v>
      </c>
      <c r="D10" s="171" t="s">
        <v>115</v>
      </c>
      <c r="E10">
        <f t="shared" si="0"/>
        <v>-0.25</v>
      </c>
      <c r="J10" s="87"/>
      <c r="K10" s="87"/>
      <c r="L10" s="60"/>
      <c r="M10" s="60"/>
      <c r="N10" s="60"/>
    </row>
    <row r="11" spans="1:14" x14ac:dyDescent="0.25">
      <c r="B11" s="139">
        <v>-5</v>
      </c>
      <c r="C11" s="170" t="s">
        <v>142</v>
      </c>
      <c r="D11" s="171" t="s">
        <v>116</v>
      </c>
      <c r="E11">
        <f t="shared" si="0"/>
        <v>-0.20833333333333334</v>
      </c>
      <c r="J11" s="139"/>
      <c r="K11" s="87"/>
      <c r="L11" s="60"/>
      <c r="M11" s="60"/>
      <c r="N11" s="60"/>
    </row>
    <row r="12" spans="1:14" x14ac:dyDescent="0.25">
      <c r="B12" s="139">
        <v>-4</v>
      </c>
      <c r="C12" s="170" t="s">
        <v>143</v>
      </c>
      <c r="D12" s="171" t="s">
        <v>117</v>
      </c>
      <c r="E12">
        <f t="shared" si="0"/>
        <v>-0.16666666666666666</v>
      </c>
      <c r="J12" s="87"/>
      <c r="K12" s="87"/>
      <c r="L12" s="60"/>
      <c r="M12" s="60"/>
      <c r="N12" s="60"/>
    </row>
    <row r="13" spans="1:14" x14ac:dyDescent="0.25">
      <c r="B13" s="139">
        <v>-3.5</v>
      </c>
      <c r="C13" s="170" t="s">
        <v>134</v>
      </c>
      <c r="D13" s="171" t="s">
        <v>118</v>
      </c>
      <c r="E13">
        <f t="shared" si="0"/>
        <v>-0.14583333333333334</v>
      </c>
      <c r="I13" s="139"/>
      <c r="J13" s="87"/>
      <c r="K13" s="87"/>
      <c r="L13" s="60"/>
      <c r="M13" s="60"/>
      <c r="N13" s="60"/>
    </row>
    <row r="14" spans="1:14" x14ac:dyDescent="0.25">
      <c r="B14" s="139">
        <v>-3</v>
      </c>
      <c r="C14" s="170" t="s">
        <v>144</v>
      </c>
      <c r="D14" s="171"/>
      <c r="E14">
        <f t="shared" si="0"/>
        <v>-0.125</v>
      </c>
      <c r="I14" s="139"/>
      <c r="J14" s="87"/>
      <c r="K14" s="87"/>
      <c r="L14" s="60"/>
      <c r="M14" s="60"/>
      <c r="N14" s="60"/>
    </row>
    <row r="15" spans="1:14" x14ac:dyDescent="0.25">
      <c r="B15" s="139">
        <v>-2</v>
      </c>
      <c r="C15" s="170" t="s">
        <v>145</v>
      </c>
      <c r="D15" s="171"/>
      <c r="E15">
        <f t="shared" si="0"/>
        <v>-8.3333333333333329E-2</v>
      </c>
      <c r="I15" s="139"/>
      <c r="J15" s="87"/>
      <c r="K15" s="87"/>
      <c r="L15" s="60"/>
      <c r="M15" s="60"/>
      <c r="N15" s="60"/>
    </row>
    <row r="16" spans="1:14" x14ac:dyDescent="0.25">
      <c r="B16" s="139">
        <v>-1</v>
      </c>
      <c r="C16" s="170" t="s">
        <v>146</v>
      </c>
      <c r="D16" s="171"/>
      <c r="E16">
        <f t="shared" si="0"/>
        <v>-4.1666666666666664E-2</v>
      </c>
      <c r="I16" s="139"/>
      <c r="J16" s="87"/>
      <c r="K16" s="87"/>
      <c r="L16" s="60"/>
      <c r="M16" s="60"/>
      <c r="N16" s="60"/>
    </row>
    <row r="17" spans="2:14" x14ac:dyDescent="0.25">
      <c r="B17" s="139">
        <v>0</v>
      </c>
      <c r="C17" s="170" t="s">
        <v>129</v>
      </c>
      <c r="D17" s="171" t="s">
        <v>119</v>
      </c>
      <c r="E17">
        <f t="shared" si="0"/>
        <v>0</v>
      </c>
      <c r="I17" s="139"/>
      <c r="J17" s="87"/>
      <c r="K17" s="87"/>
      <c r="L17" s="60"/>
      <c r="M17" s="60"/>
      <c r="N17" s="60"/>
    </row>
    <row r="18" spans="2:14" x14ac:dyDescent="0.25">
      <c r="B18" s="139">
        <v>1</v>
      </c>
      <c r="C18" s="170" t="s">
        <v>133</v>
      </c>
      <c r="D18" s="171" t="s">
        <v>120</v>
      </c>
      <c r="E18">
        <f t="shared" si="0"/>
        <v>4.1666666666666664E-2</v>
      </c>
      <c r="I18" s="141"/>
      <c r="J18" s="139"/>
      <c r="K18" s="87"/>
      <c r="L18" s="60"/>
      <c r="M18" s="60"/>
      <c r="N18" s="60"/>
    </row>
    <row r="19" spans="2:14" x14ac:dyDescent="0.25">
      <c r="B19" s="139">
        <v>2</v>
      </c>
      <c r="C19" s="170" t="s">
        <v>147</v>
      </c>
      <c r="D19" s="171" t="s">
        <v>616</v>
      </c>
      <c r="E19">
        <f t="shared" si="0"/>
        <v>8.3333333333333329E-2</v>
      </c>
      <c r="I19" s="139"/>
      <c r="J19" s="87"/>
      <c r="K19" s="87"/>
      <c r="L19" s="60"/>
      <c r="M19" s="60"/>
      <c r="N19" s="60"/>
    </row>
    <row r="20" spans="2:14" x14ac:dyDescent="0.25">
      <c r="B20" s="139">
        <v>3</v>
      </c>
      <c r="C20" s="170" t="s">
        <v>148</v>
      </c>
      <c r="D20" s="171" t="s">
        <v>121</v>
      </c>
      <c r="E20">
        <f t="shared" si="0"/>
        <v>0.125</v>
      </c>
      <c r="I20" s="139"/>
      <c r="J20" s="87"/>
      <c r="K20" s="87"/>
      <c r="L20" s="60"/>
      <c r="M20" s="60"/>
      <c r="N20" s="60"/>
    </row>
    <row r="21" spans="2:14" x14ac:dyDescent="0.25">
      <c r="B21" s="139">
        <v>3.5</v>
      </c>
      <c r="C21" s="170" t="s">
        <v>1054</v>
      </c>
      <c r="D21" s="171" t="s">
        <v>128</v>
      </c>
      <c r="E21">
        <f t="shared" si="0"/>
        <v>0.14583333333333334</v>
      </c>
      <c r="I21" s="139"/>
      <c r="J21" s="87"/>
      <c r="K21" s="87"/>
      <c r="L21" s="60"/>
      <c r="M21" s="60"/>
      <c r="N21" s="60"/>
    </row>
    <row r="22" spans="2:14" x14ac:dyDescent="0.25">
      <c r="B22" s="139">
        <v>4</v>
      </c>
      <c r="C22" s="170" t="s">
        <v>1055</v>
      </c>
      <c r="D22" s="171"/>
      <c r="E22">
        <f t="shared" si="0"/>
        <v>0.16666666666666666</v>
      </c>
      <c r="I22" s="139"/>
      <c r="J22" s="87"/>
      <c r="K22" s="87"/>
      <c r="L22" s="60"/>
      <c r="M22" s="60"/>
      <c r="N22" s="60"/>
    </row>
    <row r="23" spans="2:14" x14ac:dyDescent="0.25">
      <c r="B23" s="139">
        <v>4.5</v>
      </c>
      <c r="C23" s="170" t="s">
        <v>1056</v>
      </c>
      <c r="D23" s="171"/>
      <c r="E23">
        <f t="shared" si="0"/>
        <v>0.1875</v>
      </c>
      <c r="I23" s="139"/>
      <c r="J23" s="87"/>
      <c r="K23" s="87"/>
      <c r="L23" s="60"/>
      <c r="M23" s="60"/>
      <c r="N23" s="60"/>
    </row>
    <row r="24" spans="2:14" x14ac:dyDescent="0.25">
      <c r="B24" s="139">
        <v>5</v>
      </c>
      <c r="C24" s="170" t="s">
        <v>1057</v>
      </c>
      <c r="D24" s="171"/>
      <c r="E24">
        <f t="shared" si="0"/>
        <v>0.20833333333333334</v>
      </c>
      <c r="I24" s="139"/>
      <c r="J24" s="87"/>
      <c r="K24" s="87"/>
      <c r="L24" s="60"/>
      <c r="M24" s="60"/>
      <c r="N24" s="60"/>
    </row>
    <row r="25" spans="2:14" x14ac:dyDescent="0.25">
      <c r="B25" s="139">
        <v>5.5</v>
      </c>
      <c r="C25" s="170" t="s">
        <v>1058</v>
      </c>
      <c r="D25" s="171" t="s">
        <v>127</v>
      </c>
      <c r="E25">
        <f t="shared" si="0"/>
        <v>0.22916666666666666</v>
      </c>
      <c r="I25" s="141"/>
      <c r="J25" s="139"/>
      <c r="K25" s="87"/>
      <c r="L25" s="60"/>
      <c r="M25" s="60"/>
      <c r="N25" s="60"/>
    </row>
    <row r="26" spans="2:14" x14ac:dyDescent="0.25">
      <c r="B26" s="139">
        <v>5.75</v>
      </c>
      <c r="C26" s="170" t="s">
        <v>1059</v>
      </c>
      <c r="D26" s="171"/>
      <c r="E26">
        <f t="shared" si="0"/>
        <v>0.23958333333333334</v>
      </c>
      <c r="I26" s="139"/>
      <c r="J26" s="87"/>
      <c r="K26" s="87"/>
      <c r="L26" s="60"/>
      <c r="M26" s="60"/>
      <c r="N26" s="60"/>
    </row>
    <row r="27" spans="2:14" x14ac:dyDescent="0.25">
      <c r="B27" s="139">
        <v>6</v>
      </c>
      <c r="C27" s="170" t="s">
        <v>1060</v>
      </c>
      <c r="D27" s="171"/>
      <c r="E27">
        <f t="shared" si="0"/>
        <v>0.25</v>
      </c>
      <c r="I27" s="139"/>
      <c r="J27" s="87"/>
      <c r="K27" s="87"/>
      <c r="L27" s="60"/>
      <c r="M27" s="60"/>
      <c r="N27" s="60"/>
    </row>
    <row r="28" spans="2:14" x14ac:dyDescent="0.25">
      <c r="B28" s="139">
        <v>6.5</v>
      </c>
      <c r="C28" s="170" t="s">
        <v>1061</v>
      </c>
      <c r="D28" s="171"/>
      <c r="E28">
        <f t="shared" si="0"/>
        <v>0.27083333333333331</v>
      </c>
      <c r="I28" s="139"/>
      <c r="J28" s="87"/>
      <c r="K28" s="87"/>
      <c r="L28" s="60"/>
      <c r="M28" s="60"/>
      <c r="N28" s="60"/>
    </row>
    <row r="29" spans="2:14" x14ac:dyDescent="0.25">
      <c r="B29" s="139">
        <v>7</v>
      </c>
      <c r="C29" s="170" t="s">
        <v>1062</v>
      </c>
      <c r="D29" s="171" t="s">
        <v>122</v>
      </c>
      <c r="E29">
        <f t="shared" si="0"/>
        <v>0.29166666666666669</v>
      </c>
      <c r="I29" s="139"/>
      <c r="J29" s="87"/>
      <c r="K29" s="87"/>
      <c r="L29" s="60"/>
      <c r="M29" s="60"/>
      <c r="N29" s="60"/>
    </row>
    <row r="30" spans="2:14" x14ac:dyDescent="0.25">
      <c r="B30" s="139">
        <v>8</v>
      </c>
      <c r="C30" s="170" t="s">
        <v>1063</v>
      </c>
      <c r="D30" s="171" t="s">
        <v>123</v>
      </c>
      <c r="E30">
        <f t="shared" si="0"/>
        <v>0.33333333333333331</v>
      </c>
      <c r="I30" s="139"/>
      <c r="J30" s="87"/>
      <c r="K30" s="87"/>
      <c r="L30" s="60"/>
      <c r="M30" s="60"/>
      <c r="N30" s="60"/>
    </row>
    <row r="31" spans="2:14" x14ac:dyDescent="0.25">
      <c r="B31" s="139">
        <v>9</v>
      </c>
      <c r="C31" s="170" t="s">
        <v>1064</v>
      </c>
      <c r="D31" s="171" t="s">
        <v>124</v>
      </c>
      <c r="E31">
        <f t="shared" si="0"/>
        <v>0.375</v>
      </c>
      <c r="I31" s="139"/>
      <c r="J31" s="87"/>
      <c r="K31" s="87"/>
      <c r="L31" s="60"/>
      <c r="M31" s="60"/>
      <c r="N31" s="60"/>
    </row>
    <row r="32" spans="2:14" x14ac:dyDescent="0.25">
      <c r="B32" s="139">
        <v>9.5</v>
      </c>
      <c r="C32" s="170" t="s">
        <v>1065</v>
      </c>
      <c r="D32" s="171" t="s">
        <v>126</v>
      </c>
      <c r="E32">
        <f t="shared" si="0"/>
        <v>0.39583333333333331</v>
      </c>
      <c r="I32" s="141"/>
      <c r="J32" s="139"/>
      <c r="K32" s="87"/>
      <c r="L32" s="60"/>
      <c r="M32" s="60"/>
      <c r="N32" s="60"/>
    </row>
    <row r="33" spans="2:14" x14ac:dyDescent="0.25">
      <c r="B33" s="139">
        <v>10</v>
      </c>
      <c r="C33" s="170" t="s">
        <v>1066</v>
      </c>
      <c r="D33" s="171"/>
      <c r="E33">
        <f t="shared" si="0"/>
        <v>0.41666666666666669</v>
      </c>
      <c r="I33" s="139"/>
      <c r="J33" s="87"/>
      <c r="K33" s="87"/>
      <c r="L33" s="60"/>
      <c r="M33" s="60"/>
      <c r="N33" s="60"/>
    </row>
    <row r="34" spans="2:14" x14ac:dyDescent="0.25">
      <c r="B34" s="139">
        <v>10.5</v>
      </c>
      <c r="C34" s="170" t="s">
        <v>1067</v>
      </c>
      <c r="D34" s="171"/>
      <c r="E34">
        <f t="shared" si="0"/>
        <v>0.4375</v>
      </c>
      <c r="I34" s="139"/>
      <c r="J34" s="87"/>
      <c r="K34" s="87"/>
      <c r="L34" s="60"/>
      <c r="M34" s="60"/>
      <c r="N34" s="60"/>
    </row>
    <row r="35" spans="2:14" x14ac:dyDescent="0.25">
      <c r="B35" s="139">
        <v>11</v>
      </c>
      <c r="C35" s="170" t="s">
        <v>1068</v>
      </c>
      <c r="D35" s="171"/>
      <c r="E35">
        <f t="shared" si="0"/>
        <v>0.45833333333333331</v>
      </c>
      <c r="I35" s="139"/>
      <c r="J35" s="87"/>
      <c r="K35" s="87"/>
      <c r="L35" s="60"/>
      <c r="M35" s="60"/>
      <c r="N35" s="60"/>
    </row>
    <row r="36" spans="2:14" x14ac:dyDescent="0.25">
      <c r="B36" s="139">
        <v>12</v>
      </c>
      <c r="C36" s="170" t="s">
        <v>1069</v>
      </c>
      <c r="D36" s="171" t="s">
        <v>125</v>
      </c>
      <c r="E36">
        <f t="shared" si="0"/>
        <v>0.5</v>
      </c>
      <c r="I36" s="139"/>
      <c r="J36" s="87"/>
      <c r="K36" s="87"/>
      <c r="L36" s="60"/>
      <c r="M36" s="60"/>
      <c r="N36" s="60"/>
    </row>
    <row r="37" spans="2:14" x14ac:dyDescent="0.25">
      <c r="B37" s="139">
        <v>12.75</v>
      </c>
      <c r="C37" s="170" t="s">
        <v>1070</v>
      </c>
      <c r="D37" s="171"/>
      <c r="E37">
        <f t="shared" si="0"/>
        <v>0.53125</v>
      </c>
      <c r="I37" s="139"/>
      <c r="J37" s="87"/>
      <c r="K37" s="87"/>
      <c r="L37" s="60"/>
      <c r="M37" s="60"/>
      <c r="N37" s="60"/>
    </row>
    <row r="38" spans="2:14" x14ac:dyDescent="0.25">
      <c r="B38" s="139">
        <v>13</v>
      </c>
      <c r="C38" s="170" t="s">
        <v>1071</v>
      </c>
      <c r="D38" s="171"/>
      <c r="E38">
        <f t="shared" si="0"/>
        <v>0.54166666666666663</v>
      </c>
      <c r="I38" s="139"/>
      <c r="J38" s="87"/>
      <c r="K38" s="87"/>
      <c r="L38" s="60"/>
      <c r="M38" s="60"/>
      <c r="N38" s="60"/>
    </row>
    <row r="39" spans="2:14" x14ac:dyDescent="0.25">
      <c r="B39" s="139">
        <v>14</v>
      </c>
      <c r="C39" s="170" t="s">
        <v>1072</v>
      </c>
      <c r="D39" s="171"/>
      <c r="E39">
        <f t="shared" si="0"/>
        <v>0.58333333333333337</v>
      </c>
      <c r="I39" s="141"/>
      <c r="J39" s="87"/>
      <c r="K39" s="87"/>
      <c r="L39" s="60"/>
      <c r="M39" s="60"/>
      <c r="N39" s="60"/>
    </row>
    <row r="40" spans="2:14" x14ac:dyDescent="0.25">
      <c r="I40" s="139"/>
      <c r="J40" s="87"/>
      <c r="K40" s="87"/>
      <c r="L40" s="60"/>
      <c r="M40" s="60"/>
      <c r="N40" s="60"/>
    </row>
    <row r="41" spans="2:14" x14ac:dyDescent="0.25">
      <c r="I41" s="139"/>
      <c r="J41" s="87"/>
      <c r="K41" s="87"/>
      <c r="L41" s="60"/>
      <c r="M41" s="60"/>
      <c r="N41" s="60"/>
    </row>
    <row r="42" spans="2:14" hidden="1" x14ac:dyDescent="0.25">
      <c r="I42" s="139"/>
      <c r="J42" s="87"/>
      <c r="K42" s="87"/>
      <c r="L42" s="60"/>
      <c r="M42" s="60"/>
      <c r="N42" s="60"/>
    </row>
    <row r="43" spans="2:14" hidden="1" x14ac:dyDescent="0.25">
      <c r="I43" s="139"/>
      <c r="J43" s="87"/>
      <c r="K43" s="87"/>
      <c r="L43" s="60"/>
      <c r="M43" s="60"/>
      <c r="N43" s="60"/>
    </row>
    <row r="44" spans="2:14" hidden="1" x14ac:dyDescent="0.25">
      <c r="I44" s="139"/>
      <c r="J44" s="87"/>
      <c r="K44" s="87"/>
      <c r="L44" s="60"/>
      <c r="M44" s="60"/>
      <c r="N44" s="60"/>
    </row>
    <row r="45" spans="2:14" hidden="1" x14ac:dyDescent="0.25">
      <c r="I45" s="139"/>
      <c r="J45" s="87"/>
      <c r="K45" s="87"/>
      <c r="L45" s="60"/>
      <c r="M45" s="60"/>
      <c r="N45" s="60"/>
    </row>
    <row r="46" spans="2:14" hidden="1" x14ac:dyDescent="0.25">
      <c r="I46" s="141"/>
      <c r="J46" s="139"/>
      <c r="K46" s="87"/>
      <c r="L46" s="60"/>
      <c r="M46" s="60"/>
      <c r="N46" s="60"/>
    </row>
    <row r="47" spans="2:14" hidden="1" x14ac:dyDescent="0.25">
      <c r="I47" s="139"/>
      <c r="J47" s="87"/>
      <c r="K47" s="87"/>
      <c r="L47" s="60"/>
      <c r="M47" s="60"/>
      <c r="N47" s="60"/>
    </row>
    <row r="48" spans="2:14" hidden="1" x14ac:dyDescent="0.25">
      <c r="I48" s="139"/>
      <c r="J48" s="87"/>
      <c r="K48" s="87"/>
      <c r="L48" s="60"/>
      <c r="M48" s="60"/>
      <c r="N48" s="60"/>
    </row>
    <row r="49" spans="9:14" hidden="1" x14ac:dyDescent="0.25">
      <c r="I49" s="139"/>
      <c r="J49" s="87"/>
      <c r="K49" s="87"/>
      <c r="L49" s="60"/>
      <c r="M49" s="60"/>
      <c r="N49" s="60"/>
    </row>
    <row r="50" spans="9:14" hidden="1" x14ac:dyDescent="0.25">
      <c r="I50" s="139"/>
      <c r="J50" s="87"/>
      <c r="K50" s="87"/>
      <c r="L50" s="60"/>
      <c r="M50" s="60"/>
      <c r="N50" s="60"/>
    </row>
    <row r="51" spans="9:14" hidden="1" x14ac:dyDescent="0.25">
      <c r="I51" s="139"/>
      <c r="J51" s="87"/>
      <c r="K51" s="87"/>
      <c r="L51" s="60"/>
      <c r="M51" s="60"/>
      <c r="N51" s="60"/>
    </row>
    <row r="52" spans="9:14" hidden="1" x14ac:dyDescent="0.25">
      <c r="I52" s="139"/>
      <c r="J52" s="87"/>
      <c r="K52" s="87"/>
      <c r="L52" s="60"/>
      <c r="M52" s="60"/>
      <c r="N52" s="60"/>
    </row>
    <row r="53" spans="9:14" hidden="1" x14ac:dyDescent="0.25">
      <c r="I53" s="141"/>
      <c r="J53" s="139"/>
      <c r="K53" s="87"/>
      <c r="L53" s="60"/>
      <c r="M53" s="60"/>
      <c r="N53" s="60"/>
    </row>
    <row r="54" spans="9:14" hidden="1" x14ac:dyDescent="0.25">
      <c r="I54" s="139"/>
      <c r="J54" s="87"/>
      <c r="K54" s="87"/>
      <c r="L54" s="60"/>
      <c r="M54" s="60"/>
      <c r="N54" s="60"/>
    </row>
    <row r="55" spans="9:14" hidden="1" x14ac:dyDescent="0.25">
      <c r="I55" s="139"/>
      <c r="J55" s="87"/>
      <c r="K55" s="87"/>
      <c r="L55" s="60"/>
      <c r="M55" s="60"/>
      <c r="N55" s="60"/>
    </row>
    <row r="56" spans="9:14" hidden="1" x14ac:dyDescent="0.25">
      <c r="I56" s="139"/>
      <c r="J56" s="87"/>
      <c r="K56" s="87"/>
      <c r="L56" s="60"/>
      <c r="M56" s="60"/>
      <c r="N56" s="60"/>
    </row>
    <row r="57" spans="9:14" hidden="1" x14ac:dyDescent="0.25">
      <c r="I57" s="139"/>
      <c r="J57" s="87"/>
      <c r="K57" s="87"/>
      <c r="L57" s="60"/>
      <c r="M57" s="60"/>
      <c r="N57" s="60"/>
    </row>
    <row r="58" spans="9:14" hidden="1" x14ac:dyDescent="0.25">
      <c r="I58" s="139"/>
      <c r="J58" s="87"/>
      <c r="K58" s="87"/>
      <c r="L58" s="60"/>
      <c r="M58" s="60"/>
      <c r="N58" s="60"/>
    </row>
    <row r="59" spans="9:14" hidden="1" x14ac:dyDescent="0.25">
      <c r="I59" s="139"/>
      <c r="J59" s="87"/>
      <c r="K59" s="87"/>
      <c r="L59" s="60"/>
      <c r="M59" s="60"/>
      <c r="N59" s="60"/>
    </row>
    <row r="60" spans="9:14" hidden="1" x14ac:dyDescent="0.25">
      <c r="I60" s="102"/>
      <c r="J60" s="139"/>
      <c r="K60" s="87"/>
      <c r="L60" s="60"/>
      <c r="M60" s="60"/>
      <c r="N60" s="60"/>
    </row>
    <row r="61" spans="9:14" hidden="1" x14ac:dyDescent="0.25">
      <c r="I61" s="139"/>
      <c r="J61" s="87"/>
      <c r="K61" s="87"/>
      <c r="L61" s="60"/>
      <c r="M61" s="60"/>
      <c r="N61" s="60"/>
    </row>
    <row r="62" spans="9:14" hidden="1" x14ac:dyDescent="0.25">
      <c r="I62" s="139"/>
      <c r="J62" s="87"/>
      <c r="K62" s="87"/>
      <c r="L62" s="60"/>
      <c r="M62" s="60"/>
      <c r="N62" s="60"/>
    </row>
    <row r="63" spans="9:14" hidden="1" x14ac:dyDescent="0.25">
      <c r="I63" s="139"/>
      <c r="J63" s="87"/>
      <c r="K63" s="87"/>
      <c r="L63" s="60"/>
      <c r="M63" s="60"/>
      <c r="N63" s="60"/>
    </row>
    <row r="64" spans="9:14" hidden="1" x14ac:dyDescent="0.25">
      <c r="I64" s="139"/>
      <c r="J64" s="87"/>
      <c r="K64" s="87"/>
      <c r="L64" s="60"/>
      <c r="M64" s="60"/>
      <c r="N64" s="60"/>
    </row>
    <row r="65" spans="9:14" hidden="1" x14ac:dyDescent="0.25">
      <c r="I65" s="139"/>
      <c r="J65" s="87"/>
      <c r="K65" s="87"/>
      <c r="L65" s="60"/>
      <c r="M65" s="60"/>
      <c r="N65" s="60"/>
    </row>
    <row r="66" spans="9:14" hidden="1" x14ac:dyDescent="0.25">
      <c r="I66" s="139"/>
      <c r="J66" s="87"/>
      <c r="K66" s="87"/>
      <c r="L66" s="60"/>
      <c r="M66" s="60"/>
      <c r="N66" s="60"/>
    </row>
    <row r="67" spans="9:14" hidden="1" x14ac:dyDescent="0.25">
      <c r="I67" s="139"/>
      <c r="J67" s="87"/>
      <c r="K67" s="87"/>
      <c r="L67" s="60"/>
      <c r="M67" s="60"/>
      <c r="N67" s="60"/>
    </row>
    <row r="68" spans="9:14" hidden="1" x14ac:dyDescent="0.25">
      <c r="I68" s="139"/>
      <c r="J68" s="87"/>
      <c r="K68" s="87"/>
      <c r="L68" s="60"/>
      <c r="M68" s="60"/>
      <c r="N68" s="60"/>
    </row>
    <row r="69" spans="9:14" hidden="1" x14ac:dyDescent="0.25">
      <c r="I69" s="102"/>
      <c r="J69" s="139"/>
      <c r="K69" s="87"/>
      <c r="L69" s="60"/>
      <c r="M69" s="60"/>
      <c r="N69" s="60"/>
    </row>
    <row r="70" spans="9:14" hidden="1" x14ac:dyDescent="0.25">
      <c r="I70" s="139"/>
      <c r="J70" s="87"/>
      <c r="K70" s="87"/>
      <c r="L70" s="60"/>
      <c r="M70" s="60"/>
      <c r="N70" s="60"/>
    </row>
    <row r="71" spans="9:14" hidden="1" x14ac:dyDescent="0.25">
      <c r="I71" s="139"/>
      <c r="J71" s="87"/>
      <c r="K71" s="87"/>
      <c r="L71" s="60"/>
      <c r="M71" s="60"/>
      <c r="N71" s="60"/>
    </row>
    <row r="72" spans="9:14" hidden="1" x14ac:dyDescent="0.25">
      <c r="I72" s="139"/>
      <c r="J72" s="87"/>
      <c r="K72" s="87"/>
      <c r="L72" s="60"/>
      <c r="M72" s="60"/>
      <c r="N72" s="60"/>
    </row>
    <row r="73" spans="9:14" hidden="1" x14ac:dyDescent="0.25">
      <c r="I73" s="139"/>
      <c r="J73" s="87"/>
      <c r="K73" s="87"/>
      <c r="L73" s="60"/>
      <c r="M73" s="60"/>
      <c r="N73" s="60"/>
    </row>
    <row r="74" spans="9:14" hidden="1" x14ac:dyDescent="0.25">
      <c r="I74" s="102"/>
      <c r="J74" s="139"/>
      <c r="K74" s="87"/>
      <c r="L74" s="60"/>
      <c r="M74" s="60"/>
      <c r="N74" s="60"/>
    </row>
    <row r="75" spans="9:14" hidden="1" x14ac:dyDescent="0.25">
      <c r="I75" s="139"/>
      <c r="J75" s="87"/>
      <c r="K75" s="87"/>
      <c r="L75" s="60"/>
      <c r="M75" s="60"/>
      <c r="N75" s="60"/>
    </row>
    <row r="76" spans="9:14" hidden="1" x14ac:dyDescent="0.25">
      <c r="I76" s="139"/>
      <c r="J76" s="87"/>
      <c r="K76" s="87"/>
      <c r="L76" s="60"/>
      <c r="M76" s="60"/>
      <c r="N76" s="60"/>
    </row>
    <row r="77" spans="9:14" hidden="1" x14ac:dyDescent="0.25">
      <c r="I77" s="102"/>
      <c r="J77" s="139"/>
      <c r="K77" s="87"/>
      <c r="L77" s="60"/>
      <c r="M77" s="60"/>
      <c r="N77" s="60"/>
    </row>
    <row r="78" spans="9:14" hidden="1" x14ac:dyDescent="0.25">
      <c r="I78" s="139"/>
      <c r="J78" s="87"/>
      <c r="K78" s="87"/>
      <c r="L78" s="60"/>
      <c r="M78" s="60"/>
      <c r="N78" s="60"/>
    </row>
    <row r="79" spans="9:14" hidden="1" x14ac:dyDescent="0.25">
      <c r="I79" s="102"/>
      <c r="J79" s="139"/>
      <c r="K79" s="87"/>
      <c r="L79" s="60"/>
      <c r="M79" s="60"/>
      <c r="N79" s="60"/>
    </row>
    <row r="80" spans="9:14" hidden="1" x14ac:dyDescent="0.25">
      <c r="I80" s="139"/>
      <c r="J80" s="87"/>
      <c r="K80" s="87"/>
      <c r="L80" s="60"/>
      <c r="M80" s="60"/>
      <c r="N80" s="60"/>
    </row>
  </sheetData>
  <sheetProtection sheet="1" selectLockedCells="1"/>
  <mergeCells count="4">
    <mergeCell ref="K5:K6"/>
    <mergeCell ref="L5:L6"/>
    <mergeCell ref="A1:F1"/>
    <mergeCell ref="G4:I6"/>
  </mergeCells>
  <conditionalFormatting sqref="C4:D39">
    <cfRule type="expression" dxfId="3" priority="36">
      <formula>$H$1=$C4</formula>
    </cfRule>
  </conditionalFormatting>
  <dataValidations count="2">
    <dataValidation type="list" allowBlank="1" showErrorMessage="1" sqref="H1" xr:uid="{00000000-0002-0000-0C00-000000000000}">
      <formula1>$C$4:$C$39</formula1>
    </dataValidation>
    <dataValidation type="list" allowBlank="1" showInputMessage="1" showErrorMessage="1" sqref="L5" xr:uid="{00000000-0002-0000-0C00-000001000000}">
      <formula1>$C$4:$C$39</formula1>
    </dataValidation>
  </dataValidations>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dimension ref="A1:T21"/>
  <sheetViews>
    <sheetView workbookViewId="0"/>
  </sheetViews>
  <sheetFormatPr baseColWidth="10" defaultRowHeight="15" x14ac:dyDescent="0.25"/>
  <cols>
    <col min="1" max="1" width="7.85546875" customWidth="1"/>
    <col min="2" max="2" width="4.42578125" style="25" customWidth="1"/>
    <col min="3" max="3" width="14" customWidth="1"/>
    <col min="4" max="4" width="7.85546875" customWidth="1"/>
    <col min="5" max="5" width="7.7109375" customWidth="1"/>
    <col min="6" max="6" width="5" customWidth="1"/>
    <col min="7" max="8" width="5.42578125" customWidth="1"/>
    <col min="9" max="9" width="17.5703125" customWidth="1"/>
    <col min="11" max="11" width="7.85546875" customWidth="1"/>
    <col min="12" max="13" width="11.42578125" customWidth="1"/>
    <col min="14" max="14" width="4.28515625" customWidth="1"/>
    <col min="15" max="15" width="4.5703125" customWidth="1"/>
    <col min="16" max="16" width="0.85546875" customWidth="1"/>
    <col min="17" max="17" width="3.5703125" customWidth="1"/>
  </cols>
  <sheetData>
    <row r="1" spans="1:20" ht="23.25" x14ac:dyDescent="0.35">
      <c r="C1" s="76" t="str">
        <f>Language!$E$128</f>
        <v>Gruppendritte</v>
      </c>
    </row>
    <row r="2" spans="1:20" ht="38.25" customHeight="1" x14ac:dyDescent="0.25"/>
    <row r="3" spans="1:20" x14ac:dyDescent="0.25">
      <c r="A3" s="215"/>
      <c r="B3" s="39"/>
      <c r="C3" s="38"/>
      <c r="D3" s="203" t="s">
        <v>603</v>
      </c>
      <c r="E3" s="203" t="s">
        <v>190</v>
      </c>
      <c r="F3" s="203" t="s">
        <v>604</v>
      </c>
      <c r="G3" s="203" t="s">
        <v>605</v>
      </c>
      <c r="H3" s="203" t="s">
        <v>673</v>
      </c>
      <c r="I3" s="203" t="s">
        <v>192</v>
      </c>
      <c r="J3" s="203" t="s">
        <v>541</v>
      </c>
      <c r="K3" s="203"/>
      <c r="L3" s="203" t="s">
        <v>38</v>
      </c>
      <c r="M3" s="203" t="s">
        <v>534</v>
      </c>
    </row>
    <row r="4" spans="1:20" x14ac:dyDescent="0.25">
      <c r="A4" s="25"/>
      <c r="B4" s="25" t="s">
        <v>32</v>
      </c>
      <c r="C4" t="str">
        <f ca="1">GrpA!P$13</f>
        <v>Ungarn</v>
      </c>
      <c r="D4" s="25">
        <f ca="1">GrpA!Q$13</f>
        <v>0</v>
      </c>
      <c r="E4" s="25">
        <f ca="1">GrpA!R$13</f>
        <v>0</v>
      </c>
      <c r="F4" s="25">
        <f ca="1">GrpA!S$13</f>
        <v>0</v>
      </c>
      <c r="G4" s="25">
        <f ca="1">GrpA!T$13</f>
        <v>0</v>
      </c>
      <c r="H4" s="25">
        <f ca="1">GrpA!U$13</f>
        <v>0</v>
      </c>
      <c r="I4" s="201">
        <f t="shared" ref="I4:I9" ca="1" si="0">$D4*FactorPts+$E4*FactorGD+$F4*FactorFor+$H4*FactorWins+$L4*FactorFairPlay+$M4*FactorRank</f>
        <v>9.3999999999999994E-5</v>
      </c>
      <c r="J4" s="25" t="s">
        <v>30</v>
      </c>
      <c r="K4" s="25"/>
      <c r="L4" s="25">
        <f t="shared" ref="L4:L9" ca="1" si="1">SUMIFS(FairPlayPoints1,FairPlayTeams1,$C4)+SUMIFS(FairPlayPoints2,FairPlayTeams2,$C4)</f>
        <v>0</v>
      </c>
      <c r="M4" s="25">
        <f ca="1">100-INDEX(Language!$D$5:$D$62,MATCH($C4,Language!$E$5:$E$62,0),1)</f>
        <v>94</v>
      </c>
    </row>
    <row r="5" spans="1:20" x14ac:dyDescent="0.25">
      <c r="A5" s="25"/>
      <c r="B5" s="25" t="s">
        <v>33</v>
      </c>
      <c r="C5" t="str">
        <f ca="1">GrpB!P$13</f>
        <v>Italien</v>
      </c>
      <c r="D5" s="25">
        <f ca="1">GrpB!Q$13</f>
        <v>0</v>
      </c>
      <c r="E5" s="25">
        <f ca="1">GrpB!R$13</f>
        <v>0</v>
      </c>
      <c r="F5" s="25">
        <f ca="1">GrpB!S$13</f>
        <v>0</v>
      </c>
      <c r="G5" s="25">
        <f ca="1">GrpB!T$13</f>
        <v>0</v>
      </c>
      <c r="H5" s="25">
        <f ca="1">GrpB!U$13</f>
        <v>0</v>
      </c>
      <c r="I5" s="201">
        <f t="shared" ca="1" si="0"/>
        <v>8.2000000000000001E-5</v>
      </c>
      <c r="J5" s="25" t="s">
        <v>26</v>
      </c>
      <c r="K5" s="25"/>
      <c r="L5" s="25">
        <f t="shared" ca="1" si="1"/>
        <v>0</v>
      </c>
      <c r="M5" s="409">
        <f ca="1">100-INDEX(Language!$D$5:$D$62,MATCH($C5,Language!$E$5:$E$62,0),1)</f>
        <v>82</v>
      </c>
    </row>
    <row r="6" spans="1:20" x14ac:dyDescent="0.25">
      <c r="A6" s="25"/>
      <c r="B6" s="25" t="s">
        <v>34</v>
      </c>
      <c r="C6" t="str">
        <f ca="1">GrpC!P$13</f>
        <v>Serbien</v>
      </c>
      <c r="D6" s="25">
        <f ca="1">GrpC!Q$13</f>
        <v>0</v>
      </c>
      <c r="E6" s="25">
        <f ca="1">GrpC!R$13</f>
        <v>0</v>
      </c>
      <c r="F6" s="25">
        <f ca="1">GrpC!S$13</f>
        <v>0</v>
      </c>
      <c r="G6" s="25">
        <f ca="1">GrpC!T$13</f>
        <v>0</v>
      </c>
      <c r="H6" s="25">
        <f ca="1">GrpC!U$13</f>
        <v>0</v>
      </c>
      <c r="I6" s="201">
        <f t="shared" ca="1" si="0"/>
        <v>8.099999999999999E-5</v>
      </c>
      <c r="J6" s="25" t="s">
        <v>27</v>
      </c>
      <c r="K6" s="25"/>
      <c r="L6" s="25">
        <f t="shared" ca="1" si="1"/>
        <v>0</v>
      </c>
      <c r="M6" s="409">
        <f ca="1">100-INDEX(Language!$D$5:$D$62,MATCH($C6,Language!$E$5:$E$62,0),1)</f>
        <v>81</v>
      </c>
    </row>
    <row r="7" spans="1:20" x14ac:dyDescent="0.25">
      <c r="A7" s="25"/>
      <c r="B7" s="25" t="s">
        <v>35</v>
      </c>
      <c r="C7" t="str">
        <f ca="1">GrpD!P$13</f>
        <v>Österreich</v>
      </c>
      <c r="D7" s="25">
        <f ca="1">GrpD!Q$13</f>
        <v>0</v>
      </c>
      <c r="E7" s="25">
        <f ca="1">GrpD!R$13</f>
        <v>0</v>
      </c>
      <c r="F7" s="25">
        <f ca="1">GrpD!S$13</f>
        <v>0</v>
      </c>
      <c r="G7" s="25">
        <f ca="1">GrpD!T$13</f>
        <v>0</v>
      </c>
      <c r="H7" s="25">
        <f ca="1">GrpD!U$13</f>
        <v>0</v>
      </c>
      <c r="I7" s="201">
        <f t="shared" ca="1" si="0"/>
        <v>8.8999999999999995E-5</v>
      </c>
      <c r="J7" s="25" t="s">
        <v>31</v>
      </c>
      <c r="K7" s="25"/>
      <c r="L7" s="25">
        <f t="shared" ca="1" si="1"/>
        <v>0</v>
      </c>
      <c r="M7" s="409">
        <f ca="1">100-INDEX(Language!$D$5:$D$62,MATCH($C7,Language!$E$5:$E$62,0),1)</f>
        <v>89</v>
      </c>
    </row>
    <row r="8" spans="1:20" x14ac:dyDescent="0.25">
      <c r="A8" s="25"/>
      <c r="B8" s="25" t="s">
        <v>492</v>
      </c>
      <c r="C8" t="str">
        <f ca="1">GrpE!P$13</f>
        <v>Rumänien</v>
      </c>
      <c r="D8" s="25">
        <f ca="1">GrpE!Q$13</f>
        <v>0</v>
      </c>
      <c r="E8" s="25">
        <f ca="1">GrpE!R$13</f>
        <v>0</v>
      </c>
      <c r="F8" s="25">
        <f ca="1">GrpE!S$13</f>
        <v>0</v>
      </c>
      <c r="G8" s="25">
        <f ca="1">GrpE!T$13</f>
        <v>0</v>
      </c>
      <c r="H8" s="25">
        <f ca="1">GrpE!U$13</f>
        <v>0</v>
      </c>
      <c r="I8" s="201">
        <f t="shared" ca="1" si="0"/>
        <v>9.2E-5</v>
      </c>
      <c r="J8" s="25" t="s">
        <v>28</v>
      </c>
      <c r="K8" s="25"/>
      <c r="L8" s="25">
        <f t="shared" ca="1" si="1"/>
        <v>0</v>
      </c>
      <c r="M8" s="409">
        <f ca="1">100-INDEX(Language!$D$5:$D$62,MATCH($C8,Language!$E$5:$E$62,0),1)</f>
        <v>92</v>
      </c>
    </row>
    <row r="9" spans="1:20" x14ac:dyDescent="0.25">
      <c r="A9" s="25"/>
      <c r="B9" s="25" t="s">
        <v>493</v>
      </c>
      <c r="C9" t="str">
        <f ca="1">GrpF!P$13</f>
        <v>Portugal</v>
      </c>
      <c r="D9" s="25">
        <f ca="1">GrpF!Q$13</f>
        <v>0</v>
      </c>
      <c r="E9" s="25">
        <f ca="1">GrpF!R$13</f>
        <v>0</v>
      </c>
      <c r="F9" s="25">
        <f ca="1">GrpF!S$13</f>
        <v>0</v>
      </c>
      <c r="G9" s="25">
        <f ca="1">GrpF!T$13</f>
        <v>0</v>
      </c>
      <c r="H9" s="25">
        <f ca="1">GrpF!U$13</f>
        <v>0</v>
      </c>
      <c r="I9" s="201">
        <f t="shared" ca="1" si="0"/>
        <v>9.8999999999999994E-5</v>
      </c>
      <c r="J9" s="25" t="s">
        <v>29</v>
      </c>
      <c r="K9" s="25"/>
      <c r="L9" s="25">
        <f t="shared" ca="1" si="1"/>
        <v>0</v>
      </c>
      <c r="M9" s="409">
        <f ca="1">100-INDEX(Language!$D$5:$D$62,MATCH($C9,Language!$E$5:$E$62,0),1)</f>
        <v>99</v>
      </c>
    </row>
    <row r="10" spans="1:20" ht="15.75" thickBot="1" x14ac:dyDescent="0.3">
      <c r="D10" s="72" t="s">
        <v>603</v>
      </c>
      <c r="E10" s="72" t="s">
        <v>190</v>
      </c>
      <c r="F10" s="203" t="s">
        <v>604</v>
      </c>
      <c r="G10" s="203" t="s">
        <v>605</v>
      </c>
      <c r="H10" s="72" t="s">
        <v>673</v>
      </c>
      <c r="I10" s="203" t="s">
        <v>192</v>
      </c>
      <c r="J10" s="72" t="s">
        <v>541</v>
      </c>
      <c r="K10" s="25"/>
    </row>
    <row r="11" spans="1:20" ht="15.75" thickTop="1" x14ac:dyDescent="0.25">
      <c r="B11" s="252" t="s">
        <v>32</v>
      </c>
      <c r="C11" s="253" t="str">
        <f t="shared" ref="C11:H11" ca="1" si="2">INDEX(C$4:C$9,MATCH($I11,$I$4:$I$9,0))</f>
        <v>Portugal</v>
      </c>
      <c r="D11" s="273">
        <f t="shared" ca="1" si="2"/>
        <v>0</v>
      </c>
      <c r="E11" s="254">
        <f t="shared" ca="1" si="2"/>
        <v>0</v>
      </c>
      <c r="F11" s="267">
        <f t="shared" ca="1" si="2"/>
        <v>0</v>
      </c>
      <c r="G11" s="268">
        <f t="shared" ca="1" si="2"/>
        <v>0</v>
      </c>
      <c r="H11" s="268">
        <f t="shared" ca="1" si="2"/>
        <v>0</v>
      </c>
      <c r="I11" s="255">
        <f ca="1">LARGE($I$4:$I$9,ROW($I4)-3)</f>
        <v>9.8999999999999994E-5</v>
      </c>
      <c r="J11" s="277" t="str">
        <f ca="1">INDEX(J$4:J$9,MATCH($I11,$I$4:$I$9,0))</f>
        <v>F</v>
      </c>
      <c r="K11" s="276"/>
      <c r="L11" s="254">
        <f t="array" aca="1" ref="L11" ca="1">SUM(IF($J$11:$J$14 &lt; $J11,1))</f>
        <v>3</v>
      </c>
      <c r="M11" s="254" t="str">
        <f ca="1">INDEX($J$11:$J$14,MATCH(ROW()-11,$L$11:$L$14,0))</f>
        <v>A</v>
      </c>
      <c r="N11" s="273">
        <f ca="1">D11</f>
        <v>0</v>
      </c>
      <c r="O11" s="264">
        <f ca="1">F11</f>
        <v>0</v>
      </c>
      <c r="P11" s="246" t="s">
        <v>494</v>
      </c>
      <c r="Q11" s="247">
        <f ca="1">G11</f>
        <v>0</v>
      </c>
      <c r="S11" s="25"/>
      <c r="T11" s="25"/>
    </row>
    <row r="12" spans="1:20" x14ac:dyDescent="0.25">
      <c r="B12" s="256" t="s">
        <v>33</v>
      </c>
      <c r="C12" s="257" t="str">
        <f t="shared" ref="C12:C16" ca="1" si="3">INDEX(C$4:C$9,MATCH($I12,$I$4:$I$9,0))</f>
        <v>Ungarn</v>
      </c>
      <c r="D12" s="274">
        <f t="shared" ref="D12:H16" ca="1" si="4">INDEX(D$4:D$9,MATCH($I12,$I$4:$I$9,0))</f>
        <v>0</v>
      </c>
      <c r="E12" s="258">
        <f t="shared" ca="1" si="4"/>
        <v>0</v>
      </c>
      <c r="F12" s="269">
        <f t="shared" ca="1" si="4"/>
        <v>0</v>
      </c>
      <c r="G12" s="270">
        <f t="shared" ca="1" si="4"/>
        <v>0</v>
      </c>
      <c r="H12" s="270">
        <f t="shared" ca="1" si="4"/>
        <v>0</v>
      </c>
      <c r="I12" s="259">
        <f t="shared" ref="I12:I16" ca="1" si="5">LARGE($I$4:$I$9,ROW($I5)-3)</f>
        <v>9.3999999999999994E-5</v>
      </c>
      <c r="J12" s="278" t="str">
        <f t="shared" ref="J12:J16" ca="1" si="6">INDEX(J$4:J$9,MATCH($I12,$I$4:$I$9,0))</f>
        <v>A</v>
      </c>
      <c r="K12" s="270"/>
      <c r="L12" s="258">
        <f t="array" aca="1" ref="L12" ca="1">SUM(IF($J$11:$J$14 &lt; $J12,1))</f>
        <v>0</v>
      </c>
      <c r="M12" s="258" t="str">
        <f t="shared" ref="M12:M14" ca="1" si="7">INDEX($J$11:$J$14,MATCH(ROW()-11,$L$11:$L$14,0))</f>
        <v>D</v>
      </c>
      <c r="N12" s="274">
        <f t="shared" ref="N12:N16" ca="1" si="8">D12</f>
        <v>0</v>
      </c>
      <c r="O12" s="265">
        <f t="shared" ref="O12:O16" ca="1" si="9">F12</f>
        <v>0</v>
      </c>
      <c r="P12" s="248" t="s">
        <v>494</v>
      </c>
      <c r="Q12" s="249">
        <f t="shared" ref="Q12:Q16" ca="1" si="10">G12</f>
        <v>0</v>
      </c>
      <c r="S12" s="25"/>
      <c r="T12" s="25"/>
    </row>
    <row r="13" spans="1:20" x14ac:dyDescent="0.25">
      <c r="B13" s="256" t="s">
        <v>34</v>
      </c>
      <c r="C13" s="257" t="str">
        <f t="shared" ca="1" si="3"/>
        <v>Rumänien</v>
      </c>
      <c r="D13" s="274">
        <f t="shared" ca="1" si="4"/>
        <v>0</v>
      </c>
      <c r="E13" s="258">
        <f t="shared" ca="1" si="4"/>
        <v>0</v>
      </c>
      <c r="F13" s="269">
        <f t="shared" ca="1" si="4"/>
        <v>0</v>
      </c>
      <c r="G13" s="270">
        <f t="shared" ca="1" si="4"/>
        <v>0</v>
      </c>
      <c r="H13" s="270">
        <f t="shared" ca="1" si="4"/>
        <v>0</v>
      </c>
      <c r="I13" s="259">
        <f t="shared" ca="1" si="5"/>
        <v>9.2E-5</v>
      </c>
      <c r="J13" s="278" t="str">
        <f t="shared" ca="1" si="6"/>
        <v>E</v>
      </c>
      <c r="K13" s="270"/>
      <c r="L13" s="258">
        <f t="array" aca="1" ref="L13" ca="1">SUM(IF($J$11:$J$14 &lt; $J13,1))</f>
        <v>2</v>
      </c>
      <c r="M13" s="258" t="str">
        <f t="shared" ca="1" si="7"/>
        <v>E</v>
      </c>
      <c r="N13" s="274">
        <f t="shared" ca="1" si="8"/>
        <v>0</v>
      </c>
      <c r="O13" s="265">
        <f t="shared" ca="1" si="9"/>
        <v>0</v>
      </c>
      <c r="P13" s="248" t="s">
        <v>494</v>
      </c>
      <c r="Q13" s="249">
        <f t="shared" ca="1" si="10"/>
        <v>0</v>
      </c>
      <c r="S13" s="25"/>
      <c r="T13" s="25"/>
    </row>
    <row r="14" spans="1:20" x14ac:dyDescent="0.25">
      <c r="B14" s="256" t="s">
        <v>35</v>
      </c>
      <c r="C14" s="257" t="str">
        <f t="shared" ca="1" si="3"/>
        <v>Österreich</v>
      </c>
      <c r="D14" s="274">
        <f t="shared" ca="1" si="4"/>
        <v>0</v>
      </c>
      <c r="E14" s="258">
        <f t="shared" ca="1" si="4"/>
        <v>0</v>
      </c>
      <c r="F14" s="269">
        <f t="shared" ca="1" si="4"/>
        <v>0</v>
      </c>
      <c r="G14" s="270">
        <f t="shared" ca="1" si="4"/>
        <v>0</v>
      </c>
      <c r="H14" s="270">
        <f t="shared" ca="1" si="4"/>
        <v>0</v>
      </c>
      <c r="I14" s="259">
        <f t="shared" ca="1" si="5"/>
        <v>8.8999999999999995E-5</v>
      </c>
      <c r="J14" s="278" t="str">
        <f t="shared" ca="1" si="6"/>
        <v>D</v>
      </c>
      <c r="K14" s="270"/>
      <c r="L14" s="258">
        <f t="array" aca="1" ref="L14" ca="1">SUM(IF($J$11:$J$14 &lt; $J14,1))</f>
        <v>1</v>
      </c>
      <c r="M14" s="258" t="str">
        <f t="shared" ca="1" si="7"/>
        <v>F</v>
      </c>
      <c r="N14" s="274">
        <f t="shared" ca="1" si="8"/>
        <v>0</v>
      </c>
      <c r="O14" s="265">
        <f t="shared" ca="1" si="9"/>
        <v>0</v>
      </c>
      <c r="P14" s="248" t="s">
        <v>494</v>
      </c>
      <c r="Q14" s="249">
        <f t="shared" ca="1" si="10"/>
        <v>0</v>
      </c>
      <c r="S14" s="25"/>
      <c r="T14" s="25"/>
    </row>
    <row r="15" spans="1:20" x14ac:dyDescent="0.25">
      <c r="B15" s="256" t="s">
        <v>492</v>
      </c>
      <c r="C15" s="257" t="str">
        <f t="shared" ca="1" si="3"/>
        <v>Italien</v>
      </c>
      <c r="D15" s="274">
        <f t="shared" ca="1" si="4"/>
        <v>0</v>
      </c>
      <c r="E15" s="258">
        <f t="shared" ca="1" si="4"/>
        <v>0</v>
      </c>
      <c r="F15" s="269">
        <f t="shared" ca="1" si="4"/>
        <v>0</v>
      </c>
      <c r="G15" s="270">
        <f t="shared" ca="1" si="4"/>
        <v>0</v>
      </c>
      <c r="H15" s="270">
        <f t="shared" ca="1" si="4"/>
        <v>0</v>
      </c>
      <c r="I15" s="259">
        <f t="shared" ca="1" si="5"/>
        <v>8.2000000000000001E-5</v>
      </c>
      <c r="J15" s="278" t="str">
        <f t="shared" ca="1" si="6"/>
        <v>B</v>
      </c>
      <c r="K15" s="270"/>
      <c r="L15" s="257"/>
      <c r="M15" s="257"/>
      <c r="N15" s="274">
        <f t="shared" ca="1" si="8"/>
        <v>0</v>
      </c>
      <c r="O15" s="265">
        <f t="shared" ca="1" si="9"/>
        <v>0</v>
      </c>
      <c r="P15" s="248" t="s">
        <v>494</v>
      </c>
      <c r="Q15" s="249">
        <f t="shared" ca="1" si="10"/>
        <v>0</v>
      </c>
    </row>
    <row r="16" spans="1:20" ht="15.75" thickBot="1" x14ac:dyDescent="0.3">
      <c r="B16" s="260" t="s">
        <v>493</v>
      </c>
      <c r="C16" s="261" t="str">
        <f t="shared" ca="1" si="3"/>
        <v>Serbien</v>
      </c>
      <c r="D16" s="275">
        <f t="shared" ca="1" si="4"/>
        <v>0</v>
      </c>
      <c r="E16" s="262">
        <f t="shared" ca="1" si="4"/>
        <v>0</v>
      </c>
      <c r="F16" s="271">
        <f t="shared" ca="1" si="4"/>
        <v>0</v>
      </c>
      <c r="G16" s="272">
        <f t="shared" ca="1" si="4"/>
        <v>0</v>
      </c>
      <c r="H16" s="272">
        <f t="shared" ca="1" si="4"/>
        <v>0</v>
      </c>
      <c r="I16" s="263">
        <f t="shared" ca="1" si="5"/>
        <v>8.099999999999999E-5</v>
      </c>
      <c r="J16" s="279" t="str">
        <f t="shared" ca="1" si="6"/>
        <v>C</v>
      </c>
      <c r="K16" s="272"/>
      <c r="L16" s="261"/>
      <c r="M16" s="261"/>
      <c r="N16" s="275">
        <f t="shared" ca="1" si="8"/>
        <v>0</v>
      </c>
      <c r="O16" s="266">
        <f t="shared" ca="1" si="9"/>
        <v>0</v>
      </c>
      <c r="P16" s="250" t="s">
        <v>494</v>
      </c>
      <c r="Q16" s="251">
        <f t="shared" ca="1" si="10"/>
        <v>0</v>
      </c>
    </row>
    <row r="17" spans="4:13" ht="15.75" thickTop="1" x14ac:dyDescent="0.25">
      <c r="M17" s="216"/>
    </row>
    <row r="18" spans="4:13" x14ac:dyDescent="0.25">
      <c r="D18" s="25"/>
      <c r="E18" s="25"/>
      <c r="F18" s="25"/>
      <c r="G18" s="530" t="s">
        <v>548</v>
      </c>
      <c r="H18" s="530"/>
      <c r="I18" s="530"/>
      <c r="J18" s="25" t="str">
        <f ca="1">M11&amp;" "&amp;M12&amp;" "&amp;M13&amp;" "&amp;M14</f>
        <v>A D E F</v>
      </c>
      <c r="K18" s="25"/>
      <c r="L18" s="25"/>
      <c r="M18" s="25"/>
    </row>
    <row r="19" spans="4:13" x14ac:dyDescent="0.25">
      <c r="D19" s="25"/>
      <c r="E19" s="25"/>
      <c r="F19" s="25"/>
      <c r="G19" s="25"/>
      <c r="H19" s="25"/>
      <c r="J19" s="25"/>
      <c r="K19" s="25"/>
      <c r="L19" s="25"/>
      <c r="M19" s="25"/>
    </row>
    <row r="21" spans="4:13" x14ac:dyDescent="0.25">
      <c r="I21" s="245" t="s">
        <v>1090</v>
      </c>
      <c r="J21" s="48">
        <f ca="1">IF(AND(TRUNC($I$14,4)=TRUNC($I$15,4),Distinctness!$G$13&gt;0),1,0)</f>
        <v>0</v>
      </c>
    </row>
  </sheetData>
  <mergeCells count="1">
    <mergeCell ref="G18:I18"/>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E41"/>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5" width="11.42578125" customWidth="1"/>
    <col min="6" max="16384" width="11.42578125" hidden="1"/>
  </cols>
  <sheetData>
    <row r="1" spans="2:4" x14ac:dyDescent="0.25"/>
    <row r="2" spans="2:4" ht="28.5" x14ac:dyDescent="0.45">
      <c r="B2" s="534" t="str">
        <f>Language!$E$91</f>
        <v>Gruppen</v>
      </c>
      <c r="C2" s="534"/>
      <c r="D2" s="534"/>
    </row>
    <row r="3" spans="2:4" ht="15.75" thickBot="1" x14ac:dyDescent="0.3"/>
    <row r="4" spans="2:4" ht="15.75" thickTop="1" x14ac:dyDescent="0.25">
      <c r="B4" s="538" t="s">
        <v>360</v>
      </c>
      <c r="C4" s="550" t="s">
        <v>359</v>
      </c>
      <c r="D4" s="552" t="s">
        <v>358</v>
      </c>
    </row>
    <row r="5" spans="2:4" x14ac:dyDescent="0.25">
      <c r="B5" s="549"/>
      <c r="C5" s="551"/>
      <c r="D5" s="553"/>
    </row>
    <row r="6" spans="2:4" ht="15.75" x14ac:dyDescent="0.25">
      <c r="B6" s="122"/>
      <c r="C6" s="175"/>
      <c r="D6" s="176" t="s">
        <v>30</v>
      </c>
    </row>
    <row r="7" spans="2:4" x14ac:dyDescent="0.25">
      <c r="B7" s="123" t="s">
        <v>169</v>
      </c>
      <c r="C7" s="301">
        <v>54</v>
      </c>
      <c r="D7" s="173" t="str">
        <f>VLOOKUP($C7,Language!$D$5:$E$63,2,0)</f>
        <v>Deutschland</v>
      </c>
    </row>
    <row r="8" spans="2:4" x14ac:dyDescent="0.25">
      <c r="B8" s="123" t="s">
        <v>170</v>
      </c>
      <c r="C8" s="302">
        <v>13</v>
      </c>
      <c r="D8" s="173" t="str">
        <f>VLOOKUP($C8,Language!$D$5:$E$63,2,0)</f>
        <v>Schottland</v>
      </c>
    </row>
    <row r="9" spans="2:4" x14ac:dyDescent="0.25">
      <c r="B9" s="123" t="s">
        <v>171</v>
      </c>
      <c r="C9" s="302">
        <v>6</v>
      </c>
      <c r="D9" s="173" t="str">
        <f>VLOOKUP($C9,Language!$D$5:$E$63,2,0)</f>
        <v>Ungarn</v>
      </c>
    </row>
    <row r="10" spans="2:4" x14ac:dyDescent="0.25">
      <c r="B10" s="124" t="s">
        <v>172</v>
      </c>
      <c r="C10" s="301">
        <v>20</v>
      </c>
      <c r="D10" s="173" t="str">
        <f>VLOOKUP($C10,Language!$D$5:$E$63,2,0)</f>
        <v>Schweiz</v>
      </c>
    </row>
    <row r="11" spans="2:4" ht="15.75" x14ac:dyDescent="0.25">
      <c r="B11" s="125"/>
      <c r="C11" s="175"/>
      <c r="D11" s="176" t="s">
        <v>26</v>
      </c>
    </row>
    <row r="12" spans="2:4" x14ac:dyDescent="0.25">
      <c r="B12" s="123" t="s">
        <v>173</v>
      </c>
      <c r="C12" s="302">
        <v>3</v>
      </c>
      <c r="D12" s="173" t="str">
        <f>VLOOKUP($C12,Language!$D$5:$E$63,2,0)</f>
        <v>Spanien</v>
      </c>
    </row>
    <row r="13" spans="2:4" x14ac:dyDescent="0.25">
      <c r="B13" s="123" t="s">
        <v>174</v>
      </c>
      <c r="C13" s="301">
        <v>14</v>
      </c>
      <c r="D13" s="173" t="str">
        <f>VLOOKUP($C13,Language!$D$5:$E$63,2,0)</f>
        <v>Kroatien</v>
      </c>
    </row>
    <row r="14" spans="2:4" x14ac:dyDescent="0.25">
      <c r="B14" s="123" t="s">
        <v>175</v>
      </c>
      <c r="C14" s="302">
        <v>18</v>
      </c>
      <c r="D14" s="173" t="str">
        <f>VLOOKUP($C14,Language!$D$5:$E$63,2,0)</f>
        <v>Italien</v>
      </c>
    </row>
    <row r="15" spans="2:4" x14ac:dyDescent="0.25">
      <c r="B15" s="124" t="s">
        <v>176</v>
      </c>
      <c r="C15" s="302">
        <v>10</v>
      </c>
      <c r="D15" s="173" t="str">
        <f>VLOOKUP($C15,Language!$D$5:$E$63,2,0)</f>
        <v>Albanien</v>
      </c>
    </row>
    <row r="16" spans="2:4" ht="15.75" x14ac:dyDescent="0.25">
      <c r="B16" s="125"/>
      <c r="C16" s="175"/>
      <c r="D16" s="176" t="s">
        <v>27</v>
      </c>
    </row>
    <row r="17" spans="2:4" x14ac:dyDescent="0.25">
      <c r="B17" s="123" t="s">
        <v>177</v>
      </c>
      <c r="C17" s="302">
        <v>15</v>
      </c>
      <c r="D17" s="173" t="str">
        <f>VLOOKUP($C17,Language!$D$5:$E$63,2,0)</f>
        <v>Slowenien</v>
      </c>
    </row>
    <row r="18" spans="2:4" x14ac:dyDescent="0.25">
      <c r="B18" s="123" t="s">
        <v>178</v>
      </c>
      <c r="C18" s="302">
        <v>9</v>
      </c>
      <c r="D18" s="173" t="str">
        <f>VLOOKUP($C18,Language!$D$5:$E$63,2,0)</f>
        <v>Dänemark</v>
      </c>
    </row>
    <row r="19" spans="2:4" x14ac:dyDescent="0.25">
      <c r="B19" s="123" t="s">
        <v>179</v>
      </c>
      <c r="C19" s="302">
        <v>19</v>
      </c>
      <c r="D19" s="173" t="str">
        <f>VLOOKUP($C19,Language!$D$5:$E$63,2,0)</f>
        <v>Serbien</v>
      </c>
    </row>
    <row r="20" spans="2:4" x14ac:dyDescent="0.25">
      <c r="B20" s="124" t="s">
        <v>180</v>
      </c>
      <c r="C20" s="302">
        <v>5</v>
      </c>
      <c r="D20" s="173" t="str">
        <f>VLOOKUP($C20,Language!$D$5:$E$63,2,0)</f>
        <v>England</v>
      </c>
    </row>
    <row r="21" spans="2:4" ht="15.75" x14ac:dyDescent="0.25">
      <c r="B21" s="125"/>
      <c r="C21" s="175"/>
      <c r="D21" s="176" t="s">
        <v>31</v>
      </c>
    </row>
    <row r="22" spans="2:4" x14ac:dyDescent="0.25">
      <c r="B22" s="123" t="s">
        <v>181</v>
      </c>
      <c r="C22" s="302">
        <v>26</v>
      </c>
      <c r="D22" s="173" t="str">
        <f>VLOOKUP($C22,Language!$D$5:$E$63,2,0)</f>
        <v>Polen</v>
      </c>
    </row>
    <row r="23" spans="2:4" x14ac:dyDescent="0.25">
      <c r="B23" s="123" t="s">
        <v>182</v>
      </c>
      <c r="C23" s="302">
        <v>12</v>
      </c>
      <c r="D23" s="173" t="str">
        <f>VLOOKUP($C23,Language!$D$5:$E$63,2,0)</f>
        <v>Niederlande</v>
      </c>
    </row>
    <row r="24" spans="2:4" x14ac:dyDescent="0.25">
      <c r="B24" s="123" t="s">
        <v>183</v>
      </c>
      <c r="C24" s="302">
        <v>11</v>
      </c>
      <c r="D24" s="173" t="str">
        <f>VLOOKUP($C24,Language!$D$5:$E$63,2,0)</f>
        <v>Österreich</v>
      </c>
    </row>
    <row r="25" spans="2:4" x14ac:dyDescent="0.25">
      <c r="B25" s="124" t="s">
        <v>184</v>
      </c>
      <c r="C25" s="301">
        <v>2</v>
      </c>
      <c r="D25" s="173" t="str">
        <f>VLOOKUP($C25,Language!$D$5:$E$63,2,0)</f>
        <v>Frankreich</v>
      </c>
    </row>
    <row r="26" spans="2:4" ht="15.75" x14ac:dyDescent="0.25">
      <c r="B26" s="125"/>
      <c r="C26" s="175"/>
      <c r="D26" s="176" t="s">
        <v>28</v>
      </c>
    </row>
    <row r="27" spans="2:4" x14ac:dyDescent="0.25">
      <c r="B27" s="123" t="s">
        <v>185</v>
      </c>
      <c r="C27" s="302">
        <v>4</v>
      </c>
      <c r="D27" s="173" t="str">
        <f>VLOOKUP($C27,Language!$D$5:$E$63,2,0)</f>
        <v>Belgien</v>
      </c>
    </row>
    <row r="28" spans="2:4" x14ac:dyDescent="0.25">
      <c r="B28" s="123" t="s">
        <v>186</v>
      </c>
      <c r="C28" s="301">
        <v>16</v>
      </c>
      <c r="D28" s="173" t="str">
        <f>VLOOKUP($C28,Language!$D$5:$E$63,2,0)</f>
        <v>Slowakei</v>
      </c>
    </row>
    <row r="29" spans="2:4" x14ac:dyDescent="0.25">
      <c r="B29" s="123" t="s">
        <v>187</v>
      </c>
      <c r="C29" s="302">
        <v>8</v>
      </c>
      <c r="D29" s="173" t="str">
        <f>VLOOKUP($C29,Language!$D$5:$E$63,2,0)</f>
        <v>Rumänien</v>
      </c>
    </row>
    <row r="30" spans="2:4" x14ac:dyDescent="0.25">
      <c r="B30" s="124" t="s">
        <v>188</v>
      </c>
      <c r="C30" s="301">
        <v>21</v>
      </c>
      <c r="D30" s="173" t="str">
        <f>VLOOKUP($C30,Language!$D$5:$E$63,2,0)</f>
        <v>Ukraine</v>
      </c>
    </row>
    <row r="31" spans="2:4" ht="15.75" x14ac:dyDescent="0.25">
      <c r="B31" s="125"/>
      <c r="C31" s="175"/>
      <c r="D31" s="176" t="s">
        <v>29</v>
      </c>
    </row>
    <row r="32" spans="2:4" x14ac:dyDescent="0.25">
      <c r="B32" s="123" t="s">
        <v>260</v>
      </c>
      <c r="C32" s="301">
        <v>7</v>
      </c>
      <c r="D32" s="173" t="str">
        <f>VLOOKUP($C32,Language!$D$5:$E$63,2,0)</f>
        <v>Türkei</v>
      </c>
    </row>
    <row r="33" spans="2:4" x14ac:dyDescent="0.25">
      <c r="B33" s="123" t="s">
        <v>261</v>
      </c>
      <c r="C33" s="302">
        <v>34</v>
      </c>
      <c r="D33" s="173" t="str">
        <f>VLOOKUP($C33,Language!$D$5:$E$63,2,0)</f>
        <v>Georgien</v>
      </c>
    </row>
    <row r="34" spans="2:4" x14ac:dyDescent="0.25">
      <c r="B34" s="123" t="s">
        <v>262</v>
      </c>
      <c r="C34" s="301">
        <v>1</v>
      </c>
      <c r="D34" s="173" t="str">
        <f>VLOOKUP($C34,Language!$D$5:$E$63,2,0)</f>
        <v>Portugal</v>
      </c>
    </row>
    <row r="35" spans="2:4" ht="15.75" thickBot="1" x14ac:dyDescent="0.3">
      <c r="B35" s="126" t="s">
        <v>263</v>
      </c>
      <c r="C35" s="303">
        <v>17</v>
      </c>
      <c r="D35" s="217" t="str">
        <f>VLOOKUP($C35,Language!$D$5:$E$63,2,0)</f>
        <v>Tschechien</v>
      </c>
    </row>
    <row r="36" spans="2:4" ht="15.75" thickTop="1" x14ac:dyDescent="0.25"/>
    <row r="37" spans="2:4" x14ac:dyDescent="0.25"/>
    <row r="38" spans="2:4" x14ac:dyDescent="0.25"/>
    <row r="39" spans="2:4" x14ac:dyDescent="0.25"/>
    <row r="40" spans="2:4" x14ac:dyDescent="0.25"/>
    <row r="41" spans="2:4" x14ac:dyDescent="0.25"/>
  </sheetData>
  <sheetProtection sheet="1" objects="1" scenarios="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dimension ref="A1:O61"/>
  <sheetViews>
    <sheetView showGridLines="0" showRowColHeaders="0" workbookViewId="0">
      <selection activeCell="C4" sqref="C4"/>
    </sheetView>
  </sheetViews>
  <sheetFormatPr baseColWidth="10" defaultColWidth="0" defaultRowHeight="15" zeroHeight="1" x14ac:dyDescent="0.25"/>
  <cols>
    <col min="1" max="1" width="11.42578125" customWidth="1"/>
    <col min="2" max="2" width="9.28515625" customWidth="1"/>
    <col min="3" max="3" width="7.5703125" style="25" customWidth="1"/>
    <col min="4" max="4" width="9.28515625" style="25"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11" style="25" customWidth="1"/>
    <col min="14" max="14" width="23" style="25" customWidth="1"/>
    <col min="15" max="15" width="4.7109375" style="25" customWidth="1"/>
    <col min="16" max="16384" width="11.42578125" hidden="1"/>
  </cols>
  <sheetData>
    <row r="1" spans="1:14" ht="28.5" x14ac:dyDescent="0.45">
      <c r="A1" s="120"/>
      <c r="B1" s="529" t="str">
        <f>Language!$E$88</f>
        <v>Spiele</v>
      </c>
      <c r="C1" s="529"/>
      <c r="D1" s="529"/>
      <c r="E1" s="529"/>
      <c r="F1" s="529"/>
      <c r="G1" s="529"/>
      <c r="H1" s="529"/>
      <c r="I1" s="529"/>
      <c r="J1" s="529"/>
    </row>
    <row r="2" spans="1:14" ht="18.75" customHeight="1" thickBot="1" x14ac:dyDescent="0.5">
      <c r="A2" s="119"/>
      <c r="B2" s="78"/>
      <c r="C2" s="78"/>
      <c r="D2" s="78"/>
      <c r="E2" s="78"/>
      <c r="F2" s="78"/>
      <c r="G2" s="78"/>
      <c r="H2" s="78"/>
      <c r="I2" s="78"/>
      <c r="J2" s="78"/>
    </row>
    <row r="3" spans="1:14" ht="30" customHeight="1" thickTop="1" thickBot="1" x14ac:dyDescent="0.3">
      <c r="A3" s="119"/>
      <c r="B3" s="118" t="s">
        <v>351</v>
      </c>
      <c r="C3" s="554" t="s">
        <v>305</v>
      </c>
      <c r="D3" s="554"/>
      <c r="E3" s="108" t="s">
        <v>356</v>
      </c>
      <c r="F3" s="108" t="s">
        <v>279</v>
      </c>
      <c r="G3" s="150" t="s">
        <v>349</v>
      </c>
      <c r="H3" s="108" t="s">
        <v>350</v>
      </c>
      <c r="I3" s="108" t="s">
        <v>276</v>
      </c>
      <c r="J3" s="108" t="s">
        <v>277</v>
      </c>
      <c r="K3" s="109" t="s">
        <v>357</v>
      </c>
    </row>
    <row r="4" spans="1:14" x14ac:dyDescent="0.25">
      <c r="B4" s="160">
        <v>1</v>
      </c>
      <c r="C4" s="156" t="s">
        <v>169</v>
      </c>
      <c r="D4" s="157" t="s">
        <v>170</v>
      </c>
      <c r="E4" s="304">
        <v>45457.875</v>
      </c>
      <c r="F4" s="87">
        <f>E4-VLOOKUP(TimeZone!$L$5,TimeZone!$C$4:$E$39,3,0)+VLOOKUP(TimeZone!$H$1,TimeZone!$C$4:$E$39,3,0)</f>
        <v>45457.875</v>
      </c>
      <c r="G4" s="307">
        <v>10</v>
      </c>
      <c r="H4" s="116" t="str">
        <f>IFERROR(VLOOKUP($G4,Language!$D$66:$E$81,2,0),"")</f>
        <v>München</v>
      </c>
      <c r="I4" s="116" t="str">
        <f>VLOOKUP(C4,Groups!$B$7:$D$35,3,0)</f>
        <v>Deutschland</v>
      </c>
      <c r="J4" s="116" t="str">
        <f>VLOOKUP(D4,Groups!$B$7:$D$35,3,0)</f>
        <v>Schottland</v>
      </c>
      <c r="K4" s="110"/>
      <c r="N4" s="104"/>
    </row>
    <row r="5" spans="1:14" x14ac:dyDescent="0.25">
      <c r="B5" s="160">
        <v>2</v>
      </c>
      <c r="C5" s="156" t="s">
        <v>171</v>
      </c>
      <c r="D5" s="157" t="s">
        <v>172</v>
      </c>
      <c r="E5" s="304">
        <v>45458.625</v>
      </c>
      <c r="F5" s="87">
        <f>E5-VLOOKUP(TimeZone!$L$5,TimeZone!$C$4:$E$39,3,0)+VLOOKUP(TimeZone!$H$1,TimeZone!$C$4:$E$39,3,0)</f>
        <v>45458.625</v>
      </c>
      <c r="G5" s="309">
        <v>7</v>
      </c>
      <c r="H5" s="116" t="str">
        <f>IFERROR(VLOOKUP($G5,Language!$D$66:$E$81,2,0),"")</f>
        <v>Köln</v>
      </c>
      <c r="I5" s="116" t="str">
        <f>VLOOKUP(C5,Groups!$B$7:$D$35,3,0)</f>
        <v>Ungarn</v>
      </c>
      <c r="J5" s="116" t="str">
        <f>VLOOKUP(D5,Groups!$B$7:$D$35,3,0)</f>
        <v>Schweiz</v>
      </c>
      <c r="K5" s="110"/>
    </row>
    <row r="6" spans="1:14" x14ac:dyDescent="0.25">
      <c r="B6" s="160">
        <v>3</v>
      </c>
      <c r="C6" s="156" t="s">
        <v>173</v>
      </c>
      <c r="D6" s="157" t="s">
        <v>174</v>
      </c>
      <c r="E6" s="304">
        <v>45458.75</v>
      </c>
      <c r="F6" s="87">
        <f>E6-VLOOKUP(TimeZone!$L$5,TimeZone!$C$4:$E$39,3,0)+VLOOKUP(TimeZone!$H$1,TimeZone!$C$4:$E$39,3,0)</f>
        <v>45458.75</v>
      </c>
      <c r="G6" s="309">
        <v>1</v>
      </c>
      <c r="H6" s="116" t="str">
        <f>IFERROR(VLOOKUP($G6,Language!$D$66:$E$81,2,0),"")</f>
        <v>Berlin</v>
      </c>
      <c r="I6" s="116" t="str">
        <f>VLOOKUP(C6,Groups!$B$7:$D$35,3,0)</f>
        <v>Spanien</v>
      </c>
      <c r="J6" s="116" t="str">
        <f>VLOOKUP(D6,Groups!$B$7:$D$35,3,0)</f>
        <v>Kroatien</v>
      </c>
      <c r="K6" s="110"/>
    </row>
    <row r="7" spans="1:14" x14ac:dyDescent="0.25">
      <c r="B7" s="160">
        <v>4</v>
      </c>
      <c r="C7" s="156" t="s">
        <v>175</v>
      </c>
      <c r="D7" s="157" t="s">
        <v>176</v>
      </c>
      <c r="E7" s="304">
        <v>45458.875</v>
      </c>
      <c r="F7" s="87">
        <f>E7-VLOOKUP(TimeZone!$L$5,TimeZone!$C$4:$E$39,3,0)+VLOOKUP(TimeZone!$H$1,TimeZone!$C$4:$E$39,3,0)</f>
        <v>45458.875</v>
      </c>
      <c r="G7" s="309">
        <v>4</v>
      </c>
      <c r="H7" s="116" t="str">
        <f>IFERROR(VLOOKUP($G7,Language!$D$66:$E$81,2,0),"")</f>
        <v>Dortmund</v>
      </c>
      <c r="I7" s="116" t="str">
        <f>VLOOKUP(C7,Groups!$B$7:$D$35,3,0)</f>
        <v>Italien</v>
      </c>
      <c r="J7" s="116" t="str">
        <f>VLOOKUP(D7,Groups!$B$7:$D$35,3,0)</f>
        <v>Albanien</v>
      </c>
      <c r="K7" s="110"/>
    </row>
    <row r="8" spans="1:14" x14ac:dyDescent="0.25">
      <c r="B8" s="160">
        <v>5</v>
      </c>
      <c r="C8" s="156" t="s">
        <v>179</v>
      </c>
      <c r="D8" s="157" t="s">
        <v>180</v>
      </c>
      <c r="E8" s="304">
        <v>45459.875</v>
      </c>
      <c r="F8" s="87">
        <f>E8-VLOOKUP(TimeZone!$L$5,TimeZone!$C$4:$E$39,3,0)+VLOOKUP(TimeZone!$H$1,TimeZone!$C$4:$E$39,3,0)</f>
        <v>45459.875</v>
      </c>
      <c r="G8" s="309">
        <v>5</v>
      </c>
      <c r="H8" s="116" t="str">
        <f>IFERROR(VLOOKUP($G8,Language!$D$66:$E$81,2,0),"")</f>
        <v>Gelsenkirchen</v>
      </c>
      <c r="I8" s="116" t="str">
        <f>VLOOKUP(C8,Groups!$B$7:$D$35,3,0)</f>
        <v>Serbien</v>
      </c>
      <c r="J8" s="116" t="str">
        <f>VLOOKUP(D8,Groups!$B$7:$D$35,3,0)</f>
        <v>England</v>
      </c>
      <c r="K8" s="110"/>
    </row>
    <row r="9" spans="1:14" x14ac:dyDescent="0.25">
      <c r="B9" s="160">
        <v>6</v>
      </c>
      <c r="C9" s="156" t="s">
        <v>177</v>
      </c>
      <c r="D9" s="157" t="s">
        <v>178</v>
      </c>
      <c r="E9" s="304">
        <v>45459.75</v>
      </c>
      <c r="F9" s="87">
        <f>E9-VLOOKUP(TimeZone!$L$5,TimeZone!$C$4:$E$39,3,0)+VLOOKUP(TimeZone!$H$1,TimeZone!$C$4:$E$39,3,0)</f>
        <v>45459.75</v>
      </c>
      <c r="G9" s="309">
        <v>9</v>
      </c>
      <c r="H9" s="116" t="str">
        <f>IFERROR(VLOOKUP($G9,Language!$D$66:$E$81,2,0),"")</f>
        <v>Stuttgart</v>
      </c>
      <c r="I9" s="116" t="str">
        <f>VLOOKUP(C9,Groups!$B$7:$D$35,3,0)</f>
        <v>Slowenien</v>
      </c>
      <c r="J9" s="116" t="str">
        <f>VLOOKUP(D9,Groups!$B$7:$D$35,3,0)</f>
        <v>Dänemark</v>
      </c>
      <c r="K9" s="110"/>
    </row>
    <row r="10" spans="1:14" x14ac:dyDescent="0.25">
      <c r="B10" s="160">
        <v>7</v>
      </c>
      <c r="C10" s="156" t="s">
        <v>181</v>
      </c>
      <c r="D10" s="157" t="s">
        <v>182</v>
      </c>
      <c r="E10" s="304">
        <v>45459.625</v>
      </c>
      <c r="F10" s="87">
        <f>E10-VLOOKUP(TimeZone!$L$5,TimeZone!$C$4:$E$39,3,0)+VLOOKUP(TimeZone!$H$1,TimeZone!$C$4:$E$39,3,0)</f>
        <v>45459.625</v>
      </c>
      <c r="G10" s="309">
        <v>3</v>
      </c>
      <c r="H10" s="116" t="str">
        <f>IFERROR(VLOOKUP($G10,Language!$D$66:$E$81,2,0),"")</f>
        <v>Hamburg</v>
      </c>
      <c r="I10" s="116" t="str">
        <f>VLOOKUP(C10,Groups!$B$7:$D$35,3,0)</f>
        <v>Polen</v>
      </c>
      <c r="J10" s="116" t="str">
        <f>VLOOKUP(D10,Groups!$B$7:$D$35,3,0)</f>
        <v>Niederlande</v>
      </c>
      <c r="K10" s="110"/>
    </row>
    <row r="11" spans="1:14" x14ac:dyDescent="0.25">
      <c r="B11" s="160">
        <v>8</v>
      </c>
      <c r="C11" s="156" t="s">
        <v>183</v>
      </c>
      <c r="D11" s="157" t="s">
        <v>184</v>
      </c>
      <c r="E11" s="304">
        <v>45460.875</v>
      </c>
      <c r="F11" s="87">
        <f>E11-VLOOKUP(TimeZone!$L$5,TimeZone!$C$4:$E$39,3,0)+VLOOKUP(TimeZone!$H$1,TimeZone!$C$4:$E$39,3,0)</f>
        <v>45460.875</v>
      </c>
      <c r="G11" s="309">
        <v>6</v>
      </c>
      <c r="H11" s="116" t="str">
        <f>IFERROR(VLOOKUP($G11,Language!$D$66:$E$81,2,0),"")</f>
        <v>Düsseldorf</v>
      </c>
      <c r="I11" s="116" t="str">
        <f>VLOOKUP(C11,Groups!$B$7:$D$35,3,0)</f>
        <v>Österreich</v>
      </c>
      <c r="J11" s="116" t="str">
        <f>VLOOKUP(D11,Groups!$B$7:$D$35,3,0)</f>
        <v>Frankreich</v>
      </c>
      <c r="K11" s="110"/>
    </row>
    <row r="12" spans="1:14" x14ac:dyDescent="0.25">
      <c r="B12" s="160">
        <v>9</v>
      </c>
      <c r="C12" s="156" t="s">
        <v>185</v>
      </c>
      <c r="D12" s="157" t="s">
        <v>186</v>
      </c>
      <c r="E12" s="304">
        <v>45460.75</v>
      </c>
      <c r="F12" s="87">
        <f>E12-VLOOKUP(TimeZone!$L$5,TimeZone!$C$4:$E$39,3,0)+VLOOKUP(TimeZone!$H$1,TimeZone!$C$4:$E$39,3,0)</f>
        <v>45460.75</v>
      </c>
      <c r="G12" s="309">
        <v>8</v>
      </c>
      <c r="H12" s="116" t="str">
        <f>IFERROR(VLOOKUP($G12,Language!$D$66:$E$81,2,0),"")</f>
        <v>Frankfurt</v>
      </c>
      <c r="I12" s="116" t="str">
        <f>VLOOKUP(C12,Groups!$B$7:$D$35,3,0)</f>
        <v>Belgien</v>
      </c>
      <c r="J12" s="116" t="str">
        <f>VLOOKUP(D12,Groups!$B$7:$D$35,3,0)</f>
        <v>Slowakei</v>
      </c>
      <c r="K12" s="110"/>
    </row>
    <row r="13" spans="1:14" x14ac:dyDescent="0.25">
      <c r="B13" s="160">
        <v>10</v>
      </c>
      <c r="C13" s="156" t="s">
        <v>187</v>
      </c>
      <c r="D13" s="157" t="s">
        <v>188</v>
      </c>
      <c r="E13" s="304">
        <v>45460.625</v>
      </c>
      <c r="F13" s="87">
        <f>E13-VLOOKUP(TimeZone!$L$5,TimeZone!$C$4:$E$39,3,0)+VLOOKUP(TimeZone!$H$1,TimeZone!$C$4:$E$39,3,0)</f>
        <v>45460.625</v>
      </c>
      <c r="G13" s="309">
        <v>10</v>
      </c>
      <c r="H13" s="116" t="str">
        <f>IFERROR(VLOOKUP($G13,Language!$D$66:$E$81,2,0),"")</f>
        <v>München</v>
      </c>
      <c r="I13" s="116" t="str">
        <f>VLOOKUP(C13,Groups!$B$7:$D$35,3,0)</f>
        <v>Rumänien</v>
      </c>
      <c r="J13" s="116" t="str">
        <f>VLOOKUP(D13,Groups!$B$7:$D$35,3,0)</f>
        <v>Ukraine</v>
      </c>
      <c r="K13" s="110"/>
    </row>
    <row r="14" spans="1:14" x14ac:dyDescent="0.25">
      <c r="B14" s="160">
        <v>11</v>
      </c>
      <c r="C14" s="156" t="s">
        <v>260</v>
      </c>
      <c r="D14" s="157" t="s">
        <v>261</v>
      </c>
      <c r="E14" s="304">
        <v>45461.75</v>
      </c>
      <c r="F14" s="87">
        <f>E14-VLOOKUP(TimeZone!$L$5,TimeZone!$C$4:$E$39,3,0)+VLOOKUP(TimeZone!$H$1,TimeZone!$C$4:$E$39,3,0)</f>
        <v>45461.75</v>
      </c>
      <c r="G14" s="309">
        <v>4</v>
      </c>
      <c r="H14" s="116" t="str">
        <f>IFERROR(VLOOKUP($G14,Language!$D$66:$E$81,2,0),"")</f>
        <v>Dortmund</v>
      </c>
      <c r="I14" s="116" t="str">
        <f>VLOOKUP(C14,Groups!$B$7:$D$35,3,0)</f>
        <v>Türkei</v>
      </c>
      <c r="J14" s="116" t="str">
        <f>VLOOKUP(D14,Groups!$B$7:$D$35,3,0)</f>
        <v>Georgien</v>
      </c>
      <c r="K14" s="110"/>
    </row>
    <row r="15" spans="1:14" x14ac:dyDescent="0.25">
      <c r="B15" s="160">
        <v>12</v>
      </c>
      <c r="C15" s="156" t="s">
        <v>262</v>
      </c>
      <c r="D15" s="157" t="s">
        <v>263</v>
      </c>
      <c r="E15" s="304">
        <v>45461.875</v>
      </c>
      <c r="F15" s="87">
        <f>E15-VLOOKUP(TimeZone!$L$5,TimeZone!$C$4:$E$39,3,0)+VLOOKUP(TimeZone!$H$1,TimeZone!$C$4:$E$39,3,0)</f>
        <v>45461.875</v>
      </c>
      <c r="G15" s="309">
        <v>2</v>
      </c>
      <c r="H15" s="116" t="str">
        <f>IFERROR(VLOOKUP($G15,Language!$D$66:$E$81,2,0),"")</f>
        <v>Leipzig</v>
      </c>
      <c r="I15" s="116" t="str">
        <f>VLOOKUP(C15,Groups!$B$7:$D$35,3,0)</f>
        <v>Portugal</v>
      </c>
      <c r="J15" s="116" t="str">
        <f>VLOOKUP(D15,Groups!$B$7:$D$35,3,0)</f>
        <v>Tschechien</v>
      </c>
      <c r="K15" s="110"/>
    </row>
    <row r="16" spans="1:14" x14ac:dyDescent="0.25">
      <c r="B16" s="160">
        <v>13</v>
      </c>
      <c r="C16" s="156" t="s">
        <v>170</v>
      </c>
      <c r="D16" s="157" t="s">
        <v>172</v>
      </c>
      <c r="E16" s="304">
        <v>45462.875</v>
      </c>
      <c r="F16" s="87">
        <f>E16-VLOOKUP(TimeZone!$L$5,TimeZone!$C$4:$E$39,3,0)+VLOOKUP(TimeZone!$H$1,TimeZone!$C$4:$E$39,3,0)</f>
        <v>45462.875</v>
      </c>
      <c r="G16" s="309">
        <v>7</v>
      </c>
      <c r="H16" s="116" t="str">
        <f>IFERROR(VLOOKUP($G16,Language!$D$66:$E$81,2,0),"")</f>
        <v>Köln</v>
      </c>
      <c r="I16" s="116" t="str">
        <f>VLOOKUP(C16,Groups!$B$7:$D$35,3,0)</f>
        <v>Schottland</v>
      </c>
      <c r="J16" s="116" t="str">
        <f>VLOOKUP(D16,Groups!$B$7:$D$35,3,0)</f>
        <v>Schweiz</v>
      </c>
      <c r="K16" s="110"/>
    </row>
    <row r="17" spans="2:11" x14ac:dyDescent="0.25">
      <c r="B17" s="160">
        <v>14</v>
      </c>
      <c r="C17" s="156" t="s">
        <v>169</v>
      </c>
      <c r="D17" s="157" t="s">
        <v>171</v>
      </c>
      <c r="E17" s="304">
        <v>45462.75</v>
      </c>
      <c r="F17" s="87">
        <f>E17-VLOOKUP(TimeZone!$L$5,TimeZone!$C$4:$E$39,3,0)+VLOOKUP(TimeZone!$H$1,TimeZone!$C$4:$E$39,3,0)</f>
        <v>45462.75</v>
      </c>
      <c r="G17" s="309">
        <v>9</v>
      </c>
      <c r="H17" s="116" t="str">
        <f>IFERROR(VLOOKUP($G17,Language!$D$66:$E$81,2,0),"")</f>
        <v>Stuttgart</v>
      </c>
      <c r="I17" s="116" t="str">
        <f>VLOOKUP(C17,Groups!$B$7:$D$35,3,0)</f>
        <v>Deutschland</v>
      </c>
      <c r="J17" s="116" t="str">
        <f>VLOOKUP(D17,Groups!$B$7:$D$35,3,0)</f>
        <v>Ungarn</v>
      </c>
      <c r="K17" s="110"/>
    </row>
    <row r="18" spans="2:11" x14ac:dyDescent="0.25">
      <c r="B18" s="160">
        <v>15</v>
      </c>
      <c r="C18" s="156" t="s">
        <v>174</v>
      </c>
      <c r="D18" s="157" t="s">
        <v>176</v>
      </c>
      <c r="E18" s="304">
        <v>45462.625</v>
      </c>
      <c r="F18" s="87">
        <f>E18-VLOOKUP(TimeZone!$L$5,TimeZone!$C$4:$E$39,3,0)+VLOOKUP(TimeZone!$H$1,TimeZone!$C$4:$E$39,3,0)</f>
        <v>45462.625</v>
      </c>
      <c r="G18" s="309">
        <v>3</v>
      </c>
      <c r="H18" s="116" t="str">
        <f>IFERROR(VLOOKUP($G18,Language!$D$66:$E$81,2,0),"")</f>
        <v>Hamburg</v>
      </c>
      <c r="I18" s="116" t="str">
        <f>VLOOKUP(C18,Groups!$B$7:$D$35,3,0)</f>
        <v>Kroatien</v>
      </c>
      <c r="J18" s="116" t="str">
        <f>VLOOKUP(D18,Groups!$B$7:$D$35,3,0)</f>
        <v>Albanien</v>
      </c>
      <c r="K18" s="110"/>
    </row>
    <row r="19" spans="2:11" x14ac:dyDescent="0.25">
      <c r="B19" s="160">
        <v>16</v>
      </c>
      <c r="C19" s="156" t="s">
        <v>173</v>
      </c>
      <c r="D19" s="157" t="s">
        <v>175</v>
      </c>
      <c r="E19" s="304">
        <v>45463.875</v>
      </c>
      <c r="F19" s="87">
        <f>E19-VLOOKUP(TimeZone!$L$5,TimeZone!$C$4:$E$39,3,0)+VLOOKUP(TimeZone!$H$1,TimeZone!$C$4:$E$39,3,0)</f>
        <v>45463.875</v>
      </c>
      <c r="G19" s="309">
        <v>5</v>
      </c>
      <c r="H19" s="116" t="str">
        <f>IFERROR(VLOOKUP($G19,Language!$D$66:$E$81,2,0),"")</f>
        <v>Gelsenkirchen</v>
      </c>
      <c r="I19" s="116" t="str">
        <f>VLOOKUP(C19,Groups!$B$7:$D$35,3,0)</f>
        <v>Spanien</v>
      </c>
      <c r="J19" s="116" t="str">
        <f>VLOOKUP(D19,Groups!$B$7:$D$35,3,0)</f>
        <v>Italien</v>
      </c>
      <c r="K19" s="110"/>
    </row>
    <row r="20" spans="2:11" x14ac:dyDescent="0.25">
      <c r="B20" s="160">
        <v>17</v>
      </c>
      <c r="C20" s="156" t="s">
        <v>178</v>
      </c>
      <c r="D20" s="157" t="s">
        <v>180</v>
      </c>
      <c r="E20" s="304">
        <v>45463.75</v>
      </c>
      <c r="F20" s="87">
        <f>E20-VLOOKUP(TimeZone!$L$5,TimeZone!$C$4:$E$39,3,0)+VLOOKUP(TimeZone!$H$1,TimeZone!$C$4:$E$39,3,0)</f>
        <v>45463.75</v>
      </c>
      <c r="G20" s="309">
        <v>8</v>
      </c>
      <c r="H20" s="116" t="str">
        <f>IFERROR(VLOOKUP($G20,Language!$D$66:$E$81,2,0),"")</f>
        <v>Frankfurt</v>
      </c>
      <c r="I20" s="116" t="str">
        <f>VLOOKUP(C20,Groups!$B$7:$D$35,3,0)</f>
        <v>Dänemark</v>
      </c>
      <c r="J20" s="116" t="str">
        <f>VLOOKUP(D20,Groups!$B$7:$D$35,3,0)</f>
        <v>England</v>
      </c>
      <c r="K20" s="110"/>
    </row>
    <row r="21" spans="2:11" x14ac:dyDescent="0.25">
      <c r="B21" s="160">
        <v>18</v>
      </c>
      <c r="C21" s="156" t="s">
        <v>177</v>
      </c>
      <c r="D21" s="157" t="s">
        <v>179</v>
      </c>
      <c r="E21" s="304">
        <v>45463.625</v>
      </c>
      <c r="F21" s="87">
        <f>E21-VLOOKUP(TimeZone!$L$5,TimeZone!$C$4:$E$39,3,0)+VLOOKUP(TimeZone!$H$1,TimeZone!$C$4:$E$39,3,0)</f>
        <v>45463.625</v>
      </c>
      <c r="G21" s="309">
        <v>10</v>
      </c>
      <c r="H21" s="116" t="str">
        <f>IFERROR(VLOOKUP($G21,Language!$D$66:$E$81,2,0),"")</f>
        <v>München</v>
      </c>
      <c r="I21" s="116" t="str">
        <f>VLOOKUP(C21,Groups!$B$7:$D$35,3,0)</f>
        <v>Slowenien</v>
      </c>
      <c r="J21" s="116" t="str">
        <f>VLOOKUP(D21,Groups!$B$7:$D$35,3,0)</f>
        <v>Serbien</v>
      </c>
      <c r="K21" s="110"/>
    </row>
    <row r="22" spans="2:11" x14ac:dyDescent="0.25">
      <c r="B22" s="160">
        <v>19</v>
      </c>
      <c r="C22" s="156" t="s">
        <v>181</v>
      </c>
      <c r="D22" s="157" t="s">
        <v>183</v>
      </c>
      <c r="E22" s="304">
        <v>45464.75</v>
      </c>
      <c r="F22" s="87">
        <f>E22-VLOOKUP(TimeZone!$L$5,TimeZone!$C$4:$E$39,3,0)+VLOOKUP(TimeZone!$H$1,TimeZone!$C$4:$E$39,3,0)</f>
        <v>45464.75</v>
      </c>
      <c r="G22" s="309">
        <v>1</v>
      </c>
      <c r="H22" s="116" t="str">
        <f>IFERROR(VLOOKUP($G22,Language!$D$66:$E$81,2,0),"")</f>
        <v>Berlin</v>
      </c>
      <c r="I22" s="116" t="str">
        <f>VLOOKUP(C22,Groups!$B$7:$D$35,3,0)</f>
        <v>Polen</v>
      </c>
      <c r="J22" s="116" t="str">
        <f>VLOOKUP(D22,Groups!$B$7:$D$35,3,0)</f>
        <v>Österreich</v>
      </c>
      <c r="K22" s="110"/>
    </row>
    <row r="23" spans="2:11" x14ac:dyDescent="0.25">
      <c r="B23" s="160">
        <v>20</v>
      </c>
      <c r="C23" s="156" t="s">
        <v>182</v>
      </c>
      <c r="D23" s="157" t="s">
        <v>184</v>
      </c>
      <c r="E23" s="304">
        <v>45464.875</v>
      </c>
      <c r="F23" s="87">
        <f>E23-VLOOKUP(TimeZone!$L$5,TimeZone!$C$4:$E$39,3,0)+VLOOKUP(TimeZone!$H$1,TimeZone!$C$4:$E$39,3,0)</f>
        <v>45464.875</v>
      </c>
      <c r="G23" s="309">
        <v>2</v>
      </c>
      <c r="H23" s="116" t="str">
        <f>IFERROR(VLOOKUP($G23,Language!$D$66:$E$81,2,0),"")</f>
        <v>Leipzig</v>
      </c>
      <c r="I23" s="116" t="str">
        <f>VLOOKUP(C23,Groups!$B$7:$D$35,3,0)</f>
        <v>Niederlande</v>
      </c>
      <c r="J23" s="116" t="str">
        <f>VLOOKUP(D23,Groups!$B$7:$D$35,3,0)</f>
        <v>Frankreich</v>
      </c>
      <c r="K23" s="110"/>
    </row>
    <row r="24" spans="2:11" x14ac:dyDescent="0.25">
      <c r="B24" s="160">
        <v>21</v>
      </c>
      <c r="C24" s="156" t="s">
        <v>186</v>
      </c>
      <c r="D24" s="157" t="s">
        <v>188</v>
      </c>
      <c r="E24" s="304">
        <v>45464.625</v>
      </c>
      <c r="F24" s="87">
        <f>E24-VLOOKUP(TimeZone!$L$5,TimeZone!$C$4:$E$39,3,0)+VLOOKUP(TimeZone!$H$1,TimeZone!$C$4:$E$39,3,0)</f>
        <v>45464.625</v>
      </c>
      <c r="G24" s="309">
        <v>6</v>
      </c>
      <c r="H24" s="116" t="str">
        <f>IFERROR(VLOOKUP($G24,Language!$D$66:$E$81,2,0),"")</f>
        <v>Düsseldorf</v>
      </c>
      <c r="I24" s="116" t="str">
        <f>VLOOKUP(C24,Groups!$B$7:$D$35,3,0)</f>
        <v>Slowakei</v>
      </c>
      <c r="J24" s="116" t="str">
        <f>VLOOKUP(D24,Groups!$B$7:$D$35,3,0)</f>
        <v>Ukraine</v>
      </c>
      <c r="K24" s="110"/>
    </row>
    <row r="25" spans="2:11" x14ac:dyDescent="0.25">
      <c r="B25" s="160">
        <v>22</v>
      </c>
      <c r="C25" s="156" t="s">
        <v>185</v>
      </c>
      <c r="D25" s="157" t="s">
        <v>187</v>
      </c>
      <c r="E25" s="304">
        <v>45465.875</v>
      </c>
      <c r="F25" s="87">
        <f>E25-VLOOKUP(TimeZone!$L$5,TimeZone!$C$4:$E$39,3,0)+VLOOKUP(TimeZone!$H$1,TimeZone!$C$4:$E$39,3,0)</f>
        <v>45465.875</v>
      </c>
      <c r="G25" s="309">
        <v>7</v>
      </c>
      <c r="H25" s="116" t="str">
        <f>IFERROR(VLOOKUP($G25,Language!$D$66:$E$81,2,0),"")</f>
        <v>Köln</v>
      </c>
      <c r="I25" s="116" t="str">
        <f>VLOOKUP(C25,Groups!$B$7:$D$35,3,0)</f>
        <v>Belgien</v>
      </c>
      <c r="J25" s="116" t="str">
        <f>VLOOKUP(D25,Groups!$B$7:$D$35,3,0)</f>
        <v>Rumänien</v>
      </c>
      <c r="K25" s="110"/>
    </row>
    <row r="26" spans="2:11" x14ac:dyDescent="0.25">
      <c r="B26" s="160">
        <v>23</v>
      </c>
      <c r="C26" s="156" t="s">
        <v>260</v>
      </c>
      <c r="D26" s="157" t="s">
        <v>262</v>
      </c>
      <c r="E26" s="304">
        <v>45465.75</v>
      </c>
      <c r="F26" s="87">
        <f>E26-VLOOKUP(TimeZone!$L$5,TimeZone!$C$4:$E$39,3,0)+VLOOKUP(TimeZone!$H$1,TimeZone!$C$4:$E$39,3,0)</f>
        <v>45465.75</v>
      </c>
      <c r="G26" s="309">
        <v>4</v>
      </c>
      <c r="H26" s="116" t="str">
        <f>IFERROR(VLOOKUP($G26,Language!$D$66:$E$81,2,0),"")</f>
        <v>Dortmund</v>
      </c>
      <c r="I26" s="116" t="str">
        <f>VLOOKUP(C26,Groups!$B$7:$D$35,3,0)</f>
        <v>Türkei</v>
      </c>
      <c r="J26" s="116" t="str">
        <f>VLOOKUP(D26,Groups!$B$7:$D$35,3,0)</f>
        <v>Portugal</v>
      </c>
      <c r="K26" s="110"/>
    </row>
    <row r="27" spans="2:11" x14ac:dyDescent="0.25">
      <c r="B27" s="160">
        <v>24</v>
      </c>
      <c r="C27" s="156" t="s">
        <v>261</v>
      </c>
      <c r="D27" s="157" t="s">
        <v>263</v>
      </c>
      <c r="E27" s="304">
        <v>45465.625</v>
      </c>
      <c r="F27" s="87">
        <f>E27-VLOOKUP(TimeZone!$L$5,TimeZone!$C$4:$E$39,3,0)+VLOOKUP(TimeZone!$H$1,TimeZone!$C$4:$E$39,3,0)</f>
        <v>45465.625</v>
      </c>
      <c r="G27" s="309">
        <v>3</v>
      </c>
      <c r="H27" s="116" t="str">
        <f>IFERROR(VLOOKUP($G27,Language!$D$66:$E$81,2,0),"")</f>
        <v>Hamburg</v>
      </c>
      <c r="I27" s="116" t="str">
        <f>VLOOKUP(C27,Groups!$B$7:$D$35,3,0)</f>
        <v>Georgien</v>
      </c>
      <c r="J27" s="116" t="str">
        <f>VLOOKUP(D27,Groups!$B$7:$D$35,3,0)</f>
        <v>Tschechien</v>
      </c>
      <c r="K27" s="110"/>
    </row>
    <row r="28" spans="2:11" x14ac:dyDescent="0.25">
      <c r="B28" s="160">
        <v>25</v>
      </c>
      <c r="C28" s="156" t="s">
        <v>172</v>
      </c>
      <c r="D28" s="157" t="s">
        <v>169</v>
      </c>
      <c r="E28" s="304">
        <v>45466.875</v>
      </c>
      <c r="F28" s="87">
        <f>E28-VLOOKUP(TimeZone!$L$5,TimeZone!$C$4:$E$39,3,0)+VLOOKUP(TimeZone!$H$1,TimeZone!$C$4:$E$39,3,0)</f>
        <v>45466.875</v>
      </c>
      <c r="G28" s="309">
        <v>8</v>
      </c>
      <c r="H28" s="116" t="str">
        <f>IFERROR(VLOOKUP($G28,Language!$D$66:$E$81,2,0),"")</f>
        <v>Frankfurt</v>
      </c>
      <c r="I28" s="116" t="str">
        <f>VLOOKUP(C28,Groups!$B$7:$D$35,3,0)</f>
        <v>Schweiz</v>
      </c>
      <c r="J28" s="116" t="str">
        <f>VLOOKUP(D28,Groups!$B$7:$D$35,3,0)</f>
        <v>Deutschland</v>
      </c>
      <c r="K28" s="110"/>
    </row>
    <row r="29" spans="2:11" x14ac:dyDescent="0.25">
      <c r="B29" s="160">
        <v>26</v>
      </c>
      <c r="C29" s="156" t="s">
        <v>170</v>
      </c>
      <c r="D29" s="157" t="s">
        <v>171</v>
      </c>
      <c r="E29" s="304">
        <v>45466.875</v>
      </c>
      <c r="F29" s="87">
        <f>E29-VLOOKUP(TimeZone!$L$5,TimeZone!$C$4:$E$39,3,0)+VLOOKUP(TimeZone!$H$1,TimeZone!$C$4:$E$39,3,0)</f>
        <v>45466.875</v>
      </c>
      <c r="G29" s="309">
        <v>9</v>
      </c>
      <c r="H29" s="116" t="str">
        <f>IFERROR(VLOOKUP($G29,Language!$D$66:$E$81,2,0),"")</f>
        <v>Stuttgart</v>
      </c>
      <c r="I29" s="116" t="str">
        <f>VLOOKUP(C29,Groups!$B$7:$D$35,3,0)</f>
        <v>Schottland</v>
      </c>
      <c r="J29" s="116" t="str">
        <f>VLOOKUP(D29,Groups!$B$7:$D$35,3,0)</f>
        <v>Ungarn</v>
      </c>
      <c r="K29" s="110"/>
    </row>
    <row r="30" spans="2:11" x14ac:dyDescent="0.25">
      <c r="B30" s="160">
        <v>27</v>
      </c>
      <c r="C30" s="156" t="s">
        <v>176</v>
      </c>
      <c r="D30" s="157" t="s">
        <v>173</v>
      </c>
      <c r="E30" s="304">
        <v>45467.875</v>
      </c>
      <c r="F30" s="87">
        <f>E30-VLOOKUP(TimeZone!$L$5,TimeZone!$C$4:$E$39,3,0)+VLOOKUP(TimeZone!$H$1,TimeZone!$C$4:$E$39,3,0)</f>
        <v>45467.875</v>
      </c>
      <c r="G30" s="309">
        <v>6</v>
      </c>
      <c r="H30" s="116" t="str">
        <f>IFERROR(VLOOKUP($G30,Language!$D$66:$E$81,2,0),"")</f>
        <v>Düsseldorf</v>
      </c>
      <c r="I30" s="116" t="str">
        <f>VLOOKUP(C30,Groups!$B$7:$D$35,3,0)</f>
        <v>Albanien</v>
      </c>
      <c r="J30" s="116" t="str">
        <f>VLOOKUP(D30,Groups!$B$7:$D$35,3,0)</f>
        <v>Spanien</v>
      </c>
      <c r="K30" s="110"/>
    </row>
    <row r="31" spans="2:11" x14ac:dyDescent="0.25">
      <c r="B31" s="160">
        <v>28</v>
      </c>
      <c r="C31" s="156" t="s">
        <v>174</v>
      </c>
      <c r="D31" s="157" t="s">
        <v>175</v>
      </c>
      <c r="E31" s="304">
        <v>45467.875</v>
      </c>
      <c r="F31" s="87">
        <f>E31-VLOOKUP(TimeZone!$L$5,TimeZone!$C$4:$E$39,3,0)+VLOOKUP(TimeZone!$H$1,TimeZone!$C$4:$E$39,3,0)</f>
        <v>45467.875</v>
      </c>
      <c r="G31" s="309">
        <v>2</v>
      </c>
      <c r="H31" s="116" t="str">
        <f>IFERROR(VLOOKUP($G31,Language!$D$66:$E$81,2,0),"")</f>
        <v>Leipzig</v>
      </c>
      <c r="I31" s="116" t="str">
        <f>VLOOKUP(C31,Groups!$B$7:$D$35,3,0)</f>
        <v>Kroatien</v>
      </c>
      <c r="J31" s="116" t="str">
        <f>VLOOKUP(D31,Groups!$B$7:$D$35,3,0)</f>
        <v>Italien</v>
      </c>
      <c r="K31" s="110"/>
    </row>
    <row r="32" spans="2:11" x14ac:dyDescent="0.25">
      <c r="B32" s="160">
        <v>29</v>
      </c>
      <c r="C32" s="156" t="s">
        <v>180</v>
      </c>
      <c r="D32" s="157" t="s">
        <v>177</v>
      </c>
      <c r="E32" s="304">
        <v>45468.875</v>
      </c>
      <c r="F32" s="87">
        <f>E32-VLOOKUP(TimeZone!$L$5,TimeZone!$C$4:$E$39,3,0)+VLOOKUP(TimeZone!$H$1,TimeZone!$C$4:$E$39,3,0)</f>
        <v>45468.875</v>
      </c>
      <c r="G32" s="309">
        <v>7</v>
      </c>
      <c r="H32" s="116" t="str">
        <f>IFERROR(VLOOKUP($G32,Language!$D$66:$E$81,2,0),"")</f>
        <v>Köln</v>
      </c>
      <c r="I32" s="116" t="str">
        <f>VLOOKUP(C32,Groups!$B$7:$D$35,3,0)</f>
        <v>England</v>
      </c>
      <c r="J32" s="116" t="str">
        <f>VLOOKUP(D32,Groups!$B$7:$D$35,3,0)</f>
        <v>Slowenien</v>
      </c>
      <c r="K32" s="110"/>
    </row>
    <row r="33" spans="2:14" x14ac:dyDescent="0.25">
      <c r="B33" s="160">
        <v>30</v>
      </c>
      <c r="C33" s="156" t="s">
        <v>178</v>
      </c>
      <c r="D33" s="157" t="s">
        <v>179</v>
      </c>
      <c r="E33" s="304">
        <v>45468.875</v>
      </c>
      <c r="F33" s="87">
        <f>E33-VLOOKUP(TimeZone!$L$5,TimeZone!$C$4:$E$39,3,0)+VLOOKUP(TimeZone!$H$1,TimeZone!$C$4:$E$39,3,0)</f>
        <v>45468.875</v>
      </c>
      <c r="G33" s="309">
        <v>10</v>
      </c>
      <c r="H33" s="116" t="str">
        <f>IFERROR(VLOOKUP($G33,Language!$D$66:$E$81,2,0),"")</f>
        <v>München</v>
      </c>
      <c r="I33" s="116" t="str">
        <f>VLOOKUP(C33,Groups!$B$7:$D$35,3,0)</f>
        <v>Dänemark</v>
      </c>
      <c r="J33" s="116" t="str">
        <f>VLOOKUP(D33,Groups!$B$7:$D$35,3,0)</f>
        <v>Serbien</v>
      </c>
      <c r="K33" s="110"/>
    </row>
    <row r="34" spans="2:14" x14ac:dyDescent="0.25">
      <c r="B34" s="160">
        <v>31</v>
      </c>
      <c r="C34" s="156" t="s">
        <v>182</v>
      </c>
      <c r="D34" s="157" t="s">
        <v>183</v>
      </c>
      <c r="E34" s="304">
        <v>45468.75</v>
      </c>
      <c r="F34" s="87">
        <f>E34-VLOOKUP(TimeZone!$L$5,TimeZone!$C$4:$E$39,3,0)+VLOOKUP(TimeZone!$H$1,TimeZone!$C$4:$E$39,3,0)</f>
        <v>45468.75</v>
      </c>
      <c r="G34" s="309">
        <v>1</v>
      </c>
      <c r="H34" s="116" t="str">
        <f>IFERROR(VLOOKUP($G34,Language!$D$66:$E$81,2,0),"")</f>
        <v>Berlin</v>
      </c>
      <c r="I34" s="116" t="str">
        <f>VLOOKUP(C34,Groups!$B$7:$D$35,3,0)</f>
        <v>Niederlande</v>
      </c>
      <c r="J34" s="116" t="str">
        <f>VLOOKUP(D34,Groups!$B$7:$D$35,3,0)</f>
        <v>Österreich</v>
      </c>
      <c r="K34" s="110"/>
    </row>
    <row r="35" spans="2:14" x14ac:dyDescent="0.25">
      <c r="B35" s="160">
        <v>32</v>
      </c>
      <c r="C35" s="156" t="s">
        <v>184</v>
      </c>
      <c r="D35" s="157" t="s">
        <v>181</v>
      </c>
      <c r="E35" s="304">
        <v>45468.75</v>
      </c>
      <c r="F35" s="87">
        <f>E35-VLOOKUP(TimeZone!$L$5,TimeZone!$C$4:$E$39,3,0)+VLOOKUP(TimeZone!$H$1,TimeZone!$C$4:$E$39,3,0)</f>
        <v>45468.75</v>
      </c>
      <c r="G35" s="309">
        <v>4</v>
      </c>
      <c r="H35" s="116" t="str">
        <f>IFERROR(VLOOKUP($G35,Language!$D$66:$E$81,2,0),"")</f>
        <v>Dortmund</v>
      </c>
      <c r="I35" s="116" t="str">
        <f>VLOOKUP(C35,Groups!$B$7:$D$35,3,0)</f>
        <v>Frankreich</v>
      </c>
      <c r="J35" s="116" t="str">
        <f>VLOOKUP(D35,Groups!$B$7:$D$35,3,0)</f>
        <v>Polen</v>
      </c>
      <c r="K35" s="110"/>
    </row>
    <row r="36" spans="2:14" x14ac:dyDescent="0.25">
      <c r="B36" s="160">
        <v>33</v>
      </c>
      <c r="C36" s="156" t="s">
        <v>186</v>
      </c>
      <c r="D36" s="157" t="s">
        <v>187</v>
      </c>
      <c r="E36" s="304">
        <v>45469.75</v>
      </c>
      <c r="F36" s="87">
        <f>E36-VLOOKUP(TimeZone!$L$5,TimeZone!$C$4:$E$39,3,0)+VLOOKUP(TimeZone!$H$1,TimeZone!$C$4:$E$39,3,0)</f>
        <v>45469.75</v>
      </c>
      <c r="G36" s="309">
        <v>8</v>
      </c>
      <c r="H36" s="116" t="str">
        <f>IFERROR(VLOOKUP($G36,Language!$D$66:$E$81,2,0),"")</f>
        <v>Frankfurt</v>
      </c>
      <c r="I36" s="116" t="str">
        <f>VLOOKUP(C36,Groups!$B$7:$D$35,3,0)</f>
        <v>Slowakei</v>
      </c>
      <c r="J36" s="116" t="str">
        <f>VLOOKUP(D36,Groups!$B$7:$D$35,3,0)</f>
        <v>Rumänien</v>
      </c>
      <c r="K36" s="110"/>
    </row>
    <row r="37" spans="2:14" x14ac:dyDescent="0.25">
      <c r="B37" s="160">
        <v>34</v>
      </c>
      <c r="C37" s="156" t="s">
        <v>188</v>
      </c>
      <c r="D37" s="157" t="s">
        <v>185</v>
      </c>
      <c r="E37" s="304">
        <v>45469.75</v>
      </c>
      <c r="F37" s="87">
        <f>E37-VLOOKUP(TimeZone!$L$5,TimeZone!$C$4:$E$39,3,0)+VLOOKUP(TimeZone!$H$1,TimeZone!$C$4:$E$39,3,0)</f>
        <v>45469.75</v>
      </c>
      <c r="G37" s="309">
        <v>9</v>
      </c>
      <c r="H37" s="116" t="str">
        <f>IFERROR(VLOOKUP($G37,Language!$D$66:$E$81,2,0),"")</f>
        <v>Stuttgart</v>
      </c>
      <c r="I37" s="116" t="str">
        <f>VLOOKUP(C37,Groups!$B$7:$D$35,3,0)</f>
        <v>Ukraine</v>
      </c>
      <c r="J37" s="116" t="str">
        <f>VLOOKUP(D37,Groups!$B$7:$D$35,3,0)</f>
        <v>Belgien</v>
      </c>
      <c r="K37" s="110"/>
    </row>
    <row r="38" spans="2:14" x14ac:dyDescent="0.25">
      <c r="B38" s="160">
        <v>35</v>
      </c>
      <c r="C38" s="156" t="s">
        <v>261</v>
      </c>
      <c r="D38" s="157" t="s">
        <v>262</v>
      </c>
      <c r="E38" s="304">
        <v>45469.875</v>
      </c>
      <c r="F38" s="87">
        <f>E38-VLOOKUP(TimeZone!$L$5,TimeZone!$C$4:$E$39,3,0)+VLOOKUP(TimeZone!$H$1,TimeZone!$C$4:$E$39,3,0)</f>
        <v>45469.875</v>
      </c>
      <c r="G38" s="309">
        <v>5</v>
      </c>
      <c r="H38" s="116" t="str">
        <f>IFERROR(VLOOKUP($G38,Language!$D$66:$E$81,2,0),"")</f>
        <v>Gelsenkirchen</v>
      </c>
      <c r="I38" s="116" t="str">
        <f>VLOOKUP(C38,Groups!$B$7:$D$35,3,0)</f>
        <v>Georgien</v>
      </c>
      <c r="J38" s="116" t="str">
        <f>VLOOKUP(D38,Groups!$B$7:$D$35,3,0)</f>
        <v>Portugal</v>
      </c>
      <c r="K38" s="110"/>
    </row>
    <row r="39" spans="2:14" x14ac:dyDescent="0.25">
      <c r="B39" s="160">
        <v>36</v>
      </c>
      <c r="C39" s="156" t="s">
        <v>263</v>
      </c>
      <c r="D39" s="157" t="s">
        <v>260</v>
      </c>
      <c r="E39" s="304">
        <v>45469.875</v>
      </c>
      <c r="F39" s="87">
        <f>E39-VLOOKUP(TimeZone!$L$5,TimeZone!$C$4:$E$39,3,0)+VLOOKUP(TimeZone!$H$1,TimeZone!$C$4:$E$39,3,0)</f>
        <v>45469.875</v>
      </c>
      <c r="G39" s="309">
        <v>3</v>
      </c>
      <c r="H39" s="116" t="str">
        <f>IFERROR(VLOOKUP($G39,Language!$D$66:$E$81,2,0),"")</f>
        <v>Hamburg</v>
      </c>
      <c r="I39" s="116" t="str">
        <f>VLOOKUP(C39,Groups!$B$7:$D$35,3,0)</f>
        <v>Tschechien</v>
      </c>
      <c r="J39" s="116" t="str">
        <f>VLOOKUP(D39,Groups!$B$7:$D$35,3,0)</f>
        <v>Türkei</v>
      </c>
      <c r="K39" s="110"/>
    </row>
    <row r="40" spans="2:14" ht="15.75" thickBot="1" x14ac:dyDescent="0.3">
      <c r="B40" s="88" t="s">
        <v>130</v>
      </c>
      <c r="C40" s="103"/>
      <c r="D40" s="103"/>
      <c r="E40" s="62"/>
      <c r="F40" s="63"/>
      <c r="G40" s="151"/>
      <c r="H40" s="63"/>
      <c r="I40" s="63"/>
      <c r="J40" s="63"/>
      <c r="K40" s="111"/>
    </row>
    <row r="41" spans="2:14" x14ac:dyDescent="0.25">
      <c r="B41" s="160">
        <v>37</v>
      </c>
      <c r="C41" s="156" t="s">
        <v>2</v>
      </c>
      <c r="D41" s="157" t="s">
        <v>10</v>
      </c>
      <c r="E41" s="304">
        <v>45472.875</v>
      </c>
      <c r="F41" s="87">
        <f>E41-VLOOKUP(TimeZone!$L$5,TimeZone!$C$4:$E$39,3,0)+VLOOKUP(TimeZone!$H$1,TimeZone!$C$4:$E$39,3,0)</f>
        <v>45472.875</v>
      </c>
      <c r="G41" s="307">
        <v>4</v>
      </c>
      <c r="H41" s="116" t="str">
        <f>IFERROR(VLOOKUP($G41,Language!$D$66:$E$81,2,0),"")</f>
        <v>Dortmund</v>
      </c>
      <c r="I41" s="116" t="str">
        <f ca="1">VLOOKUP(C41,$M$41:$N$56,2,0)</f>
        <v/>
      </c>
      <c r="J41" s="116" t="str">
        <f ca="1">VLOOKUP(D41,$M$41:$N$56,2,0)</f>
        <v/>
      </c>
      <c r="K41" s="310">
        <v>2</v>
      </c>
      <c r="L41" s="60"/>
      <c r="M41" s="164" t="s">
        <v>2</v>
      </c>
      <c r="N41" s="165" t="str">
        <f ca="1">EURO!$B$46</f>
        <v/>
      </c>
    </row>
    <row r="42" spans="2:14" x14ac:dyDescent="0.25">
      <c r="B42" s="160">
        <v>38</v>
      </c>
      <c r="C42" s="156" t="s">
        <v>8</v>
      </c>
      <c r="D42" s="157" t="s">
        <v>9</v>
      </c>
      <c r="E42" s="304">
        <v>45472.75</v>
      </c>
      <c r="F42" s="87">
        <f>E42-VLOOKUP(TimeZone!$L$5,TimeZone!$C$4:$E$39,3,0)+VLOOKUP(TimeZone!$H$1,TimeZone!$C$4:$E$39,3,0)</f>
        <v>45472.75</v>
      </c>
      <c r="G42" s="309">
        <v>1</v>
      </c>
      <c r="H42" s="116" t="str">
        <f>IFERROR(VLOOKUP($G42,Language!$D$66:$E$81,2,0),"")</f>
        <v>Berlin</v>
      </c>
      <c r="I42" s="116" t="str">
        <f t="shared" ref="I42:J48" ca="1" si="0">VLOOKUP(C42,$M$41:$N$56,2,0)</f>
        <v/>
      </c>
      <c r="J42" s="116" t="str">
        <f t="shared" ca="1" si="0"/>
        <v/>
      </c>
      <c r="K42" s="310">
        <v>1</v>
      </c>
      <c r="L42" s="60"/>
      <c r="M42" s="166" t="s">
        <v>8</v>
      </c>
      <c r="N42" s="167" t="str">
        <f ca="1">EURO!$B$47</f>
        <v/>
      </c>
    </row>
    <row r="43" spans="2:14" x14ac:dyDescent="0.25">
      <c r="B43" s="160">
        <v>39</v>
      </c>
      <c r="C43" s="156" t="s">
        <v>3</v>
      </c>
      <c r="D43" s="157" t="str">
        <f>AssignThird!$D$4</f>
        <v>3A/D/E/F</v>
      </c>
      <c r="E43" s="304">
        <v>45473.875</v>
      </c>
      <c r="F43" s="87">
        <f>E43-VLOOKUP(TimeZone!$L$5,TimeZone!$C$4:$E$39,3,0)+VLOOKUP(TimeZone!$H$1,TimeZone!$C$4:$E$39,3,0)</f>
        <v>45473.875</v>
      </c>
      <c r="G43" s="309">
        <v>7</v>
      </c>
      <c r="H43" s="116" t="str">
        <f>IFERROR(VLOOKUP($G43,Language!$D$66:$E$81,2,0),"")</f>
        <v>Köln</v>
      </c>
      <c r="I43" s="116" t="str">
        <f t="shared" ca="1" si="0"/>
        <v/>
      </c>
      <c r="J43" s="116" t="str">
        <f t="shared" ca="1" si="0"/>
        <v/>
      </c>
      <c r="K43" s="310">
        <v>4</v>
      </c>
      <c r="L43" s="60"/>
      <c r="M43" s="166" t="s">
        <v>3</v>
      </c>
      <c r="N43" s="167" t="str">
        <f ca="1">EURO!$E$46</f>
        <v/>
      </c>
    </row>
    <row r="44" spans="2:14" x14ac:dyDescent="0.25">
      <c r="B44" s="160">
        <v>40</v>
      </c>
      <c r="C44" s="156" t="s">
        <v>4</v>
      </c>
      <c r="D44" s="157" t="str">
        <f>AssignThird!$E$4</f>
        <v>3D/E/F</v>
      </c>
      <c r="E44" s="304">
        <v>45473.75</v>
      </c>
      <c r="F44" s="87">
        <f>E44-VLOOKUP(TimeZone!$L$5,TimeZone!$C$4:$E$39,3,0)+VLOOKUP(TimeZone!$H$1,TimeZone!$C$4:$E$39,3,0)</f>
        <v>45473.75</v>
      </c>
      <c r="G44" s="309">
        <v>5</v>
      </c>
      <c r="H44" s="116" t="str">
        <f>IFERROR(VLOOKUP($G44,Language!$D$66:$E$81,2,0),"")</f>
        <v>Gelsenkirchen</v>
      </c>
      <c r="I44" s="116" t="str">
        <f t="shared" ca="1" si="0"/>
        <v/>
      </c>
      <c r="J44" s="116" t="str">
        <f t="shared" ca="1" si="0"/>
        <v/>
      </c>
      <c r="K44" s="310">
        <v>3</v>
      </c>
      <c r="L44" s="60"/>
      <c r="M44" s="166" t="s">
        <v>9</v>
      </c>
      <c r="N44" s="167" t="str">
        <f ca="1">EURO!$E$47</f>
        <v/>
      </c>
    </row>
    <row r="45" spans="2:14" x14ac:dyDescent="0.25">
      <c r="B45" s="160">
        <v>41</v>
      </c>
      <c r="C45" s="156" t="s">
        <v>7</v>
      </c>
      <c r="D45" s="157" t="str">
        <f>AssignThird!$G$4</f>
        <v>3A/B/C</v>
      </c>
      <c r="E45" s="304">
        <v>45474.875</v>
      </c>
      <c r="F45" s="87">
        <f>E45-VLOOKUP(TimeZone!$L$5,TimeZone!$C$4:$E$39,3,0)+VLOOKUP(TimeZone!$H$1,TimeZone!$C$4:$E$39,3,0)</f>
        <v>45474.875</v>
      </c>
      <c r="G45" s="309">
        <v>8</v>
      </c>
      <c r="H45" s="116" t="str">
        <f>IFERROR(VLOOKUP($G45,Language!$D$66:$E$81,2,0),"")</f>
        <v>Frankfurt</v>
      </c>
      <c r="I45" s="116" t="str">
        <f t="shared" ca="1" si="0"/>
        <v/>
      </c>
      <c r="J45" s="116" t="str">
        <f t="shared" ca="1" si="0"/>
        <v/>
      </c>
      <c r="K45" s="310">
        <v>6</v>
      </c>
      <c r="L45" s="60"/>
      <c r="M45" s="166" t="s">
        <v>4</v>
      </c>
      <c r="N45" s="167" t="str">
        <f ca="1">EURO!$H$46</f>
        <v/>
      </c>
    </row>
    <row r="46" spans="2:14" x14ac:dyDescent="0.25">
      <c r="B46" s="160">
        <v>42</v>
      </c>
      <c r="C46" s="156" t="s">
        <v>11</v>
      </c>
      <c r="D46" s="157" t="s">
        <v>12</v>
      </c>
      <c r="E46" s="304">
        <v>45474.75</v>
      </c>
      <c r="F46" s="87">
        <f>E46-VLOOKUP(TimeZone!$L$5,TimeZone!$C$4:$E$39,3,0)+VLOOKUP(TimeZone!$H$1,TimeZone!$C$4:$E$39,3,0)</f>
        <v>45474.75</v>
      </c>
      <c r="G46" s="309">
        <v>6</v>
      </c>
      <c r="H46" s="116" t="str">
        <f>IFERROR(VLOOKUP($G46,Language!$D$66:$E$81,2,0),"")</f>
        <v>Düsseldorf</v>
      </c>
      <c r="I46" s="116" t="str">
        <f t="shared" ca="1" si="0"/>
        <v/>
      </c>
      <c r="J46" s="116" t="str">
        <f t="shared" ca="1" si="0"/>
        <v/>
      </c>
      <c r="K46" s="310">
        <v>5</v>
      </c>
      <c r="L46" s="60"/>
      <c r="M46" s="166" t="s">
        <v>10</v>
      </c>
      <c r="N46" s="167" t="str">
        <f ca="1">EURO!$H$47</f>
        <v/>
      </c>
    </row>
    <row r="47" spans="2:14" x14ac:dyDescent="0.25">
      <c r="B47" s="160">
        <v>43</v>
      </c>
      <c r="C47" s="156" t="s">
        <v>6</v>
      </c>
      <c r="D47" s="157" t="str">
        <f>AssignThird!$F$4</f>
        <v>3A/B/C/D</v>
      </c>
      <c r="E47" s="304">
        <v>45475.75</v>
      </c>
      <c r="F47" s="87">
        <f>E47-VLOOKUP(TimeZone!$L$5,TimeZone!$C$4:$E$39,3,0)+VLOOKUP(TimeZone!$H$1,TimeZone!$C$4:$E$39,3,0)</f>
        <v>45475.75</v>
      </c>
      <c r="G47" s="309">
        <v>10</v>
      </c>
      <c r="H47" s="116" t="str">
        <f>IFERROR(VLOOKUP($G47,Language!$D$66:$E$81,2,0),"")</f>
        <v>München</v>
      </c>
      <c r="I47" s="116" t="str">
        <f t="shared" ca="1" si="0"/>
        <v/>
      </c>
      <c r="J47" s="116" t="str">
        <f t="shared" ca="1" si="0"/>
        <v/>
      </c>
      <c r="K47" s="310">
        <v>7</v>
      </c>
      <c r="L47" s="60"/>
      <c r="M47" s="166" t="s">
        <v>5</v>
      </c>
      <c r="N47" s="167" t="str">
        <f ca="1">EURO!$K$46</f>
        <v/>
      </c>
    </row>
    <row r="48" spans="2:14" x14ac:dyDescent="0.25">
      <c r="B48" s="160">
        <v>44</v>
      </c>
      <c r="C48" s="156" t="s">
        <v>5</v>
      </c>
      <c r="D48" s="157" t="s">
        <v>13</v>
      </c>
      <c r="E48" s="304">
        <v>45475.875</v>
      </c>
      <c r="F48" s="87">
        <f>E48-VLOOKUP(TimeZone!$L$5,TimeZone!$C$4:$E$39,3,0)+VLOOKUP(TimeZone!$H$1,TimeZone!$C$4:$E$39,3,0)</f>
        <v>45475.875</v>
      </c>
      <c r="G48" s="308">
        <v>2</v>
      </c>
      <c r="H48" s="116" t="str">
        <f>IFERROR(VLOOKUP($G48,Language!$D$66:$E$81,2,0),"")</f>
        <v>Leipzig</v>
      </c>
      <c r="I48" s="116" t="str">
        <f t="shared" ca="1" si="0"/>
        <v/>
      </c>
      <c r="J48" s="116" t="str">
        <f t="shared" ca="1" si="0"/>
        <v/>
      </c>
      <c r="K48" s="310">
        <v>8</v>
      </c>
      <c r="L48" s="60"/>
      <c r="M48" s="166" t="s">
        <v>11</v>
      </c>
      <c r="N48" s="167" t="str">
        <f ca="1">EURO!$K$47</f>
        <v/>
      </c>
    </row>
    <row r="49" spans="2:14" x14ac:dyDescent="0.25">
      <c r="B49" s="88" t="s">
        <v>131</v>
      </c>
      <c r="C49" s="103"/>
      <c r="D49" s="103"/>
      <c r="E49" s="62"/>
      <c r="F49" s="63"/>
      <c r="G49" s="151"/>
      <c r="H49" s="63"/>
      <c r="I49" s="63"/>
      <c r="J49" s="63"/>
      <c r="K49" s="113"/>
      <c r="M49" s="166" t="s">
        <v>6</v>
      </c>
      <c r="N49" s="167" t="str">
        <f ca="1">EURO!$N$46</f>
        <v/>
      </c>
    </row>
    <row r="50" spans="2:14" x14ac:dyDescent="0.25">
      <c r="B50" s="160">
        <v>45</v>
      </c>
      <c r="C50" s="156" t="s">
        <v>581</v>
      </c>
      <c r="D50" s="157" t="s">
        <v>582</v>
      </c>
      <c r="E50" s="304">
        <v>45478.75</v>
      </c>
      <c r="F50" s="87">
        <f>E50-VLOOKUP(TimeZone!$L$5,TimeZone!$C$4:$E$39,3,0)+VLOOKUP(TimeZone!$H$1,TimeZone!$C$4:$E$39,3,0)</f>
        <v>45478.75</v>
      </c>
      <c r="G50" s="307">
        <v>9</v>
      </c>
      <c r="H50" s="116" t="str">
        <f>IFERROR(VLOOKUP($G50,Language!$D$66:$E$81,2,0),"")</f>
        <v>Stuttgart</v>
      </c>
      <c r="I50" s="61"/>
      <c r="J50" s="61"/>
      <c r="K50" s="310">
        <v>1</v>
      </c>
      <c r="M50" s="166" t="s">
        <v>12</v>
      </c>
      <c r="N50" s="167" t="str">
        <f ca="1">EURO!$N$47</f>
        <v/>
      </c>
    </row>
    <row r="51" spans="2:14" x14ac:dyDescent="0.25">
      <c r="B51" s="160">
        <v>46</v>
      </c>
      <c r="C51" s="156" t="s">
        <v>576</v>
      </c>
      <c r="D51" s="157" t="s">
        <v>575</v>
      </c>
      <c r="E51" s="304">
        <v>45478.875</v>
      </c>
      <c r="F51" s="87">
        <f>E51-VLOOKUP(TimeZone!$L$5,TimeZone!$C$4:$E$39,3,0)+VLOOKUP(TimeZone!$H$1,TimeZone!$C$4:$E$39,3,0)</f>
        <v>45478.875</v>
      </c>
      <c r="G51" s="309">
        <v>3</v>
      </c>
      <c r="H51" s="116" t="str">
        <f>IFERROR(VLOOKUP($G51,Language!$D$66:$E$81,2,0),"")</f>
        <v>Hamburg</v>
      </c>
      <c r="I51" s="60"/>
      <c r="J51" s="61"/>
      <c r="K51" s="310">
        <v>2</v>
      </c>
      <c r="M51" s="166" t="s">
        <v>7</v>
      </c>
      <c r="N51" s="167" t="str">
        <f ca="1">EURO!$Q$46</f>
        <v/>
      </c>
    </row>
    <row r="52" spans="2:14" x14ac:dyDescent="0.25">
      <c r="B52" s="160">
        <v>47</v>
      </c>
      <c r="C52" s="156" t="s">
        <v>580</v>
      </c>
      <c r="D52" s="157" t="s">
        <v>579</v>
      </c>
      <c r="E52" s="304">
        <v>45479.875</v>
      </c>
      <c r="F52" s="87">
        <f>E52-VLOOKUP(TimeZone!$L$5,TimeZone!$C$4:$E$39,3,0)+VLOOKUP(TimeZone!$H$1,TimeZone!$C$4:$E$39,3,0)</f>
        <v>45479.875</v>
      </c>
      <c r="G52" s="309">
        <v>1</v>
      </c>
      <c r="H52" s="116" t="str">
        <f>IFERROR(VLOOKUP($G52,Language!$D$66:$E$81,2,0),"")</f>
        <v>Berlin</v>
      </c>
      <c r="I52" s="61"/>
      <c r="J52" s="61"/>
      <c r="K52" s="310">
        <v>4</v>
      </c>
      <c r="M52" s="166" t="s">
        <v>13</v>
      </c>
      <c r="N52" s="167" t="str">
        <f ca="1">EURO!$Q$47</f>
        <v/>
      </c>
    </row>
    <row r="53" spans="2:14" x14ac:dyDescent="0.25">
      <c r="B53" s="160">
        <v>48</v>
      </c>
      <c r="C53" s="156" t="s">
        <v>577</v>
      </c>
      <c r="D53" s="157" t="s">
        <v>578</v>
      </c>
      <c r="E53" s="304">
        <v>45479.75</v>
      </c>
      <c r="F53" s="87">
        <f>E53-VLOOKUP(TimeZone!$L$5,TimeZone!$C$4:$E$39,3,0)+VLOOKUP(TimeZone!$H$1,TimeZone!$C$4:$E$39,3,0)</f>
        <v>45479.75</v>
      </c>
      <c r="G53" s="308">
        <v>6</v>
      </c>
      <c r="H53" s="116" t="str">
        <f>IFERROR(VLOOKUP($G53,Language!$D$66:$E$81,2,0),"")</f>
        <v>Düsseldorf</v>
      </c>
      <c r="I53" s="61"/>
      <c r="J53" s="61"/>
      <c r="K53" s="310">
        <v>3</v>
      </c>
      <c r="M53" s="166" t="str">
        <f>AssignThird!$D$4</f>
        <v>3A/D/E/F</v>
      </c>
      <c r="N53" s="222" t="str">
        <f ca="1">IF(Distinctness!$G$13&gt;0,INDEX(ThirdPlaced!$C$4:$C$9,MATCH(VLOOKUP(ThirdPlaced!$J$18,AssignThird!$C$8:$G$22,2,0),ThirdPlaced!$J$4:$J$9,0),1),"")</f>
        <v/>
      </c>
    </row>
    <row r="54" spans="2:14" x14ac:dyDescent="0.25">
      <c r="B54" s="88" t="s">
        <v>132</v>
      </c>
      <c r="C54" s="103"/>
      <c r="D54" s="103"/>
      <c r="E54" s="62"/>
      <c r="F54" s="63"/>
      <c r="G54" s="151"/>
      <c r="H54" s="63"/>
      <c r="I54" s="63"/>
      <c r="J54" s="63"/>
      <c r="K54" s="113"/>
      <c r="M54" s="166" t="str">
        <f>AssignThird!$E$4</f>
        <v>3D/E/F</v>
      </c>
      <c r="N54" s="222" t="str">
        <f ca="1">IF(Distinctness!$G$13&gt;0,INDEX(ThirdPlaced!$C$4:$C$9,MATCH(VLOOKUP(ThirdPlaced!$J$18,AssignThird!$C$8:$G$22,3,0),ThirdPlaced!$J$4:$J$9,0),1),"")</f>
        <v/>
      </c>
    </row>
    <row r="55" spans="2:14" x14ac:dyDescent="0.25">
      <c r="B55" s="160">
        <v>49</v>
      </c>
      <c r="C55" s="156" t="s">
        <v>584</v>
      </c>
      <c r="D55" s="157" t="s">
        <v>583</v>
      </c>
      <c r="E55" s="304">
        <v>45482.875</v>
      </c>
      <c r="F55" s="87">
        <f>E55-VLOOKUP(TimeZone!$L$5,TimeZone!$C$4:$E$39,3,0)+VLOOKUP(TimeZone!$H$1,TimeZone!$C$4:$E$39,3,0)</f>
        <v>45482.875</v>
      </c>
      <c r="G55" s="307">
        <v>10</v>
      </c>
      <c r="H55" s="116" t="str">
        <f>IFERROR(VLOOKUP($G55,Language!$D$66:$E$81,2,0),"")</f>
        <v>München</v>
      </c>
      <c r="I55" s="61"/>
      <c r="J55" s="61"/>
      <c r="K55" s="311" t="str">
        <f>Language!$E$122</f>
        <v>Halbfinale 1</v>
      </c>
      <c r="M55" s="166" t="str">
        <f>AssignThird!$F$4</f>
        <v>3A/B/C/D</v>
      </c>
      <c r="N55" s="222" t="str">
        <f ca="1">IF(Distinctness!$G$13&gt;0,INDEX(ThirdPlaced!$C$4:$C$9,MATCH(VLOOKUP(ThirdPlaced!$J$18,AssignThird!$C$8:$G$22,4,0),ThirdPlaced!$J$4:$J$9,0),1),"")</f>
        <v/>
      </c>
    </row>
    <row r="56" spans="2:14" ht="15.75" thickBot="1" x14ac:dyDescent="0.3">
      <c r="B56" s="160">
        <v>50</v>
      </c>
      <c r="C56" s="156" t="s">
        <v>586</v>
      </c>
      <c r="D56" s="157" t="s">
        <v>585</v>
      </c>
      <c r="E56" s="304">
        <v>45483.875</v>
      </c>
      <c r="F56" s="87">
        <f>E56-VLOOKUP(TimeZone!$L$5,TimeZone!$C$4:$E$39,3,0)+VLOOKUP(TimeZone!$H$1,TimeZone!$C$4:$E$39,3,0)</f>
        <v>45483.875</v>
      </c>
      <c r="G56" s="308">
        <v>4</v>
      </c>
      <c r="H56" s="116" t="str">
        <f>IFERROR(VLOOKUP($G56,Language!$D$66:$E$81,2,0),"")</f>
        <v>Dortmund</v>
      </c>
      <c r="I56" s="61"/>
      <c r="J56" s="61"/>
      <c r="K56" s="311" t="str">
        <f>Language!$E$123</f>
        <v>Halbfinale 2</v>
      </c>
      <c r="M56" s="168" t="str">
        <f>AssignThird!$G$4</f>
        <v>3A/B/C</v>
      </c>
      <c r="N56" s="169" t="str">
        <f ca="1">IF(Distinctness!$G$13&gt;0,INDEX(ThirdPlaced!$C$4:$C$9,MATCH(VLOOKUP(ThirdPlaced!$J$18,AssignThird!$C$8:$G$22,5,0),ThirdPlaced!$J$4:$J$9,0),1),"")</f>
        <v/>
      </c>
    </row>
    <row r="57" spans="2:14" x14ac:dyDescent="0.25">
      <c r="B57" s="88" t="s">
        <v>66</v>
      </c>
      <c r="C57" s="103"/>
      <c r="D57" s="103"/>
      <c r="E57" s="62"/>
      <c r="F57" s="63"/>
      <c r="G57" s="151"/>
      <c r="H57" s="63"/>
      <c r="I57" s="63"/>
      <c r="J57" s="63"/>
      <c r="K57" s="113"/>
    </row>
    <row r="58" spans="2:14" ht="15.75" thickBot="1" x14ac:dyDescent="0.3">
      <c r="B58" s="161">
        <v>51</v>
      </c>
      <c r="C58" s="158" t="s">
        <v>303</v>
      </c>
      <c r="D58" s="159" t="s">
        <v>304</v>
      </c>
      <c r="E58" s="305">
        <v>45487.875</v>
      </c>
      <c r="F58" s="162">
        <f>E58-VLOOKUP(TimeZone!$L$5,TimeZone!$C$4:$E$39,3,0)+VLOOKUP(TimeZone!$H$1,TimeZone!$C$4:$E$39,3,0)</f>
        <v>45487.875</v>
      </c>
      <c r="G58" s="306">
        <v>1</v>
      </c>
      <c r="H58" s="163" t="str">
        <f>IFERROR(VLOOKUP($G58,Language!$D$66:$E$81,2,0),"")</f>
        <v>Berlin</v>
      </c>
      <c r="I58" s="86"/>
      <c r="J58" s="112"/>
      <c r="K58" s="117" t="str">
        <f>Language!$E$125</f>
        <v>Finale</v>
      </c>
    </row>
    <row r="59" spans="2:14" ht="15.75" thickTop="1" x14ac:dyDescent="0.25"/>
    <row r="60" spans="2:14" x14ac:dyDescent="0.25"/>
    <row r="61" spans="2:14"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5"/>
  <dimension ref="B1:E15"/>
  <sheetViews>
    <sheetView workbookViewId="0">
      <selection activeCell="D7" sqref="D7"/>
    </sheetView>
  </sheetViews>
  <sheetFormatPr baseColWidth="10" defaultRowHeight="15" x14ac:dyDescent="0.25"/>
  <cols>
    <col min="2" max="2" width="14.28515625" customWidth="1"/>
    <col min="3" max="3" width="15.28515625" customWidth="1"/>
    <col min="4" max="4" width="7.28515625" customWidth="1"/>
    <col min="5" max="5" width="18.28515625" customWidth="1"/>
  </cols>
  <sheetData>
    <row r="1" spans="2:5" ht="28.5" x14ac:dyDescent="0.45">
      <c r="B1" s="555" t="s">
        <v>617</v>
      </c>
      <c r="C1" s="555"/>
    </row>
    <row r="3" spans="2:5" ht="15.75" thickBot="1" x14ac:dyDescent="0.3">
      <c r="B3" s="44" t="s">
        <v>617</v>
      </c>
      <c r="C3" s="44" t="s">
        <v>1086</v>
      </c>
    </row>
    <row r="4" spans="2:5" ht="15.75" thickTop="1" x14ac:dyDescent="0.25">
      <c r="B4" s="43">
        <v>10000000</v>
      </c>
      <c r="C4" s="195" t="s">
        <v>191</v>
      </c>
    </row>
    <row r="5" spans="2:5" x14ac:dyDescent="0.25">
      <c r="B5" s="42">
        <v>1000000</v>
      </c>
      <c r="C5" s="196" t="s">
        <v>202</v>
      </c>
    </row>
    <row r="6" spans="2:5" x14ac:dyDescent="0.25">
      <c r="B6" s="42">
        <v>100000</v>
      </c>
      <c r="C6" s="196" t="s">
        <v>203</v>
      </c>
    </row>
    <row r="7" spans="2:5" x14ac:dyDescent="0.25">
      <c r="B7" s="42">
        <v>1000</v>
      </c>
      <c r="C7" s="196" t="s">
        <v>200</v>
      </c>
      <c r="D7" s="42">
        <v>50</v>
      </c>
      <c r="E7" s="196" t="s">
        <v>484</v>
      </c>
    </row>
    <row r="8" spans="2:5" x14ac:dyDescent="0.25">
      <c r="B8" s="42">
        <v>10</v>
      </c>
      <c r="C8" s="196" t="s">
        <v>201</v>
      </c>
    </row>
    <row r="9" spans="2:5" x14ac:dyDescent="0.25">
      <c r="B9" s="42">
        <v>1</v>
      </c>
      <c r="C9" s="196" t="s">
        <v>468</v>
      </c>
    </row>
    <row r="10" spans="2:5" x14ac:dyDescent="0.25">
      <c r="B10" s="42">
        <v>0.1</v>
      </c>
      <c r="C10" s="196" t="s">
        <v>481</v>
      </c>
    </row>
    <row r="11" spans="2:5" x14ac:dyDescent="0.25">
      <c r="B11" s="42">
        <v>0.01</v>
      </c>
      <c r="C11" s="196" t="s">
        <v>473</v>
      </c>
    </row>
    <row r="12" spans="2:5" x14ac:dyDescent="0.25">
      <c r="B12" s="42">
        <v>1E-3</v>
      </c>
      <c r="C12" s="196" t="s">
        <v>673</v>
      </c>
    </row>
    <row r="13" spans="2:5" x14ac:dyDescent="0.25">
      <c r="B13" s="42">
        <v>1E-4</v>
      </c>
      <c r="C13" s="196" t="s">
        <v>38</v>
      </c>
    </row>
    <row r="14" spans="2:5" x14ac:dyDescent="0.25">
      <c r="B14" s="42">
        <v>9.9999999999999995E-7</v>
      </c>
      <c r="C14" s="196" t="s">
        <v>534</v>
      </c>
    </row>
    <row r="15" spans="2:5" x14ac:dyDescent="0.25">
      <c r="B15" s="42">
        <v>9.9999999999999995E-8</v>
      </c>
      <c r="C15" s="196" t="s">
        <v>615</v>
      </c>
    </row>
  </sheetData>
  <sheetProtection selectLockedCells="1"/>
  <sortState ref="B7:C13">
    <sortCondition descending="1" ref="B7"/>
  </sortState>
  <mergeCells count="1">
    <mergeCell ref="B1:C1"/>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0"/>
  <dimension ref="B1:N14"/>
  <sheetViews>
    <sheetView workbookViewId="0">
      <selection activeCell="G13" sqref="G13"/>
    </sheetView>
  </sheetViews>
  <sheetFormatPr baseColWidth="10" defaultRowHeight="15" x14ac:dyDescent="0.25"/>
  <sheetData>
    <row r="1" spans="2:14" ht="23.25" x14ac:dyDescent="0.35">
      <c r="B1" s="76" t="s">
        <v>306</v>
      </c>
      <c r="C1" s="76"/>
      <c r="D1" s="76"/>
      <c r="E1" s="76"/>
      <c r="F1" s="76"/>
    </row>
    <row r="3" spans="2:14" x14ac:dyDescent="0.25">
      <c r="B3" s="46" t="s">
        <v>209</v>
      </c>
      <c r="C3" s="46" t="s">
        <v>208</v>
      </c>
      <c r="D3" s="46" t="s">
        <v>207</v>
      </c>
      <c r="E3" s="46" t="s">
        <v>210</v>
      </c>
      <c r="F3" s="46" t="s">
        <v>312</v>
      </c>
      <c r="G3" s="46" t="s">
        <v>47</v>
      </c>
      <c r="H3" s="46" t="s">
        <v>206</v>
      </c>
      <c r="J3" s="73"/>
      <c r="K3" s="74"/>
      <c r="L3" s="74"/>
      <c r="M3" s="74"/>
      <c r="N3" s="74"/>
    </row>
    <row r="4" spans="2:14" x14ac:dyDescent="0.25">
      <c r="B4" s="25" t="s">
        <v>30</v>
      </c>
      <c r="C4" s="25">
        <f ca="1">GrpA!$X$11</f>
        <v>0</v>
      </c>
      <c r="D4" s="48">
        <f ca="1">COUNTIF($C$4:$C$9,"&gt;0")</f>
        <v>0</v>
      </c>
      <c r="E4" s="25" t="str">
        <f t="shared" ref="E4:E9" ca="1" si="0">IF($C4&gt;0,$B4,"")</f>
        <v/>
      </c>
      <c r="F4" s="25">
        <f ca="1">LEN($E4)</f>
        <v>0</v>
      </c>
      <c r="G4" s="25">
        <f ca="1">SUM($F$4:$F4)</f>
        <v>0</v>
      </c>
      <c r="H4" t="str">
        <f ca="1">IF($E4&lt;&gt;"",$E4&amp;IF($G4=$G$9,"",IF($G4&lt;$G$9-1,", ",Language!$E$140)),"")</f>
        <v/>
      </c>
      <c r="J4" s="556" t="str">
        <f ca="1">Language!$E$138&amp;"  "&amp;$H$11&amp;"."</f>
        <v>Gruppen mit Fair-Play-Wertung:  .</v>
      </c>
      <c r="K4" s="557"/>
      <c r="L4" s="557"/>
      <c r="M4" s="557"/>
      <c r="N4" s="557"/>
    </row>
    <row r="5" spans="2:14" x14ac:dyDescent="0.25">
      <c r="B5" s="25" t="s">
        <v>26</v>
      </c>
      <c r="C5" s="25">
        <f ca="1">GrpB!$X$11</f>
        <v>0</v>
      </c>
      <c r="E5" s="25" t="str">
        <f t="shared" ca="1" si="0"/>
        <v/>
      </c>
      <c r="F5" s="25">
        <f t="shared" ref="F5:F9" ca="1" si="1">LEN($E5)</f>
        <v>0</v>
      </c>
      <c r="G5" s="25">
        <f ca="1">SUM($F$4:$F5)</f>
        <v>0</v>
      </c>
      <c r="H5" t="str">
        <f ca="1">IF($E5&lt;&gt;"",$E5&amp;IF($G5=$G$9,"",IF($G5&lt;$G$9-1,", ",Language!$E$140)),"")</f>
        <v/>
      </c>
      <c r="J5" s="558" t="str">
        <f>Language!$E$139</f>
        <v>Die Platzierung ist in allen Gruppen geklärt.</v>
      </c>
      <c r="K5" s="558"/>
      <c r="L5" s="558"/>
      <c r="M5" s="558"/>
      <c r="N5" s="558"/>
    </row>
    <row r="6" spans="2:14" x14ac:dyDescent="0.25">
      <c r="B6" s="25" t="s">
        <v>27</v>
      </c>
      <c r="C6" s="25">
        <f ca="1">GrpC!$X$11</f>
        <v>0</v>
      </c>
      <c r="E6" s="25" t="str">
        <f t="shared" ca="1" si="0"/>
        <v/>
      </c>
      <c r="F6" s="25">
        <f t="shared" ca="1" si="1"/>
        <v>0</v>
      </c>
      <c r="G6" s="25">
        <f ca="1">SUM($F$4:$F6)</f>
        <v>0</v>
      </c>
      <c r="H6" t="str">
        <f ca="1">IF($E6&lt;&gt;"",$E6&amp;IF($G6=$G$9,"",IF($G6&lt;$G$9-1,", ",Language!$E$140)),"")</f>
        <v/>
      </c>
    </row>
    <row r="7" spans="2:14" x14ac:dyDescent="0.25">
      <c r="B7" s="25" t="s">
        <v>31</v>
      </c>
      <c r="C7" s="25">
        <f ca="1">GrpD!$X$11</f>
        <v>0</v>
      </c>
      <c r="E7" s="25" t="str">
        <f t="shared" ca="1" si="0"/>
        <v/>
      </c>
      <c r="F7" s="25">
        <f t="shared" ca="1" si="1"/>
        <v>0</v>
      </c>
      <c r="G7" s="25">
        <f ca="1">SUM($F$4:$F7)</f>
        <v>0</v>
      </c>
      <c r="H7" t="str">
        <f ca="1">IF($E7&lt;&gt;"",$E7&amp;IF($G7=$G$9,"",IF($G7&lt;$G$9-1,", ",Language!$E$140)),"")</f>
        <v/>
      </c>
      <c r="J7" s="73"/>
      <c r="K7" s="73"/>
      <c r="L7" s="73"/>
      <c r="M7" s="73"/>
      <c r="N7" s="73"/>
    </row>
    <row r="8" spans="2:14" x14ac:dyDescent="0.25">
      <c r="B8" s="25" t="s">
        <v>28</v>
      </c>
      <c r="C8" s="25">
        <f ca="1">GrpE!$X$11</f>
        <v>0</v>
      </c>
      <c r="E8" s="25" t="str">
        <f t="shared" ca="1" si="0"/>
        <v/>
      </c>
      <c r="F8" s="25">
        <f t="shared" ca="1" si="1"/>
        <v>0</v>
      </c>
      <c r="G8" s="25">
        <f ca="1">SUM($F$4:$F8)</f>
        <v>0</v>
      </c>
      <c r="H8" t="str">
        <f ca="1">IF($E8&lt;&gt;"",$E8&amp;IF($G8=$G$9,"",IF($G8&lt;$G$9-1,", ",Language!$E$140)),"")</f>
        <v/>
      </c>
      <c r="J8" s="73"/>
      <c r="K8" s="73"/>
      <c r="L8" s="73"/>
      <c r="M8" s="73"/>
      <c r="N8" s="73"/>
    </row>
    <row r="9" spans="2:14" x14ac:dyDescent="0.25">
      <c r="B9" s="25" t="s">
        <v>29</v>
      </c>
      <c r="C9" s="25">
        <f ca="1">GrpF!$X$11</f>
        <v>0</v>
      </c>
      <c r="E9" s="25" t="str">
        <f t="shared" ca="1" si="0"/>
        <v/>
      </c>
      <c r="F9" s="25">
        <f t="shared" ca="1" si="1"/>
        <v>0</v>
      </c>
      <c r="G9" s="25">
        <f ca="1">SUM($F$4:$F9)</f>
        <v>0</v>
      </c>
      <c r="H9" t="str">
        <f ca="1">$E9</f>
        <v/>
      </c>
    </row>
    <row r="10" spans="2:14" x14ac:dyDescent="0.25">
      <c r="J10" s="75"/>
      <c r="K10" s="75"/>
      <c r="L10" s="75"/>
      <c r="M10" s="75"/>
      <c r="N10" s="75"/>
    </row>
    <row r="11" spans="2:14" x14ac:dyDescent="0.25">
      <c r="G11" s="46" t="s">
        <v>205</v>
      </c>
      <c r="H11" s="559" t="str">
        <f ca="1">$H$4&amp;$H$5&amp;$H$6&amp;$H$7&amp;$H$8&amp;$H$9</f>
        <v/>
      </c>
      <c r="I11" s="560"/>
      <c r="J11" s="75"/>
      <c r="K11" s="75"/>
      <c r="L11" s="75"/>
      <c r="M11" s="75"/>
      <c r="N11" s="75"/>
    </row>
    <row r="12" spans="2:14" ht="15.75" thickBot="1" x14ac:dyDescent="0.3"/>
    <row r="13" spans="2:14" ht="15.75" thickBot="1" x14ac:dyDescent="0.3">
      <c r="F13" s="49" t="s">
        <v>547</v>
      </c>
      <c r="G13" s="221">
        <f ca="1">GrpA!$M$10+GrpB!$M$10+GrpC!$M$10+GrpD!$M$10+GrpE!$M$10+GrpF!$M$10</f>
        <v>0</v>
      </c>
      <c r="H13" s="60"/>
      <c r="J13" s="14"/>
      <c r="K13" s="14"/>
    </row>
    <row r="14" spans="2:14" x14ac:dyDescent="0.25">
      <c r="J14" s="82"/>
      <c r="K14" s="82"/>
    </row>
  </sheetData>
  <mergeCells count="3">
    <mergeCell ref="J4:N4"/>
    <mergeCell ref="J5:N5"/>
    <mergeCell ref="H11:I11"/>
  </mergeCell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dimension ref="A1:H10"/>
  <sheetViews>
    <sheetView workbookViewId="0"/>
  </sheetViews>
  <sheetFormatPr baseColWidth="10" defaultRowHeight="15" x14ac:dyDescent="0.25"/>
  <cols>
    <col min="3" max="3" width="10.28515625" customWidth="1"/>
    <col min="4" max="4" width="9.85546875" customWidth="1"/>
    <col min="6" max="6" width="6.42578125" customWidth="1"/>
    <col min="7" max="8" width="18.7109375" customWidth="1"/>
  </cols>
  <sheetData>
    <row r="1" spans="1:8" x14ac:dyDescent="0.25">
      <c r="A1" s="344" t="s">
        <v>743</v>
      </c>
    </row>
    <row r="2" spans="1:8" ht="28.5" x14ac:dyDescent="0.45">
      <c r="B2" s="525" t="s">
        <v>327</v>
      </c>
      <c r="C2" s="525"/>
      <c r="D2" s="525"/>
      <c r="E2" s="525"/>
      <c r="F2" s="525"/>
      <c r="G2" s="525"/>
      <c r="H2" s="525"/>
    </row>
    <row r="3" spans="1:8" ht="53.25" customHeight="1" thickBot="1" x14ac:dyDescent="0.3"/>
    <row r="4" spans="1:8" ht="25.5" customHeight="1" x14ac:dyDescent="0.25">
      <c r="B4" s="331" t="s">
        <v>209</v>
      </c>
      <c r="C4" s="561" t="s">
        <v>675</v>
      </c>
      <c r="D4" s="562"/>
      <c r="G4" s="331" t="s">
        <v>198</v>
      </c>
      <c r="H4" s="337" t="s">
        <v>199</v>
      </c>
    </row>
    <row r="5" spans="1:8" ht="20.100000000000001" customHeight="1" x14ac:dyDescent="0.25">
      <c r="B5" s="328" t="s">
        <v>30</v>
      </c>
      <c r="C5" s="329" t="s">
        <v>26</v>
      </c>
      <c r="D5" s="330" t="s">
        <v>27</v>
      </c>
      <c r="G5" s="332">
        <v>13</v>
      </c>
      <c r="H5" s="330">
        <v>14</v>
      </c>
    </row>
    <row r="6" spans="1:8" ht="20.100000000000001" customHeight="1" x14ac:dyDescent="0.25">
      <c r="B6" s="322" t="s">
        <v>26</v>
      </c>
      <c r="C6" s="323" t="s">
        <v>28</v>
      </c>
      <c r="D6" s="324" t="s">
        <v>29</v>
      </c>
      <c r="G6" s="333">
        <v>18</v>
      </c>
      <c r="H6" s="334">
        <v>19</v>
      </c>
    </row>
    <row r="7" spans="1:8" ht="20.100000000000001" customHeight="1" x14ac:dyDescent="0.25">
      <c r="B7" s="322" t="s">
        <v>27</v>
      </c>
      <c r="C7" s="323" t="s">
        <v>39</v>
      </c>
      <c r="D7" s="324" t="s">
        <v>40</v>
      </c>
      <c r="G7" s="333">
        <v>23</v>
      </c>
      <c r="H7" s="334">
        <v>24</v>
      </c>
    </row>
    <row r="8" spans="1:8" ht="20.100000000000001" customHeight="1" x14ac:dyDescent="0.25">
      <c r="B8" s="322" t="s">
        <v>31</v>
      </c>
      <c r="C8" s="323" t="s">
        <v>41</v>
      </c>
      <c r="D8" s="324" t="s">
        <v>42</v>
      </c>
      <c r="G8" s="333">
        <v>28</v>
      </c>
      <c r="H8" s="324">
        <v>29</v>
      </c>
    </row>
    <row r="9" spans="1:8" ht="20.100000000000001" customHeight="1" x14ac:dyDescent="0.25">
      <c r="B9" s="322" t="s">
        <v>28</v>
      </c>
      <c r="C9" s="323" t="s">
        <v>43</v>
      </c>
      <c r="D9" s="324" t="s">
        <v>44</v>
      </c>
      <c r="G9" s="333">
        <v>33</v>
      </c>
      <c r="H9" s="335">
        <v>34</v>
      </c>
    </row>
    <row r="10" spans="1:8" ht="20.100000000000001" customHeight="1" thickBot="1" x14ac:dyDescent="0.3">
      <c r="B10" s="325" t="s">
        <v>29</v>
      </c>
      <c r="C10" s="326" t="s">
        <v>45</v>
      </c>
      <c r="D10" s="327" t="s">
        <v>46</v>
      </c>
      <c r="G10" s="336">
        <v>40</v>
      </c>
      <c r="H10" s="327">
        <v>41</v>
      </c>
    </row>
  </sheetData>
  <mergeCells count="2">
    <mergeCell ref="C4:D4"/>
    <mergeCell ref="B2:H2"/>
  </mergeCells>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6"/>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1"/>
      <c r="B1" s="40" t="str">
        <f>VLOOKUP($Q$1,References!$B$5:$D$10,2,0)</f>
        <v>B</v>
      </c>
      <c r="D1" s="40" t="str">
        <f>VLOOKUP($Q$1,References!$B$5:$D$10,3,0)</f>
        <v>C</v>
      </c>
      <c r="P1" s="145" t="s">
        <v>209</v>
      </c>
      <c r="Q1" s="146" t="s">
        <v>30</v>
      </c>
    </row>
    <row r="2" spans="1:33" ht="8.25" customHeight="1" x14ac:dyDescent="0.25"/>
    <row r="3" spans="1:33" x14ac:dyDescent="0.25">
      <c r="B3" s="567" t="s">
        <v>195</v>
      </c>
      <c r="C3" s="567"/>
      <c r="D3" s="567"/>
      <c r="E3" s="567" t="s">
        <v>196</v>
      </c>
      <c r="F3" s="567"/>
      <c r="G3" s="567"/>
      <c r="H3" s="567" t="s">
        <v>191</v>
      </c>
      <c r="I3" s="567"/>
      <c r="J3" s="567" t="s">
        <v>1085</v>
      </c>
      <c r="K3" s="567"/>
      <c r="L3" s="567"/>
      <c r="M3" s="203" t="s">
        <v>168</v>
      </c>
      <c r="N3" s="72"/>
      <c r="O3" s="39"/>
      <c r="P3" s="38"/>
      <c r="Q3" s="203" t="s">
        <v>191</v>
      </c>
      <c r="R3" s="203" t="s">
        <v>190</v>
      </c>
      <c r="S3" s="203" t="s">
        <v>1087</v>
      </c>
      <c r="T3" s="203" t="s">
        <v>1088</v>
      </c>
      <c r="U3" s="203" t="s">
        <v>673</v>
      </c>
      <c r="V3" s="203" t="s">
        <v>192</v>
      </c>
      <c r="W3" s="203" t="s">
        <v>193</v>
      </c>
      <c r="X3" s="203" t="s">
        <v>194</v>
      </c>
      <c r="Y3" s="203" t="s">
        <v>482</v>
      </c>
      <c r="Z3" s="203" t="s">
        <v>483</v>
      </c>
      <c r="AA3" s="203" t="s">
        <v>474</v>
      </c>
      <c r="AB3" s="203" t="s">
        <v>38</v>
      </c>
      <c r="AC3" s="203" t="s">
        <v>313</v>
      </c>
      <c r="AD3" s="203" t="s">
        <v>197</v>
      </c>
      <c r="AE3" s="203" t="s">
        <v>497</v>
      </c>
      <c r="AF3" s="203" t="s">
        <v>534</v>
      </c>
    </row>
    <row r="4" spans="1:33" x14ac:dyDescent="0.25">
      <c r="B4" s="180" t="str">
        <f ca="1">INDIRECT("'"&amp;References!$A$1&amp;"'!"&amp;$B$1&amp;References!$G5)</f>
        <v>Deutschland</v>
      </c>
      <c r="C4" s="181" t="s">
        <v>36</v>
      </c>
      <c r="D4" s="182" t="str">
        <f ca="1">INDIRECT("'"&amp;References!$A$1&amp;"'!"&amp;$D$1&amp;References!$G5)</f>
        <v>Schottland</v>
      </c>
      <c r="E4" s="180" t="str">
        <f ca="1">IF(OR(INDIRECT("'"&amp;References!$A$1&amp;"'!"&amp;$B$1&amp;References!$H5)="",INDIRECT("'"&amp;References!$A$1&amp;"'!"&amp;$D$1&amp;References!$H5)=""),"",INDIRECT("'"&amp;References!$A$1&amp;"'!"&amp;$B$1&amp;References!$H5))</f>
        <v/>
      </c>
      <c r="F4" s="181" t="s">
        <v>36</v>
      </c>
      <c r="G4" s="186" t="str">
        <f ca="1">IF(OR(INDIRECT("'"&amp;References!$A$1&amp;"'!"&amp;$B$1&amp;References!$H5)="",INDIRECT("'"&amp;References!$A$1&amp;"'!"&amp;$D$1&amp;References!$H5)=""),"",INDIRECT("'"&amp;References!$A$1&amp;"'!"&amp;$D$1&amp;References!$H5))</f>
        <v/>
      </c>
      <c r="H4" s="25">
        <f t="shared" ref="H4:H9" ca="1" si="0">IF($M4&gt;0,IF($E4&gt;$G4,3,IF($E4=$G4,1,0)),0)</f>
        <v>0</v>
      </c>
      <c r="I4" s="25">
        <f t="shared" ref="I4:I9" ca="1" si="1">IF($M4&gt;0,IF($E4&lt;$G4,3,IF($E4=$G4,1,0)),0)</f>
        <v>0</v>
      </c>
      <c r="L4" s="5"/>
      <c r="M4" s="25">
        <f t="shared" ref="M4:M9" ca="1" si="2">IF(AND($E4&lt;&gt;"",$G4&lt;&gt;""),1,0)</f>
        <v>0</v>
      </c>
      <c r="N4" s="25"/>
      <c r="O4" s="25" t="s">
        <v>32</v>
      </c>
      <c r="P4" s="37" t="str">
        <f>VLOOKUP($Q$1&amp;ROW($A1),Groups!$B$7:$D$35,3,0)</f>
        <v>Deutschland</v>
      </c>
      <c r="Q4" s="25">
        <f ca="1">SUMIF($B$4:$B$9,P4,$H$4:$H$9)+SUMIF($D$4:$D$9,P4,$I$4:$I$9)</f>
        <v>0</v>
      </c>
      <c r="R4" s="25">
        <f ca="1">S4-T4</f>
        <v>0</v>
      </c>
      <c r="S4" s="25">
        <f ca="1">SUMIF($B$4:$B$9,$P4,$E$4:$E$9)+SUMIF($D$4:$D$9,$P4,$G$4:$G$9)</f>
        <v>0</v>
      </c>
      <c r="T4" s="25">
        <f ca="1">SUMIF($B$4:$B$9,$P4,$G$4:$G$9)+SUMIF($D$4:$D$9,$P4,$E$4:$E$9)</f>
        <v>0</v>
      </c>
      <c r="U4" s="25">
        <f ca="1">COUNTIFS($B$4:$B$9,$P4,$H$4:$H$9,"=3")+COUNTIFS($D$4:$D$9,$P4,$I$4:$I$9,"=3")</f>
        <v>0</v>
      </c>
      <c r="V4" s="353">
        <f ca="1">$Q4*FactorPts+(GDzero+$R4)*FactorGD+$S4*FactorFor+$U4*FactorWins+$W4*FactorDirC3+$X4*FactorDirC2+$Y4*FactorDirC43+$Z4*FactorDirC42+$AA4*FactorDirC42+$AB4*FactorFairPlay+$AE4*FactorPenalty+(100-$AF4)*($M$10&gt;0)*FactorRank+(8-ROW())*FactorRow</f>
        <v>50000.000000400003</v>
      </c>
      <c r="W4" s="25">
        <f ca="1">SUMIFS($X$18:$X$35,$P$18:$P$35,$P4)</f>
        <v>0</v>
      </c>
      <c r="X4" s="25">
        <f ca="1">IF($L18="",0,$L18)+SUMIFS($Z$18:$Z$35,$P$18:$P$35,$P4)</f>
        <v>0</v>
      </c>
      <c r="Y4">
        <f ca="1">SUMIFS($AD$18:$AD$35,$P$18:$P$35,$P4)</f>
        <v>0</v>
      </c>
      <c r="Z4">
        <f ca="1">SUMIFS($AE$18:$AE$35,$P$18:$P$35,$P4)</f>
        <v>0</v>
      </c>
      <c r="AA4" s="25">
        <f ca="1">IF($M18="",0,$M18)</f>
        <v>0</v>
      </c>
      <c r="AB4" s="25">
        <f>SUMIFS(FairPlayPoints1,FairPlayTeams1,$P4)+SUMIFS(FairPlayPoints2,FairPlayTeams2,$P4)</f>
        <v>0</v>
      </c>
      <c r="AC4" s="25" t="b">
        <f ca="1">(Q4+T4&gt;0)</f>
        <v>0</v>
      </c>
      <c r="AD4" s="213">
        <f ca="1">$Q4*FactorPts+(GDzero+$R4)*FactorGD+$S4*FactorFor</f>
        <v>50000</v>
      </c>
      <c r="AE4" s="25">
        <f ca="1">IF(OR(AND($Y$11&gt;0,OR(AND($B$8=$P4,$J$8&gt;$L$8),AND($D$8=$P4,$J$8&lt;$L$8))),AND($Y$12&gt;0,OR(AND($B$9=$P4,$J$9&gt;$L$9),AND($D$9=$P4,$J$9&lt;$L$9)))),1,0)</f>
        <v>0</v>
      </c>
      <c r="AF4" s="406">
        <f>INDEX(Language!$D$5:$D$63,MATCH($P4,Language!$E$5:$E$63,0),1)</f>
        <v>54</v>
      </c>
      <c r="AG4" s="25"/>
    </row>
    <row r="5" spans="1:33" x14ac:dyDescent="0.25">
      <c r="B5" s="183" t="str">
        <f ca="1">INDIRECT("'"&amp;References!$A$1&amp;"'!"&amp;$B$1&amp;References!$G6)</f>
        <v>Ungarn</v>
      </c>
      <c r="C5" s="184" t="s">
        <v>36</v>
      </c>
      <c r="D5" s="185" t="str">
        <f ca="1">INDIRECT("'"&amp;References!$A$1&amp;"'!"&amp;$D$1&amp;References!$G6)</f>
        <v>Schweiz</v>
      </c>
      <c r="E5" s="183" t="str">
        <f ca="1">IF(OR(INDIRECT("'"&amp;References!$A$1&amp;"'!"&amp;$B$1&amp;References!$H6)="",INDIRECT("'"&amp;References!$A$1&amp;"'!"&amp;$D$1&amp;References!$H6)=""),"",INDIRECT("'"&amp;References!$A$1&amp;"'!"&amp;$B$1&amp;References!$H6))</f>
        <v/>
      </c>
      <c r="F5" s="184" t="s">
        <v>36</v>
      </c>
      <c r="G5" s="187" t="str">
        <f ca="1">IF(OR(INDIRECT("'"&amp;References!$A$1&amp;"'!"&amp;$B$1&amp;References!$H6)="",INDIRECT("'"&amp;References!$A$1&amp;"'!"&amp;$D$1&amp;References!$H6)=""),"",INDIRECT("'"&amp;References!$A$1&amp;"'!"&amp;$D$1&amp;References!$H6))</f>
        <v/>
      </c>
      <c r="H5" s="25">
        <f t="shared" ca="1" si="0"/>
        <v>0</v>
      </c>
      <c r="I5" s="25">
        <f t="shared" ca="1" si="1"/>
        <v>0</v>
      </c>
      <c r="L5" s="5"/>
      <c r="M5" s="25">
        <f t="shared" ca="1" si="2"/>
        <v>0</v>
      </c>
      <c r="N5" s="25"/>
      <c r="O5" s="25" t="s">
        <v>33</v>
      </c>
      <c r="P5" s="37" t="str">
        <f>VLOOKUP($Q$1&amp;ROW($A2),Groups!$B$7:$D$35,3,0)</f>
        <v>Schottland</v>
      </c>
      <c r="Q5" s="25">
        <f t="shared" ref="Q5:Q7" ca="1" si="3">SUMIF($B$4:$B$9,P5,$H$4:$H$9)+SUMIF($D$4:$D$9,P5,$I$4:$I$9)</f>
        <v>0</v>
      </c>
      <c r="R5" s="25">
        <f ca="1">S5-T5</f>
        <v>0</v>
      </c>
      <c r="S5" s="25">
        <f ca="1">SUMIF($B$4:$B$9,$P5,$E$4:$E$9)+SUMIF($D$4:$D$9,$P5,$G$4:$G$9)</f>
        <v>0</v>
      </c>
      <c r="T5" s="25">
        <f ca="1">SUMIF($B$4:$B$9,$P5,$G$4:$G$9)+SUMIF($D$4:$D$9,$P5,$E$4:$E$9)</f>
        <v>0</v>
      </c>
      <c r="U5" s="25">
        <f t="shared" ref="U5:U7" ca="1" si="4">COUNTIFS($B$4:$B$9,$P5,$H$4:$H$9,"=3")+COUNTIFS($D$4:$D$9,$P5,$I$4:$I$9,"=3")</f>
        <v>0</v>
      </c>
      <c r="V5" s="353">
        <f ca="1">$Q5*FactorPts+(GDzero+$R5)*FactorGD+$S5*FactorFor+$U5*FactorWins+$W5*FactorDirC3+$X5*FactorDirC2+$Y5*FactorDirC43+$Z5*FactorDirC42+$AA5*FactorDirC42+$AB5*FactorFairPlay+$AE5*FactorPenalty+(100-$AF5)*($M$10&gt;0)*FactorRank+(8-ROW())*FactorRow</f>
        <v>50000.000000300002</v>
      </c>
      <c r="W5" s="25">
        <f t="shared" ref="W5:W7" ca="1" si="5">SUMIFS($X$18:$X$35,$P$18:$P$35,$P5)</f>
        <v>0</v>
      </c>
      <c r="X5" s="25">
        <f ca="1">IF($L19="",0,$L19)+SUMIFS($Z$18:$Z$35,$P$18:$P$35,$P5)</f>
        <v>0</v>
      </c>
      <c r="Y5">
        <f t="shared" ref="Y5:Y7" ca="1" si="6">SUMIFS($AD$18:$AD$35,$P$18:$P$35,$P5)</f>
        <v>0</v>
      </c>
      <c r="Z5">
        <f t="shared" ref="Z5:Z7" ca="1" si="7">SUMIFS($AE$18:$AE$35,$P$18:$P$35,$P5)</f>
        <v>0</v>
      </c>
      <c r="AA5" s="25">
        <f ca="1">IF($M19="",0,$M19)</f>
        <v>0</v>
      </c>
      <c r="AB5" s="25">
        <f>SUMIFS(FairPlayPoints1,FairPlayTeams1,$P5)+SUMIFS(FairPlayPoints2,FairPlayTeams2,$P5)</f>
        <v>0</v>
      </c>
      <c r="AC5" s="25" t="b">
        <f ca="1">(Q5+T5&gt;0)</f>
        <v>0</v>
      </c>
      <c r="AD5" s="213">
        <f ca="1">$Q5*FactorPts+(GDzero+$R5)*FactorGD+$S5*FactorFor</f>
        <v>50000</v>
      </c>
      <c r="AE5" s="25">
        <f ca="1">IF(OR(AND($Y$11&gt;0,OR(AND($B$8=$P5,$J$8&gt;$L$8),AND($D$8=$P5,$J$8&lt;$L$8))),AND($Y$12&gt;0,OR(AND($B$9=$P5,$J$9&gt;$L$9),AND($D$9=$P5,$J$9&lt;$L$9)))),1,0)</f>
        <v>0</v>
      </c>
      <c r="AF5" s="406">
        <f>INDEX(Language!$D$5:$D$63,MATCH($P5,Language!$E$5:$E$63,0),1)</f>
        <v>13</v>
      </c>
    </row>
    <row r="6" spans="1:33" x14ac:dyDescent="0.25">
      <c r="B6" s="183" t="str">
        <f ca="1">INDIRECT("'"&amp;References!$A$1&amp;"'!"&amp;$B$1&amp;References!$G7)</f>
        <v>Deutschland</v>
      </c>
      <c r="C6" s="184" t="s">
        <v>36</v>
      </c>
      <c r="D6" s="185" t="str">
        <f ca="1">INDIRECT("'"&amp;References!$A$1&amp;"'!"&amp;$D$1&amp;References!$G7)</f>
        <v>Ungarn</v>
      </c>
      <c r="E6" s="183" t="str">
        <f ca="1">IF(OR(INDIRECT("'"&amp;References!$A$1&amp;"'!"&amp;$B$1&amp;References!$H7)="",INDIRECT("'"&amp;References!$A$1&amp;"'!"&amp;$D$1&amp;References!$H7)=""),"",INDIRECT("'"&amp;References!$A$1&amp;"'!"&amp;$B$1&amp;References!$H7))</f>
        <v/>
      </c>
      <c r="F6" s="184" t="s">
        <v>36</v>
      </c>
      <c r="G6" s="187" t="str">
        <f ca="1">IF(OR(INDIRECT("'"&amp;References!$A$1&amp;"'!"&amp;$B$1&amp;References!$H7)="",INDIRECT("'"&amp;References!$A$1&amp;"'!"&amp;$D$1&amp;References!$H7)=""),"",INDIRECT("'"&amp;References!$A$1&amp;"'!"&amp;$D$1&amp;References!$H7))</f>
        <v/>
      </c>
      <c r="H6" s="25">
        <f t="shared" ca="1" si="0"/>
        <v>0</v>
      </c>
      <c r="I6" s="25">
        <f t="shared" ca="1" si="1"/>
        <v>0</v>
      </c>
      <c r="L6" s="5"/>
      <c r="M6" s="25">
        <f t="shared" ca="1" si="2"/>
        <v>0</v>
      </c>
      <c r="N6" s="25"/>
      <c r="O6" s="25" t="s">
        <v>34</v>
      </c>
      <c r="P6" s="37" t="str">
        <f>VLOOKUP($Q$1&amp;ROW($A3),Groups!$B$7:$D$35,3,0)</f>
        <v>Ungarn</v>
      </c>
      <c r="Q6" s="25">
        <f t="shared" ca="1" si="3"/>
        <v>0</v>
      </c>
      <c r="R6" s="25">
        <f ca="1">S6-T6</f>
        <v>0</v>
      </c>
      <c r="S6" s="25">
        <f ca="1">SUMIF($B$4:$B$9,$P6,$E$4:$E$9)+SUMIF($D$4:$D$9,$P6,$G$4:$G$9)</f>
        <v>0</v>
      </c>
      <c r="T6" s="25">
        <f ca="1">SUMIF($B$4:$B$9,$P6,$G$4:$G$9)+SUMIF($D$4:$D$9,$P6,$E$4:$E$9)</f>
        <v>0</v>
      </c>
      <c r="U6" s="25">
        <f t="shared" ca="1" si="4"/>
        <v>0</v>
      </c>
      <c r="V6" s="353">
        <f ca="1">$Q6*FactorPts+(GDzero+$R6)*FactorGD+$S6*FactorFor+$U6*FactorWins+$W6*FactorDirC3+$X6*FactorDirC2+$Y6*FactorDirC43+$Z6*FactorDirC42+$AA6*FactorDirC42+$AB6*FactorFairPlay+$AE6*FactorPenalty+(100-$AF6)*($M$10&gt;0)*FactorRank+(8-ROW())*FactorRow</f>
        <v>50000.000000200002</v>
      </c>
      <c r="W6" s="25">
        <f t="shared" ca="1" si="5"/>
        <v>0</v>
      </c>
      <c r="X6" s="25">
        <f ca="1">IF($L20="",0,$L20)+SUMIFS($Z$18:$Z$35,$P$18:$P$35,$P6)</f>
        <v>0</v>
      </c>
      <c r="Y6">
        <f t="shared" ca="1" si="6"/>
        <v>0</v>
      </c>
      <c r="Z6">
        <f t="shared" ca="1" si="7"/>
        <v>0</v>
      </c>
      <c r="AA6" s="25">
        <f ca="1">IF($M20="",0,$M20)</f>
        <v>0</v>
      </c>
      <c r="AB6" s="25">
        <f>SUMIFS(FairPlayPoints1,FairPlayTeams1,$P6)+SUMIFS(FairPlayPoints2,FairPlayTeams2,$P6)</f>
        <v>0</v>
      </c>
      <c r="AC6" s="25" t="b">
        <f ca="1">(Q6+T6&gt;0)</f>
        <v>0</v>
      </c>
      <c r="AD6" s="213">
        <f ca="1">$Q6*FactorPts+(GDzero+$R6)*FactorGD+$S6*FactorFor</f>
        <v>50000</v>
      </c>
      <c r="AE6" s="25">
        <f ca="1">IF(OR(AND($Y$11&gt;0,OR(AND($B$8=$P6,$J$8&gt;$L$8),AND($D$8=$P6,$J$8&lt;$L$8))),AND($Y$12&gt;0,OR(AND($B$9=$P6,$J$9&gt;$L$9),AND($D$9=$P6,$J$9&lt;$L$9)))),1,0)</f>
        <v>0</v>
      </c>
      <c r="AF6" s="406">
        <f>INDEX(Language!$D$5:$D$63,MATCH($P6,Language!$E$5:$E$63,0),1)</f>
        <v>6</v>
      </c>
    </row>
    <row r="7" spans="1:33" x14ac:dyDescent="0.25">
      <c r="B7" s="183" t="str">
        <f ca="1">INDIRECT("'"&amp;References!$A$1&amp;"'!"&amp;$B$1&amp;References!$G8)</f>
        <v>Schottland</v>
      </c>
      <c r="C7" s="184" t="s">
        <v>36</v>
      </c>
      <c r="D7" s="185" t="str">
        <f ca="1">INDIRECT("'"&amp;References!$A$1&amp;"'!"&amp;$D$1&amp;References!$G8)</f>
        <v>Schweiz</v>
      </c>
      <c r="E7" s="183" t="str">
        <f ca="1">IF(OR(INDIRECT("'"&amp;References!$A$1&amp;"'!"&amp;$B$1&amp;References!$H8)="",INDIRECT("'"&amp;References!$A$1&amp;"'!"&amp;$D$1&amp;References!$H8)=""),"",INDIRECT("'"&amp;References!$A$1&amp;"'!"&amp;$B$1&amp;References!$H8))</f>
        <v/>
      </c>
      <c r="F7" s="184" t="s">
        <v>36</v>
      </c>
      <c r="G7" s="187" t="str">
        <f ca="1">IF(OR(INDIRECT("'"&amp;References!$A$1&amp;"'!"&amp;$B$1&amp;References!$H8)="",INDIRECT("'"&amp;References!$A$1&amp;"'!"&amp;$D$1&amp;References!$H8)=""),"",INDIRECT("'"&amp;References!$A$1&amp;"'!"&amp;$D$1&amp;References!$H8))</f>
        <v/>
      </c>
      <c r="H7" s="25">
        <f t="shared" ca="1" si="0"/>
        <v>0</v>
      </c>
      <c r="I7" s="25">
        <f t="shared" ca="1" si="1"/>
        <v>0</v>
      </c>
      <c r="L7" s="5"/>
      <c r="M7" s="25">
        <f t="shared" ca="1" si="2"/>
        <v>0</v>
      </c>
      <c r="N7" s="25"/>
      <c r="O7" s="25" t="s">
        <v>35</v>
      </c>
      <c r="P7" s="37" t="str">
        <f>VLOOKUP($Q$1&amp;ROW($A4),Groups!$B$7:$D$35,3,0)</f>
        <v>Schweiz</v>
      </c>
      <c r="Q7" s="25">
        <f t="shared" ca="1" si="3"/>
        <v>0</v>
      </c>
      <c r="R7" s="25">
        <f ca="1">S7-T7</f>
        <v>0</v>
      </c>
      <c r="S7" s="25">
        <f ca="1">SUMIF($B$4:$B$9,$P7,$E$4:$E$9)+SUMIF($D$4:$D$9,$P7,$G$4:$G$9)</f>
        <v>0</v>
      </c>
      <c r="T7" s="25">
        <f ca="1">SUMIF($B$4:$B$9,$P7,$G$4:$G$9)+SUMIF($D$4:$D$9,$P7,$E$4:$E$9)</f>
        <v>0</v>
      </c>
      <c r="U7" s="25">
        <f t="shared" ca="1" si="4"/>
        <v>0</v>
      </c>
      <c r="V7" s="353">
        <f ca="1">$Q7*FactorPts+(GDzero+$R7)*FactorGD+$S7*FactorFor+$U7*FactorWins+$W7*FactorDirC3+$X7*FactorDirC2+$Y7*FactorDirC43+$Z7*FactorDirC42+$AA7*FactorDirC42+$AB7*FactorFairPlay+$AE7*FactorPenalty+(100-$AF7)*($M$10&gt;0)*FactorRank+(8-ROW())*FactorRow</f>
        <v>50000.000000100001</v>
      </c>
      <c r="W7" s="25">
        <f t="shared" ca="1" si="5"/>
        <v>0</v>
      </c>
      <c r="X7" s="25">
        <f ca="1">IF($L21="",0,$L21)+SUMIFS($Z$18:$Z$35,$P$18:$P$35,$P7)</f>
        <v>0</v>
      </c>
      <c r="Y7">
        <f t="shared" ca="1" si="6"/>
        <v>0</v>
      </c>
      <c r="Z7">
        <f t="shared" ca="1" si="7"/>
        <v>0</v>
      </c>
      <c r="AA7" s="25">
        <f ca="1">IF($M21="",0,$M21)</f>
        <v>0</v>
      </c>
      <c r="AB7" s="25">
        <f>SUMIFS(FairPlayPoints1,FairPlayTeams1,$P7)+SUMIFS(FairPlayPoints2,FairPlayTeams2,$P7)</f>
        <v>0</v>
      </c>
      <c r="AC7" s="25" t="b">
        <f ca="1">(Q7+T7&gt;0)</f>
        <v>0</v>
      </c>
      <c r="AD7" s="213">
        <f ca="1">$Q7*FactorPts+(GDzero+$R7)*FactorGD+$S7*FactorFor</f>
        <v>50000</v>
      </c>
      <c r="AE7" s="25">
        <f ca="1">IF(OR(AND($Y$11&gt;0,OR(AND($B$8=$P7,$J$8&gt;$L$8),AND($D$8=$P7,$J$8&lt;$L$8))),AND($Y$12&gt;0,OR(AND($B$9=$P7,$J$9&gt;$L$9),AND($D$9=$P7,$J$9&lt;$L$9)))),1,0)</f>
        <v>0</v>
      </c>
      <c r="AF7" s="406">
        <f>INDEX(Language!$D$5:$D$63,MATCH($P7,Language!$E$5:$E$63,0),1)</f>
        <v>20</v>
      </c>
    </row>
    <row r="8" spans="1:33" x14ac:dyDescent="0.25">
      <c r="B8" s="183" t="str">
        <f ca="1">INDIRECT("'"&amp;References!$A$1&amp;"'!"&amp;$B$1&amp;References!$G9)</f>
        <v>Schweiz</v>
      </c>
      <c r="C8" s="184" t="s">
        <v>36</v>
      </c>
      <c r="D8" s="185" t="str">
        <f ca="1">INDIRECT("'"&amp;References!$A$1&amp;"'!"&amp;$D$1&amp;References!$G9)</f>
        <v>Deutschland</v>
      </c>
      <c r="E8" s="183" t="str">
        <f ca="1">IF(OR(INDIRECT("'"&amp;References!$A$1&amp;"'!"&amp;$B$1&amp;References!$H9)="",INDIRECT("'"&amp;References!$A$1&amp;"'!"&amp;$D$1&amp;References!$H9)=""),"",INDIRECT("'"&amp;References!$A$1&amp;"'!"&amp;$B$1&amp;References!$H9))</f>
        <v/>
      </c>
      <c r="F8" s="184" t="s">
        <v>36</v>
      </c>
      <c r="G8" s="187" t="str">
        <f ca="1">IF(OR(INDIRECT("'"&amp;References!$A$1&amp;"'!"&amp;$B$1&amp;References!$H9)="",INDIRECT("'"&amp;References!$A$1&amp;"'!"&amp;$D$1&amp;References!$H9)=""),"",INDIRECT("'"&amp;References!$A$1&amp;"'!"&amp;$D$1&amp;References!$H9))</f>
        <v/>
      </c>
      <c r="H8" s="25">
        <f t="shared" ca="1" si="0"/>
        <v>0</v>
      </c>
      <c r="I8" s="25">
        <f t="shared" ca="1" si="1"/>
        <v>0</v>
      </c>
      <c r="J8" t="str">
        <f ca="1">IF(OR(INDIRECT("'"&amp;References!$A$1&amp;"'!"&amp;$B$1&amp;(References!$H9+2))="",INDIRECT("'"&amp;References!$A$1&amp;"'!"&amp;$D$1&amp;(References!$H9+2))=""),"",INDIRECT("'"&amp;References!$A$1&amp;"'!"&amp;$B$1&amp;(References!$H9+2)))</f>
        <v/>
      </c>
      <c r="K8" s="25" t="s">
        <v>494</v>
      </c>
      <c r="L8" s="5" t="str">
        <f ca="1">IF(OR(INDIRECT("'"&amp;References!$A$1&amp;"'!"&amp;$B$1&amp;(References!$H9+2))="",INDIRECT("'"&amp;References!$A$1&amp;"'!"&amp;$D$1&amp;(References!$H9+2))=""),"",INDIRECT("'"&amp;References!$A$1&amp;"'!"&amp;$D$1&amp;(References!$H9+2)))</f>
        <v/>
      </c>
      <c r="M8" s="25">
        <f t="shared" ca="1" si="2"/>
        <v>0</v>
      </c>
      <c r="N8" s="25"/>
      <c r="Z8" s="45"/>
    </row>
    <row r="9" spans="1:33" x14ac:dyDescent="0.25">
      <c r="B9" s="183" t="str">
        <f ca="1">INDIRECT("'"&amp;References!$A$1&amp;"'!"&amp;$B$1&amp;References!$G10)</f>
        <v>Schottland</v>
      </c>
      <c r="C9" s="184" t="s">
        <v>36</v>
      </c>
      <c r="D9" s="185" t="str">
        <f ca="1">INDIRECT("'"&amp;References!$A$1&amp;"'!"&amp;$D$1&amp;References!$G10)</f>
        <v>Ungarn</v>
      </c>
      <c r="E9" s="183" t="str">
        <f ca="1">IF(OR(INDIRECT("'"&amp;References!$A$1&amp;"'!"&amp;$B$1&amp;References!$H10)="",INDIRECT("'"&amp;References!$A$1&amp;"'!"&amp;$D$1&amp;References!$H10)=""),"",INDIRECT("'"&amp;References!$A$1&amp;"'!"&amp;$B$1&amp;References!$H10))</f>
        <v/>
      </c>
      <c r="F9" s="184" t="s">
        <v>36</v>
      </c>
      <c r="G9" s="187" t="str">
        <f ca="1">IF(OR(INDIRECT("'"&amp;References!$A$1&amp;"'!"&amp;$B$1&amp;References!$H10)="",INDIRECT("'"&amp;References!$A$1&amp;"'!"&amp;$D$1&amp;References!$H10)=""),"",INDIRECT("'"&amp;References!$A$1&amp;"'!"&amp;$D$1&amp;References!$H10))</f>
        <v/>
      </c>
      <c r="H9" s="25">
        <f t="shared" ca="1" si="0"/>
        <v>0</v>
      </c>
      <c r="I9" s="25">
        <f t="shared" ca="1" si="1"/>
        <v>0</v>
      </c>
      <c r="J9" t="str">
        <f ca="1">IF(OR(INDIRECT("'"&amp;References!$A$1&amp;"'!"&amp;$B$1&amp;(References!$H10+2))="",INDIRECT("'"&amp;References!$A$1&amp;"'!"&amp;$D$1&amp;(References!$H10+2))=""),"",INDIRECT("'"&amp;References!$A$1&amp;"'!"&amp;$B$1&amp;(References!$H10+2)))</f>
        <v/>
      </c>
      <c r="K9" s="25" t="s">
        <v>494</v>
      </c>
      <c r="L9" s="5" t="str">
        <f ca="1">IF(OR(INDIRECT("'"&amp;References!$A$1&amp;"'!"&amp;$B$1&amp;(References!$H10+2))="",INDIRECT("'"&amp;References!$A$1&amp;"'!"&amp;$D$1&amp;(References!$H10+2))=""),"",INDIRECT("'"&amp;References!$A$1&amp;"'!"&amp;$D$1&amp;(References!$H10+2)))</f>
        <v/>
      </c>
      <c r="M9" s="25">
        <f t="shared" ca="1" si="2"/>
        <v>0</v>
      </c>
      <c r="N9" s="25"/>
      <c r="Z9" s="573" t="s">
        <v>480</v>
      </c>
      <c r="AA9" s="573"/>
      <c r="AB9" s="573"/>
      <c r="AC9" s="573"/>
      <c r="AD9" s="573"/>
      <c r="AE9" s="573"/>
    </row>
    <row r="10" spans="1:33" ht="15.75" thickBot="1" x14ac:dyDescent="0.3">
      <c r="L10" s="49" t="s">
        <v>189</v>
      </c>
      <c r="M10" s="51">
        <f ca="1">SUM($M$4:$M$9)</f>
        <v>0</v>
      </c>
      <c r="N10" s="25"/>
      <c r="P10" s="143" t="s">
        <v>322</v>
      </c>
      <c r="Q10" s="46" t="s">
        <v>191</v>
      </c>
      <c r="R10" s="46" t="s">
        <v>190</v>
      </c>
      <c r="S10" s="46" t="s">
        <v>1087</v>
      </c>
      <c r="T10" s="46" t="s">
        <v>1088</v>
      </c>
      <c r="U10" s="46" t="s">
        <v>680</v>
      </c>
      <c r="V10" s="46" t="s">
        <v>192</v>
      </c>
      <c r="X10" s="67" t="s">
        <v>1091</v>
      </c>
      <c r="Y10" s="46" t="s">
        <v>697</v>
      </c>
      <c r="Z10" s="46" t="s">
        <v>475</v>
      </c>
      <c r="AA10" s="46" t="s">
        <v>476</v>
      </c>
      <c r="AB10" s="46" t="s">
        <v>477</v>
      </c>
      <c r="AC10" s="46" t="s">
        <v>478</v>
      </c>
      <c r="AD10" s="46" t="s">
        <v>479</v>
      </c>
      <c r="AE10" s="46" t="s">
        <v>497</v>
      </c>
    </row>
    <row r="11" spans="1:33" ht="16.5" thickTop="1" thickBot="1" x14ac:dyDescent="0.3">
      <c r="B11" s="72"/>
      <c r="C11" s="25"/>
      <c r="D11" s="72"/>
      <c r="O11" s="35" t="s">
        <v>32</v>
      </c>
      <c r="P11" s="34" t="str">
        <f t="shared" ref="P11:U14" ca="1" si="8">INDEX(P$4:P$7,MATCH($V11,$V$4:$V$7,0))</f>
        <v>Deutschland</v>
      </c>
      <c r="Q11" s="177">
        <f t="shared" ca="1" si="8"/>
        <v>0</v>
      </c>
      <c r="R11" s="33">
        <f t="shared" ca="1" si="8"/>
        <v>0</v>
      </c>
      <c r="S11" s="33">
        <f t="shared" ca="1" si="8"/>
        <v>0</v>
      </c>
      <c r="T11" s="33">
        <f t="shared" ca="1" si="8"/>
        <v>0</v>
      </c>
      <c r="U11" s="33">
        <f t="shared" ca="1" si="8"/>
        <v>0</v>
      </c>
      <c r="V11" s="354">
        <f ca="1">LARGE($V$4:$V$7,ROW(A1))</f>
        <v>50000.000000400003</v>
      </c>
      <c r="X11" s="68">
        <f ca="1">IF(AND(OR(TRUNC($V$11,4)=TRUNC($V$12,4),TRUNC($V$11,4)=TRUNC($V$13,4),TRUNC($V$11,4)=TRUNC($V$14,4),TRUNC($V$12,4)=TRUNC($V$13,4),TRUNC($V$12,4)=TRUNC($V$14,4),TRUNC($V$13,4)=TRUNC($V$14,4)),$M$10&gt;0),1,0)</f>
        <v>0</v>
      </c>
      <c r="Y11" s="25">
        <f ca="1">IF(AND(VLOOKUP($B$8,$P$4:$AD$7,15,0)=VLOOKUP($D$8,$P$4:$AD$7,15,0),$E$8=$G$8,COUNTIF($Q$4:$Q$7,VLOOKUP($B$8,$P$4:$Q$7,2,0))=2,$M$10=6),1,0)</f>
        <v>0</v>
      </c>
      <c r="Z11" s="205" t="b">
        <f ca="1">VLOOKUP($P11,$E$18:$M$21,8,0)&lt;&gt;""</f>
        <v>0</v>
      </c>
      <c r="AA11" s="206" t="b">
        <f ca="1">VLOOKUP($P11,$E$18:$M$21,9,0)&lt;&gt;""</f>
        <v>0</v>
      </c>
      <c r="AB11" s="207" t="b">
        <f ca="1">SUMPRODUCT(1*(LEN($Z$18:$Z$35)&gt;0)*($P$18:$P$35=$P11))&gt;0</f>
        <v>0</v>
      </c>
      <c r="AC11" s="207" t="b">
        <f ca="1">SUMPRODUCT(1*(LEN($AE$18:$AE$35)&gt;0)*($P$18:$P$35=$P11))&gt;0</f>
        <v>0</v>
      </c>
      <c r="AD11" s="339" t="str">
        <f ca="1">IF($Z11,VLOOKUP($P11,$E$18:$M$21,8,0),IF($AA11,VLOOKUP($P11,$E$18:$M$21,9,0),IF($AB11,SUMIFS($Z$18:$Z$35,$P$18:$P$35,$P11),IF($AC11,SUMIFS($AE$18:$AE$35,$P$18:$P$35,$P11),""))))</f>
        <v/>
      </c>
      <c r="AE11" s="341" t="str">
        <f ca="1">IF(OR(AND($Y$11&gt;0,OR($B$8=$P11,$D$8=$P11)),AND($Y$12&gt;0,OR($B$9=$P11,$D$9=$P11))),SUMIF($B$8:$B$9,$P11,$J$8:$J$9)+SUMIF($D$8:$D$9,$P11,$L$8:$L$9),"")</f>
        <v/>
      </c>
    </row>
    <row r="12" spans="1:33" ht="15.75" thickTop="1" x14ac:dyDescent="0.25">
      <c r="B12" s="25"/>
      <c r="C12" s="25"/>
      <c r="D12" s="25"/>
      <c r="O12" s="32" t="s">
        <v>33</v>
      </c>
      <c r="P12" t="str">
        <f t="shared" ca="1" si="8"/>
        <v>Schottland</v>
      </c>
      <c r="Q12" s="99">
        <f t="shared" ca="1" si="8"/>
        <v>0</v>
      </c>
      <c r="R12" s="25">
        <f t="shared" ca="1" si="8"/>
        <v>0</v>
      </c>
      <c r="S12" s="25">
        <f t="shared" ca="1" si="8"/>
        <v>0</v>
      </c>
      <c r="T12" s="25">
        <f t="shared" ca="1" si="8"/>
        <v>0</v>
      </c>
      <c r="U12" s="25">
        <f t="shared" ca="1" si="8"/>
        <v>0</v>
      </c>
      <c r="V12" s="355">
        <f ca="1">LARGE($V$4:$V$7,ROW(A2))</f>
        <v>50000.000000300002</v>
      </c>
      <c r="Y12" s="25">
        <f ca="1">IF(AND(VLOOKUP($B$9,$P$4:$AD$7,15,0)=VLOOKUP($D$9,$P$4:$AD$7,15,0),$E$9=$G$9,COUNTIF($Q$4:$Q$7,VLOOKUP($B$9,$P$4:$Q$7,2,0))=2,$M$10=6),1,0)</f>
        <v>0</v>
      </c>
      <c r="Z12" s="208" t="b">
        <f ca="1">VLOOKUP($P12,$E$18:$M$21,8,0)&lt;&gt;""</f>
        <v>0</v>
      </c>
      <c r="AA12" s="25" t="b">
        <f ca="1">VLOOKUP($P12,$E$18:$M$21,9,0)&lt;&gt;""</f>
        <v>0</v>
      </c>
      <c r="AB12" t="b">
        <f t="shared" ref="AB12:AB14" ca="1" si="9">SUMPRODUCT(1*(LEN($Z$18:$Z$35)&gt;0)*($P$18:$P$35=$P12))&gt;0</f>
        <v>0</v>
      </c>
      <c r="AC12" t="b">
        <f t="shared" ref="AC12:AC14" ca="1" si="10">SUMPRODUCT(1*(LEN($AE$18:$AE$35)&gt;0)*($P$18:$P$35=$P12))&gt;0</f>
        <v>0</v>
      </c>
      <c r="AD12" s="104" t="str">
        <f ca="1">IF($Z12,VLOOKUP($P12,$E$18:$M$21,8,0),IF($AA12,VLOOKUP($P12,$E$18:$M$21,9,0),IF($AB12,SUMIFS($Z$18:$Z$35,$P$18:$P$35,$P12),IF($AC12,SUMIFS($AE$18:$AE$35,$P$18:$P$35,$P12),""))))</f>
        <v/>
      </c>
      <c r="AE12" s="342" t="str">
        <f ca="1">IF(OR(AND($Y$11&gt;0,OR($B$8=$P12,$D$8=$P12)),AND($Y$12&gt;0,OR($B$9=$P12,$D$9=$P12))),SUMIF($B$8:$B$9,$P12,$J$8:$J$9)+SUMIF($D$8:$D$9,$P12,$L$8:$L$9),"")</f>
        <v/>
      </c>
    </row>
    <row r="13" spans="1:33" x14ac:dyDescent="0.25">
      <c r="B13" s="25"/>
      <c r="C13" s="25"/>
      <c r="D13" s="50"/>
      <c r="O13" s="32" t="s">
        <v>34</v>
      </c>
      <c r="P13" t="str">
        <f t="shared" ca="1" si="8"/>
        <v>Ungarn</v>
      </c>
      <c r="Q13" s="99">
        <f t="shared" ca="1" si="8"/>
        <v>0</v>
      </c>
      <c r="R13" s="25">
        <f t="shared" ca="1" si="8"/>
        <v>0</v>
      </c>
      <c r="S13" s="25">
        <f t="shared" ca="1" si="8"/>
        <v>0</v>
      </c>
      <c r="T13" s="25">
        <f t="shared" ca="1" si="8"/>
        <v>0</v>
      </c>
      <c r="U13" s="25">
        <f t="shared" ca="1" si="8"/>
        <v>0</v>
      </c>
      <c r="V13" s="355">
        <f ca="1">LARGE($V$4:$V$7,ROW(A3))</f>
        <v>50000.000000200002</v>
      </c>
      <c r="Z13" s="208" t="b">
        <f ca="1">VLOOKUP($P13,$E$18:$M$21,8,0)&lt;&gt;""</f>
        <v>0</v>
      </c>
      <c r="AA13" s="25" t="b">
        <f ca="1">VLOOKUP($P13,$E$18:$M$21,9,0)&lt;&gt;""</f>
        <v>0</v>
      </c>
      <c r="AB13" t="b">
        <f t="shared" ca="1" si="9"/>
        <v>0</v>
      </c>
      <c r="AC13" t="b">
        <f t="shared" ca="1" si="10"/>
        <v>0</v>
      </c>
      <c r="AD13" s="104" t="str">
        <f ca="1">IF($Z13,VLOOKUP($P13,$E$18:$M$21,8,0),IF($AA13,VLOOKUP($P13,$E$18:$M$21,9,0),IF($AB13,SUMIFS($Z$18:$Z$35,$P$18:$P$35,$P13),IF($AC13,SUMIFS($AE$18:$AE$35,$P$18:$P$35,$P13),""))))</f>
        <v/>
      </c>
      <c r="AE13" s="342" t="str">
        <f ca="1">IF(OR(AND($Y$11&gt;0,OR($B$8=$P13,$D$8=$P13)),AND($Y$12&gt;0,OR($B$9=$P13,$D$9=$P13))),SUMIF($B$8:$B$9,$P13,$J$8:$J$9)+SUMIF($D$8:$D$9,$P13,$L$8:$L$9),"")</f>
        <v/>
      </c>
    </row>
    <row r="14" spans="1:33" ht="15.75" thickBot="1" x14ac:dyDescent="0.3">
      <c r="B14" s="25"/>
      <c r="C14" s="25"/>
      <c r="D14" s="50"/>
      <c r="F14" s="25"/>
      <c r="G14" s="5"/>
      <c r="O14" s="31" t="s">
        <v>35</v>
      </c>
      <c r="P14" s="30" t="str">
        <f t="shared" ca="1" si="8"/>
        <v>Schweiz</v>
      </c>
      <c r="Q14" s="178">
        <f t="shared" ca="1" si="8"/>
        <v>0</v>
      </c>
      <c r="R14" s="29">
        <f t="shared" ca="1" si="8"/>
        <v>0</v>
      </c>
      <c r="S14" s="29">
        <f t="shared" ca="1" si="8"/>
        <v>0</v>
      </c>
      <c r="T14" s="29">
        <f t="shared" ca="1" si="8"/>
        <v>0</v>
      </c>
      <c r="U14" s="29">
        <f t="shared" ca="1" si="8"/>
        <v>0</v>
      </c>
      <c r="V14" s="356">
        <f ca="1">LARGE($V$4:$V$7,ROW(A4))</f>
        <v>50000.000000100001</v>
      </c>
      <c r="Z14" s="209" t="b">
        <f ca="1">VLOOKUP($P14,$E$18:$M$21,8,0)&lt;&gt;""</f>
        <v>0</v>
      </c>
      <c r="AA14" s="210" t="b">
        <f ca="1">VLOOKUP($P14,$E$18:$M$21,9,0)&lt;&gt;""</f>
        <v>0</v>
      </c>
      <c r="AB14" s="211" t="b">
        <f t="shared" ca="1" si="9"/>
        <v>0</v>
      </c>
      <c r="AC14" s="211" t="b">
        <f t="shared" ca="1" si="10"/>
        <v>0</v>
      </c>
      <c r="AD14" s="340" t="str">
        <f ca="1">IF($Z14,VLOOKUP($P14,$E$18:$M$21,8,0),IF($AA14,VLOOKUP($P14,$E$18:$M$21,9,0),IF($AB14,SUMIFS($Z$18:$Z$35,$P$18:$P$35,$P14),IF($AC14,SUMIFS($AE$18:$AE$35,$P$18:$P$35,$P14),""))))</f>
        <v/>
      </c>
      <c r="AE14" s="343" t="str">
        <f ca="1">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572" t="s">
        <v>464</v>
      </c>
      <c r="H16" s="572"/>
      <c r="I16" s="572"/>
      <c r="J16" s="572"/>
      <c r="K16" s="572"/>
      <c r="L16" s="572"/>
      <c r="M16" s="55"/>
      <c r="N16" s="55"/>
      <c r="W16" s="563" t="s">
        <v>465</v>
      </c>
      <c r="X16" s="563"/>
      <c r="Y16" s="563"/>
      <c r="Z16" s="563"/>
      <c r="AD16" s="563" t="s">
        <v>466</v>
      </c>
      <c r="AE16" s="563"/>
      <c r="AF16" s="212" t="b">
        <f ca="1">AND($Q$4=$Q$5,$Q$4=$Q$6,$Q$4=$Q$7)</f>
        <v>1</v>
      </c>
    </row>
    <row r="17" spans="2:31" ht="16.5" thickTop="1" thickBot="1" x14ac:dyDescent="0.3">
      <c r="B17" s="25"/>
      <c r="C17" s="25"/>
      <c r="D17" s="25"/>
      <c r="G17" s="338"/>
      <c r="H17" s="33" t="str">
        <f>LEFT($P$4,3)</f>
        <v>Deu</v>
      </c>
      <c r="I17" s="33" t="str">
        <f>LEFT($P$5,3)</f>
        <v>Sch</v>
      </c>
      <c r="J17" s="33" t="str">
        <f>LEFT($P$6,3)</f>
        <v>Ung</v>
      </c>
      <c r="K17" s="101" t="str">
        <f>LEFT($P$7,3)</f>
        <v>Sch</v>
      </c>
      <c r="L17" s="46" t="s">
        <v>463</v>
      </c>
      <c r="M17" s="46" t="s">
        <v>472</v>
      </c>
      <c r="N17" s="46"/>
      <c r="Q17" s="46" t="s">
        <v>191</v>
      </c>
      <c r="R17" s="46" t="s">
        <v>190</v>
      </c>
      <c r="S17" s="46" t="s">
        <v>1087</v>
      </c>
      <c r="T17" s="46" t="s">
        <v>1088</v>
      </c>
      <c r="U17" s="46"/>
      <c r="V17" s="46" t="s">
        <v>197</v>
      </c>
      <c r="W17" s="46" t="s">
        <v>674</v>
      </c>
      <c r="X17" s="55" t="s">
        <v>467</v>
      </c>
      <c r="Y17" s="46" t="s">
        <v>471</v>
      </c>
      <c r="Z17" s="46" t="s">
        <v>471</v>
      </c>
      <c r="AA17" s="564" t="s">
        <v>462</v>
      </c>
      <c r="AB17" s="564"/>
      <c r="AC17" s="564"/>
      <c r="AD17" s="55" t="s">
        <v>469</v>
      </c>
      <c r="AE17" s="46" t="s">
        <v>470</v>
      </c>
    </row>
    <row r="18" spans="2:31" ht="15.75" thickTop="1" x14ac:dyDescent="0.25">
      <c r="B18" s="25"/>
      <c r="C18" s="25"/>
      <c r="D18" s="25"/>
      <c r="E18" s="568" t="str">
        <f>$P$4</f>
        <v>Deutschland</v>
      </c>
      <c r="F18" s="569"/>
      <c r="G18" s="569"/>
      <c r="H18" s="100"/>
      <c r="I18" s="33">
        <f ca="1">SUMIFS($E$4:$E$9,$B$4:$B$9,$P$4,$D$4:$D$9,$P$5)+SUMIFS($G$4:$G$9,$B$4:$B$9,$P$5,$D$4:$D$9,$P$4)</f>
        <v>0</v>
      </c>
      <c r="J18" s="33">
        <f ca="1">SUMIFS($E$4:$E$9,$B$4:$B$9,$P$4,$D$4:$D$9,$P$6)+SUMIFS($G$4:$G$9,$B$4:$B$9,$P$6,$D$4:$D$9,$P$4)</f>
        <v>0</v>
      </c>
      <c r="K18" s="101">
        <f ca="1">SUMIFS($E$4:$E$9,$B$4:$B$9,$P$4,$D$4:$D$9,$P$7)+SUMIFS($G$4:$G$9,$B$4:$B$9,$P$7,$D$4:$D$9,$P$4)</f>
        <v>0</v>
      </c>
      <c r="L18" s="64" t="str">
        <f ca="1">IF(AND($Q$4=$Q$5,$Q$4&lt;&gt;$Q$6,$Q$4&lt;&gt;$Q$7),IF(I18&gt;H19,3,IF(I18=H19,1,0)),IF(AND($Q$4=$Q$6,$Q$4&lt;&gt;$Q$5,$Q$4&lt;&gt;$Q$7),IF(J18&gt;H20,3,IF(J18=H20,1,0)),IF(AND($Q$4=$Q$7,$Q$4&lt;&gt;$Q$5,$Q$4&lt;&gt;$Q$6),IF(K18&gt;H21,3,IF(K18=H21,1,0)),"")))</f>
        <v/>
      </c>
      <c r="M18" s="64" t="str">
        <f ca="1">IF($AF$16,IF(AND($AD$4=$AD$5,$AD$4&lt;&gt;$AD$6,$AD$4&lt;&gt;$AD$7),IF(I18&gt;H19,3,IF(I18=H19,1,0)),IF(AND($AD$4&lt;&gt;$AD$5,$AD$4=$AD$6,$AD$4&lt;&gt;$AD$7),IF(J18&gt;H20,3,IF(J18=H20,1,0)),IF(AND($AD$4&lt;&gt;$AD$5,$AD$4&lt;&gt;$AD$6,$AD$4=$AD$7),IF(K18&gt;H21,3,IF(K18=H21,1,0)),""))),"")</f>
        <v/>
      </c>
      <c r="N18" s="25"/>
      <c r="O18" s="25" t="s">
        <v>32</v>
      </c>
      <c r="P18" t="str">
        <f>$P$4</f>
        <v>Deutschland</v>
      </c>
      <c r="Q18" s="25">
        <f ca="1">SUMIFS($H$4:$H$9,$B$4:$B$9,$P18,$D$4:$D$9,"&lt;&gt;"&amp;$P$21)+SUMIFS($I$4:$I$9,$B$4:$B$9,"&lt;&gt;"&amp;$P$21,$D$4:$D$9,$P18)</f>
        <v>0</v>
      </c>
      <c r="R18" s="25">
        <f ca="1">S18-T18</f>
        <v>0</v>
      </c>
      <c r="S18" s="25">
        <f ca="1">SUMIFS($E$4:$E$9,$B$4:$B$9,$P18,$D$4:$D$9,"&lt;&gt;"&amp;$P$21)+SUMIFS($G$4:$G$9,$B$4:$B$9,"&lt;&gt;"&amp;$P$21,$D$4:$D$9,$P18)</f>
        <v>0</v>
      </c>
      <c r="T18" s="25">
        <f ca="1">SUMIFS($G$4:$G$9,$B$4:$B$9,$P18,$D$4:$D$9,"&lt;&gt;"&amp;$P$21)+SUMIFS($E$4:$E$9,$B$4:$B$9,"&lt;&gt;"&amp;$P$21,$D$4:$D$9,$P18)</f>
        <v>0</v>
      </c>
      <c r="U18" s="25"/>
      <c r="V18" s="202">
        <f ca="1">Q18*FactorPts+(GDzero+R18)*FactorGD+S18*FactorFor</f>
        <v>50000</v>
      </c>
      <c r="W18" s="25">
        <f ca="1">RANK(V18,V$18:V$20,1)</f>
        <v>1</v>
      </c>
      <c r="X18" s="25">
        <f ca="1">IF(AND($Q$4=$Q$5,$Q$4=$Q$6,$Q$4&lt;&gt;$Q$7),W18,0)</f>
        <v>0</v>
      </c>
      <c r="Y18" s="25" t="str">
        <f ca="1">IF(AND(V18=V19,V18&lt;&gt;V20),IF(AA18&gt;AA19,3,IF(AA18=AA19,1,0)),IF(AND(V18=V20,V18&lt;&gt;V19),IF(AB18&gt;AB20,3,IF(AB18=AB20,1,0)),""))</f>
        <v/>
      </c>
      <c r="Z18" s="25" t="str">
        <f ca="1">IF(X18&gt;0,Y18,"")</f>
        <v/>
      </c>
      <c r="AA18" s="188">
        <f ca="1">$I$18</f>
        <v>0</v>
      </c>
      <c r="AB18" s="189">
        <f ca="1">$J$18</f>
        <v>0</v>
      </c>
      <c r="AC18" s="190"/>
      <c r="AD18" s="25">
        <f ca="1">IF(AND($AF$16,$AD$4=$AD$5,$AD$4=$AD$6,$AD$4&lt;&gt;$AD$7),W18,0)</f>
        <v>0</v>
      </c>
      <c r="AE18" s="25" t="str">
        <f ca="1">IF(AD18&gt;0,Y18,"")</f>
        <v/>
      </c>
    </row>
    <row r="19" spans="2:31" x14ac:dyDescent="0.25">
      <c r="B19" s="25"/>
      <c r="C19" s="25"/>
      <c r="D19" s="25"/>
      <c r="E19" s="570" t="str">
        <f>$P$5</f>
        <v>Schottland</v>
      </c>
      <c r="F19" s="571"/>
      <c r="G19" s="571"/>
      <c r="H19" s="32">
        <f ca="1">SUMIFS($E$4:$E$9,$B$4:$B$9,$P$5,$D$4:$D$9,$P$4)+SUMIFS($G$4:$G$9,$B$4:$B$9,$P$4,$D$4:$D$9,$P$5)</f>
        <v>0</v>
      </c>
      <c r="I19" s="69"/>
      <c r="J19" s="25">
        <f ca="1">SUMIFS($E$4:$E$9,$B$4:$B$9,$P$5,$D$4:$D$9,$P$6)+SUMIFS($G$4:$G$9,$B$4:$B$9,$P$6,$D$4:$D$9,$P$5)</f>
        <v>0</v>
      </c>
      <c r="K19" s="47">
        <f ca="1">SUMIFS($E$4:$E$9,$B$4:$B$9,$P$5,$D$4:$D$9,$P$7)+SUMIFS($G$4:$G$9,$B$4:$B$9,$P$7,$D$4:$D$9,$P$5)</f>
        <v>0</v>
      </c>
      <c r="L19" s="65" t="str">
        <f ca="1">IF(AND($Q$5=$Q$4,$Q$5&lt;&gt;$Q$6,$Q$5&lt;&gt;$Q$7),IF(H19&gt;I18,3,IF(H19=I18,1,0)),IF(AND($Q$5=$Q$6,$Q$5&lt;&gt;$Q$4,$Q$5&lt;&gt;$Q$7),IF(J19&gt;I20,3,IF(J19=I20,1,0)),IF(AND($Q$5=$Q$7,$Q$5&lt;&gt;$Q$4,$Q$5&lt;&gt;$Q$6),IF(K19&gt;I21,3,IF(K19=I21,1,0)),"")))</f>
        <v/>
      </c>
      <c r="M19" s="65" t="str">
        <f ca="1">IF($AF$16,IF(AND($AD$5=$AD$4,$AD$5&lt;&gt;$AD$6,$AD$5&lt;&gt;$AD$7),IF(H19&gt;I18,3,IF(H19=I18,1,0)),IF(AND($AD$5&lt;&gt;$AD$4,$AD$5=$AD$6,$AD$5&lt;&gt;$AD$7),IF(J19&gt;I20,3,IF(J19=I20,1,0)),IF(AND($AD$5&lt;&gt;$AD$4,$AD$5&lt;&gt;$AD$6,$AD$5=$AD$7),IF(K19&gt;I21,3,IF(K19=I21,1,0)),""))),"")</f>
        <v/>
      </c>
      <c r="N19" s="25"/>
      <c r="O19" s="25" t="s">
        <v>33</v>
      </c>
      <c r="P19" t="str">
        <f>$P$5</f>
        <v>Schottland</v>
      </c>
      <c r="Q19" s="25">
        <f ca="1">SUMIFS($H$4:$H$9,$B$4:$B$9,$P19,$D$4:$D$9,"&lt;&gt;"&amp;$P$21)+SUMIFS($I$4:$I$9,$B$4:$B$9,"&lt;&gt;"&amp;$P$21,$D$4:$D$9,$P19)</f>
        <v>0</v>
      </c>
      <c r="R19" s="25">
        <f ca="1">S19-T19</f>
        <v>0</v>
      </c>
      <c r="S19" s="25">
        <f ca="1">SUMIFS($E$4:$E$9,$B$4:$B$9,$P19,$D$4:$D$9,"&lt;&gt;"&amp;$P$21)+SUMIFS($G$4:$G$9,$B$4:$B$9,"&lt;&gt;"&amp;$P$21,$D$4:$D$9,$P19)</f>
        <v>0</v>
      </c>
      <c r="T19" s="25">
        <f ca="1">SUMIFS($G$4:$G$9,$B$4:$B$9,$P19,$D$4:$D$9,"&lt;&gt;"&amp;$P$21)+SUMIFS($E$4:$E$9,$B$4:$B$9,"&lt;&gt;"&amp;$P$21,$D$4:$D$9,$P19)</f>
        <v>0</v>
      </c>
      <c r="U19" s="25"/>
      <c r="V19" s="202">
        <f ca="1">Q19*FactorPts+(GDzero+R19)*FactorGD+S19*FactorFor</f>
        <v>50000</v>
      </c>
      <c r="W19" s="25">
        <f ca="1">RANK(V19,V$18:V$20,1)</f>
        <v>1</v>
      </c>
      <c r="X19" s="25">
        <f ca="1">IF(AND($Q$4=$Q$5,$Q$4=$Q$6,$Q$4&lt;&gt;$Q$7),W19,0)</f>
        <v>0</v>
      </c>
      <c r="Y19" s="25" t="str">
        <f ca="1">IF(AND(V19=V18,V19&lt;&gt;V20),IF(AA19&gt;AA18,3,IF(AA19=AA18,1,0)),IF(AND(V19=V20,V19&lt;&gt;V18),IF(AC19&gt;AC20,3,IF(AC19=AC20,1,0)),""))</f>
        <v/>
      </c>
      <c r="Z19" s="25" t="str">
        <f t="shared" ref="Z19:Z20" ca="1" si="11">IF(X19&gt;0,Y19,"")</f>
        <v/>
      </c>
      <c r="AA19" s="191">
        <f ca="1">$H$19</f>
        <v>0</v>
      </c>
      <c r="AB19" s="25"/>
      <c r="AC19" s="204">
        <f ca="1">$J$19</f>
        <v>0</v>
      </c>
      <c r="AD19" s="25">
        <f ca="1">IF(AND($AF$16,$AD$4=$AD$5,$AD$4=$AD$6,$AD$4&lt;&gt;$AD$7),W19,0)</f>
        <v>0</v>
      </c>
      <c r="AE19" s="25" t="str">
        <f t="shared" ref="AE19:AE20" ca="1" si="12">IF(AD19&gt;0,Y19,"")</f>
        <v/>
      </c>
    </row>
    <row r="20" spans="2:31" x14ac:dyDescent="0.25">
      <c r="E20" s="570" t="str">
        <f>$P$6</f>
        <v>Ungarn</v>
      </c>
      <c r="F20" s="571"/>
      <c r="G20" s="571"/>
      <c r="H20" s="32">
        <f ca="1">SUMIFS($E$4:$E$9,$B$4:$B$9,$P$6,$D$4:$D$9,$P$4)+SUMIFS($G$4:$G$9,$B$4:$B$9,$P$4,$D$4:$D$9,$P$6)</f>
        <v>0</v>
      </c>
      <c r="I20" s="25">
        <f ca="1">SUMIFS($E$4:$E$9,$B$4:$B$9,$P$6,$D$4:$D$9,$P$5)+SUMIFS($G$4:$G$9,$B$4:$B$9,$P$5,$D$4:$D$9,$P$6)</f>
        <v>0</v>
      </c>
      <c r="J20" s="69"/>
      <c r="K20" s="47">
        <f ca="1">SUMIFS($E$4:$E$9,$B$4:$B$9,$P$6,$D$4:$D$9,$P$7)+SUMIFS($G$4:$G$9,$B$4:$B$9,$P$7,$D$4:$D$9,$P$6)</f>
        <v>0</v>
      </c>
      <c r="L20" s="65" t="str">
        <f ca="1">IF(AND($Q$6=$Q$4,$Q$6&lt;&gt;$Q$5,$Q$6&lt;&gt;$Q$7),IF(H20&gt;J18,3,IF(H20=J18,1,0)),IF(AND($Q$6=$Q$5,$Q$6&lt;&gt;$Q$4,$Q$6&lt;&gt;$Q$7),IF(I20&gt;J19,3,IF(I20=J19,1,0)),IF(AND($Q$6=$Q$7,$Q$6&lt;&gt;$Q$4,$Q$6&lt;&gt;$Q$5),IF(K20&gt;J21,3,IF(K20=J21,1,0)),"")))</f>
        <v/>
      </c>
      <c r="M20" s="65" t="str">
        <f ca="1">IF($AF$16,IF(AND($AD$6=$AD$4,$AD$6&lt;&gt;$AD$5,$AD$6&lt;&gt;$AD$7),IF(H20&gt;J18,3,IF(H20=J18,1,0)),IF(AND($AD$6&lt;&gt;$AD$4,$AD$6=$AD$5,$AD$6&lt;&gt;$AD$7),IF(I20&gt;J19,3,IF(I20=J19,1,0)),IF(AND($AD$6&lt;&gt;$AD$4,$AD$6&lt;&gt;$AD$5,$AD$6=$AD$7),IF(K20&gt;J21,3,IF(K20=J21,1,0)),""))),"")</f>
        <v/>
      </c>
      <c r="N20" s="25"/>
      <c r="O20" s="25" t="s">
        <v>34</v>
      </c>
      <c r="P20" t="str">
        <f>$P$6</f>
        <v>Ungarn</v>
      </c>
      <c r="Q20" s="25">
        <f ca="1">SUMIFS($H$4:$H$9,$B$4:$B$9,$P20,$D$4:$D$9,"&lt;&gt;"&amp;$P$21)+SUMIFS($I$4:$I$9,$B$4:$B$9,"&lt;&gt;"&amp;$P$21,$D$4:$D$9,$P20)</f>
        <v>0</v>
      </c>
      <c r="R20" s="25">
        <f ca="1">S20-T20</f>
        <v>0</v>
      </c>
      <c r="S20" s="25">
        <f ca="1">SUMIFS($E$4:$E$9,$B$4:$B$9,$P20,$D$4:$D$9,"&lt;&gt;"&amp;$P$21)+SUMIFS($G$4:$G$9,$B$4:$B$9,"&lt;&gt;"&amp;$P$21,$D$4:$D$9,$P20)</f>
        <v>0</v>
      </c>
      <c r="T20" s="25">
        <f ca="1">SUMIFS($G$4:$G$9,$B$4:$B$9,$P20,$D$4:$D$9,"&lt;&gt;"&amp;$P$21)+SUMIFS($E$4:$E$9,$B$4:$B$9,"&lt;&gt;"&amp;$P$21,$D$4:$D$9,$P20)</f>
        <v>0</v>
      </c>
      <c r="U20" s="25"/>
      <c r="V20" s="202">
        <f ca="1">Q20*FactorPts+(GDzero+R20)*FactorGD+S20*FactorFor</f>
        <v>50000</v>
      </c>
      <c r="W20" s="25">
        <f ca="1">RANK(V20,V$18:V$20,1)</f>
        <v>1</v>
      </c>
      <c r="X20" s="25">
        <f ca="1">IF(AND($Q$4=$Q$5,$Q$4=$Q$6,$Q$4&lt;&gt;$Q$7),W20,0)</f>
        <v>0</v>
      </c>
      <c r="Y20" s="25" t="str">
        <f ca="1">IF(AND(V20=V18,V20&lt;&gt;V19),IF(AB20&gt;AB18,3,IF(AB20=AB18,1,0)),IF(AND(V20=V19,V20&lt;&gt;V18),IF(AC20&gt;AC19,3,IF(AC20=AC19,1,0)),""))</f>
        <v/>
      </c>
      <c r="Z20" s="25" t="str">
        <f t="shared" ca="1" si="11"/>
        <v/>
      </c>
      <c r="AA20" s="191"/>
      <c r="AB20" s="25">
        <f ca="1">$H$20</f>
        <v>0</v>
      </c>
      <c r="AC20" s="204">
        <f ca="1">$I$20</f>
        <v>0</v>
      </c>
      <c r="AD20" s="25">
        <f ca="1">IF(AND($AF$16,$AD$4=$AD$5,$AD$4=$AD$6,$AD$4&lt;&gt;$AD$7),W20,0)</f>
        <v>0</v>
      </c>
      <c r="AE20" s="25" t="str">
        <f t="shared" ca="1" si="12"/>
        <v/>
      </c>
    </row>
    <row r="21" spans="2:31" ht="15.75" thickBot="1" x14ac:dyDescent="0.3">
      <c r="B21" s="36"/>
      <c r="C21" s="25"/>
      <c r="E21" s="565" t="str">
        <f>$P$7</f>
        <v>Schweiz</v>
      </c>
      <c r="F21" s="566"/>
      <c r="G21" s="566"/>
      <c r="H21" s="31">
        <f ca="1">SUMIFS($E$4:$E$9,$B$4:$B$9,$P$7,$D$4:$D$9,$P$4)+SUMIFS($G$4:$G$9,$B$4:$B$9,$P$4,$D$4:$D$9,$P$7)</f>
        <v>0</v>
      </c>
      <c r="I21" s="29">
        <f ca="1">SUMIFS($E$4:$E$9,$B$4:$B$9,$P$7,$D$4:$D$9,$P$5)+SUMIFS($G$4:$G$9,$B$4:$B$9,$P$5,$D$4:$D$9,$P$7)</f>
        <v>0</v>
      </c>
      <c r="J21" s="29">
        <f ca="1">SUMIFS($E$4:$E$9,$B$4:$B$9,$P$7,$D$4:$D$9,$P$6)+SUMIFS($G$4:$G$9,$B$4:$B$9,$P$6,$D$4:$D$9,$P$7)</f>
        <v>0</v>
      </c>
      <c r="K21" s="70"/>
      <c r="L21" s="66" t="str">
        <f ca="1">IF(AND($Q$7=$Q$4,$Q$7&lt;&gt;$Q$5,$Q$7&lt;&gt;$Q$6),IF(H21&gt;K18,3,IF(H21=K18,1,0)),IF(AND($Q$7=$Q$5,$Q$7&lt;&gt;$Q$4,$Q$7&lt;&gt;$Q$6),IF(I21&gt;K19,3,IF(I21=K19,1,0)),IF(AND($Q$7=$Q$6,$Q$7&lt;&gt;$Q$4,$Q$7&lt;&gt;$Q$5),IF(J21&gt;K20,3,IF(J21=K20,1,0)),"")))</f>
        <v/>
      </c>
      <c r="M21" s="66" t="str">
        <f ca="1">IF($AF$16,IF(AND($AD$7=$AD$4,$AD$7&lt;&gt;$AD$5,$AD$7&lt;&gt;$AD$6),IF(H21&gt;K18,3,IF(H21=K18,1,0)),IF(AND($AD$7&lt;&gt;$AD$4,$AD$7=$AD$5,$AD$7&lt;&gt;$AD$6),IF(I21&gt;K19,3,IF(I21=K19,1,0)),IF(AND($AD$7&lt;&gt;$AD$4,$AD$7&lt;&gt;$AD$5,$AD$7=$AD$6),IF(J21&gt;K20,3,IF(J21=K20,1,0)),""))),"")</f>
        <v/>
      </c>
      <c r="N21" s="25"/>
      <c r="P21" s="28" t="str">
        <f>$P$7</f>
        <v>Schweiz</v>
      </c>
      <c r="Q21" s="197"/>
      <c r="R21" s="197"/>
      <c r="S21" s="197"/>
      <c r="T21" s="197"/>
      <c r="U21" s="197"/>
      <c r="V21" s="198"/>
      <c r="W21" s="198"/>
      <c r="X21" s="197"/>
      <c r="Y21" s="197"/>
      <c r="Z21" s="197"/>
      <c r="AA21" s="199"/>
      <c r="AB21" s="197"/>
      <c r="AC21" s="200"/>
      <c r="AD21" s="198"/>
      <c r="AE21" s="197"/>
    </row>
    <row r="22" spans="2:31" ht="15.75" thickTop="1" x14ac:dyDescent="0.25">
      <c r="B22" s="36"/>
      <c r="C22" s="25"/>
      <c r="F22" s="25"/>
      <c r="G22" s="5"/>
      <c r="L22" s="46"/>
      <c r="Q22" s="198"/>
      <c r="R22" s="198"/>
      <c r="S22" s="198"/>
      <c r="T22" s="198"/>
      <c r="U22" s="198"/>
      <c r="V22" s="198"/>
      <c r="W22" s="198"/>
      <c r="X22" s="197"/>
      <c r="Y22" s="197"/>
      <c r="Z22" s="197"/>
      <c r="AA22" s="199"/>
      <c r="AB22" s="197"/>
      <c r="AC22" s="200"/>
      <c r="AD22" s="198"/>
      <c r="AE22" s="197"/>
    </row>
    <row r="23" spans="2:31" x14ac:dyDescent="0.25">
      <c r="B23" s="36"/>
      <c r="C23" s="25"/>
      <c r="O23" s="25" t="s">
        <v>32</v>
      </c>
      <c r="P23" t="str">
        <f>$P$4</f>
        <v>Deutschland</v>
      </c>
      <c r="Q23" s="25">
        <f ca="1">SUMIFS($H$4:$H$9,$B$4:$B$9,$P23,$D$4:$D$9,"&lt;&gt;"&amp;$P$26)+SUMIFS($I$4:$I$9,$B$4:$B$9,"&lt;&gt;"&amp;$P$26,$D$4:$D$9,$P23)</f>
        <v>0</v>
      </c>
      <c r="R23" s="25">
        <f ca="1">S23-T23</f>
        <v>0</v>
      </c>
      <c r="S23" s="25">
        <f ca="1">SUMIFS($E$4:$E$9,$B$4:$B$9,$P23,$D$4:$D$9,"&lt;&gt;"&amp;$P$26)+SUMIFS($G$4:$G$9,$B$4:$B$9,"&lt;&gt;"&amp;$P$26,$D$4:$D$9,$P23)</f>
        <v>0</v>
      </c>
      <c r="T23" s="25">
        <f ca="1">SUMIFS($G$4:$G$9,$B$4:$B$9,$P23,$D$4:$D$9,"&lt;&gt;"&amp;$P$26)+SUMIFS($E$4:$E$9,$B$4:$B$9,"&lt;&gt;"&amp;$P$26,$D$4:$D$9,$P23)</f>
        <v>0</v>
      </c>
      <c r="U23" s="25"/>
      <c r="V23" s="202">
        <f ca="1">Q23*FactorPts+(GDzero+R23)*FactorGD+S23*FactorFor</f>
        <v>50000</v>
      </c>
      <c r="W23" s="25">
        <f ca="1">RANK(V23,V$23:V$25,1)</f>
        <v>1</v>
      </c>
      <c r="X23" s="25">
        <f ca="1">IF(AND($Q$4=$Q$5,$Q$4=$Q$7,$Q$4&lt;&gt;$Q$6),W23,0)</f>
        <v>0</v>
      </c>
      <c r="Y23" s="25" t="str">
        <f ca="1">IF(AND(V23=V24,V23&lt;&gt;V25),IF(AA23&gt;AA24,3,IF(AA23=AA24,1,0)),IF(AND(V23=V25,V23&lt;&gt;V24),IF(AB23&gt;AB25,3,IF(AB23=AB25,1,0)),""))</f>
        <v/>
      </c>
      <c r="Z23" s="25" t="str">
        <f ca="1">IF(X23&gt;0,Y23,"")</f>
        <v/>
      </c>
      <c r="AA23" s="191">
        <f ca="1">$I$18</f>
        <v>0</v>
      </c>
      <c r="AB23" s="25">
        <f ca="1">$K$18</f>
        <v>0</v>
      </c>
      <c r="AC23" s="204"/>
      <c r="AD23" s="25">
        <f ca="1">IF(AND($AF$16,$AD$4=$AD$5,$AD$4=$AD$7,$AD$4&lt;&gt;$AD$6),W23,0)</f>
        <v>0</v>
      </c>
      <c r="AE23" s="25" t="str">
        <f ca="1">IF(AD23&gt;0,Y23,"")</f>
        <v/>
      </c>
    </row>
    <row r="24" spans="2:31" x14ac:dyDescent="0.25">
      <c r="B24" s="36"/>
      <c r="C24" s="25"/>
      <c r="O24" s="25" t="s">
        <v>33</v>
      </c>
      <c r="P24" t="str">
        <f>$P$5</f>
        <v>Schottland</v>
      </c>
      <c r="Q24" s="25">
        <f ca="1">SUMIFS($H$4:$H$9,$B$4:$B$9,$P24,$D$4:$D$9,"&lt;&gt;"&amp;$P$26)+SUMIFS($I$4:$I$9,$B$4:$B$9,"&lt;&gt;"&amp;$P$26,$D$4:$D$9,$P24)</f>
        <v>0</v>
      </c>
      <c r="R24" s="25">
        <f ca="1">S24-T24</f>
        <v>0</v>
      </c>
      <c r="S24" s="25">
        <f ca="1">SUMIFS($E$4:$E$9,$B$4:$B$9,$P24,$D$4:$D$9,"&lt;&gt;"&amp;$P$26)+SUMIFS($G$4:$G$9,$B$4:$B$9,"&lt;&gt;"&amp;$P$26,$D$4:$D$9,$P24)</f>
        <v>0</v>
      </c>
      <c r="T24" s="25">
        <f ca="1">SUMIFS($G$4:$G$9,$B$4:$B$9,$P24,$D$4:$D$9,"&lt;&gt;"&amp;$P$26)+SUMIFS($E$4:$E$9,$B$4:$B$9,"&lt;&gt;"&amp;$P$26,$D$4:$D$9,$P24)</f>
        <v>0</v>
      </c>
      <c r="U24" s="25"/>
      <c r="V24" s="202">
        <f ca="1">Q24*FactorPts+(GDzero+R24)*FactorGD+S24*FactorFor</f>
        <v>50000</v>
      </c>
      <c r="W24" s="25">
        <f ca="1">RANK(V24,V$23:V$25,1)</f>
        <v>1</v>
      </c>
      <c r="X24" s="25">
        <f ca="1">IF(AND($Q$4=$Q$5,$Q$4=$Q$7,$Q$4&lt;&gt;$Q$6),W24,0)</f>
        <v>0</v>
      </c>
      <c r="Y24" s="25" t="str">
        <f ca="1">IF(AND(V24=V23,V24&lt;&gt;V25),IF(AA24&gt;AA23,3,IF(AA24=AA23,1,0)),IF(AND(V24=V25,V24&lt;&gt;V23),IF(AC24&gt;AC25,3,IF(AC24=AC25,1,0)),""))</f>
        <v/>
      </c>
      <c r="Z24" s="25" t="str">
        <f t="shared" ref="Z24:Z25" ca="1" si="13">IF(X24&gt;0,Y24,"")</f>
        <v/>
      </c>
      <c r="AA24" s="191">
        <f ca="1">$H$19</f>
        <v>0</v>
      </c>
      <c r="AB24" s="25"/>
      <c r="AC24" s="204">
        <f ca="1">$K$19</f>
        <v>0</v>
      </c>
      <c r="AD24" s="25">
        <f ca="1">IF(AND($AF$16,$AD$4=$AD$5,$AD$4=$AD$7,$AD$4&lt;&gt;$AD$6),W24,0)</f>
        <v>0</v>
      </c>
      <c r="AE24" s="25" t="str">
        <f t="shared" ref="AE24:AE25" ca="1" si="14">IF(AD24&gt;0,Y24,"")</f>
        <v/>
      </c>
    </row>
    <row r="25" spans="2:31" x14ac:dyDescent="0.25">
      <c r="B25" s="36"/>
      <c r="C25" s="25"/>
      <c r="O25" s="25" t="s">
        <v>34</v>
      </c>
      <c r="P25" t="str">
        <f>$P$7</f>
        <v>Schweiz</v>
      </c>
      <c r="Q25" s="25">
        <f ca="1">SUMIFS($H$4:$H$9,$B$4:$B$9,$P25,$D$4:$D$9,"&lt;&gt;"&amp;$P$26)+SUMIFS($I$4:$I$9,$B$4:$B$9,"&lt;&gt;"&amp;$P$26,$D$4:$D$9,$P25)</f>
        <v>0</v>
      </c>
      <c r="R25" s="25">
        <f ca="1">S25-T25</f>
        <v>0</v>
      </c>
      <c r="S25" s="25">
        <f ca="1">SUMIFS($E$4:$E$9,$B$4:$B$9,$P25,$D$4:$D$9,"&lt;&gt;"&amp;$P$26)+SUMIFS($G$4:$G$9,$B$4:$B$9,"&lt;&gt;"&amp;$P$26,$D$4:$D$9,$P25)</f>
        <v>0</v>
      </c>
      <c r="T25" s="25">
        <f ca="1">SUMIFS($G$4:$G$9,$B$4:$B$9,$P25,$D$4:$D$9,"&lt;&gt;"&amp;$P$26)+SUMIFS($E$4:$E$9,$B$4:$B$9,"&lt;&gt;"&amp;$P$26,$D$4:$D$9,$P25)</f>
        <v>0</v>
      </c>
      <c r="U25" s="25"/>
      <c r="V25" s="202">
        <f ca="1">Q25*FactorPts+(GDzero+R25)*FactorGD+S25*FactorFor</f>
        <v>50000</v>
      </c>
      <c r="W25" s="25">
        <f ca="1">RANK(V25,V$23:V$25,1)</f>
        <v>1</v>
      </c>
      <c r="X25" s="25">
        <f ca="1">IF(AND($Q$4=$Q$5,$Q$4=$Q$7,$Q$4&lt;&gt;$Q$6),W25,0)</f>
        <v>0</v>
      </c>
      <c r="Y25" s="25" t="str">
        <f ca="1">IF(AND(V25=V23,V25&lt;&gt;V24),IF(AB25&gt;AB23,3,IF(AB25=AB23,1,0)),IF(AND(V25=V24,V25&lt;&gt;V23),IF(AC25&gt;AC24,3,IF(AC25=AC24,1,0)),""))</f>
        <v/>
      </c>
      <c r="Z25" s="25" t="str">
        <f t="shared" ca="1" si="13"/>
        <v/>
      </c>
      <c r="AA25" s="191"/>
      <c r="AB25" s="25">
        <f ca="1">$H$21</f>
        <v>0</v>
      </c>
      <c r="AC25" s="204">
        <f ca="1">$I$21</f>
        <v>0</v>
      </c>
      <c r="AD25" s="25">
        <f ca="1">IF(AND($AF$16,$AD$4=$AD$5,$AD$4=$AD$7,$AD$4&lt;&gt;$AD$6),W25,0)</f>
        <v>0</v>
      </c>
      <c r="AE25" s="25" t="str">
        <f t="shared" ca="1" si="14"/>
        <v/>
      </c>
    </row>
    <row r="26" spans="2:31" x14ac:dyDescent="0.25">
      <c r="B26" s="36"/>
      <c r="C26" s="25"/>
      <c r="P26" s="28" t="str">
        <f>$P$6</f>
        <v>Ungarn</v>
      </c>
      <c r="Q26" s="197"/>
      <c r="R26" s="197"/>
      <c r="S26" s="197"/>
      <c r="T26" s="197"/>
      <c r="U26" s="197"/>
      <c r="V26" s="198"/>
      <c r="W26" s="198"/>
      <c r="X26" s="197"/>
      <c r="Y26" s="197"/>
      <c r="Z26" s="197"/>
      <c r="AA26" s="199"/>
      <c r="AB26" s="197"/>
      <c r="AC26" s="200"/>
      <c r="AD26" s="198"/>
      <c r="AE26" s="197"/>
    </row>
    <row r="27" spans="2:31" x14ac:dyDescent="0.25">
      <c r="Q27" s="198"/>
      <c r="R27" s="198"/>
      <c r="S27" s="198"/>
      <c r="T27" s="198"/>
      <c r="U27" s="198"/>
      <c r="V27" s="198"/>
      <c r="W27" s="198"/>
      <c r="X27" s="197"/>
      <c r="Y27" s="197"/>
      <c r="Z27" s="197"/>
      <c r="AA27" s="199"/>
      <c r="AB27" s="197"/>
      <c r="AC27" s="200"/>
      <c r="AD27" s="198"/>
      <c r="AE27" s="197"/>
    </row>
    <row r="28" spans="2:31" x14ac:dyDescent="0.25">
      <c r="O28" s="25" t="s">
        <v>32</v>
      </c>
      <c r="P28" t="str">
        <f>$P$4</f>
        <v>Deutschland</v>
      </c>
      <c r="Q28" s="25">
        <f ca="1">SUMIFS($H$4:$H$9,$B$4:$B$9,$P28,$D$4:$D$9,"&lt;&gt;"&amp;$P$31)+SUMIFS($I$4:$I$9,$B$4:$B$9,"&lt;&gt;"&amp;$P$31,$D$4:$D$9,$P28)</f>
        <v>0</v>
      </c>
      <c r="R28" s="25">
        <f ca="1">S28-T28</f>
        <v>0</v>
      </c>
      <c r="S28" s="25">
        <f ca="1">SUMIFS($E$4:$E$9,$B$4:$B$9,$P28,$D$4:$D$9,"&lt;&gt;"&amp;$P$31)+SUMIFS($G$4:$G$9,$B$4:$B$9,"&lt;&gt;"&amp;$P$31,$D$4:$D$9,$P28)</f>
        <v>0</v>
      </c>
      <c r="T28" s="25">
        <f ca="1">SUMIFS($G$4:$G$9,$B$4:$B$9,$P28,$D$4:$D$9,"&lt;&gt;"&amp;$P$31)+SUMIFS($E$4:$E$9,$B$4:$B$9,"&lt;&gt;"&amp;$P$31,$D$4:$D$9,$P28)</f>
        <v>0</v>
      </c>
      <c r="U28" s="25"/>
      <c r="V28" s="202">
        <f ca="1">Q28*FactorPts+(GDzero+R28)*FactorGD+S28*FactorFor</f>
        <v>50000</v>
      </c>
      <c r="W28" s="25">
        <f ca="1">RANK(V28,V$28:V$30,1)</f>
        <v>1</v>
      </c>
      <c r="X28" s="25">
        <f ca="1">IF(AND($Q$4=$Q$6,$Q$4=$Q$7,$Q$4&lt;&gt;$Q$5),W28,0)</f>
        <v>0</v>
      </c>
      <c r="Y28" s="25" t="str">
        <f ca="1">IF(AND(V28=V29,V28&lt;&gt;V30),IF(AA28&gt;AA29,3,IF(AA28=AA29,1,0)),IF(AND(V28=V30,V28&lt;&gt;V29),IF(AB28&gt;AB30,3,IF(AB28=AB30,1,0)),""))</f>
        <v/>
      </c>
      <c r="Z28" s="25" t="str">
        <f ca="1">IF(X28&gt;0,Y28,"")</f>
        <v/>
      </c>
      <c r="AA28" s="191">
        <f ca="1">$J$18</f>
        <v>0</v>
      </c>
      <c r="AB28" s="25">
        <f ca="1">$K$18</f>
        <v>0</v>
      </c>
      <c r="AC28" s="204"/>
      <c r="AD28" s="25">
        <f ca="1">IF(AND($AF$16,$AD$4=$AD$6,$AD$4=$AD$7,$AD$4&lt;&gt;$AD$5),W28,0)</f>
        <v>0</v>
      </c>
      <c r="AE28" s="25" t="str">
        <f ca="1">IF(AD28&gt;0,Y28,"")</f>
        <v/>
      </c>
    </row>
    <row r="29" spans="2:31" x14ac:dyDescent="0.25">
      <c r="O29" s="25" t="s">
        <v>33</v>
      </c>
      <c r="P29" t="str">
        <f>$P$6</f>
        <v>Ungarn</v>
      </c>
      <c r="Q29" s="25">
        <f ca="1">SUMIFS($H$4:$H$9,$B$4:$B$9,$P29,$D$4:$D$9,"&lt;&gt;"&amp;$P$31)+SUMIFS($I$4:$I$9,$B$4:$B$9,"&lt;&gt;"&amp;$P$31,$D$4:$D$9,$P29)</f>
        <v>0</v>
      </c>
      <c r="R29" s="25">
        <f ca="1">S29-T29</f>
        <v>0</v>
      </c>
      <c r="S29" s="25">
        <f ca="1">SUMIFS($E$4:$E$9,$B$4:$B$9,$P29,$D$4:$D$9,"&lt;&gt;"&amp;$P$31)+SUMIFS($G$4:$G$9,$B$4:$B$9,"&lt;&gt;"&amp;$P$31,$D$4:$D$9,$P29)</f>
        <v>0</v>
      </c>
      <c r="T29" s="25">
        <f ca="1">SUMIFS($G$4:$G$9,$B$4:$B$9,$P29,$D$4:$D$9,"&lt;&gt;"&amp;$P$31)+SUMIFS($E$4:$E$9,$B$4:$B$9,"&lt;&gt;"&amp;$P$31,$D$4:$D$9,$P29)</f>
        <v>0</v>
      </c>
      <c r="U29" s="25"/>
      <c r="V29" s="202">
        <f ca="1">Q29*FactorPts+(GDzero+R29)*FactorGD+S29*FactorFor</f>
        <v>50000</v>
      </c>
      <c r="W29" s="25">
        <f t="shared" ref="W29:W30" ca="1" si="15">RANK(V29,V$28:V$30,1)</f>
        <v>1</v>
      </c>
      <c r="X29" s="25">
        <f ca="1">IF(AND($Q$4=$Q$6,$Q$4=$Q$7,$Q$4&lt;&gt;$Q$5),W29,0)</f>
        <v>0</v>
      </c>
      <c r="Y29" s="25" t="str">
        <f ca="1">IF(AND(V29=V28,V29&lt;&gt;V30),IF(AA29&gt;AA28,3,IF(AA29=AA28,1,0)),IF(AND(V29=V30,V29&lt;&gt;V28),IF(AC29&gt;AC30,3,IF(AC29=AC30,1,0)),""))</f>
        <v/>
      </c>
      <c r="Z29" s="25" t="str">
        <f t="shared" ref="Z29:Z30" ca="1" si="16">IF(X29&gt;0,Y29,"")</f>
        <v/>
      </c>
      <c r="AA29" s="191">
        <f ca="1">$H$20</f>
        <v>0</v>
      </c>
      <c r="AB29" s="25"/>
      <c r="AC29" s="204">
        <f ca="1">$K$20</f>
        <v>0</v>
      </c>
      <c r="AD29" s="25">
        <f ca="1">IF(AND($AF$16,$AD$4=$AD$6,$AD$4=$AD$7,$AD$4&lt;&gt;$AD$5),W29,0)</f>
        <v>0</v>
      </c>
      <c r="AE29" s="25" t="str">
        <f t="shared" ref="AE29:AE30" ca="1" si="17">IF(AD29&gt;0,Y29,"")</f>
        <v/>
      </c>
    </row>
    <row r="30" spans="2:31" x14ac:dyDescent="0.25">
      <c r="O30" s="25" t="s">
        <v>34</v>
      </c>
      <c r="P30" t="str">
        <f>$P$7</f>
        <v>Schweiz</v>
      </c>
      <c r="Q30" s="25">
        <f ca="1">SUMIFS($H$4:$H$9,$B$4:$B$9,$P30,$D$4:$D$9,"&lt;&gt;"&amp;$P$31)+SUMIFS($I$4:$I$9,$B$4:$B$9,"&lt;&gt;"&amp;$P$31,$D$4:$D$9,$P30)</f>
        <v>0</v>
      </c>
      <c r="R30" s="25">
        <f ca="1">S30-T30</f>
        <v>0</v>
      </c>
      <c r="S30" s="25">
        <f ca="1">SUMIFS($E$4:$E$9,$B$4:$B$9,$P30,$D$4:$D$9,"&lt;&gt;"&amp;$P$31)+SUMIFS($G$4:$G$9,$B$4:$B$9,"&lt;&gt;"&amp;$P$31,$D$4:$D$9,$P30)</f>
        <v>0</v>
      </c>
      <c r="T30" s="25">
        <f ca="1">SUMIFS($G$4:$G$9,$B$4:$B$9,$P30,$D$4:$D$9,"&lt;&gt;"&amp;$P$31)+SUMIFS($E$4:$E$9,$B$4:$B$9,"&lt;&gt;"&amp;$P$31,$D$4:$D$9,$P30)</f>
        <v>0</v>
      </c>
      <c r="U30" s="25"/>
      <c r="V30" s="202">
        <f ca="1">Q30*FactorPts+(GDzero+R30)*FactorGD+S30*FactorFor</f>
        <v>50000</v>
      </c>
      <c r="W30" s="25">
        <f t="shared" ca="1" si="15"/>
        <v>1</v>
      </c>
      <c r="X30" s="25">
        <f ca="1">IF(AND($Q$4=$Q$6,$Q$4=$Q$7,$Q$4&lt;&gt;$Q$5),W30,0)</f>
        <v>0</v>
      </c>
      <c r="Y30" s="25" t="str">
        <f ca="1">IF(AND(V30=V28,V30&lt;&gt;V29),IF(AB30&gt;AB28,3,IF(AB30=AB28,1,0)),IF(AND(V30=V29,V30&lt;&gt;V28),IF(AC30&gt;AC29,3,IF(AC30=AC29,1,0)),""))</f>
        <v/>
      </c>
      <c r="Z30" s="25" t="str">
        <f t="shared" ca="1" si="16"/>
        <v/>
      </c>
      <c r="AA30" s="191"/>
      <c r="AB30" s="25">
        <f ca="1">$H$21</f>
        <v>0</v>
      </c>
      <c r="AC30" s="204">
        <f ca="1">$J$21</f>
        <v>0</v>
      </c>
      <c r="AD30" s="25">
        <f ca="1">IF(AND($AF$16,$AD$4=$AD$6,$AD$4=$AD$7,$AD$4&lt;&gt;$AD$5),W30,0)</f>
        <v>0</v>
      </c>
      <c r="AE30" s="25" t="str">
        <f t="shared" ca="1" si="17"/>
        <v/>
      </c>
    </row>
    <row r="31" spans="2:31" x14ac:dyDescent="0.25">
      <c r="P31" s="28" t="str">
        <f>$P$5</f>
        <v>Schottland</v>
      </c>
      <c r="Q31" s="197"/>
      <c r="R31" s="197"/>
      <c r="S31" s="197"/>
      <c r="T31" s="197"/>
      <c r="U31" s="197"/>
      <c r="V31" s="198"/>
      <c r="W31" s="198"/>
      <c r="X31" s="197"/>
      <c r="Y31" s="197"/>
      <c r="Z31" s="197"/>
      <c r="AA31" s="199"/>
      <c r="AB31" s="197"/>
      <c r="AC31" s="200"/>
      <c r="AD31" s="198"/>
      <c r="AE31" s="197"/>
    </row>
    <row r="32" spans="2:31" x14ac:dyDescent="0.25">
      <c r="Q32" s="198"/>
      <c r="R32" s="198"/>
      <c r="S32" s="198"/>
      <c r="T32" s="198"/>
      <c r="U32" s="198"/>
      <c r="V32" s="198"/>
      <c r="W32" s="198"/>
      <c r="X32" s="197"/>
      <c r="Y32" s="197"/>
      <c r="Z32" s="197"/>
      <c r="AA32" s="199"/>
      <c r="AB32" s="197"/>
      <c r="AC32" s="200"/>
      <c r="AD32" s="198"/>
      <c r="AE32" s="197"/>
    </row>
    <row r="33" spans="15:31" x14ac:dyDescent="0.25">
      <c r="O33" s="25" t="s">
        <v>32</v>
      </c>
      <c r="P33" t="str">
        <f>$P$5</f>
        <v>Schottland</v>
      </c>
      <c r="Q33" s="25">
        <f ca="1">SUMIFS($H$4:$H$9,$B$4:$B$9,$P33,$D$4:$D$9,"&lt;&gt;"&amp;$P$36)+SUMIFS($I$4:$I$9,$B$4:$B$9,"&lt;&gt;"&amp;$P$36,$D$4:$D$9,$P33)</f>
        <v>0</v>
      </c>
      <c r="R33" s="25">
        <f ca="1">S33-T33</f>
        <v>0</v>
      </c>
      <c r="S33" s="25">
        <f ca="1">SUMIFS($E$4:$E$9,$B$4:$B$9,$P33,$D$4:$D$9,"&lt;&gt;"&amp;$P$36)+SUMIFS($G$4:$G$9,$B$4:$B$9,"&lt;&gt;"&amp;$P$36,$D$4:$D$9,$P33)</f>
        <v>0</v>
      </c>
      <c r="T33" s="25">
        <f ca="1">SUMIFS($G$4:$G$9,$B$4:$B$9,$P33,$D$4:$D$9,"&lt;&gt;"&amp;$P$36)+SUMIFS($E$4:$E$9,$B$4:$B$9,"&lt;&gt;"&amp;$P$36,$D$4:$D$9,$P33)</f>
        <v>0</v>
      </c>
      <c r="U33" s="25"/>
      <c r="V33" s="202">
        <f ca="1">Q33*FactorPts+(GDzero+R33)*FactorGD+S33*FactorFor</f>
        <v>50000</v>
      </c>
      <c r="W33" s="25">
        <f ca="1">RANK(V33,V$33:V$35,1)</f>
        <v>1</v>
      </c>
      <c r="X33" s="25">
        <f ca="1">IF(AND($Q$5=$Q$6,$Q$5=$Q$7,$Q$5&lt;&gt;$Q$4),W33,0)</f>
        <v>0</v>
      </c>
      <c r="Y33" s="25" t="str">
        <f ca="1">IF(AND(V33=V34,V33&lt;&gt;V35),IF(AA33&gt;AA34,3,IF(AA33=AA34,1,0)),IF(AND(V33=V35,V33&lt;&gt;V34),IF(AB33&gt;AB35,3,IF(AB33=AB35,1,0)),""))</f>
        <v/>
      </c>
      <c r="Z33" s="25" t="str">
        <f ca="1">IF(X33&gt;0,Y33,"")</f>
        <v/>
      </c>
      <c r="AA33" s="191">
        <f ca="1">$J$19</f>
        <v>0</v>
      </c>
      <c r="AB33" s="25">
        <f ca="1">$K$19</f>
        <v>0</v>
      </c>
      <c r="AC33" s="204"/>
      <c r="AD33" s="25">
        <f ca="1">IF(AND($AF$16,$AD$5=$AD$6,$AD$5=$AD$7,$AD$5&lt;&gt;$AD$4),W33,0)</f>
        <v>0</v>
      </c>
      <c r="AE33" s="25" t="str">
        <f ca="1">IF(AD33&gt;0,Y33,"")</f>
        <v/>
      </c>
    </row>
    <row r="34" spans="15:31" x14ac:dyDescent="0.25">
      <c r="O34" s="25" t="s">
        <v>33</v>
      </c>
      <c r="P34" t="str">
        <f>$P$6</f>
        <v>Ungarn</v>
      </c>
      <c r="Q34" s="25">
        <f ca="1">SUMIFS($H$4:$H$9,$B$4:$B$9,$P34,$D$4:$D$9,"&lt;&gt;"&amp;$P$36)+SUMIFS($I$4:$I$9,$B$4:$B$9,"&lt;&gt;"&amp;$P$36,$D$4:$D$9,$P34)</f>
        <v>0</v>
      </c>
      <c r="R34" s="25">
        <f ca="1">S34-T34</f>
        <v>0</v>
      </c>
      <c r="S34" s="25">
        <f ca="1">SUMIFS($E$4:$E$9,$B$4:$B$9,$P34,$D$4:$D$9,"&lt;&gt;"&amp;$P$36)+SUMIFS($G$4:$G$9,$B$4:$B$9,"&lt;&gt;"&amp;$P$36,$D$4:$D$9,$P34)</f>
        <v>0</v>
      </c>
      <c r="T34" s="25">
        <f ca="1">SUMIFS($G$4:$G$9,$B$4:$B$9,$P34,$D$4:$D$9,"&lt;&gt;"&amp;$P$36)+SUMIFS($E$4:$E$9,$B$4:$B$9,"&lt;&gt;"&amp;$P$36,$D$4:$D$9,$P34)</f>
        <v>0</v>
      </c>
      <c r="U34" s="25"/>
      <c r="V34" s="202">
        <f ca="1">Q34*FactorPts+(GDzero+R34)*FactorGD+S34*FactorFor</f>
        <v>50000</v>
      </c>
      <c r="W34" s="25">
        <f ca="1">RANK(V34,V$33:V$35,1)</f>
        <v>1</v>
      </c>
      <c r="X34" s="25">
        <f ca="1">IF(AND($Q$5=$Q$6,$Q$5=$Q$7,$Q$5&lt;&gt;$Q$4),W34,0)</f>
        <v>0</v>
      </c>
      <c r="Y34" s="25" t="str">
        <f ca="1">IF(AND(V34=V33,V34&lt;&gt;V35),IF(AA34&gt;AA33,3,IF(AA34=AA33,1,0)),IF(AND(V34=V35,V34&lt;&gt;V33),IF(AC34&gt;AC35,3,IF(AC34=AC35,1,0)),""))</f>
        <v/>
      </c>
      <c r="Z34" s="25" t="str">
        <f t="shared" ref="Z34:Z35" ca="1" si="18">IF(X34&gt;0,Y34,"")</f>
        <v/>
      </c>
      <c r="AA34" s="191">
        <f ca="1">$I$20</f>
        <v>0</v>
      </c>
      <c r="AB34" s="25"/>
      <c r="AC34" s="204">
        <f ca="1">$K$20</f>
        <v>0</v>
      </c>
      <c r="AD34" s="25">
        <f ca="1">IF(AND($AF$16,$AD$5=$AD$6,$AD$5=$AD$7,$AD$5&lt;&gt;$AD$4),W34,0)</f>
        <v>0</v>
      </c>
      <c r="AE34" s="25" t="str">
        <f t="shared" ref="AE34:AE35" ca="1" si="19">IF(AD34&gt;0,Y34,"")</f>
        <v/>
      </c>
    </row>
    <row r="35" spans="15:31" ht="15.75" thickBot="1" x14ac:dyDescent="0.3">
      <c r="O35" s="25" t="s">
        <v>34</v>
      </c>
      <c r="P35" t="str">
        <f>$P$7</f>
        <v>Schweiz</v>
      </c>
      <c r="Q35" s="25">
        <f ca="1">SUMIFS($H$4:$H$9,$B$4:$B$9,$P35,$D$4:$D$9,"&lt;&gt;"&amp;$P$36)+SUMIFS($I$4:$I$9,$B$4:$B$9,"&lt;&gt;"&amp;$P$36,$D$4:$D$9,$P35)</f>
        <v>0</v>
      </c>
      <c r="R35" s="25">
        <f ca="1">S35-T35</f>
        <v>0</v>
      </c>
      <c r="S35" s="25">
        <f ca="1">SUMIFS($E$4:$E$9,$B$4:$B$9,$P35,$D$4:$D$9,"&lt;&gt;"&amp;$P$36)+SUMIFS($G$4:$G$9,$B$4:$B$9,"&lt;&gt;"&amp;$P$36,$D$4:$D$9,$P35)</f>
        <v>0</v>
      </c>
      <c r="T35" s="25">
        <f ca="1">SUMIFS($G$4:$G$9,$B$4:$B$9,$P35,$D$4:$D$9,"&lt;&gt;"&amp;$P$36)+SUMIFS($E$4:$E$9,$B$4:$B$9,"&lt;&gt;"&amp;$P$36,$D$4:$D$9,$P35)</f>
        <v>0</v>
      </c>
      <c r="U35" s="25"/>
      <c r="V35" s="202">
        <f ca="1">Q35*FactorPts+(GDzero+R35)*FactorGD+S35*FactorFor</f>
        <v>50000</v>
      </c>
      <c r="W35" s="25">
        <f ca="1">RANK(V35,V$33:V$35,1)</f>
        <v>1</v>
      </c>
      <c r="X35" s="25">
        <f ca="1">IF(AND($Q$5=$Q$6,$Q$5=$Q$7,$Q$5&lt;&gt;$Q$4),W35,0)</f>
        <v>0</v>
      </c>
      <c r="Y35" s="25" t="str">
        <f ca="1">IF(AND(V35=V33,V35&lt;&gt;V34),IF(AB35&gt;AB33,3,IF(AB35=AB33,1,0)),IF(AND(V35=V34,V35&lt;&gt;V33),IF(AC35&gt;AC34,3,IF(AC35=AC34,1,0)),""))</f>
        <v/>
      </c>
      <c r="Z35" s="25" t="str">
        <f t="shared" ca="1" si="18"/>
        <v/>
      </c>
      <c r="AA35" s="192"/>
      <c r="AB35" s="193">
        <f ca="1">$I$21</f>
        <v>0</v>
      </c>
      <c r="AC35" s="194">
        <f ca="1">$J$21</f>
        <v>0</v>
      </c>
      <c r="AD35" s="25">
        <f ca="1">IF(AND($AF$16,$AD$5=$AD$6,$AD$5=$AD$7,$AD$5&lt;&gt;$AD$4),W35,0)</f>
        <v>0</v>
      </c>
      <c r="AE35" s="25" t="str">
        <f t="shared" ca="1" si="19"/>
        <v/>
      </c>
    </row>
    <row r="36" spans="15:31" x14ac:dyDescent="0.25">
      <c r="P36" s="28" t="str">
        <f>$P$4</f>
        <v>Deutschland</v>
      </c>
      <c r="Q36" s="25"/>
      <c r="R36" s="25"/>
      <c r="S36" s="25"/>
      <c r="T36" s="25"/>
      <c r="U36" s="25"/>
    </row>
  </sheetData>
  <mergeCells count="13">
    <mergeCell ref="AD16:AE16"/>
    <mergeCell ref="AA17:AC17"/>
    <mergeCell ref="E21:G21"/>
    <mergeCell ref="B3:D3"/>
    <mergeCell ref="E3:G3"/>
    <mergeCell ref="H3:I3"/>
    <mergeCell ref="E18:G18"/>
    <mergeCell ref="E19:G19"/>
    <mergeCell ref="E20:G20"/>
    <mergeCell ref="G16:L16"/>
    <mergeCell ref="W16:Z16"/>
    <mergeCell ref="J3:L3"/>
    <mergeCell ref="Z9:AE9"/>
  </mergeCell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7"/>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1"/>
      <c r="B1" s="40" t="str">
        <f>VLOOKUP($Q$1,References!$B$5:$D$10,2,0)</f>
        <v>E</v>
      </c>
      <c r="D1" s="40" t="str">
        <f>VLOOKUP($Q$1,References!$B$5:$D$10,3,0)</f>
        <v>F</v>
      </c>
      <c r="P1" s="145" t="s">
        <v>209</v>
      </c>
      <c r="Q1" s="146" t="s">
        <v>26</v>
      </c>
    </row>
    <row r="2" spans="1:33" ht="8.25" customHeight="1" x14ac:dyDescent="0.25"/>
    <row r="3" spans="1:33" x14ac:dyDescent="0.25">
      <c r="B3" s="567" t="s">
        <v>195</v>
      </c>
      <c r="C3" s="567"/>
      <c r="D3" s="567"/>
      <c r="E3" s="567" t="s">
        <v>196</v>
      </c>
      <c r="F3" s="567"/>
      <c r="G3" s="567"/>
      <c r="H3" s="567" t="s">
        <v>191</v>
      </c>
      <c r="I3" s="567"/>
      <c r="J3" s="567" t="s">
        <v>1085</v>
      </c>
      <c r="K3" s="567"/>
      <c r="L3" s="567"/>
      <c r="M3" s="203" t="s">
        <v>168</v>
      </c>
      <c r="N3" s="72"/>
      <c r="O3" s="39"/>
      <c r="P3" s="38"/>
      <c r="Q3" s="203" t="s">
        <v>191</v>
      </c>
      <c r="R3" s="203" t="s">
        <v>190</v>
      </c>
      <c r="S3" s="203" t="s">
        <v>1087</v>
      </c>
      <c r="T3" s="203" t="s">
        <v>1088</v>
      </c>
      <c r="U3" s="203" t="s">
        <v>673</v>
      </c>
      <c r="V3" s="203" t="s">
        <v>192</v>
      </c>
      <c r="W3" s="203" t="s">
        <v>193</v>
      </c>
      <c r="X3" s="203" t="s">
        <v>194</v>
      </c>
      <c r="Y3" s="203" t="s">
        <v>482</v>
      </c>
      <c r="Z3" s="203" t="s">
        <v>483</v>
      </c>
      <c r="AA3" s="203" t="s">
        <v>474</v>
      </c>
      <c r="AB3" s="203" t="s">
        <v>38</v>
      </c>
      <c r="AC3" s="203" t="s">
        <v>313</v>
      </c>
      <c r="AD3" s="203" t="s">
        <v>197</v>
      </c>
      <c r="AE3" s="203" t="s">
        <v>497</v>
      </c>
      <c r="AF3" s="203" t="s">
        <v>534</v>
      </c>
    </row>
    <row r="4" spans="1:33" x14ac:dyDescent="0.25">
      <c r="B4" s="180" t="str">
        <f ca="1">INDIRECT("'"&amp;References!$A$1&amp;"'!"&amp;$B$1&amp;References!$G5)</f>
        <v>Spanien</v>
      </c>
      <c r="C4" s="181" t="s">
        <v>36</v>
      </c>
      <c r="D4" s="182" t="str">
        <f ca="1">INDIRECT("'"&amp;References!$A$1&amp;"'!"&amp;$D$1&amp;References!$G5)</f>
        <v>Kroatien</v>
      </c>
      <c r="E4" s="180" t="str">
        <f ca="1">IF(OR(INDIRECT("'"&amp;References!$A$1&amp;"'!"&amp;$B$1&amp;References!$H5)="",INDIRECT("'"&amp;References!$A$1&amp;"'!"&amp;$D$1&amp;References!$H5)=""),"",INDIRECT("'"&amp;References!$A$1&amp;"'!"&amp;$B$1&amp;References!$H5))</f>
        <v/>
      </c>
      <c r="F4" s="181" t="s">
        <v>36</v>
      </c>
      <c r="G4" s="186" t="str">
        <f ca="1">IF(OR(INDIRECT("'"&amp;References!$A$1&amp;"'!"&amp;$B$1&amp;References!$H5)="",INDIRECT("'"&amp;References!$A$1&amp;"'!"&amp;$D$1&amp;References!$H5)=""),"",INDIRECT("'"&amp;References!$A$1&amp;"'!"&amp;$D$1&amp;References!$H5))</f>
        <v/>
      </c>
      <c r="H4" s="25">
        <f t="shared" ref="H4:H9" ca="1" si="0">IF($M4&gt;0,IF($E4&gt;$G4,3,IF($E4=$G4,1,0)),0)</f>
        <v>0</v>
      </c>
      <c r="I4" s="25">
        <f t="shared" ref="I4:I9" ca="1" si="1">IF($M4&gt;0,IF($E4&lt;$G4,3,IF($E4=$G4,1,0)),0)</f>
        <v>0</v>
      </c>
      <c r="L4" s="5"/>
      <c r="M4" s="25">
        <f t="shared" ref="M4:M9" ca="1" si="2">IF(AND($E4&lt;&gt;"",$G4&lt;&gt;""),1,0)</f>
        <v>0</v>
      </c>
      <c r="N4" s="25"/>
      <c r="O4" s="25" t="s">
        <v>32</v>
      </c>
      <c r="P4" s="37" t="str">
        <f>VLOOKUP($Q$1&amp;ROW($A1),Groups!$B$7:$D$35,3,0)</f>
        <v>Spanien</v>
      </c>
      <c r="Q4" s="25">
        <f ca="1">SUMIF($B$4:$B$9,P4,$H$4:$H$9)+SUMIF($D$4:$D$9,P4,$I$4:$I$9)</f>
        <v>0</v>
      </c>
      <c r="R4" s="25">
        <f ca="1">S4-T4</f>
        <v>0</v>
      </c>
      <c r="S4" s="25">
        <f ca="1">SUMIF($B$4:$B$9,$P4,$E$4:$E$9)+SUMIF($D$4:$D$9,$P4,$G$4:$G$9)</f>
        <v>0</v>
      </c>
      <c r="T4" s="25">
        <f ca="1">SUMIF($B$4:$B$9,$P4,$G$4:$G$9)+SUMIF($D$4:$D$9,$P4,$E$4:$E$9)</f>
        <v>0</v>
      </c>
      <c r="U4" s="25">
        <f ca="1">COUNTIFS($B$4:$B$9,$P4,$H$4:$H$9,"=3")+COUNTIFS($D$4:$D$9,$P4,$I$4:$I$9,"=3")</f>
        <v>0</v>
      </c>
      <c r="V4" s="353">
        <f ca="1">$Q4*FactorPts+(GDzero+$R4)*FactorGD+$S4*FactorFor+$U4*FactorWins+$W4*FactorDirC3+$X4*FactorDirC2+$Y4*FactorDirC43+$Z4*FactorDirC42+$AA4*FactorDirC42+$AB4*FactorFairPlay+$AE4*FactorPenalty+(100-$AF4)*($M$10&gt;0)*FactorRank+(8-ROW())*FactorRow</f>
        <v>50000.000000400003</v>
      </c>
      <c r="W4" s="25">
        <f ca="1">SUMIFS($X$18:$X$35,$P$18:$P$35,$P4)</f>
        <v>0</v>
      </c>
      <c r="X4" s="25">
        <f ca="1">IF($L18="",0,$L18)+SUMIFS($Z$18:$Z$35,$P$18:$P$35,$P4)</f>
        <v>0</v>
      </c>
      <c r="Y4">
        <f ca="1">SUMIFS($AD$18:$AD$35,$P$18:$P$35,$P4)</f>
        <v>0</v>
      </c>
      <c r="Z4">
        <f ca="1">SUMIFS($AE$18:$AE$35,$P$18:$P$35,$P4)</f>
        <v>0</v>
      </c>
      <c r="AA4" s="25">
        <f ca="1">IF($M18="",0,$M18)</f>
        <v>0</v>
      </c>
      <c r="AB4" s="25">
        <f>SUMIFS(FairPlayPoints1,FairPlayTeams1,$P4)+SUMIFS(FairPlayPoints2,FairPlayTeams2,$P4)</f>
        <v>0</v>
      </c>
      <c r="AC4" s="25" t="b">
        <f ca="1">(Q4+T4&gt;0)</f>
        <v>0</v>
      </c>
      <c r="AD4" s="213">
        <f ca="1">$Q4*FactorPts+(GDzero+$R4)*FactorGD+$S4*FactorFor</f>
        <v>50000</v>
      </c>
      <c r="AE4" s="25">
        <f ca="1">IF(OR(AND($Y$11&gt;0,OR(AND($B$8=$P4,$J$8&gt;$L$8),AND($D$8=$P4,$J$8&lt;$L$8))),AND($Y$12&gt;0,OR(AND($B$9=$P4,$J$9&gt;$L$9),AND($D$9=$P4,$J$9&lt;$L$9)))),1,0)</f>
        <v>0</v>
      </c>
      <c r="AF4" s="406">
        <f>INDEX(Language!$D$5:$D$63,MATCH($P4,Language!$E$5:$E$63,0),1)</f>
        <v>3</v>
      </c>
      <c r="AG4" s="25"/>
    </row>
    <row r="5" spans="1:33" x14ac:dyDescent="0.25">
      <c r="B5" s="183" t="str">
        <f ca="1">INDIRECT("'"&amp;References!$A$1&amp;"'!"&amp;$B$1&amp;References!$G6)</f>
        <v>Italien</v>
      </c>
      <c r="C5" s="184" t="s">
        <v>36</v>
      </c>
      <c r="D5" s="185" t="str">
        <f ca="1">INDIRECT("'"&amp;References!$A$1&amp;"'!"&amp;$D$1&amp;References!$G6)</f>
        <v>Albanien</v>
      </c>
      <c r="E5" s="183" t="str">
        <f ca="1">IF(OR(INDIRECT("'"&amp;References!$A$1&amp;"'!"&amp;$B$1&amp;References!$H6)="",INDIRECT("'"&amp;References!$A$1&amp;"'!"&amp;$D$1&amp;References!$H6)=""),"",INDIRECT("'"&amp;References!$A$1&amp;"'!"&amp;$B$1&amp;References!$H6))</f>
        <v/>
      </c>
      <c r="F5" s="184" t="s">
        <v>36</v>
      </c>
      <c r="G5" s="187" t="str">
        <f ca="1">IF(OR(INDIRECT("'"&amp;References!$A$1&amp;"'!"&amp;$B$1&amp;References!$H6)="",INDIRECT("'"&amp;References!$A$1&amp;"'!"&amp;$D$1&amp;References!$H6)=""),"",INDIRECT("'"&amp;References!$A$1&amp;"'!"&amp;$D$1&amp;References!$H6))</f>
        <v/>
      </c>
      <c r="H5" s="25">
        <f t="shared" ca="1" si="0"/>
        <v>0</v>
      </c>
      <c r="I5" s="25">
        <f t="shared" ca="1" si="1"/>
        <v>0</v>
      </c>
      <c r="L5" s="5"/>
      <c r="M5" s="25">
        <f t="shared" ca="1" si="2"/>
        <v>0</v>
      </c>
      <c r="N5" s="25"/>
      <c r="O5" s="25" t="s">
        <v>33</v>
      </c>
      <c r="P5" s="37" t="str">
        <f>VLOOKUP($Q$1&amp;ROW($A2),Groups!$B$7:$D$35,3,0)</f>
        <v>Kroatien</v>
      </c>
      <c r="Q5" s="25">
        <f t="shared" ref="Q5:Q7" ca="1" si="3">SUMIF($B$4:$B$9,P5,$H$4:$H$9)+SUMIF($D$4:$D$9,P5,$I$4:$I$9)</f>
        <v>0</v>
      </c>
      <c r="R5" s="25">
        <f ca="1">S5-T5</f>
        <v>0</v>
      </c>
      <c r="S5" s="25">
        <f ca="1">SUMIF($B$4:$B$9,$P5,$E$4:$E$9)+SUMIF($D$4:$D$9,$P5,$G$4:$G$9)</f>
        <v>0</v>
      </c>
      <c r="T5" s="25">
        <f ca="1">SUMIF($B$4:$B$9,$P5,$G$4:$G$9)+SUMIF($D$4:$D$9,$P5,$E$4:$E$9)</f>
        <v>0</v>
      </c>
      <c r="U5" s="25">
        <f t="shared" ref="U5:U7" ca="1" si="4">COUNTIFS($B$4:$B$9,$P5,$H$4:$H$9,"=3")+COUNTIFS($D$4:$D$9,$P5,$I$4:$I$9,"=3")</f>
        <v>0</v>
      </c>
      <c r="V5" s="353">
        <f ca="1">$Q5*FactorPts+(GDzero+$R5)*FactorGD+$S5*FactorFor+$U5*FactorWins+$W5*FactorDirC3+$X5*FactorDirC2+$Y5*FactorDirC43+$Z5*FactorDirC42+$AA5*FactorDirC42+$AB5*FactorFairPlay+$AE5*FactorPenalty+(100-$AF5)*($M$10&gt;0)*FactorRank+(8-ROW())*FactorRow</f>
        <v>50000.000000300002</v>
      </c>
      <c r="W5" s="25">
        <f t="shared" ref="W5:W7" ca="1" si="5">SUMIFS($X$18:$X$35,$P$18:$P$35,$P5)</f>
        <v>0</v>
      </c>
      <c r="X5" s="25">
        <f ca="1">IF($L19="",0,$L19)+SUMIFS($Z$18:$Z$35,$P$18:$P$35,$P5)</f>
        <v>0</v>
      </c>
      <c r="Y5">
        <f t="shared" ref="Y5:Y7" ca="1" si="6">SUMIFS($AD$18:$AD$35,$P$18:$P$35,$P5)</f>
        <v>0</v>
      </c>
      <c r="Z5">
        <f t="shared" ref="Z5:Z7" ca="1" si="7">SUMIFS($AE$18:$AE$35,$P$18:$P$35,$P5)</f>
        <v>0</v>
      </c>
      <c r="AA5" s="25">
        <f ca="1">IF($M19="",0,$M19)</f>
        <v>0</v>
      </c>
      <c r="AB5" s="25">
        <f>SUMIFS(FairPlayPoints1,FairPlayTeams1,$P5)+SUMIFS(FairPlayPoints2,FairPlayTeams2,$P5)</f>
        <v>0</v>
      </c>
      <c r="AC5" s="25" t="b">
        <f ca="1">(Q5+T5&gt;0)</f>
        <v>0</v>
      </c>
      <c r="AD5" s="213">
        <f ca="1">$Q5*FactorPts+(GDzero+$R5)*FactorGD+$S5*FactorFor</f>
        <v>50000</v>
      </c>
      <c r="AE5" s="25">
        <f ca="1">IF(OR(AND($Y$11&gt;0,OR(AND($B$8=$P5,$J$8&gt;$L$8),AND($D$8=$P5,$J$8&lt;$L$8))),AND($Y$12&gt;0,OR(AND($B$9=$P5,$J$9&gt;$L$9),AND($D$9=$P5,$J$9&lt;$L$9)))),1,0)</f>
        <v>0</v>
      </c>
      <c r="AF5" s="406">
        <f>INDEX(Language!$D$5:$D$63,MATCH($P5,Language!$E$5:$E$63,0),1)</f>
        <v>14</v>
      </c>
    </row>
    <row r="6" spans="1:33" x14ac:dyDescent="0.25">
      <c r="B6" s="183" t="str">
        <f ca="1">INDIRECT("'"&amp;References!$A$1&amp;"'!"&amp;$B$1&amp;References!$G7)</f>
        <v>Kroatien</v>
      </c>
      <c r="C6" s="184" t="s">
        <v>36</v>
      </c>
      <c r="D6" s="185" t="str">
        <f ca="1">INDIRECT("'"&amp;References!$A$1&amp;"'!"&amp;$D$1&amp;References!$G7)</f>
        <v>Albanien</v>
      </c>
      <c r="E6" s="183" t="str">
        <f ca="1">IF(OR(INDIRECT("'"&amp;References!$A$1&amp;"'!"&amp;$B$1&amp;References!$H7)="",INDIRECT("'"&amp;References!$A$1&amp;"'!"&amp;$D$1&amp;References!$H7)=""),"",INDIRECT("'"&amp;References!$A$1&amp;"'!"&amp;$B$1&amp;References!$H7))</f>
        <v/>
      </c>
      <c r="F6" s="184" t="s">
        <v>36</v>
      </c>
      <c r="G6" s="187" t="str">
        <f ca="1">IF(OR(INDIRECT("'"&amp;References!$A$1&amp;"'!"&amp;$B$1&amp;References!$H7)="",INDIRECT("'"&amp;References!$A$1&amp;"'!"&amp;$D$1&amp;References!$H7)=""),"",INDIRECT("'"&amp;References!$A$1&amp;"'!"&amp;$D$1&amp;References!$H7))</f>
        <v/>
      </c>
      <c r="H6" s="25">
        <f t="shared" ca="1" si="0"/>
        <v>0</v>
      </c>
      <c r="I6" s="25">
        <f t="shared" ca="1" si="1"/>
        <v>0</v>
      </c>
      <c r="L6" s="5"/>
      <c r="M6" s="25">
        <f t="shared" ca="1" si="2"/>
        <v>0</v>
      </c>
      <c r="N6" s="25"/>
      <c r="O6" s="25" t="s">
        <v>34</v>
      </c>
      <c r="P6" s="37" t="str">
        <f>VLOOKUP($Q$1&amp;ROW($A3),Groups!$B$7:$D$35,3,0)</f>
        <v>Italien</v>
      </c>
      <c r="Q6" s="25">
        <f t="shared" ca="1" si="3"/>
        <v>0</v>
      </c>
      <c r="R6" s="25">
        <f ca="1">S6-T6</f>
        <v>0</v>
      </c>
      <c r="S6" s="25">
        <f ca="1">SUMIF($B$4:$B$9,$P6,$E$4:$E$9)+SUMIF($D$4:$D$9,$P6,$G$4:$G$9)</f>
        <v>0</v>
      </c>
      <c r="T6" s="25">
        <f ca="1">SUMIF($B$4:$B$9,$P6,$G$4:$G$9)+SUMIF($D$4:$D$9,$P6,$E$4:$E$9)</f>
        <v>0</v>
      </c>
      <c r="U6" s="25">
        <f t="shared" ca="1" si="4"/>
        <v>0</v>
      </c>
      <c r="V6" s="353">
        <f ca="1">$Q6*FactorPts+(GDzero+$R6)*FactorGD+$S6*FactorFor+$U6*FactorWins+$W6*FactorDirC3+$X6*FactorDirC2+$Y6*FactorDirC43+$Z6*FactorDirC42+$AA6*FactorDirC42+$AB6*FactorFairPlay+$AE6*FactorPenalty+(100-$AF6)*($M$10&gt;0)*FactorRank+(8-ROW())*FactorRow</f>
        <v>50000.000000200002</v>
      </c>
      <c r="W6" s="25">
        <f t="shared" ca="1" si="5"/>
        <v>0</v>
      </c>
      <c r="X6" s="25">
        <f ca="1">IF($L20="",0,$L20)+SUMIFS($Z$18:$Z$35,$P$18:$P$35,$P6)</f>
        <v>0</v>
      </c>
      <c r="Y6">
        <f t="shared" ca="1" si="6"/>
        <v>0</v>
      </c>
      <c r="Z6">
        <f t="shared" ca="1" si="7"/>
        <v>0</v>
      </c>
      <c r="AA6" s="25">
        <f ca="1">IF($M20="",0,$M20)</f>
        <v>0</v>
      </c>
      <c r="AB6" s="25">
        <f>SUMIFS(FairPlayPoints1,FairPlayTeams1,$P6)+SUMIFS(FairPlayPoints2,FairPlayTeams2,$P6)</f>
        <v>0</v>
      </c>
      <c r="AC6" s="25" t="b">
        <f ca="1">(Q6+T6&gt;0)</f>
        <v>0</v>
      </c>
      <c r="AD6" s="213">
        <f ca="1">$Q6*FactorPts+(GDzero+$R6)*FactorGD+$S6*FactorFor</f>
        <v>50000</v>
      </c>
      <c r="AE6" s="25">
        <f ca="1">IF(OR(AND($Y$11&gt;0,OR(AND($B$8=$P6,$J$8&gt;$L$8),AND($D$8=$P6,$J$8&lt;$L$8))),AND($Y$12&gt;0,OR(AND($B$9=$P6,$J$9&gt;$L$9),AND($D$9=$P6,$J$9&lt;$L$9)))),1,0)</f>
        <v>0</v>
      </c>
      <c r="AF6" s="406">
        <f>INDEX(Language!$D$5:$D$63,MATCH($P6,Language!$E$5:$E$63,0),1)</f>
        <v>18</v>
      </c>
    </row>
    <row r="7" spans="1:33" x14ac:dyDescent="0.25">
      <c r="B7" s="183" t="str">
        <f ca="1">INDIRECT("'"&amp;References!$A$1&amp;"'!"&amp;$B$1&amp;References!$G8)</f>
        <v>Spanien</v>
      </c>
      <c r="C7" s="184" t="s">
        <v>36</v>
      </c>
      <c r="D7" s="185" t="str">
        <f ca="1">INDIRECT("'"&amp;References!$A$1&amp;"'!"&amp;$D$1&amp;References!$G8)</f>
        <v>Italien</v>
      </c>
      <c r="E7" s="183" t="str">
        <f ca="1">IF(OR(INDIRECT("'"&amp;References!$A$1&amp;"'!"&amp;$B$1&amp;References!$H8)="",INDIRECT("'"&amp;References!$A$1&amp;"'!"&amp;$D$1&amp;References!$H8)=""),"",INDIRECT("'"&amp;References!$A$1&amp;"'!"&amp;$B$1&amp;References!$H8))</f>
        <v/>
      </c>
      <c r="F7" s="184" t="s">
        <v>36</v>
      </c>
      <c r="G7" s="187" t="str">
        <f ca="1">IF(OR(INDIRECT("'"&amp;References!$A$1&amp;"'!"&amp;$B$1&amp;References!$H8)="",INDIRECT("'"&amp;References!$A$1&amp;"'!"&amp;$D$1&amp;References!$H8)=""),"",INDIRECT("'"&amp;References!$A$1&amp;"'!"&amp;$D$1&amp;References!$H8))</f>
        <v/>
      </c>
      <c r="H7" s="25">
        <f t="shared" ca="1" si="0"/>
        <v>0</v>
      </c>
      <c r="I7" s="25">
        <f t="shared" ca="1" si="1"/>
        <v>0</v>
      </c>
      <c r="L7" s="5"/>
      <c r="M7" s="25">
        <f t="shared" ca="1" si="2"/>
        <v>0</v>
      </c>
      <c r="N7" s="25"/>
      <c r="O7" s="25" t="s">
        <v>35</v>
      </c>
      <c r="P7" s="37" t="str">
        <f>VLOOKUP($Q$1&amp;ROW($A4),Groups!$B$7:$D$35,3,0)</f>
        <v>Albanien</v>
      </c>
      <c r="Q7" s="25">
        <f t="shared" ca="1" si="3"/>
        <v>0</v>
      </c>
      <c r="R7" s="25">
        <f ca="1">S7-T7</f>
        <v>0</v>
      </c>
      <c r="S7" s="25">
        <f ca="1">SUMIF($B$4:$B$9,$P7,$E$4:$E$9)+SUMIF($D$4:$D$9,$P7,$G$4:$G$9)</f>
        <v>0</v>
      </c>
      <c r="T7" s="25">
        <f ca="1">SUMIF($B$4:$B$9,$P7,$G$4:$G$9)+SUMIF($D$4:$D$9,$P7,$E$4:$E$9)</f>
        <v>0</v>
      </c>
      <c r="U7" s="25">
        <f t="shared" ca="1" si="4"/>
        <v>0</v>
      </c>
      <c r="V7" s="353">
        <f ca="1">$Q7*FactorPts+(GDzero+$R7)*FactorGD+$S7*FactorFor+$U7*FactorWins+$W7*FactorDirC3+$X7*FactorDirC2+$Y7*FactorDirC43+$Z7*FactorDirC42+$AA7*FactorDirC42+$AB7*FactorFairPlay+$AE7*FactorPenalty+(100-$AF7)*($M$10&gt;0)*FactorRank+(8-ROW())*FactorRow</f>
        <v>50000.000000100001</v>
      </c>
      <c r="W7" s="25">
        <f t="shared" ca="1" si="5"/>
        <v>0</v>
      </c>
      <c r="X7" s="25">
        <f ca="1">IF($L21="",0,$L21)+SUMIFS($Z$18:$Z$35,$P$18:$P$35,$P7)</f>
        <v>0</v>
      </c>
      <c r="Y7">
        <f t="shared" ca="1" si="6"/>
        <v>0</v>
      </c>
      <c r="Z7">
        <f t="shared" ca="1" si="7"/>
        <v>0</v>
      </c>
      <c r="AA7" s="25">
        <f ca="1">IF($M21="",0,$M21)</f>
        <v>0</v>
      </c>
      <c r="AB7" s="25">
        <f>SUMIFS(FairPlayPoints1,FairPlayTeams1,$P7)+SUMIFS(FairPlayPoints2,FairPlayTeams2,$P7)</f>
        <v>0</v>
      </c>
      <c r="AC7" s="25" t="b">
        <f ca="1">(Q7+T7&gt;0)</f>
        <v>0</v>
      </c>
      <c r="AD7" s="213">
        <f ca="1">$Q7*FactorPts+(GDzero+$R7)*FactorGD+$S7*FactorFor</f>
        <v>50000</v>
      </c>
      <c r="AE7" s="25">
        <f ca="1">IF(OR(AND($Y$11&gt;0,OR(AND($B$8=$P7,$J$8&gt;$L$8),AND($D$8=$P7,$J$8&lt;$L$8))),AND($Y$12&gt;0,OR(AND($B$9=$P7,$J$9&gt;$L$9),AND($D$9=$P7,$J$9&lt;$L$9)))),1,0)</f>
        <v>0</v>
      </c>
      <c r="AF7" s="406">
        <f>INDEX(Language!$D$5:$D$63,MATCH($P7,Language!$E$5:$E$63,0),1)</f>
        <v>10</v>
      </c>
    </row>
    <row r="8" spans="1:33" x14ac:dyDescent="0.25">
      <c r="B8" s="183" t="str">
        <f ca="1">INDIRECT("'"&amp;References!$A$1&amp;"'!"&amp;$B$1&amp;References!$G9)</f>
        <v>Albanien</v>
      </c>
      <c r="C8" s="184" t="s">
        <v>36</v>
      </c>
      <c r="D8" s="185" t="str">
        <f ca="1">INDIRECT("'"&amp;References!$A$1&amp;"'!"&amp;$D$1&amp;References!$G9)</f>
        <v>Spanien</v>
      </c>
      <c r="E8" s="183" t="str">
        <f ca="1">IF(OR(INDIRECT("'"&amp;References!$A$1&amp;"'!"&amp;$B$1&amp;References!$H9)="",INDIRECT("'"&amp;References!$A$1&amp;"'!"&amp;$D$1&amp;References!$H9)=""),"",INDIRECT("'"&amp;References!$A$1&amp;"'!"&amp;$B$1&amp;References!$H9))</f>
        <v/>
      </c>
      <c r="F8" s="184" t="s">
        <v>36</v>
      </c>
      <c r="G8" s="187" t="str">
        <f ca="1">IF(OR(INDIRECT("'"&amp;References!$A$1&amp;"'!"&amp;$B$1&amp;References!$H9)="",INDIRECT("'"&amp;References!$A$1&amp;"'!"&amp;$D$1&amp;References!$H9)=""),"",INDIRECT("'"&amp;References!$A$1&amp;"'!"&amp;$D$1&amp;References!$H9))</f>
        <v/>
      </c>
      <c r="H8" s="25">
        <f t="shared" ca="1" si="0"/>
        <v>0</v>
      </c>
      <c r="I8" s="25">
        <f t="shared" ca="1" si="1"/>
        <v>0</v>
      </c>
      <c r="J8" t="str">
        <f ca="1">IF(OR(INDIRECT("'"&amp;References!$A$1&amp;"'!"&amp;$B$1&amp;(References!$H9+2))="",INDIRECT("'"&amp;References!$A$1&amp;"'!"&amp;$D$1&amp;(References!$H9+2))=""),"",INDIRECT("'"&amp;References!$A$1&amp;"'!"&amp;$B$1&amp;(References!$H9+2)))</f>
        <v/>
      </c>
      <c r="K8" s="25" t="s">
        <v>494</v>
      </c>
      <c r="L8" s="5" t="str">
        <f ca="1">IF(OR(INDIRECT("'"&amp;References!$A$1&amp;"'!"&amp;$B$1&amp;(References!$H9+2))="",INDIRECT("'"&amp;References!$A$1&amp;"'!"&amp;$D$1&amp;(References!$H9+2))=""),"",INDIRECT("'"&amp;References!$A$1&amp;"'!"&amp;$D$1&amp;(References!$H9+2)))</f>
        <v/>
      </c>
      <c r="M8" s="25">
        <f t="shared" ca="1" si="2"/>
        <v>0</v>
      </c>
      <c r="N8" s="25"/>
      <c r="Z8" s="45"/>
    </row>
    <row r="9" spans="1:33" x14ac:dyDescent="0.25">
      <c r="B9" s="183" t="str">
        <f ca="1">INDIRECT("'"&amp;References!$A$1&amp;"'!"&amp;$B$1&amp;References!$G10)</f>
        <v>Kroatien</v>
      </c>
      <c r="C9" s="184" t="s">
        <v>36</v>
      </c>
      <c r="D9" s="185" t="str">
        <f ca="1">INDIRECT("'"&amp;References!$A$1&amp;"'!"&amp;$D$1&amp;References!$G10)</f>
        <v>Italien</v>
      </c>
      <c r="E9" s="183" t="str">
        <f ca="1">IF(OR(INDIRECT("'"&amp;References!$A$1&amp;"'!"&amp;$B$1&amp;References!$H10)="",INDIRECT("'"&amp;References!$A$1&amp;"'!"&amp;$D$1&amp;References!$H10)=""),"",INDIRECT("'"&amp;References!$A$1&amp;"'!"&amp;$B$1&amp;References!$H10))</f>
        <v/>
      </c>
      <c r="F9" s="184" t="s">
        <v>36</v>
      </c>
      <c r="G9" s="187" t="str">
        <f ca="1">IF(OR(INDIRECT("'"&amp;References!$A$1&amp;"'!"&amp;$B$1&amp;References!$H10)="",INDIRECT("'"&amp;References!$A$1&amp;"'!"&amp;$D$1&amp;References!$H10)=""),"",INDIRECT("'"&amp;References!$A$1&amp;"'!"&amp;$D$1&amp;References!$H10))</f>
        <v/>
      </c>
      <c r="H9" s="25">
        <f t="shared" ca="1" si="0"/>
        <v>0</v>
      </c>
      <c r="I9" s="25">
        <f t="shared" ca="1" si="1"/>
        <v>0</v>
      </c>
      <c r="J9" t="str">
        <f ca="1">IF(OR(INDIRECT("'"&amp;References!$A$1&amp;"'!"&amp;$B$1&amp;(References!$H10+2))="",INDIRECT("'"&amp;References!$A$1&amp;"'!"&amp;$D$1&amp;(References!$H10+2))=""),"",INDIRECT("'"&amp;References!$A$1&amp;"'!"&amp;$B$1&amp;(References!$H10+2)))</f>
        <v/>
      </c>
      <c r="K9" s="25" t="s">
        <v>494</v>
      </c>
      <c r="L9" s="5" t="str">
        <f ca="1">IF(OR(INDIRECT("'"&amp;References!$A$1&amp;"'!"&amp;$B$1&amp;(References!$H10+2))="",INDIRECT("'"&amp;References!$A$1&amp;"'!"&amp;$D$1&amp;(References!$H10+2))=""),"",INDIRECT("'"&amp;References!$A$1&amp;"'!"&amp;$D$1&amp;(References!$H10+2)))</f>
        <v/>
      </c>
      <c r="M9" s="25">
        <f t="shared" ca="1" si="2"/>
        <v>0</v>
      </c>
      <c r="N9" s="25"/>
      <c r="Z9" s="573" t="s">
        <v>480</v>
      </c>
      <c r="AA9" s="573"/>
      <c r="AB9" s="573"/>
      <c r="AC9" s="573"/>
      <c r="AD9" s="573"/>
      <c r="AE9" s="573"/>
    </row>
    <row r="10" spans="1:33" ht="15.75" thickBot="1" x14ac:dyDescent="0.3">
      <c r="L10" s="49" t="s">
        <v>189</v>
      </c>
      <c r="M10" s="51">
        <f ca="1">SUM($M$4:$M$9)</f>
        <v>0</v>
      </c>
      <c r="N10" s="25"/>
      <c r="P10" s="143" t="s">
        <v>322</v>
      </c>
      <c r="Q10" s="46" t="s">
        <v>191</v>
      </c>
      <c r="R10" s="46" t="s">
        <v>190</v>
      </c>
      <c r="S10" s="46" t="s">
        <v>1087</v>
      </c>
      <c r="T10" s="46" t="s">
        <v>1088</v>
      </c>
      <c r="U10" s="46" t="s">
        <v>680</v>
      </c>
      <c r="V10" s="46" t="s">
        <v>192</v>
      </c>
      <c r="X10" s="67" t="s">
        <v>1091</v>
      </c>
      <c r="Y10" s="46" t="s">
        <v>697</v>
      </c>
      <c r="Z10" s="46" t="s">
        <v>475</v>
      </c>
      <c r="AA10" s="46" t="s">
        <v>476</v>
      </c>
      <c r="AB10" s="46" t="s">
        <v>477</v>
      </c>
      <c r="AC10" s="46" t="s">
        <v>478</v>
      </c>
      <c r="AD10" s="46" t="s">
        <v>479</v>
      </c>
      <c r="AE10" s="46" t="s">
        <v>497</v>
      </c>
    </row>
    <row r="11" spans="1:33" ht="16.5" thickTop="1" thickBot="1" x14ac:dyDescent="0.3">
      <c r="B11" s="72"/>
      <c r="C11" s="25"/>
      <c r="D11" s="72"/>
      <c r="O11" s="35" t="s">
        <v>32</v>
      </c>
      <c r="P11" s="34" t="str">
        <f t="shared" ref="P11:U14" ca="1" si="8">INDEX(P$4:P$7,MATCH($V11,$V$4:$V$7,0))</f>
        <v>Spanien</v>
      </c>
      <c r="Q11" s="177">
        <f t="shared" ca="1" si="8"/>
        <v>0</v>
      </c>
      <c r="R11" s="33">
        <f t="shared" ca="1" si="8"/>
        <v>0</v>
      </c>
      <c r="S11" s="33">
        <f t="shared" ca="1" si="8"/>
        <v>0</v>
      </c>
      <c r="T11" s="33">
        <f t="shared" ca="1" si="8"/>
        <v>0</v>
      </c>
      <c r="U11" s="33">
        <f t="shared" ca="1" si="8"/>
        <v>0</v>
      </c>
      <c r="V11" s="354">
        <f ca="1">LARGE($V$4:$V$7,ROW(A1))</f>
        <v>50000.000000400003</v>
      </c>
      <c r="X11" s="68">
        <f ca="1">IF(AND(OR(TRUNC($V$11,4)=TRUNC($V$12,4),TRUNC($V$11,4)=TRUNC($V$13,4),TRUNC($V$11,4)=TRUNC($V$14,4),TRUNC($V$12,4)=TRUNC($V$13,4),TRUNC($V$12,4)=TRUNC($V$14,4),TRUNC($V$13,4)=TRUNC($V$14,4)),$M$10&gt;0),1,0)</f>
        <v>0</v>
      </c>
      <c r="Y11" s="25">
        <f ca="1">IF(AND(VLOOKUP($B$8,$P$4:$AD$7,15,0)=VLOOKUP($D$8,$P$4:$AD$7,15,0),$E$8=$G$8,COUNTIF($Q$4:$Q$7,VLOOKUP($B$8,$P$4:$Q$7,2,0))=2,$M$10=6),1,0)</f>
        <v>0</v>
      </c>
      <c r="Z11" s="205" t="b">
        <f ca="1">VLOOKUP($P11,$E$18:$M$21,8,0)&lt;&gt;""</f>
        <v>0</v>
      </c>
      <c r="AA11" s="206" t="b">
        <f ca="1">VLOOKUP($P11,$E$18:$M$21,9,0)&lt;&gt;""</f>
        <v>0</v>
      </c>
      <c r="AB11" s="207" t="b">
        <f ca="1">SUMPRODUCT(1*(LEN($Z$18:$Z$35)&gt;0)*($P$18:$P$35=$P11))&gt;0</f>
        <v>0</v>
      </c>
      <c r="AC11" s="207" t="b">
        <f ca="1">SUMPRODUCT(1*(LEN($AE$18:$AE$35)&gt;0)*($P$18:$P$35=$P11))&gt;0</f>
        <v>0</v>
      </c>
      <c r="AD11" s="339" t="str">
        <f ca="1">IF($Z11,VLOOKUP($P11,$E$18:$M$21,8,0),IF($AA11,VLOOKUP($P11,$E$18:$M$21,9,0),IF($AB11,SUMIFS($Z$18:$Z$35,$P$18:$P$35,$P11),IF($AC11,SUMIFS($AE$18:$AE$35,$P$18:$P$35,$P11),""))))</f>
        <v/>
      </c>
      <c r="AE11" s="341" t="str">
        <f ca="1">IF(OR(AND($Y$11&gt;0,OR($B$8=$P11,$D$8=$P11)),AND($Y$12&gt;0,OR($B$9=$P11,$D$9=$P11))),SUMIF($B$8:$B$9,$P11,$J$8:$J$9)+SUMIF($D$8:$D$9,$P11,$L$8:$L$9),"")</f>
        <v/>
      </c>
    </row>
    <row r="12" spans="1:33" ht="15.75" thickTop="1" x14ac:dyDescent="0.25">
      <c r="B12" s="25"/>
      <c r="C12" s="25"/>
      <c r="D12" s="25"/>
      <c r="O12" s="32" t="s">
        <v>33</v>
      </c>
      <c r="P12" t="str">
        <f t="shared" ca="1" si="8"/>
        <v>Kroatien</v>
      </c>
      <c r="Q12" s="99">
        <f t="shared" ca="1" si="8"/>
        <v>0</v>
      </c>
      <c r="R12" s="25">
        <f t="shared" ca="1" si="8"/>
        <v>0</v>
      </c>
      <c r="S12" s="25">
        <f t="shared" ca="1" si="8"/>
        <v>0</v>
      </c>
      <c r="T12" s="25">
        <f t="shared" ca="1" si="8"/>
        <v>0</v>
      </c>
      <c r="U12" s="25">
        <f t="shared" ca="1" si="8"/>
        <v>0</v>
      </c>
      <c r="V12" s="355">
        <f ca="1">LARGE($V$4:$V$7,ROW(A2))</f>
        <v>50000.000000300002</v>
      </c>
      <c r="Y12" s="25">
        <f ca="1">IF(AND(VLOOKUP($B$9,$P$4:$AD$7,15,0)=VLOOKUP($D$9,$P$4:$AD$7,15,0),$E$9=$G$9,COUNTIF($Q$4:$Q$7,VLOOKUP($B$9,$P$4:$Q$7,2,0))=2,$M$10=6),1,0)</f>
        <v>0</v>
      </c>
      <c r="Z12" s="208" t="b">
        <f ca="1">VLOOKUP($P12,$E$18:$M$21,8,0)&lt;&gt;""</f>
        <v>0</v>
      </c>
      <c r="AA12" s="25" t="b">
        <f ca="1">VLOOKUP($P12,$E$18:$M$21,9,0)&lt;&gt;""</f>
        <v>0</v>
      </c>
      <c r="AB12" t="b">
        <f t="shared" ref="AB12:AB14" ca="1" si="9">SUMPRODUCT(1*(LEN($Z$18:$Z$35)&gt;0)*($P$18:$P$35=$P12))&gt;0</f>
        <v>0</v>
      </c>
      <c r="AC12" t="b">
        <f t="shared" ref="AC12:AC14" ca="1" si="10">SUMPRODUCT(1*(LEN($AE$18:$AE$35)&gt;0)*($P$18:$P$35=$P12))&gt;0</f>
        <v>0</v>
      </c>
      <c r="AD12" s="104" t="str">
        <f ca="1">IF($Z12,VLOOKUP($P12,$E$18:$M$21,8,0),IF($AA12,VLOOKUP($P12,$E$18:$M$21,9,0),IF($AB12,SUMIFS($Z$18:$Z$35,$P$18:$P$35,$P12),IF($AC12,SUMIFS($AE$18:$AE$35,$P$18:$P$35,$P12),""))))</f>
        <v/>
      </c>
      <c r="AE12" s="342" t="str">
        <f ca="1">IF(OR(AND($Y$11&gt;0,OR($B$8=$P12,$D$8=$P12)),AND($Y$12&gt;0,OR($B$9=$P12,$D$9=$P12))),SUMIF($B$8:$B$9,$P12,$J$8:$J$9)+SUMIF($D$8:$D$9,$P12,$L$8:$L$9),"")</f>
        <v/>
      </c>
    </row>
    <row r="13" spans="1:33" x14ac:dyDescent="0.25">
      <c r="B13" s="25"/>
      <c r="C13" s="25"/>
      <c r="D13" s="50"/>
      <c r="O13" s="32" t="s">
        <v>34</v>
      </c>
      <c r="P13" t="str">
        <f t="shared" ref="P13:U14" ca="1" si="11">INDEX(P$4:P$7,MATCH($V13,$V$4:$V$7,0))</f>
        <v>Italien</v>
      </c>
      <c r="Q13" s="99">
        <f t="shared" ca="1" si="11"/>
        <v>0</v>
      </c>
      <c r="R13" s="25">
        <f t="shared" ca="1" si="11"/>
        <v>0</v>
      </c>
      <c r="S13" s="25">
        <f t="shared" ca="1" si="8"/>
        <v>0</v>
      </c>
      <c r="T13" s="25">
        <f t="shared" ca="1" si="8"/>
        <v>0</v>
      </c>
      <c r="U13" s="25">
        <f t="shared" ca="1" si="11"/>
        <v>0</v>
      </c>
      <c r="V13" s="355">
        <f ca="1">LARGE($V$4:$V$7,ROW(A3))</f>
        <v>50000.000000200002</v>
      </c>
      <c r="Z13" s="208" t="b">
        <f ca="1">VLOOKUP($P13,$E$18:$M$21,8,0)&lt;&gt;""</f>
        <v>0</v>
      </c>
      <c r="AA13" s="25" t="b">
        <f ca="1">VLOOKUP($P13,$E$18:$M$21,9,0)&lt;&gt;""</f>
        <v>0</v>
      </c>
      <c r="AB13" t="b">
        <f t="shared" ca="1" si="9"/>
        <v>0</v>
      </c>
      <c r="AC13" t="b">
        <f t="shared" ca="1" si="10"/>
        <v>0</v>
      </c>
      <c r="AD13" s="104" t="str">
        <f ca="1">IF($Z13,VLOOKUP($P13,$E$18:$M$21,8,0),IF($AA13,VLOOKUP($P13,$E$18:$M$21,9,0),IF($AB13,SUMIFS($Z$18:$Z$35,$P$18:$P$35,$P13),IF($AC13,SUMIFS($AE$18:$AE$35,$P$18:$P$35,$P13),""))))</f>
        <v/>
      </c>
      <c r="AE13" s="342" t="str">
        <f ca="1">IF(OR(AND($Y$11&gt;0,OR($B$8=$P13,$D$8=$P13)),AND($Y$12&gt;0,OR($B$9=$P13,$D$9=$P13))),SUMIF($B$8:$B$9,$P13,$J$8:$J$9)+SUMIF($D$8:$D$9,$P13,$L$8:$L$9),"")</f>
        <v/>
      </c>
    </row>
    <row r="14" spans="1:33" ht="15.75" thickBot="1" x14ac:dyDescent="0.3">
      <c r="B14" s="25"/>
      <c r="C14" s="25"/>
      <c r="D14" s="50"/>
      <c r="F14" s="25"/>
      <c r="G14" s="5"/>
      <c r="O14" s="31" t="s">
        <v>35</v>
      </c>
      <c r="P14" s="30" t="str">
        <f t="shared" ca="1" si="11"/>
        <v>Albanien</v>
      </c>
      <c r="Q14" s="178">
        <f t="shared" ca="1" si="11"/>
        <v>0</v>
      </c>
      <c r="R14" s="29">
        <f t="shared" ca="1" si="11"/>
        <v>0</v>
      </c>
      <c r="S14" s="29">
        <f t="shared" ca="1" si="8"/>
        <v>0</v>
      </c>
      <c r="T14" s="29">
        <f t="shared" ca="1" si="8"/>
        <v>0</v>
      </c>
      <c r="U14" s="29">
        <f t="shared" ca="1" si="11"/>
        <v>0</v>
      </c>
      <c r="V14" s="356">
        <f ca="1">LARGE($V$4:$V$7,ROW(A4))</f>
        <v>50000.000000100001</v>
      </c>
      <c r="Z14" s="209" t="b">
        <f ca="1">VLOOKUP($P14,$E$18:$M$21,8,0)&lt;&gt;""</f>
        <v>0</v>
      </c>
      <c r="AA14" s="210" t="b">
        <f ca="1">VLOOKUP($P14,$E$18:$M$21,9,0)&lt;&gt;""</f>
        <v>0</v>
      </c>
      <c r="AB14" s="211" t="b">
        <f t="shared" ca="1" si="9"/>
        <v>0</v>
      </c>
      <c r="AC14" s="211" t="b">
        <f t="shared" ca="1" si="10"/>
        <v>0</v>
      </c>
      <c r="AD14" s="340" t="str">
        <f ca="1">IF($Z14,VLOOKUP($P14,$E$18:$M$21,8,0),IF($AA14,VLOOKUP($P14,$E$18:$M$21,9,0),IF($AB14,SUMIFS($Z$18:$Z$35,$P$18:$P$35,$P14),IF($AC14,SUMIFS($AE$18:$AE$35,$P$18:$P$35,$P14),""))))</f>
        <v/>
      </c>
      <c r="AE14" s="343" t="str">
        <f ca="1">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572" t="s">
        <v>464</v>
      </c>
      <c r="H16" s="572"/>
      <c r="I16" s="572"/>
      <c r="J16" s="572"/>
      <c r="K16" s="572"/>
      <c r="L16" s="572"/>
      <c r="M16" s="55"/>
      <c r="N16" s="55"/>
      <c r="W16" s="563" t="s">
        <v>465</v>
      </c>
      <c r="X16" s="563"/>
      <c r="Y16" s="563"/>
      <c r="Z16" s="563"/>
      <c r="AD16" s="563" t="s">
        <v>466</v>
      </c>
      <c r="AE16" s="563"/>
      <c r="AF16" s="212" t="b">
        <f ca="1">AND($Q$4=$Q$5,$Q$4=$Q$6,$Q$4=$Q$7)</f>
        <v>1</v>
      </c>
    </row>
    <row r="17" spans="2:31" ht="16.5" thickTop="1" thickBot="1" x14ac:dyDescent="0.3">
      <c r="B17" s="25"/>
      <c r="C17" s="25"/>
      <c r="D17" s="25"/>
      <c r="G17" s="338"/>
      <c r="H17" s="33" t="str">
        <f>LEFT($P$4,3)</f>
        <v>Spa</v>
      </c>
      <c r="I17" s="33" t="str">
        <f>LEFT($P$5,3)</f>
        <v>Kro</v>
      </c>
      <c r="J17" s="33" t="str">
        <f>LEFT($P$6,3)</f>
        <v>Ita</v>
      </c>
      <c r="K17" s="101" t="str">
        <f>LEFT($P$7,3)</f>
        <v>Alb</v>
      </c>
      <c r="L17" s="46" t="s">
        <v>463</v>
      </c>
      <c r="M17" s="46" t="s">
        <v>472</v>
      </c>
      <c r="N17" s="46"/>
      <c r="Q17" s="46" t="s">
        <v>191</v>
      </c>
      <c r="R17" s="46" t="s">
        <v>190</v>
      </c>
      <c r="S17" s="46" t="s">
        <v>1087</v>
      </c>
      <c r="T17" s="46" t="s">
        <v>1088</v>
      </c>
      <c r="U17" s="46"/>
      <c r="V17" s="46" t="s">
        <v>197</v>
      </c>
      <c r="W17" s="46" t="s">
        <v>674</v>
      </c>
      <c r="X17" s="55" t="s">
        <v>467</v>
      </c>
      <c r="Y17" s="46" t="s">
        <v>471</v>
      </c>
      <c r="Z17" s="46" t="s">
        <v>471</v>
      </c>
      <c r="AA17" s="564" t="s">
        <v>462</v>
      </c>
      <c r="AB17" s="564"/>
      <c r="AC17" s="564"/>
      <c r="AD17" s="55" t="s">
        <v>469</v>
      </c>
      <c r="AE17" s="46" t="s">
        <v>470</v>
      </c>
    </row>
    <row r="18" spans="2:31" ht="15.75" thickTop="1" x14ac:dyDescent="0.25">
      <c r="B18" s="25"/>
      <c r="C18" s="25"/>
      <c r="D18" s="25"/>
      <c r="E18" s="568" t="str">
        <f>$P$4</f>
        <v>Spanien</v>
      </c>
      <c r="F18" s="569"/>
      <c r="G18" s="569"/>
      <c r="H18" s="100"/>
      <c r="I18" s="33">
        <f ca="1">SUMIFS($E$4:$E$9,$B$4:$B$9,$P$4,$D$4:$D$9,$P$5)+SUMIFS($G$4:$G$9,$B$4:$B$9,$P$5,$D$4:$D$9,$P$4)</f>
        <v>0</v>
      </c>
      <c r="J18" s="33">
        <f ca="1">SUMIFS($E$4:$E$9,$B$4:$B$9,$P$4,$D$4:$D$9,$P$6)+SUMIFS($G$4:$G$9,$B$4:$B$9,$P$6,$D$4:$D$9,$P$4)</f>
        <v>0</v>
      </c>
      <c r="K18" s="101">
        <f ca="1">SUMIFS($E$4:$E$9,$B$4:$B$9,$P$4,$D$4:$D$9,$P$7)+SUMIFS($G$4:$G$9,$B$4:$B$9,$P$7,$D$4:$D$9,$P$4)</f>
        <v>0</v>
      </c>
      <c r="L18" s="64" t="str">
        <f ca="1">IF(AND($Q$4=$Q$5,$Q$4&lt;&gt;$Q$6,$Q$4&lt;&gt;$Q$7),IF(I18&gt;H19,3,IF(I18=H19,1,0)),IF(AND($Q$4=$Q$6,$Q$4&lt;&gt;$Q$5,$Q$4&lt;&gt;$Q$7),IF(J18&gt;H20,3,IF(J18=H20,1,0)),IF(AND($Q$4=$Q$7,$Q$4&lt;&gt;$Q$5,$Q$4&lt;&gt;$Q$6),IF(K18&gt;H21,3,IF(K18=H21,1,0)),"")))</f>
        <v/>
      </c>
      <c r="M18" s="64" t="str">
        <f ca="1">IF($AF$16,IF(AND($AD$4=$AD$5,$AD$4&lt;&gt;$AD$6,$AD$4&lt;&gt;$AD$7),IF(I18&gt;H19,3,IF(I18=H19,1,0)),IF(AND($AD$4&lt;&gt;$AD$5,$AD$4=$AD$6,$AD$4&lt;&gt;$AD$7),IF(J18&gt;H20,3,IF(J18=H20,1,0)),IF(AND($AD$4&lt;&gt;$AD$5,$AD$4&lt;&gt;$AD$6,$AD$4=$AD$7),IF(K18&gt;H21,3,IF(K18=H21,1,0)),""))),"")</f>
        <v/>
      </c>
      <c r="N18" s="25"/>
      <c r="O18" s="25" t="s">
        <v>32</v>
      </c>
      <c r="P18" t="str">
        <f>$P$4</f>
        <v>Spanien</v>
      </c>
      <c r="Q18" s="25">
        <f ca="1">SUMIFS($H$4:$H$9,$B$4:$B$9,$P18,$D$4:$D$9,"&lt;&gt;"&amp;$P$21)+SUMIFS($I$4:$I$9,$B$4:$B$9,"&lt;&gt;"&amp;$P$21,$D$4:$D$9,$P18)</f>
        <v>0</v>
      </c>
      <c r="R18" s="25">
        <f ca="1">S18-T18</f>
        <v>0</v>
      </c>
      <c r="S18" s="25">
        <f ca="1">SUMIFS($E$4:$E$9,$B$4:$B$9,$P18,$D$4:$D$9,"&lt;&gt;"&amp;$P$21)+SUMIFS($G$4:$G$9,$B$4:$B$9,"&lt;&gt;"&amp;$P$21,$D$4:$D$9,$P18)</f>
        <v>0</v>
      </c>
      <c r="T18" s="25">
        <f ca="1">SUMIFS($G$4:$G$9,$B$4:$B$9,$P18,$D$4:$D$9,"&lt;&gt;"&amp;$P$21)+SUMIFS($E$4:$E$9,$B$4:$B$9,"&lt;&gt;"&amp;$P$21,$D$4:$D$9,$P18)</f>
        <v>0</v>
      </c>
      <c r="U18" s="25"/>
      <c r="V18" s="202">
        <f ca="1">Q18*FactorPts+(GDzero+R18)*FactorGD+S18*FactorFor</f>
        <v>50000</v>
      </c>
      <c r="W18" s="25">
        <f ca="1">RANK(V18,V$18:V$20,1)</f>
        <v>1</v>
      </c>
      <c r="X18" s="25">
        <f ca="1">IF(AND($Q$4=$Q$5,$Q$4=$Q$6,$Q$4&lt;&gt;$Q$7),W18,0)</f>
        <v>0</v>
      </c>
      <c r="Y18" s="25" t="str">
        <f ca="1">IF(AND(V18=V19,V18&lt;&gt;V20),IF(AA18&gt;AA19,3,IF(AA18=AA19,1,0)),IF(AND(V18=V20,V18&lt;&gt;V19),IF(AB18&gt;AB20,3,IF(AB18=AB20,1,0)),""))</f>
        <v/>
      </c>
      <c r="Z18" s="25" t="str">
        <f ca="1">IF(X18&gt;0,Y18,"")</f>
        <v/>
      </c>
      <c r="AA18" s="188">
        <f ca="1">$I$18</f>
        <v>0</v>
      </c>
      <c r="AB18" s="189">
        <f ca="1">$J$18</f>
        <v>0</v>
      </c>
      <c r="AC18" s="190"/>
      <c r="AD18" s="25">
        <f ca="1">IF(AND($AF$16,$AD$4=$AD$5,$AD$4=$AD$6,$AD$4&lt;&gt;$AD$7),W18,0)</f>
        <v>0</v>
      </c>
      <c r="AE18" s="25" t="str">
        <f ca="1">IF(AD18&gt;0,Y18,"")</f>
        <v/>
      </c>
    </row>
    <row r="19" spans="2:31" x14ac:dyDescent="0.25">
      <c r="B19" s="25"/>
      <c r="C19" s="25"/>
      <c r="D19" s="25"/>
      <c r="E19" s="570" t="str">
        <f>$P$5</f>
        <v>Kroatien</v>
      </c>
      <c r="F19" s="571"/>
      <c r="G19" s="571"/>
      <c r="H19" s="32">
        <f ca="1">SUMIFS($E$4:$E$9,$B$4:$B$9,$P$5,$D$4:$D$9,$P$4)+SUMIFS($G$4:$G$9,$B$4:$B$9,$P$4,$D$4:$D$9,$P$5)</f>
        <v>0</v>
      </c>
      <c r="I19" s="69"/>
      <c r="J19" s="25">
        <f ca="1">SUMIFS($E$4:$E$9,$B$4:$B$9,$P$5,$D$4:$D$9,$P$6)+SUMIFS($G$4:$G$9,$B$4:$B$9,$P$6,$D$4:$D$9,$P$5)</f>
        <v>0</v>
      </c>
      <c r="K19" s="47">
        <f ca="1">SUMIFS($E$4:$E$9,$B$4:$B$9,$P$5,$D$4:$D$9,$P$7)+SUMIFS($G$4:$G$9,$B$4:$B$9,$P$7,$D$4:$D$9,$P$5)</f>
        <v>0</v>
      </c>
      <c r="L19" s="65" t="str">
        <f ca="1">IF(AND($Q$5=$Q$4,$Q$5&lt;&gt;$Q$6,$Q$5&lt;&gt;$Q$7),IF(H19&gt;I18,3,IF(H19=I18,1,0)),IF(AND($Q$5=$Q$6,$Q$5&lt;&gt;$Q$4,$Q$5&lt;&gt;$Q$7),IF(J19&gt;I20,3,IF(J19=I20,1,0)),IF(AND($Q$5=$Q$7,$Q$5&lt;&gt;$Q$4,$Q$5&lt;&gt;$Q$6),IF(K19&gt;I21,3,IF(K19=I21,1,0)),"")))</f>
        <v/>
      </c>
      <c r="M19" s="65" t="str">
        <f ca="1">IF($AF$16,IF(AND($AD$5=$AD$4,$AD$5&lt;&gt;$AD$6,$AD$5&lt;&gt;$AD$7),IF(H19&gt;I18,3,IF(H19=I18,1,0)),IF(AND($AD$5&lt;&gt;$AD$4,$AD$5=$AD$6,$AD$5&lt;&gt;$AD$7),IF(J19&gt;I20,3,IF(J19=I20,1,0)),IF(AND($AD$5&lt;&gt;$AD$4,$AD$5&lt;&gt;$AD$6,$AD$5=$AD$7),IF(K19&gt;I21,3,IF(K19=I21,1,0)),""))),"")</f>
        <v/>
      </c>
      <c r="N19" s="25"/>
      <c r="O19" s="25" t="s">
        <v>33</v>
      </c>
      <c r="P19" t="str">
        <f>$P$5</f>
        <v>Kroatien</v>
      </c>
      <c r="Q19" s="25">
        <f ca="1">SUMIFS($H$4:$H$9,$B$4:$B$9,$P19,$D$4:$D$9,"&lt;&gt;"&amp;$P$21)+SUMIFS($I$4:$I$9,$B$4:$B$9,"&lt;&gt;"&amp;$P$21,$D$4:$D$9,$P19)</f>
        <v>0</v>
      </c>
      <c r="R19" s="25">
        <f ca="1">S19-T19</f>
        <v>0</v>
      </c>
      <c r="S19" s="25">
        <f ca="1">SUMIFS($E$4:$E$9,$B$4:$B$9,$P19,$D$4:$D$9,"&lt;&gt;"&amp;$P$21)+SUMIFS($G$4:$G$9,$B$4:$B$9,"&lt;&gt;"&amp;$P$21,$D$4:$D$9,$P19)</f>
        <v>0</v>
      </c>
      <c r="T19" s="25">
        <f ca="1">SUMIFS($G$4:$G$9,$B$4:$B$9,$P19,$D$4:$D$9,"&lt;&gt;"&amp;$P$21)+SUMIFS($E$4:$E$9,$B$4:$B$9,"&lt;&gt;"&amp;$P$21,$D$4:$D$9,$P19)</f>
        <v>0</v>
      </c>
      <c r="U19" s="25"/>
      <c r="V19" s="202">
        <f ca="1">Q19*FactorPts+(GDzero+R19)*FactorGD+S19*FactorFor</f>
        <v>50000</v>
      </c>
      <c r="W19" s="25">
        <f ca="1">RANK(V19,V$18:V$20,1)</f>
        <v>1</v>
      </c>
      <c r="X19" s="25">
        <f ca="1">IF(AND($Q$4=$Q$5,$Q$4=$Q$6,$Q$4&lt;&gt;$Q$7),W19,0)</f>
        <v>0</v>
      </c>
      <c r="Y19" s="25" t="str">
        <f ca="1">IF(AND(V19=V18,V19&lt;&gt;V20),IF(AA19&gt;AA18,3,IF(AA19=AA18,1,0)),IF(AND(V19=V20,V19&lt;&gt;V18),IF(AC19&gt;AC20,3,IF(AC19=AC20,1,0)),""))</f>
        <v/>
      </c>
      <c r="Z19" s="25" t="str">
        <f t="shared" ref="Z19:Z20" ca="1" si="12">IF(X19&gt;0,Y19,"")</f>
        <v/>
      </c>
      <c r="AA19" s="191">
        <f ca="1">$H$19</f>
        <v>0</v>
      </c>
      <c r="AB19" s="25"/>
      <c r="AC19" s="204">
        <f ca="1">$J$19</f>
        <v>0</v>
      </c>
      <c r="AD19" s="25">
        <f ca="1">IF(AND($AF$16,$AD$4=$AD$5,$AD$4=$AD$6,$AD$4&lt;&gt;$AD$7),W19,0)</f>
        <v>0</v>
      </c>
      <c r="AE19" s="25" t="str">
        <f t="shared" ref="AE19:AE20" ca="1" si="13">IF(AD19&gt;0,Y19,"")</f>
        <v/>
      </c>
    </row>
    <row r="20" spans="2:31" x14ac:dyDescent="0.25">
      <c r="E20" s="570" t="str">
        <f>$P$6</f>
        <v>Italien</v>
      </c>
      <c r="F20" s="571"/>
      <c r="G20" s="571"/>
      <c r="H20" s="32">
        <f ca="1">SUMIFS($E$4:$E$9,$B$4:$B$9,$P$6,$D$4:$D$9,$P$4)+SUMIFS($G$4:$G$9,$B$4:$B$9,$P$4,$D$4:$D$9,$P$6)</f>
        <v>0</v>
      </c>
      <c r="I20" s="25">
        <f ca="1">SUMIFS($E$4:$E$9,$B$4:$B$9,$P$6,$D$4:$D$9,$P$5)+SUMIFS($G$4:$G$9,$B$4:$B$9,$P$5,$D$4:$D$9,$P$6)</f>
        <v>0</v>
      </c>
      <c r="J20" s="69"/>
      <c r="K20" s="47">
        <f ca="1">SUMIFS($E$4:$E$9,$B$4:$B$9,$P$6,$D$4:$D$9,$P$7)+SUMIFS($G$4:$G$9,$B$4:$B$9,$P$7,$D$4:$D$9,$P$6)</f>
        <v>0</v>
      </c>
      <c r="L20" s="65" t="str">
        <f ca="1">IF(AND($Q$6=$Q$4,$Q$6&lt;&gt;$Q$5,$Q$6&lt;&gt;$Q$7),IF(H20&gt;J18,3,IF(H20=J18,1,0)),IF(AND($Q$6=$Q$5,$Q$6&lt;&gt;$Q$4,$Q$6&lt;&gt;$Q$7),IF(I20&gt;J19,3,IF(I20=J19,1,0)),IF(AND($Q$6=$Q$7,$Q$6&lt;&gt;$Q$4,$Q$6&lt;&gt;$Q$5),IF(K20&gt;J21,3,IF(K20=J21,1,0)),"")))</f>
        <v/>
      </c>
      <c r="M20" s="65" t="str">
        <f ca="1">IF($AF$16,IF(AND($AD$6=$AD$4,$AD$6&lt;&gt;$AD$5,$AD$6&lt;&gt;$AD$7),IF(H20&gt;J18,3,IF(H20=J18,1,0)),IF(AND($AD$6&lt;&gt;$AD$4,$AD$6=$AD$5,$AD$6&lt;&gt;$AD$7),IF(I20&gt;J19,3,IF(I20=J19,1,0)),IF(AND($AD$6&lt;&gt;$AD$4,$AD$6&lt;&gt;$AD$5,$AD$6=$AD$7),IF(K20&gt;J21,3,IF(K20=J21,1,0)),""))),"")</f>
        <v/>
      </c>
      <c r="N20" s="25"/>
      <c r="O20" s="25" t="s">
        <v>34</v>
      </c>
      <c r="P20" t="str">
        <f>$P$6</f>
        <v>Italien</v>
      </c>
      <c r="Q20" s="25">
        <f ca="1">SUMIFS($H$4:$H$9,$B$4:$B$9,$P20,$D$4:$D$9,"&lt;&gt;"&amp;$P$21)+SUMIFS($I$4:$I$9,$B$4:$B$9,"&lt;&gt;"&amp;$P$21,$D$4:$D$9,$P20)</f>
        <v>0</v>
      </c>
      <c r="R20" s="25">
        <f ca="1">S20-T20</f>
        <v>0</v>
      </c>
      <c r="S20" s="25">
        <f ca="1">SUMIFS($E$4:$E$9,$B$4:$B$9,$P20,$D$4:$D$9,"&lt;&gt;"&amp;$P$21)+SUMIFS($G$4:$G$9,$B$4:$B$9,"&lt;&gt;"&amp;$P$21,$D$4:$D$9,$P20)</f>
        <v>0</v>
      </c>
      <c r="T20" s="25">
        <f ca="1">SUMIFS($G$4:$G$9,$B$4:$B$9,$P20,$D$4:$D$9,"&lt;&gt;"&amp;$P$21)+SUMIFS($E$4:$E$9,$B$4:$B$9,"&lt;&gt;"&amp;$P$21,$D$4:$D$9,$P20)</f>
        <v>0</v>
      </c>
      <c r="U20" s="25"/>
      <c r="V20" s="202">
        <f ca="1">Q20*FactorPts+(GDzero+R20)*FactorGD+S20*FactorFor</f>
        <v>50000</v>
      </c>
      <c r="W20" s="25">
        <f ca="1">RANK(V20,V$18:V$20,1)</f>
        <v>1</v>
      </c>
      <c r="X20" s="25">
        <f ca="1">IF(AND($Q$4=$Q$5,$Q$4=$Q$6,$Q$4&lt;&gt;$Q$7),W20,0)</f>
        <v>0</v>
      </c>
      <c r="Y20" s="25" t="str">
        <f ca="1">IF(AND(V20=V18,V20&lt;&gt;V19),IF(AB20&gt;AB18,3,IF(AB20=AB18,1,0)),IF(AND(V20=V19,V20&lt;&gt;V18),IF(AC20&gt;AC19,3,IF(AC20=AC19,1,0)),""))</f>
        <v/>
      </c>
      <c r="Z20" s="25" t="str">
        <f t="shared" ca="1" si="12"/>
        <v/>
      </c>
      <c r="AA20" s="191"/>
      <c r="AB20" s="25">
        <f ca="1">$H$20</f>
        <v>0</v>
      </c>
      <c r="AC20" s="204">
        <f ca="1">$I$20</f>
        <v>0</v>
      </c>
      <c r="AD20" s="25">
        <f ca="1">IF(AND($AF$16,$AD$4=$AD$5,$AD$4=$AD$6,$AD$4&lt;&gt;$AD$7),W20,0)</f>
        <v>0</v>
      </c>
      <c r="AE20" s="25" t="str">
        <f t="shared" ca="1" si="13"/>
        <v/>
      </c>
    </row>
    <row r="21" spans="2:31" ht="15.75" thickBot="1" x14ac:dyDescent="0.3">
      <c r="B21" s="36"/>
      <c r="C21" s="25"/>
      <c r="E21" s="565" t="str">
        <f>$P$7</f>
        <v>Albanien</v>
      </c>
      <c r="F21" s="566"/>
      <c r="G21" s="566"/>
      <c r="H21" s="31">
        <f ca="1">SUMIFS($E$4:$E$9,$B$4:$B$9,$P$7,$D$4:$D$9,$P$4)+SUMIFS($G$4:$G$9,$B$4:$B$9,$P$4,$D$4:$D$9,$P$7)</f>
        <v>0</v>
      </c>
      <c r="I21" s="29">
        <f ca="1">SUMIFS($E$4:$E$9,$B$4:$B$9,$P$7,$D$4:$D$9,$P$5)+SUMIFS($G$4:$G$9,$B$4:$B$9,$P$5,$D$4:$D$9,$P$7)</f>
        <v>0</v>
      </c>
      <c r="J21" s="29">
        <f ca="1">SUMIFS($E$4:$E$9,$B$4:$B$9,$P$7,$D$4:$D$9,$P$6)+SUMIFS($G$4:$G$9,$B$4:$B$9,$P$6,$D$4:$D$9,$P$7)</f>
        <v>0</v>
      </c>
      <c r="K21" s="70"/>
      <c r="L21" s="66" t="str">
        <f ca="1">IF(AND($Q$7=$Q$4,$Q$7&lt;&gt;$Q$5,$Q$7&lt;&gt;$Q$6),IF(H21&gt;K18,3,IF(H21=K18,1,0)),IF(AND($Q$7=$Q$5,$Q$7&lt;&gt;$Q$4,$Q$7&lt;&gt;$Q$6),IF(I21&gt;K19,3,IF(I21=K19,1,0)),IF(AND($Q$7=$Q$6,$Q$7&lt;&gt;$Q$4,$Q$7&lt;&gt;$Q$5),IF(J21&gt;K20,3,IF(J21=K20,1,0)),"")))</f>
        <v/>
      </c>
      <c r="M21" s="66" t="str">
        <f ca="1">IF($AF$16,IF(AND($AD$7=$AD$4,$AD$7&lt;&gt;$AD$5,$AD$7&lt;&gt;$AD$6),IF(H21&gt;K18,3,IF(H21=K18,1,0)),IF(AND($AD$7&lt;&gt;$AD$4,$AD$7=$AD$5,$AD$7&lt;&gt;$AD$6),IF(I21&gt;K19,3,IF(I21=K19,1,0)),IF(AND($AD$7&lt;&gt;$AD$4,$AD$7&lt;&gt;$AD$5,$AD$7=$AD$6),IF(J21&gt;K20,3,IF(J21=K20,1,0)),""))),"")</f>
        <v/>
      </c>
      <c r="N21" s="25"/>
      <c r="P21" s="28" t="str">
        <f>$P$7</f>
        <v>Albanien</v>
      </c>
      <c r="Q21" s="197"/>
      <c r="R21" s="197"/>
      <c r="S21" s="197"/>
      <c r="T21" s="197"/>
      <c r="U21" s="197"/>
      <c r="V21" s="198"/>
      <c r="W21" s="198"/>
      <c r="X21" s="197"/>
      <c r="Y21" s="197"/>
      <c r="Z21" s="197"/>
      <c r="AA21" s="199"/>
      <c r="AB21" s="197"/>
      <c r="AC21" s="200"/>
      <c r="AD21" s="198"/>
      <c r="AE21" s="197"/>
    </row>
    <row r="22" spans="2:31" ht="15.75" thickTop="1" x14ac:dyDescent="0.25">
      <c r="B22" s="36"/>
      <c r="C22" s="25"/>
      <c r="F22" s="25"/>
      <c r="G22" s="5"/>
      <c r="L22" s="46"/>
      <c r="Q22" s="198"/>
      <c r="R22" s="198"/>
      <c r="S22" s="198"/>
      <c r="T22" s="198"/>
      <c r="U22" s="198"/>
      <c r="V22" s="198"/>
      <c r="W22" s="198"/>
      <c r="X22" s="197"/>
      <c r="Y22" s="197"/>
      <c r="Z22" s="197"/>
      <c r="AA22" s="199"/>
      <c r="AB22" s="197"/>
      <c r="AC22" s="200"/>
      <c r="AD22" s="198"/>
      <c r="AE22" s="197"/>
    </row>
    <row r="23" spans="2:31" x14ac:dyDescent="0.25">
      <c r="B23" s="36"/>
      <c r="C23" s="25"/>
      <c r="O23" s="25" t="s">
        <v>32</v>
      </c>
      <c r="P23" t="str">
        <f>$P$4</f>
        <v>Spanien</v>
      </c>
      <c r="Q23" s="25">
        <f ca="1">SUMIFS($H$4:$H$9,$B$4:$B$9,$P23,$D$4:$D$9,"&lt;&gt;"&amp;$P$26)+SUMIFS($I$4:$I$9,$B$4:$B$9,"&lt;&gt;"&amp;$P$26,$D$4:$D$9,$P23)</f>
        <v>0</v>
      </c>
      <c r="R23" s="25">
        <f ca="1">S23-T23</f>
        <v>0</v>
      </c>
      <c r="S23" s="25">
        <f ca="1">SUMIFS($E$4:$E$9,$B$4:$B$9,$P23,$D$4:$D$9,"&lt;&gt;"&amp;$P$26)+SUMIFS($G$4:$G$9,$B$4:$B$9,"&lt;&gt;"&amp;$P$26,$D$4:$D$9,$P23)</f>
        <v>0</v>
      </c>
      <c r="T23" s="25">
        <f ca="1">SUMIFS($G$4:$G$9,$B$4:$B$9,$P23,$D$4:$D$9,"&lt;&gt;"&amp;$P$26)+SUMIFS($E$4:$E$9,$B$4:$B$9,"&lt;&gt;"&amp;$P$26,$D$4:$D$9,$P23)</f>
        <v>0</v>
      </c>
      <c r="U23" s="25"/>
      <c r="V23" s="202">
        <f ca="1">Q23*FactorPts+(GDzero+R23)*FactorGD+S23*FactorFor</f>
        <v>50000</v>
      </c>
      <c r="W23" s="25">
        <f ca="1">RANK(V23,V$23:V$25,1)</f>
        <v>1</v>
      </c>
      <c r="X23" s="25">
        <f ca="1">IF(AND($Q$4=$Q$5,$Q$4=$Q$7,$Q$4&lt;&gt;$Q$6),W23,0)</f>
        <v>0</v>
      </c>
      <c r="Y23" s="25" t="str">
        <f ca="1">IF(AND(V23=V24,V23&lt;&gt;V25),IF(AA23&gt;AA24,3,IF(AA23=AA24,1,0)),IF(AND(V23=V25,V23&lt;&gt;V24),IF(AB23&gt;AB25,3,IF(AB23=AB25,1,0)),""))</f>
        <v/>
      </c>
      <c r="Z23" s="25" t="str">
        <f ca="1">IF(X23&gt;0,Y23,"")</f>
        <v/>
      </c>
      <c r="AA23" s="191">
        <f ca="1">$I$18</f>
        <v>0</v>
      </c>
      <c r="AB23" s="25">
        <f ca="1">$K$18</f>
        <v>0</v>
      </c>
      <c r="AC23" s="204"/>
      <c r="AD23" s="25">
        <f ca="1">IF(AND($AF$16,$AD$4=$AD$5,$AD$4=$AD$7,$AD$4&lt;&gt;$AD$6),W23,0)</f>
        <v>0</v>
      </c>
      <c r="AE23" s="25" t="str">
        <f ca="1">IF(AD23&gt;0,Y23,"")</f>
        <v/>
      </c>
    </row>
    <row r="24" spans="2:31" x14ac:dyDescent="0.25">
      <c r="B24" s="36"/>
      <c r="C24" s="25"/>
      <c r="O24" s="25" t="s">
        <v>33</v>
      </c>
      <c r="P24" t="str">
        <f>$P$5</f>
        <v>Kroatien</v>
      </c>
      <c r="Q24" s="25">
        <f ca="1">SUMIFS($H$4:$H$9,$B$4:$B$9,$P24,$D$4:$D$9,"&lt;&gt;"&amp;$P$26)+SUMIFS($I$4:$I$9,$B$4:$B$9,"&lt;&gt;"&amp;$P$26,$D$4:$D$9,$P24)</f>
        <v>0</v>
      </c>
      <c r="R24" s="25">
        <f ca="1">S24-T24</f>
        <v>0</v>
      </c>
      <c r="S24" s="25">
        <f ca="1">SUMIFS($E$4:$E$9,$B$4:$B$9,$P24,$D$4:$D$9,"&lt;&gt;"&amp;$P$26)+SUMIFS($G$4:$G$9,$B$4:$B$9,"&lt;&gt;"&amp;$P$26,$D$4:$D$9,$P24)</f>
        <v>0</v>
      </c>
      <c r="T24" s="25">
        <f ca="1">SUMIFS($G$4:$G$9,$B$4:$B$9,$P24,$D$4:$D$9,"&lt;&gt;"&amp;$P$26)+SUMIFS($E$4:$E$9,$B$4:$B$9,"&lt;&gt;"&amp;$P$26,$D$4:$D$9,$P24)</f>
        <v>0</v>
      </c>
      <c r="U24" s="25"/>
      <c r="V24" s="202">
        <f ca="1">Q24*FactorPts+(GDzero+R24)*FactorGD+S24*FactorFor</f>
        <v>50000</v>
      </c>
      <c r="W24" s="25">
        <f ca="1">RANK(V24,V$23:V$25,1)</f>
        <v>1</v>
      </c>
      <c r="X24" s="25">
        <f ca="1">IF(AND($Q$4=$Q$5,$Q$4=$Q$7,$Q$4&lt;&gt;$Q$6),W24,0)</f>
        <v>0</v>
      </c>
      <c r="Y24" s="25" t="str">
        <f ca="1">IF(AND(V24=V23,V24&lt;&gt;V25),IF(AA24&gt;AA23,3,IF(AA24=AA23,1,0)),IF(AND(V24=V25,V24&lt;&gt;V23),IF(AC24&gt;AC25,3,IF(AC24=AC25,1,0)),""))</f>
        <v/>
      </c>
      <c r="Z24" s="25" t="str">
        <f t="shared" ref="Z24:Z25" ca="1" si="14">IF(X24&gt;0,Y24,"")</f>
        <v/>
      </c>
      <c r="AA24" s="191">
        <f ca="1">$H$19</f>
        <v>0</v>
      </c>
      <c r="AB24" s="25"/>
      <c r="AC24" s="204">
        <f ca="1">$K$19</f>
        <v>0</v>
      </c>
      <c r="AD24" s="25">
        <f ca="1">IF(AND($AF$16,$AD$4=$AD$5,$AD$4=$AD$7,$AD$4&lt;&gt;$AD$6),W24,0)</f>
        <v>0</v>
      </c>
      <c r="AE24" s="25" t="str">
        <f t="shared" ref="AE24:AE25" ca="1" si="15">IF(AD24&gt;0,Y24,"")</f>
        <v/>
      </c>
    </row>
    <row r="25" spans="2:31" x14ac:dyDescent="0.25">
      <c r="B25" s="36"/>
      <c r="C25" s="25"/>
      <c r="O25" s="25" t="s">
        <v>34</v>
      </c>
      <c r="P25" t="str">
        <f>$P$7</f>
        <v>Albanien</v>
      </c>
      <c r="Q25" s="25">
        <f ca="1">SUMIFS($H$4:$H$9,$B$4:$B$9,$P25,$D$4:$D$9,"&lt;&gt;"&amp;$P$26)+SUMIFS($I$4:$I$9,$B$4:$B$9,"&lt;&gt;"&amp;$P$26,$D$4:$D$9,$P25)</f>
        <v>0</v>
      </c>
      <c r="R25" s="25">
        <f ca="1">S25-T25</f>
        <v>0</v>
      </c>
      <c r="S25" s="25">
        <f ca="1">SUMIFS($E$4:$E$9,$B$4:$B$9,$P25,$D$4:$D$9,"&lt;&gt;"&amp;$P$26)+SUMIFS($G$4:$G$9,$B$4:$B$9,"&lt;&gt;"&amp;$P$26,$D$4:$D$9,$P25)</f>
        <v>0</v>
      </c>
      <c r="T25" s="25">
        <f ca="1">SUMIFS($G$4:$G$9,$B$4:$B$9,$P25,$D$4:$D$9,"&lt;&gt;"&amp;$P$26)+SUMIFS($E$4:$E$9,$B$4:$B$9,"&lt;&gt;"&amp;$P$26,$D$4:$D$9,$P25)</f>
        <v>0</v>
      </c>
      <c r="U25" s="25"/>
      <c r="V25" s="202">
        <f ca="1">Q25*FactorPts+(GDzero+R25)*FactorGD+S25*FactorFor</f>
        <v>50000</v>
      </c>
      <c r="W25" s="25">
        <f ca="1">RANK(V25,V$23:V$25,1)</f>
        <v>1</v>
      </c>
      <c r="X25" s="25">
        <f ca="1">IF(AND($Q$4=$Q$5,$Q$4=$Q$7,$Q$4&lt;&gt;$Q$6),W25,0)</f>
        <v>0</v>
      </c>
      <c r="Y25" s="25" t="str">
        <f ca="1">IF(AND(V25=V23,V25&lt;&gt;V24),IF(AB25&gt;AB23,3,IF(AB25=AB23,1,0)),IF(AND(V25=V24,V25&lt;&gt;V23),IF(AC25&gt;AC24,3,IF(AC25=AC24,1,0)),""))</f>
        <v/>
      </c>
      <c r="Z25" s="25" t="str">
        <f t="shared" ca="1" si="14"/>
        <v/>
      </c>
      <c r="AA25" s="191"/>
      <c r="AB25" s="25">
        <f ca="1">$H$21</f>
        <v>0</v>
      </c>
      <c r="AC25" s="204">
        <f ca="1">$I$21</f>
        <v>0</v>
      </c>
      <c r="AD25" s="25">
        <f ca="1">IF(AND($AF$16,$AD$4=$AD$5,$AD$4=$AD$7,$AD$4&lt;&gt;$AD$6),W25,0)</f>
        <v>0</v>
      </c>
      <c r="AE25" s="25" t="str">
        <f t="shared" ca="1" si="15"/>
        <v/>
      </c>
    </row>
    <row r="26" spans="2:31" x14ac:dyDescent="0.25">
      <c r="B26" s="36"/>
      <c r="C26" s="25"/>
      <c r="P26" s="28" t="str">
        <f>$P$6</f>
        <v>Italien</v>
      </c>
      <c r="Q26" s="197"/>
      <c r="R26" s="197"/>
      <c r="S26" s="197"/>
      <c r="T26" s="197"/>
      <c r="U26" s="197"/>
      <c r="V26" s="198"/>
      <c r="W26" s="198"/>
      <c r="X26" s="197"/>
      <c r="Y26" s="197"/>
      <c r="Z26" s="197"/>
      <c r="AA26" s="199"/>
      <c r="AB26" s="197"/>
      <c r="AC26" s="200"/>
      <c r="AD26" s="198"/>
      <c r="AE26" s="197"/>
    </row>
    <row r="27" spans="2:31" x14ac:dyDescent="0.25">
      <c r="Q27" s="198"/>
      <c r="R27" s="198"/>
      <c r="S27" s="198"/>
      <c r="T27" s="198"/>
      <c r="U27" s="198"/>
      <c r="V27" s="198"/>
      <c r="W27" s="198"/>
      <c r="X27" s="197"/>
      <c r="Y27" s="197"/>
      <c r="Z27" s="197"/>
      <c r="AA27" s="199"/>
      <c r="AB27" s="197"/>
      <c r="AC27" s="200"/>
      <c r="AD27" s="198"/>
      <c r="AE27" s="197"/>
    </row>
    <row r="28" spans="2:31" x14ac:dyDescent="0.25">
      <c r="O28" s="25" t="s">
        <v>32</v>
      </c>
      <c r="P28" t="str">
        <f>$P$4</f>
        <v>Spanien</v>
      </c>
      <c r="Q28" s="25">
        <f ca="1">SUMIFS($H$4:$H$9,$B$4:$B$9,$P28,$D$4:$D$9,"&lt;&gt;"&amp;$P$31)+SUMIFS($I$4:$I$9,$B$4:$B$9,"&lt;&gt;"&amp;$P$31,$D$4:$D$9,$P28)</f>
        <v>0</v>
      </c>
      <c r="R28" s="25">
        <f ca="1">S28-T28</f>
        <v>0</v>
      </c>
      <c r="S28" s="25">
        <f ca="1">SUMIFS($E$4:$E$9,$B$4:$B$9,$P28,$D$4:$D$9,"&lt;&gt;"&amp;$P$31)+SUMIFS($G$4:$G$9,$B$4:$B$9,"&lt;&gt;"&amp;$P$31,$D$4:$D$9,$P28)</f>
        <v>0</v>
      </c>
      <c r="T28" s="25">
        <f ca="1">SUMIFS($G$4:$G$9,$B$4:$B$9,$P28,$D$4:$D$9,"&lt;&gt;"&amp;$P$31)+SUMIFS($E$4:$E$9,$B$4:$B$9,"&lt;&gt;"&amp;$P$31,$D$4:$D$9,$P28)</f>
        <v>0</v>
      </c>
      <c r="U28" s="25"/>
      <c r="V28" s="202">
        <f ca="1">Q28*FactorPts+(GDzero+R28)*FactorGD+S28*FactorFor</f>
        <v>50000</v>
      </c>
      <c r="W28" s="25">
        <f ca="1">RANK(V28,V$28:V$30,1)</f>
        <v>1</v>
      </c>
      <c r="X28" s="25">
        <f ca="1">IF(AND($Q$4=$Q$6,$Q$4=$Q$7,$Q$4&lt;&gt;$Q$5),W28,0)</f>
        <v>0</v>
      </c>
      <c r="Y28" s="25" t="str">
        <f ca="1">IF(AND(V28=V29,V28&lt;&gt;V30),IF(AA28&gt;AA29,3,IF(AA28=AA29,1,0)),IF(AND(V28=V30,V28&lt;&gt;V29),IF(AB28&gt;AB30,3,IF(AB28=AB30,1,0)),""))</f>
        <v/>
      </c>
      <c r="Z28" s="25" t="str">
        <f ca="1">IF(X28&gt;0,Y28,"")</f>
        <v/>
      </c>
      <c r="AA28" s="191">
        <f ca="1">$J$18</f>
        <v>0</v>
      </c>
      <c r="AB28" s="25">
        <f ca="1">$K$18</f>
        <v>0</v>
      </c>
      <c r="AC28" s="204"/>
      <c r="AD28" s="25">
        <f ca="1">IF(AND($AF$16,$AD$4=$AD$6,$AD$4=$AD$7,$AD$4&lt;&gt;$AD$5),W28,0)</f>
        <v>0</v>
      </c>
      <c r="AE28" s="25" t="str">
        <f ca="1">IF(AD28&gt;0,Y28,"")</f>
        <v/>
      </c>
    </row>
    <row r="29" spans="2:31" x14ac:dyDescent="0.25">
      <c r="O29" s="25" t="s">
        <v>33</v>
      </c>
      <c r="P29" t="str">
        <f>$P$6</f>
        <v>Italien</v>
      </c>
      <c r="Q29" s="25">
        <f ca="1">SUMIFS($H$4:$H$9,$B$4:$B$9,$P29,$D$4:$D$9,"&lt;&gt;"&amp;$P$31)+SUMIFS($I$4:$I$9,$B$4:$B$9,"&lt;&gt;"&amp;$P$31,$D$4:$D$9,$P29)</f>
        <v>0</v>
      </c>
      <c r="R29" s="25">
        <f ca="1">S29-T29</f>
        <v>0</v>
      </c>
      <c r="S29" s="25">
        <f ca="1">SUMIFS($E$4:$E$9,$B$4:$B$9,$P29,$D$4:$D$9,"&lt;&gt;"&amp;$P$31)+SUMIFS($G$4:$G$9,$B$4:$B$9,"&lt;&gt;"&amp;$P$31,$D$4:$D$9,$P29)</f>
        <v>0</v>
      </c>
      <c r="T29" s="25">
        <f ca="1">SUMIFS($G$4:$G$9,$B$4:$B$9,$P29,$D$4:$D$9,"&lt;&gt;"&amp;$P$31)+SUMIFS($E$4:$E$9,$B$4:$B$9,"&lt;&gt;"&amp;$P$31,$D$4:$D$9,$P29)</f>
        <v>0</v>
      </c>
      <c r="U29" s="25"/>
      <c r="V29" s="202">
        <f ca="1">Q29*FactorPts+(GDzero+R29)*FactorGD+S29*FactorFor</f>
        <v>50000</v>
      </c>
      <c r="W29" s="25">
        <f ca="1">RANK(V29,V$28:V$30,1)</f>
        <v>1</v>
      </c>
      <c r="X29" s="25">
        <f ca="1">IF(AND($Q$4=$Q$6,$Q$4=$Q$7,$Q$4&lt;&gt;$Q$5),W29,0)</f>
        <v>0</v>
      </c>
      <c r="Y29" s="25" t="str">
        <f ca="1">IF(AND(V29=V28,V29&lt;&gt;V30),IF(AA29&gt;AA28,3,IF(AA29=AA28,1,0)),IF(AND(V29=V30,V29&lt;&gt;V28),IF(AC29&gt;AC30,3,IF(AC29=AC30,1,0)),""))</f>
        <v/>
      </c>
      <c r="Z29" s="25" t="str">
        <f t="shared" ref="Z29:Z30" ca="1" si="16">IF(X29&gt;0,Y29,"")</f>
        <v/>
      </c>
      <c r="AA29" s="191">
        <f ca="1">$H$20</f>
        <v>0</v>
      </c>
      <c r="AB29" s="25"/>
      <c r="AC29" s="204">
        <f ca="1">$K$20</f>
        <v>0</v>
      </c>
      <c r="AD29" s="25">
        <f ca="1">IF(AND($AF$16,$AD$4=$AD$6,$AD$4=$AD$7,$AD$4&lt;&gt;$AD$5),W29,0)</f>
        <v>0</v>
      </c>
      <c r="AE29" s="25" t="str">
        <f t="shared" ref="AE29:AE30" ca="1" si="17">IF(AD29&gt;0,Y29,"")</f>
        <v/>
      </c>
    </row>
    <row r="30" spans="2:31" x14ac:dyDescent="0.25">
      <c r="O30" s="25" t="s">
        <v>34</v>
      </c>
      <c r="P30" t="str">
        <f>$P$7</f>
        <v>Albanien</v>
      </c>
      <c r="Q30" s="25">
        <f ca="1">SUMIFS($H$4:$H$9,$B$4:$B$9,$P30,$D$4:$D$9,"&lt;&gt;"&amp;$P$31)+SUMIFS($I$4:$I$9,$B$4:$B$9,"&lt;&gt;"&amp;$P$31,$D$4:$D$9,$P30)</f>
        <v>0</v>
      </c>
      <c r="R30" s="25">
        <f ca="1">S30-T30</f>
        <v>0</v>
      </c>
      <c r="S30" s="25">
        <f ca="1">SUMIFS($E$4:$E$9,$B$4:$B$9,$P30,$D$4:$D$9,"&lt;&gt;"&amp;$P$31)+SUMIFS($G$4:$G$9,$B$4:$B$9,"&lt;&gt;"&amp;$P$31,$D$4:$D$9,$P30)</f>
        <v>0</v>
      </c>
      <c r="T30" s="25">
        <f ca="1">SUMIFS($G$4:$G$9,$B$4:$B$9,$P30,$D$4:$D$9,"&lt;&gt;"&amp;$P$31)+SUMIFS($E$4:$E$9,$B$4:$B$9,"&lt;&gt;"&amp;$P$31,$D$4:$D$9,$P30)</f>
        <v>0</v>
      </c>
      <c r="U30" s="25"/>
      <c r="V30" s="202">
        <f ca="1">Q30*FactorPts+(GDzero+R30)*FactorGD+S30*FactorFor</f>
        <v>50000</v>
      </c>
      <c r="W30" s="25">
        <f ca="1">RANK(V30,V$28:V$30,1)</f>
        <v>1</v>
      </c>
      <c r="X30" s="25">
        <f ca="1">IF(AND($Q$4=$Q$6,$Q$4=$Q$7,$Q$4&lt;&gt;$Q$5),W30,0)</f>
        <v>0</v>
      </c>
      <c r="Y30" s="25" t="str">
        <f ca="1">IF(AND(V30=V28,V30&lt;&gt;V29),IF(AB30&gt;AB28,3,IF(AB30=AB28,1,0)),IF(AND(V30=V29,V30&lt;&gt;V28),IF(AC30&gt;AC29,3,IF(AC30=AC29,1,0)),""))</f>
        <v/>
      </c>
      <c r="Z30" s="25" t="str">
        <f t="shared" ca="1" si="16"/>
        <v/>
      </c>
      <c r="AA30" s="191"/>
      <c r="AB30" s="25">
        <f ca="1">$H$21</f>
        <v>0</v>
      </c>
      <c r="AC30" s="204">
        <f ca="1">$J$21</f>
        <v>0</v>
      </c>
      <c r="AD30" s="25">
        <f ca="1">IF(AND($AF$16,$AD$4=$AD$6,$AD$4=$AD$7,$AD$4&lt;&gt;$AD$5),W30,0)</f>
        <v>0</v>
      </c>
      <c r="AE30" s="25" t="str">
        <f t="shared" ca="1" si="17"/>
        <v/>
      </c>
    </row>
    <row r="31" spans="2:31" x14ac:dyDescent="0.25">
      <c r="P31" s="28" t="str">
        <f>$P$5</f>
        <v>Kroatien</v>
      </c>
      <c r="Q31" s="197"/>
      <c r="R31" s="197"/>
      <c r="S31" s="197"/>
      <c r="T31" s="197"/>
      <c r="U31" s="197"/>
      <c r="V31" s="198"/>
      <c r="W31" s="198"/>
      <c r="X31" s="197"/>
      <c r="Y31" s="197"/>
      <c r="Z31" s="197"/>
      <c r="AA31" s="199"/>
      <c r="AB31" s="197"/>
      <c r="AC31" s="200"/>
      <c r="AD31" s="198"/>
      <c r="AE31" s="197"/>
    </row>
    <row r="32" spans="2:31" x14ac:dyDescent="0.25">
      <c r="Q32" s="198"/>
      <c r="R32" s="198"/>
      <c r="S32" s="198"/>
      <c r="T32" s="198"/>
      <c r="U32" s="198"/>
      <c r="V32" s="198"/>
      <c r="W32" s="198"/>
      <c r="X32" s="197"/>
      <c r="Y32" s="197"/>
      <c r="Z32" s="197"/>
      <c r="AA32" s="199"/>
      <c r="AB32" s="197"/>
      <c r="AC32" s="200"/>
      <c r="AD32" s="198"/>
      <c r="AE32" s="197"/>
    </row>
    <row r="33" spans="15:31" x14ac:dyDescent="0.25">
      <c r="O33" s="25" t="s">
        <v>32</v>
      </c>
      <c r="P33" t="str">
        <f>$P$5</f>
        <v>Kroatien</v>
      </c>
      <c r="Q33" s="25">
        <f ca="1">SUMIFS($H$4:$H$9,$B$4:$B$9,$P33,$D$4:$D$9,"&lt;&gt;"&amp;$P$36)+SUMIFS($I$4:$I$9,$B$4:$B$9,"&lt;&gt;"&amp;$P$36,$D$4:$D$9,$P33)</f>
        <v>0</v>
      </c>
      <c r="R33" s="25">
        <f ca="1">S33-T33</f>
        <v>0</v>
      </c>
      <c r="S33" s="25">
        <f ca="1">SUMIFS($E$4:$E$9,$B$4:$B$9,$P33,$D$4:$D$9,"&lt;&gt;"&amp;$P$36)+SUMIFS($G$4:$G$9,$B$4:$B$9,"&lt;&gt;"&amp;$P$36,$D$4:$D$9,$P33)</f>
        <v>0</v>
      </c>
      <c r="T33" s="25">
        <f ca="1">SUMIFS($G$4:$G$9,$B$4:$B$9,$P33,$D$4:$D$9,"&lt;&gt;"&amp;$P$36)+SUMIFS($E$4:$E$9,$B$4:$B$9,"&lt;&gt;"&amp;$P$36,$D$4:$D$9,$P33)</f>
        <v>0</v>
      </c>
      <c r="U33" s="25"/>
      <c r="V33" s="202">
        <f ca="1">Q33*FactorPts+(GDzero+R33)*FactorGD+S33*FactorFor</f>
        <v>50000</v>
      </c>
      <c r="W33" s="25">
        <f ca="1">RANK(V33,V$33:V$35,1)</f>
        <v>1</v>
      </c>
      <c r="X33" s="25">
        <f ca="1">IF(AND($Q$5=$Q$6,$Q$5=$Q$7,$Q$5&lt;&gt;$Q$4),W33,0)</f>
        <v>0</v>
      </c>
      <c r="Y33" s="25" t="str">
        <f ca="1">IF(AND(V33=V34,V33&lt;&gt;V35),IF(AA33&gt;AA34,3,IF(AA33=AA34,1,0)),IF(AND(V33=V35,V33&lt;&gt;V34),IF(AB33&gt;AB35,3,IF(AB33=AB35,1,0)),""))</f>
        <v/>
      </c>
      <c r="Z33" s="25" t="str">
        <f ca="1">IF(X33&gt;0,Y33,"")</f>
        <v/>
      </c>
      <c r="AA33" s="191">
        <f ca="1">$J$19</f>
        <v>0</v>
      </c>
      <c r="AB33" s="25">
        <f ca="1">$K$19</f>
        <v>0</v>
      </c>
      <c r="AC33" s="204"/>
      <c r="AD33" s="25">
        <f ca="1">IF(AND($AF$16,$AD$5=$AD$6,$AD$5=$AD$7,$AD$5&lt;&gt;$AD$4),W33,0)</f>
        <v>0</v>
      </c>
      <c r="AE33" s="25" t="str">
        <f ca="1">IF(AD33&gt;0,Y33,"")</f>
        <v/>
      </c>
    </row>
    <row r="34" spans="15:31" x14ac:dyDescent="0.25">
      <c r="O34" s="25" t="s">
        <v>33</v>
      </c>
      <c r="P34" t="str">
        <f>$P$6</f>
        <v>Italien</v>
      </c>
      <c r="Q34" s="25">
        <f ca="1">SUMIFS($H$4:$H$9,$B$4:$B$9,$P34,$D$4:$D$9,"&lt;&gt;"&amp;$P$36)+SUMIFS($I$4:$I$9,$B$4:$B$9,"&lt;&gt;"&amp;$P$36,$D$4:$D$9,$P34)</f>
        <v>0</v>
      </c>
      <c r="R34" s="25">
        <f ca="1">S34-T34</f>
        <v>0</v>
      </c>
      <c r="S34" s="25">
        <f ca="1">SUMIFS($E$4:$E$9,$B$4:$B$9,$P34,$D$4:$D$9,"&lt;&gt;"&amp;$P$36)+SUMIFS($G$4:$G$9,$B$4:$B$9,"&lt;&gt;"&amp;$P$36,$D$4:$D$9,$P34)</f>
        <v>0</v>
      </c>
      <c r="T34" s="25">
        <f ca="1">SUMIFS($G$4:$G$9,$B$4:$B$9,$P34,$D$4:$D$9,"&lt;&gt;"&amp;$P$36)+SUMIFS($E$4:$E$9,$B$4:$B$9,"&lt;&gt;"&amp;$P$36,$D$4:$D$9,$P34)</f>
        <v>0</v>
      </c>
      <c r="U34" s="25"/>
      <c r="V34" s="202">
        <f ca="1">Q34*FactorPts+(GDzero+R34)*FactorGD+S34*FactorFor</f>
        <v>50000</v>
      </c>
      <c r="W34" s="25">
        <f ca="1">RANK(V34,V$33:V$35,1)</f>
        <v>1</v>
      </c>
      <c r="X34" s="25">
        <f ca="1">IF(AND($Q$5=$Q$6,$Q$5=$Q$7,$Q$5&lt;&gt;$Q$4),W34,0)</f>
        <v>0</v>
      </c>
      <c r="Y34" s="25" t="str">
        <f ca="1">IF(AND(V34=V33,V34&lt;&gt;V35),IF(AA34&gt;AA33,3,IF(AA34=AA33,1,0)),IF(AND(V34=V35,V34&lt;&gt;V33),IF(AC34&gt;AC35,3,IF(AC34=AC35,1,0)),""))</f>
        <v/>
      </c>
      <c r="Z34" s="25" t="str">
        <f t="shared" ref="Z34:Z35" ca="1" si="18">IF(X34&gt;0,Y34,"")</f>
        <v/>
      </c>
      <c r="AA34" s="191">
        <f ca="1">$I$20</f>
        <v>0</v>
      </c>
      <c r="AB34" s="25"/>
      <c r="AC34" s="204">
        <f ca="1">$K$20</f>
        <v>0</v>
      </c>
      <c r="AD34" s="25">
        <f ca="1">IF(AND($AF$16,$AD$5=$AD$6,$AD$5=$AD$7,$AD$5&lt;&gt;$AD$4),W34,0)</f>
        <v>0</v>
      </c>
      <c r="AE34" s="25" t="str">
        <f t="shared" ref="AE34:AE35" ca="1" si="19">IF(AD34&gt;0,Y34,"")</f>
        <v/>
      </c>
    </row>
    <row r="35" spans="15:31" ht="15.75" thickBot="1" x14ac:dyDescent="0.3">
      <c r="O35" s="25" t="s">
        <v>34</v>
      </c>
      <c r="P35" t="str">
        <f>$P$7</f>
        <v>Albanien</v>
      </c>
      <c r="Q35" s="25">
        <f ca="1">SUMIFS($H$4:$H$9,$B$4:$B$9,$P35,$D$4:$D$9,"&lt;&gt;"&amp;$P$36)+SUMIFS($I$4:$I$9,$B$4:$B$9,"&lt;&gt;"&amp;$P$36,$D$4:$D$9,$P35)</f>
        <v>0</v>
      </c>
      <c r="R35" s="25">
        <f ca="1">S35-T35</f>
        <v>0</v>
      </c>
      <c r="S35" s="25">
        <f ca="1">SUMIFS($E$4:$E$9,$B$4:$B$9,$P35,$D$4:$D$9,"&lt;&gt;"&amp;$P$36)+SUMIFS($G$4:$G$9,$B$4:$B$9,"&lt;&gt;"&amp;$P$36,$D$4:$D$9,$P35)</f>
        <v>0</v>
      </c>
      <c r="T35" s="25">
        <f ca="1">SUMIFS($G$4:$G$9,$B$4:$B$9,$P35,$D$4:$D$9,"&lt;&gt;"&amp;$P$36)+SUMIFS($E$4:$E$9,$B$4:$B$9,"&lt;&gt;"&amp;$P$36,$D$4:$D$9,$P35)</f>
        <v>0</v>
      </c>
      <c r="U35" s="25"/>
      <c r="V35" s="202">
        <f ca="1">Q35*FactorPts+(GDzero+R35)*FactorGD+S35*FactorFor</f>
        <v>50000</v>
      </c>
      <c r="W35" s="25">
        <f ca="1">RANK(V35,V$33:V$35,1)</f>
        <v>1</v>
      </c>
      <c r="X35" s="25">
        <f ca="1">IF(AND($Q$5=$Q$6,$Q$5=$Q$7,$Q$5&lt;&gt;$Q$4),W35,0)</f>
        <v>0</v>
      </c>
      <c r="Y35" s="25" t="str">
        <f ca="1">IF(AND(V35=V33,V35&lt;&gt;V34),IF(AB35&gt;AB33,3,IF(AB35=AB33,1,0)),IF(AND(V35=V34,V35&lt;&gt;V33),IF(AC35&gt;AC34,3,IF(AC35=AC34,1,0)),""))</f>
        <v/>
      </c>
      <c r="Z35" s="25" t="str">
        <f t="shared" ca="1" si="18"/>
        <v/>
      </c>
      <c r="AA35" s="192"/>
      <c r="AB35" s="193">
        <f ca="1">$I$21</f>
        <v>0</v>
      </c>
      <c r="AC35" s="194">
        <f ca="1">$J$21</f>
        <v>0</v>
      </c>
      <c r="AD35" s="25">
        <f ca="1">IF(AND($AF$16,$AD$5=$AD$6,$AD$5=$AD$7,$AD$5&lt;&gt;$AD$4),W35,0)</f>
        <v>0</v>
      </c>
      <c r="AE35" s="25" t="str">
        <f t="shared" ca="1" si="19"/>
        <v/>
      </c>
    </row>
    <row r="36" spans="15:31" x14ac:dyDescent="0.25">
      <c r="P36" s="28" t="str">
        <f>$P$4</f>
        <v>Spanien</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8"/>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1"/>
      <c r="B1" s="40" t="str">
        <f>VLOOKUP($Q$1,References!$B$5:$D$10,2,0)</f>
        <v>H</v>
      </c>
      <c r="D1" s="40" t="str">
        <f>VLOOKUP($Q$1,References!$B$5:$D$10,3,0)</f>
        <v>I</v>
      </c>
      <c r="P1" s="145" t="s">
        <v>209</v>
      </c>
      <c r="Q1" s="146" t="s">
        <v>27</v>
      </c>
    </row>
    <row r="2" spans="1:33" ht="8.25" customHeight="1" x14ac:dyDescent="0.25"/>
    <row r="3" spans="1:33" x14ac:dyDescent="0.25">
      <c r="B3" s="567" t="s">
        <v>195</v>
      </c>
      <c r="C3" s="567"/>
      <c r="D3" s="567"/>
      <c r="E3" s="567" t="s">
        <v>196</v>
      </c>
      <c r="F3" s="567"/>
      <c r="G3" s="567"/>
      <c r="H3" s="567" t="s">
        <v>191</v>
      </c>
      <c r="I3" s="567"/>
      <c r="J3" s="567" t="s">
        <v>1085</v>
      </c>
      <c r="K3" s="567"/>
      <c r="L3" s="567"/>
      <c r="M3" s="203" t="s">
        <v>168</v>
      </c>
      <c r="N3" s="72"/>
      <c r="O3" s="39"/>
      <c r="P3" s="38"/>
      <c r="Q3" s="203" t="s">
        <v>191</v>
      </c>
      <c r="R3" s="203" t="s">
        <v>190</v>
      </c>
      <c r="S3" s="203" t="s">
        <v>1087</v>
      </c>
      <c r="T3" s="203" t="s">
        <v>1088</v>
      </c>
      <c r="U3" s="203" t="s">
        <v>673</v>
      </c>
      <c r="V3" s="203" t="s">
        <v>192</v>
      </c>
      <c r="W3" s="203" t="s">
        <v>193</v>
      </c>
      <c r="X3" s="203" t="s">
        <v>194</v>
      </c>
      <c r="Y3" s="203" t="s">
        <v>482</v>
      </c>
      <c r="Z3" s="203" t="s">
        <v>483</v>
      </c>
      <c r="AA3" s="203" t="s">
        <v>474</v>
      </c>
      <c r="AB3" s="203" t="s">
        <v>38</v>
      </c>
      <c r="AC3" s="203" t="s">
        <v>313</v>
      </c>
      <c r="AD3" s="203" t="s">
        <v>197</v>
      </c>
      <c r="AE3" s="203" t="s">
        <v>497</v>
      </c>
      <c r="AF3" s="203" t="s">
        <v>534</v>
      </c>
    </row>
    <row r="4" spans="1:33" x14ac:dyDescent="0.25">
      <c r="B4" s="180" t="str">
        <f ca="1">INDIRECT("'"&amp;References!$A$1&amp;"'!"&amp;$B$1&amp;References!$G5)</f>
        <v>Slowenien</v>
      </c>
      <c r="C4" s="181" t="s">
        <v>36</v>
      </c>
      <c r="D4" s="182" t="str">
        <f ca="1">INDIRECT("'"&amp;References!$A$1&amp;"'!"&amp;$D$1&amp;References!$G5)</f>
        <v>Dänemark</v>
      </c>
      <c r="E4" s="180" t="str">
        <f ca="1">IF(OR(INDIRECT("'"&amp;References!$A$1&amp;"'!"&amp;$B$1&amp;References!$H5)="",INDIRECT("'"&amp;References!$A$1&amp;"'!"&amp;$D$1&amp;References!$H5)=""),"",INDIRECT("'"&amp;References!$A$1&amp;"'!"&amp;$B$1&amp;References!$H5))</f>
        <v/>
      </c>
      <c r="F4" s="181" t="s">
        <v>36</v>
      </c>
      <c r="G4" s="186" t="str">
        <f ca="1">IF(OR(INDIRECT("'"&amp;References!$A$1&amp;"'!"&amp;$B$1&amp;References!$H5)="",INDIRECT("'"&amp;References!$A$1&amp;"'!"&amp;$D$1&amp;References!$H5)=""),"",INDIRECT("'"&amp;References!$A$1&amp;"'!"&amp;$D$1&amp;References!$H5))</f>
        <v/>
      </c>
      <c r="H4" s="25">
        <f t="shared" ref="H4:H9" ca="1" si="0">IF($M4&gt;0,IF($E4&gt;$G4,3,IF($E4=$G4,1,0)),0)</f>
        <v>0</v>
      </c>
      <c r="I4" s="25">
        <f t="shared" ref="I4:I9" ca="1" si="1">IF($M4&gt;0,IF($E4&lt;$G4,3,IF($E4=$G4,1,0)),0)</f>
        <v>0</v>
      </c>
      <c r="L4" s="5"/>
      <c r="M4" s="25">
        <f t="shared" ref="M4:M9" ca="1" si="2">IF(AND($E4&lt;&gt;"",$G4&lt;&gt;""),1,0)</f>
        <v>0</v>
      </c>
      <c r="N4" s="25"/>
      <c r="O4" s="25" t="s">
        <v>32</v>
      </c>
      <c r="P4" s="37" t="str">
        <f>VLOOKUP($Q$1&amp;ROW($A1),Groups!$B$7:$D$35,3,0)</f>
        <v>Slowenien</v>
      </c>
      <c r="Q4" s="25">
        <f ca="1">SUMIF($B$4:$B$9,P4,$H$4:$H$9)+SUMIF($D$4:$D$9,P4,$I$4:$I$9)</f>
        <v>0</v>
      </c>
      <c r="R4" s="25">
        <f ca="1">S4-T4</f>
        <v>0</v>
      </c>
      <c r="S4" s="25">
        <f ca="1">SUMIF($B$4:$B$9,$P4,$E$4:$E$9)+SUMIF($D$4:$D$9,$P4,$G$4:$G$9)</f>
        <v>0</v>
      </c>
      <c r="T4" s="25">
        <f ca="1">SUMIF($B$4:$B$9,$P4,$G$4:$G$9)+SUMIF($D$4:$D$9,$P4,$E$4:$E$9)</f>
        <v>0</v>
      </c>
      <c r="U4" s="25">
        <f ca="1">COUNTIFS($B$4:$B$9,$P4,$H$4:$H$9,"=3")+COUNTIFS($D$4:$D$9,$P4,$I$4:$I$9,"=3")</f>
        <v>0</v>
      </c>
      <c r="V4" s="353">
        <f ca="1">$Q4*FactorPts+(GDzero+$R4)*FactorGD+$S4*FactorFor+$U4*FactorWins+$W4*FactorDirC3+$X4*FactorDirC2+$Y4*FactorDirC43+$Z4*FactorDirC42+$AA4*FactorDirC42+$AB4*FactorFairPlay+$AE4*FactorPenalty+(100-$AF4)*($M$10&gt;0)*FactorRank+(8-ROW())*FactorRow</f>
        <v>50000.000000400003</v>
      </c>
      <c r="W4" s="25">
        <f ca="1">SUMIFS($X$18:$X$35,$P$18:$P$35,$P4)</f>
        <v>0</v>
      </c>
      <c r="X4" s="25">
        <f ca="1">IF($L18="",0,$L18)+SUMIFS($Z$18:$Z$35,$P$18:$P$35,$P4)</f>
        <v>0</v>
      </c>
      <c r="Y4">
        <f ca="1">SUMIFS($AD$18:$AD$35,$P$18:$P$35,$P4)</f>
        <v>0</v>
      </c>
      <c r="Z4">
        <f ca="1">SUMIFS($AE$18:$AE$35,$P$18:$P$35,$P4)</f>
        <v>0</v>
      </c>
      <c r="AA4" s="25">
        <f ca="1">IF($M18="",0,$M18)</f>
        <v>0</v>
      </c>
      <c r="AB4" s="25">
        <f>SUMIFS(FairPlayPoints1,FairPlayTeams1,$P4)+SUMIFS(FairPlayPoints2,FairPlayTeams2,$P4)</f>
        <v>0</v>
      </c>
      <c r="AC4" s="25" t="b">
        <f ca="1">(Q4+T4&gt;0)</f>
        <v>0</v>
      </c>
      <c r="AD4" s="213">
        <f ca="1">$Q4*FactorPts+(GDzero+$R4)*FactorGD+$S4*FactorFor</f>
        <v>50000</v>
      </c>
      <c r="AE4" s="25">
        <f ca="1">IF(OR(AND($Y$11&gt;0,OR(AND($B$8=$P4,$J$8&gt;$L$8),AND($D$8=$P4,$J$8&lt;$L$8))),AND($Y$12&gt;0,OR(AND($B$9=$P4,$J$9&gt;$L$9),AND($D$9=$P4,$J$9&lt;$L$9)))),1,0)</f>
        <v>0</v>
      </c>
      <c r="AF4" s="406">
        <f>INDEX(Language!$D$5:$D$63,MATCH($P4,Language!$E$5:$E$63,0),1)</f>
        <v>15</v>
      </c>
      <c r="AG4" s="25"/>
    </row>
    <row r="5" spans="1:33" x14ac:dyDescent="0.25">
      <c r="B5" s="183" t="str">
        <f ca="1">INDIRECT("'"&amp;References!$A$1&amp;"'!"&amp;$B$1&amp;References!$G6)</f>
        <v>Serbien</v>
      </c>
      <c r="C5" s="184" t="s">
        <v>36</v>
      </c>
      <c r="D5" s="185" t="str">
        <f ca="1">INDIRECT("'"&amp;References!$A$1&amp;"'!"&amp;$D$1&amp;References!$G6)</f>
        <v>England</v>
      </c>
      <c r="E5" s="183" t="str">
        <f ca="1">IF(OR(INDIRECT("'"&amp;References!$A$1&amp;"'!"&amp;$B$1&amp;References!$H6)="",INDIRECT("'"&amp;References!$A$1&amp;"'!"&amp;$D$1&amp;References!$H6)=""),"",INDIRECT("'"&amp;References!$A$1&amp;"'!"&amp;$B$1&amp;References!$H6))</f>
        <v/>
      </c>
      <c r="F5" s="184" t="s">
        <v>36</v>
      </c>
      <c r="G5" s="187" t="str">
        <f ca="1">IF(OR(INDIRECT("'"&amp;References!$A$1&amp;"'!"&amp;$B$1&amp;References!$H6)="",INDIRECT("'"&amp;References!$A$1&amp;"'!"&amp;$D$1&amp;References!$H6)=""),"",INDIRECT("'"&amp;References!$A$1&amp;"'!"&amp;$D$1&amp;References!$H6))</f>
        <v/>
      </c>
      <c r="H5" s="25">
        <f t="shared" ca="1" si="0"/>
        <v>0</v>
      </c>
      <c r="I5" s="25">
        <f t="shared" ca="1" si="1"/>
        <v>0</v>
      </c>
      <c r="L5" s="5"/>
      <c r="M5" s="25">
        <f t="shared" ca="1" si="2"/>
        <v>0</v>
      </c>
      <c r="N5" s="25"/>
      <c r="O5" s="25" t="s">
        <v>33</v>
      </c>
      <c r="P5" s="37" t="str">
        <f>VLOOKUP($Q$1&amp;ROW($A2),Groups!$B$7:$D$35,3,0)</f>
        <v>Dänemark</v>
      </c>
      <c r="Q5" s="25">
        <f t="shared" ref="Q5:Q7" ca="1" si="3">SUMIF($B$4:$B$9,P5,$H$4:$H$9)+SUMIF($D$4:$D$9,P5,$I$4:$I$9)</f>
        <v>0</v>
      </c>
      <c r="R5" s="25">
        <f ca="1">S5-T5</f>
        <v>0</v>
      </c>
      <c r="S5" s="25">
        <f ca="1">SUMIF($B$4:$B$9,$P5,$E$4:$E$9)+SUMIF($D$4:$D$9,$P5,$G$4:$G$9)</f>
        <v>0</v>
      </c>
      <c r="T5" s="25">
        <f ca="1">SUMIF($B$4:$B$9,$P5,$G$4:$G$9)+SUMIF($D$4:$D$9,$P5,$E$4:$E$9)</f>
        <v>0</v>
      </c>
      <c r="U5" s="25">
        <f t="shared" ref="U5:U7" ca="1" si="4">COUNTIFS($B$4:$B$9,$P5,$H$4:$H$9,"=3")+COUNTIFS($D$4:$D$9,$P5,$I$4:$I$9,"=3")</f>
        <v>0</v>
      </c>
      <c r="V5" s="353">
        <f ca="1">$Q5*FactorPts+(GDzero+$R5)*FactorGD+$S5*FactorFor+$U5*FactorWins+$W5*FactorDirC3+$X5*FactorDirC2+$Y5*FactorDirC43+$Z5*FactorDirC42+$AA5*FactorDirC42+$AB5*FactorFairPlay+$AE5*FactorPenalty+(100-$AF5)*($M$10&gt;0)*FactorRank+(8-ROW())*FactorRow</f>
        <v>50000.000000300002</v>
      </c>
      <c r="W5" s="25">
        <f t="shared" ref="W5:W7" ca="1" si="5">SUMIFS($X$18:$X$35,$P$18:$P$35,$P5)</f>
        <v>0</v>
      </c>
      <c r="X5" s="25">
        <f ca="1">IF($L19="",0,$L19)+SUMIFS($Z$18:$Z$35,$P$18:$P$35,$P5)</f>
        <v>0</v>
      </c>
      <c r="Y5">
        <f t="shared" ref="Y5:Y7" ca="1" si="6">SUMIFS($AD$18:$AD$35,$P$18:$P$35,$P5)</f>
        <v>0</v>
      </c>
      <c r="Z5">
        <f t="shared" ref="Z5:Z7" ca="1" si="7">SUMIFS($AE$18:$AE$35,$P$18:$P$35,$P5)</f>
        <v>0</v>
      </c>
      <c r="AA5" s="25">
        <f ca="1">IF($M19="",0,$M19)</f>
        <v>0</v>
      </c>
      <c r="AB5" s="25">
        <f>SUMIFS(FairPlayPoints1,FairPlayTeams1,$P5)+SUMIFS(FairPlayPoints2,FairPlayTeams2,$P5)</f>
        <v>0</v>
      </c>
      <c r="AC5" s="25" t="b">
        <f ca="1">(Q5+T5&gt;0)</f>
        <v>0</v>
      </c>
      <c r="AD5" s="213">
        <f ca="1">$Q5*FactorPts+(GDzero+$R5)*FactorGD+$S5*FactorFor</f>
        <v>50000</v>
      </c>
      <c r="AE5" s="25">
        <f ca="1">IF(OR(AND($Y$11&gt;0,OR(AND($B$8=$P5,$J$8&gt;$L$8),AND($D$8=$P5,$J$8&lt;$L$8))),AND($Y$12&gt;0,OR(AND($B$9=$P5,$J$9&gt;$L$9),AND($D$9=$P5,$J$9&lt;$L$9)))),1,0)</f>
        <v>0</v>
      </c>
      <c r="AF5" s="406">
        <f>INDEX(Language!$D$5:$D$63,MATCH($P5,Language!$E$5:$E$63,0),1)</f>
        <v>9</v>
      </c>
    </row>
    <row r="6" spans="1:33" x14ac:dyDescent="0.25">
      <c r="B6" s="183" t="str">
        <f ca="1">INDIRECT("'"&amp;References!$A$1&amp;"'!"&amp;$B$1&amp;References!$G7)</f>
        <v>Slowenien</v>
      </c>
      <c r="C6" s="184" t="s">
        <v>36</v>
      </c>
      <c r="D6" s="185" t="str">
        <f ca="1">INDIRECT("'"&amp;References!$A$1&amp;"'!"&amp;$D$1&amp;References!$G7)</f>
        <v>Serbien</v>
      </c>
      <c r="E6" s="183" t="str">
        <f ca="1">IF(OR(INDIRECT("'"&amp;References!$A$1&amp;"'!"&amp;$B$1&amp;References!$H7)="",INDIRECT("'"&amp;References!$A$1&amp;"'!"&amp;$D$1&amp;References!$H7)=""),"",INDIRECT("'"&amp;References!$A$1&amp;"'!"&amp;$B$1&amp;References!$H7))</f>
        <v/>
      </c>
      <c r="F6" s="184" t="s">
        <v>36</v>
      </c>
      <c r="G6" s="187" t="str">
        <f ca="1">IF(OR(INDIRECT("'"&amp;References!$A$1&amp;"'!"&amp;$B$1&amp;References!$H7)="",INDIRECT("'"&amp;References!$A$1&amp;"'!"&amp;$D$1&amp;References!$H7)=""),"",INDIRECT("'"&amp;References!$A$1&amp;"'!"&amp;$D$1&amp;References!$H7))</f>
        <v/>
      </c>
      <c r="H6" s="25">
        <f t="shared" ca="1" si="0"/>
        <v>0</v>
      </c>
      <c r="I6" s="25">
        <f t="shared" ca="1" si="1"/>
        <v>0</v>
      </c>
      <c r="L6" s="5"/>
      <c r="M6" s="25">
        <f t="shared" ca="1" si="2"/>
        <v>0</v>
      </c>
      <c r="N6" s="25"/>
      <c r="O6" s="25" t="s">
        <v>34</v>
      </c>
      <c r="P6" s="37" t="str">
        <f>VLOOKUP($Q$1&amp;ROW($A3),Groups!$B$7:$D$35,3,0)</f>
        <v>Serbien</v>
      </c>
      <c r="Q6" s="25">
        <f t="shared" ca="1" si="3"/>
        <v>0</v>
      </c>
      <c r="R6" s="25">
        <f ca="1">S6-T6</f>
        <v>0</v>
      </c>
      <c r="S6" s="25">
        <f ca="1">SUMIF($B$4:$B$9,$P6,$E$4:$E$9)+SUMIF($D$4:$D$9,$P6,$G$4:$G$9)</f>
        <v>0</v>
      </c>
      <c r="T6" s="25">
        <f ca="1">SUMIF($B$4:$B$9,$P6,$G$4:$G$9)+SUMIF($D$4:$D$9,$P6,$E$4:$E$9)</f>
        <v>0</v>
      </c>
      <c r="U6" s="25">
        <f t="shared" ca="1" si="4"/>
        <v>0</v>
      </c>
      <c r="V6" s="353">
        <f ca="1">$Q6*FactorPts+(GDzero+$R6)*FactorGD+$S6*FactorFor+$U6*FactorWins+$W6*FactorDirC3+$X6*FactorDirC2+$Y6*FactorDirC43+$Z6*FactorDirC42+$AA6*FactorDirC42+$AB6*FactorFairPlay+$AE6*FactorPenalty+(100-$AF6)*($M$10&gt;0)*FactorRank+(8-ROW())*FactorRow</f>
        <v>50000.000000200002</v>
      </c>
      <c r="W6" s="25">
        <f t="shared" ca="1" si="5"/>
        <v>0</v>
      </c>
      <c r="X6" s="25">
        <f ca="1">IF($L20="",0,$L20)+SUMIFS($Z$18:$Z$35,$P$18:$P$35,$P6)</f>
        <v>0</v>
      </c>
      <c r="Y6">
        <f t="shared" ca="1" si="6"/>
        <v>0</v>
      </c>
      <c r="Z6">
        <f t="shared" ca="1" si="7"/>
        <v>0</v>
      </c>
      <c r="AA6" s="25">
        <f ca="1">IF($M20="",0,$M20)</f>
        <v>0</v>
      </c>
      <c r="AB6" s="25">
        <f>SUMIFS(FairPlayPoints1,FairPlayTeams1,$P6)+SUMIFS(FairPlayPoints2,FairPlayTeams2,$P6)</f>
        <v>0</v>
      </c>
      <c r="AC6" s="25" t="b">
        <f ca="1">(Q6+T6&gt;0)</f>
        <v>0</v>
      </c>
      <c r="AD6" s="213">
        <f ca="1">$Q6*FactorPts+(GDzero+$R6)*FactorGD+$S6*FactorFor</f>
        <v>50000</v>
      </c>
      <c r="AE6" s="25">
        <f ca="1">IF(OR(AND($Y$11&gt;0,OR(AND($B$8=$P6,$J$8&gt;$L$8),AND($D$8=$P6,$J$8&lt;$L$8))),AND($Y$12&gt;0,OR(AND($B$9=$P6,$J$9&gt;$L$9),AND($D$9=$P6,$J$9&lt;$L$9)))),1,0)</f>
        <v>0</v>
      </c>
      <c r="AF6" s="406">
        <f>INDEX(Language!$D$5:$D$63,MATCH($P6,Language!$E$5:$E$63,0),1)</f>
        <v>19</v>
      </c>
    </row>
    <row r="7" spans="1:33" x14ac:dyDescent="0.25">
      <c r="B7" s="183" t="str">
        <f ca="1">INDIRECT("'"&amp;References!$A$1&amp;"'!"&amp;$B$1&amp;References!$G8)</f>
        <v>Dänemark</v>
      </c>
      <c r="C7" s="184" t="s">
        <v>36</v>
      </c>
      <c r="D7" s="185" t="str">
        <f ca="1">INDIRECT("'"&amp;References!$A$1&amp;"'!"&amp;$D$1&amp;References!$G8)</f>
        <v>England</v>
      </c>
      <c r="E7" s="183" t="str">
        <f ca="1">IF(OR(INDIRECT("'"&amp;References!$A$1&amp;"'!"&amp;$B$1&amp;References!$H8)="",INDIRECT("'"&amp;References!$A$1&amp;"'!"&amp;$D$1&amp;References!$H8)=""),"",INDIRECT("'"&amp;References!$A$1&amp;"'!"&amp;$B$1&amp;References!$H8))</f>
        <v/>
      </c>
      <c r="F7" s="184" t="s">
        <v>36</v>
      </c>
      <c r="G7" s="187" t="str">
        <f ca="1">IF(OR(INDIRECT("'"&amp;References!$A$1&amp;"'!"&amp;$B$1&amp;References!$H8)="",INDIRECT("'"&amp;References!$A$1&amp;"'!"&amp;$D$1&amp;References!$H8)=""),"",INDIRECT("'"&amp;References!$A$1&amp;"'!"&amp;$D$1&amp;References!$H8))</f>
        <v/>
      </c>
      <c r="H7" s="25">
        <f t="shared" ca="1" si="0"/>
        <v>0</v>
      </c>
      <c r="I7" s="25">
        <f t="shared" ca="1" si="1"/>
        <v>0</v>
      </c>
      <c r="L7" s="5"/>
      <c r="M7" s="25">
        <f t="shared" ca="1" si="2"/>
        <v>0</v>
      </c>
      <c r="N7" s="25"/>
      <c r="O7" s="25" t="s">
        <v>35</v>
      </c>
      <c r="P7" s="37" t="str">
        <f>VLOOKUP($Q$1&amp;ROW($A4),Groups!$B$7:$D$35,3,0)</f>
        <v>England</v>
      </c>
      <c r="Q7" s="25">
        <f t="shared" ca="1" si="3"/>
        <v>0</v>
      </c>
      <c r="R7" s="25">
        <f ca="1">S7-T7</f>
        <v>0</v>
      </c>
      <c r="S7" s="25">
        <f ca="1">SUMIF($B$4:$B$9,$P7,$E$4:$E$9)+SUMIF($D$4:$D$9,$P7,$G$4:$G$9)</f>
        <v>0</v>
      </c>
      <c r="T7" s="25">
        <f ca="1">SUMIF($B$4:$B$9,$P7,$G$4:$G$9)+SUMIF($D$4:$D$9,$P7,$E$4:$E$9)</f>
        <v>0</v>
      </c>
      <c r="U7" s="25">
        <f t="shared" ca="1" si="4"/>
        <v>0</v>
      </c>
      <c r="V7" s="353">
        <f ca="1">$Q7*FactorPts+(GDzero+$R7)*FactorGD+$S7*FactorFor+$U7*FactorWins+$W7*FactorDirC3+$X7*FactorDirC2+$Y7*FactorDirC43+$Z7*FactorDirC42+$AA7*FactorDirC42+$AB7*FactorFairPlay+$AE7*FactorPenalty+(100-$AF7)*($M$10&gt;0)*FactorRank+(8-ROW())*FactorRow</f>
        <v>50000.000000100001</v>
      </c>
      <c r="W7" s="25">
        <f t="shared" ca="1" si="5"/>
        <v>0</v>
      </c>
      <c r="X7" s="25">
        <f ca="1">IF($L21="",0,$L21)+SUMIFS($Z$18:$Z$35,$P$18:$P$35,$P7)</f>
        <v>0</v>
      </c>
      <c r="Y7">
        <f t="shared" ca="1" si="6"/>
        <v>0</v>
      </c>
      <c r="Z7">
        <f t="shared" ca="1" si="7"/>
        <v>0</v>
      </c>
      <c r="AA7" s="25">
        <f ca="1">IF($M21="",0,$M21)</f>
        <v>0</v>
      </c>
      <c r="AB7" s="25">
        <f>SUMIFS(FairPlayPoints1,FairPlayTeams1,$P7)+SUMIFS(FairPlayPoints2,FairPlayTeams2,$P7)</f>
        <v>0</v>
      </c>
      <c r="AC7" s="25" t="b">
        <f ca="1">(Q7+T7&gt;0)</f>
        <v>0</v>
      </c>
      <c r="AD7" s="213">
        <f ca="1">$Q7*FactorPts+(GDzero+$R7)*FactorGD+$S7*FactorFor</f>
        <v>50000</v>
      </c>
      <c r="AE7" s="25">
        <f ca="1">IF(OR(AND($Y$11&gt;0,OR(AND($B$8=$P7,$J$8&gt;$L$8),AND($D$8=$P7,$J$8&lt;$L$8))),AND($Y$12&gt;0,OR(AND($B$9=$P7,$J$9&gt;$L$9),AND($D$9=$P7,$J$9&lt;$L$9)))),1,0)</f>
        <v>0</v>
      </c>
      <c r="AF7" s="406">
        <f>INDEX(Language!$D$5:$D$63,MATCH($P7,Language!$E$5:$E$63,0),1)</f>
        <v>5</v>
      </c>
    </row>
    <row r="8" spans="1:33" x14ac:dyDescent="0.25">
      <c r="B8" s="183" t="str">
        <f ca="1">INDIRECT("'"&amp;References!$A$1&amp;"'!"&amp;$B$1&amp;References!$G9)</f>
        <v>England</v>
      </c>
      <c r="C8" s="184" t="s">
        <v>36</v>
      </c>
      <c r="D8" s="185" t="str">
        <f ca="1">INDIRECT("'"&amp;References!$A$1&amp;"'!"&amp;$D$1&amp;References!$G9)</f>
        <v>Slowenien</v>
      </c>
      <c r="E8" s="183" t="str">
        <f ca="1">IF(OR(INDIRECT("'"&amp;References!$A$1&amp;"'!"&amp;$B$1&amp;References!$H9)="",INDIRECT("'"&amp;References!$A$1&amp;"'!"&amp;$D$1&amp;References!$H9)=""),"",INDIRECT("'"&amp;References!$A$1&amp;"'!"&amp;$B$1&amp;References!$H9))</f>
        <v/>
      </c>
      <c r="F8" s="184" t="s">
        <v>36</v>
      </c>
      <c r="G8" s="187" t="str">
        <f ca="1">IF(OR(INDIRECT("'"&amp;References!$A$1&amp;"'!"&amp;$B$1&amp;References!$H9)="",INDIRECT("'"&amp;References!$A$1&amp;"'!"&amp;$D$1&amp;References!$H9)=""),"",INDIRECT("'"&amp;References!$A$1&amp;"'!"&amp;$D$1&amp;References!$H9))</f>
        <v/>
      </c>
      <c r="H8" s="25">
        <f t="shared" ca="1" si="0"/>
        <v>0</v>
      </c>
      <c r="I8" s="25">
        <f t="shared" ca="1" si="1"/>
        <v>0</v>
      </c>
      <c r="J8" t="str">
        <f ca="1">IF(OR(INDIRECT("'"&amp;References!$A$1&amp;"'!"&amp;$B$1&amp;(References!$H9+2))="",INDIRECT("'"&amp;References!$A$1&amp;"'!"&amp;$D$1&amp;(References!$H9+2))=""),"",INDIRECT("'"&amp;References!$A$1&amp;"'!"&amp;$B$1&amp;(References!$H9+2)))</f>
        <v/>
      </c>
      <c r="K8" s="25" t="s">
        <v>494</v>
      </c>
      <c r="L8" s="5" t="str">
        <f ca="1">IF(OR(INDIRECT("'"&amp;References!$A$1&amp;"'!"&amp;$B$1&amp;(References!$H9+2))="",INDIRECT("'"&amp;References!$A$1&amp;"'!"&amp;$D$1&amp;(References!$H9+2))=""),"",INDIRECT("'"&amp;References!$A$1&amp;"'!"&amp;$D$1&amp;(References!$H9+2)))</f>
        <v/>
      </c>
      <c r="M8" s="25">
        <f t="shared" ca="1" si="2"/>
        <v>0</v>
      </c>
      <c r="N8" s="25"/>
      <c r="Z8" s="45"/>
    </row>
    <row r="9" spans="1:33" x14ac:dyDescent="0.25">
      <c r="B9" s="183" t="str">
        <f ca="1">INDIRECT("'"&amp;References!$A$1&amp;"'!"&amp;$B$1&amp;References!$G10)</f>
        <v>Dänemark</v>
      </c>
      <c r="C9" s="184" t="s">
        <v>36</v>
      </c>
      <c r="D9" s="185" t="str">
        <f ca="1">INDIRECT("'"&amp;References!$A$1&amp;"'!"&amp;$D$1&amp;References!$G10)</f>
        <v>Serbien</v>
      </c>
      <c r="E9" s="183" t="str">
        <f ca="1">IF(OR(INDIRECT("'"&amp;References!$A$1&amp;"'!"&amp;$B$1&amp;References!$H10)="",INDIRECT("'"&amp;References!$A$1&amp;"'!"&amp;$D$1&amp;References!$H10)=""),"",INDIRECT("'"&amp;References!$A$1&amp;"'!"&amp;$B$1&amp;References!$H10))</f>
        <v/>
      </c>
      <c r="F9" s="184" t="s">
        <v>36</v>
      </c>
      <c r="G9" s="187" t="str">
        <f ca="1">IF(OR(INDIRECT("'"&amp;References!$A$1&amp;"'!"&amp;$B$1&amp;References!$H10)="",INDIRECT("'"&amp;References!$A$1&amp;"'!"&amp;$D$1&amp;References!$H10)=""),"",INDIRECT("'"&amp;References!$A$1&amp;"'!"&amp;$D$1&amp;References!$H10))</f>
        <v/>
      </c>
      <c r="H9" s="25">
        <f t="shared" ca="1" si="0"/>
        <v>0</v>
      </c>
      <c r="I9" s="25">
        <f t="shared" ca="1" si="1"/>
        <v>0</v>
      </c>
      <c r="J9" t="str">
        <f ca="1">IF(OR(INDIRECT("'"&amp;References!$A$1&amp;"'!"&amp;$B$1&amp;(References!$H10+2))="",INDIRECT("'"&amp;References!$A$1&amp;"'!"&amp;$D$1&amp;(References!$H10+2))=""),"",INDIRECT("'"&amp;References!$A$1&amp;"'!"&amp;$B$1&amp;(References!$H10+2)))</f>
        <v/>
      </c>
      <c r="K9" s="25" t="s">
        <v>494</v>
      </c>
      <c r="L9" s="5" t="str">
        <f ca="1">IF(OR(INDIRECT("'"&amp;References!$A$1&amp;"'!"&amp;$B$1&amp;(References!$H10+2))="",INDIRECT("'"&amp;References!$A$1&amp;"'!"&amp;$D$1&amp;(References!$H10+2))=""),"",INDIRECT("'"&amp;References!$A$1&amp;"'!"&amp;$D$1&amp;(References!$H10+2)))</f>
        <v/>
      </c>
      <c r="M9" s="25">
        <f t="shared" ca="1" si="2"/>
        <v>0</v>
      </c>
      <c r="N9" s="25"/>
      <c r="Z9" s="573" t="s">
        <v>480</v>
      </c>
      <c r="AA9" s="573"/>
      <c r="AB9" s="573"/>
      <c r="AC9" s="573"/>
      <c r="AD9" s="573"/>
      <c r="AE9" s="573"/>
    </row>
    <row r="10" spans="1:33" ht="15.75" thickBot="1" x14ac:dyDescent="0.3">
      <c r="L10" s="49" t="s">
        <v>189</v>
      </c>
      <c r="M10" s="51">
        <f ca="1">SUM($M$4:$M$9)</f>
        <v>0</v>
      </c>
      <c r="N10" s="25"/>
      <c r="P10" s="143" t="s">
        <v>322</v>
      </c>
      <c r="Q10" s="46" t="s">
        <v>191</v>
      </c>
      <c r="R10" s="46" t="s">
        <v>190</v>
      </c>
      <c r="S10" s="46" t="s">
        <v>1087</v>
      </c>
      <c r="T10" s="46" t="s">
        <v>1088</v>
      </c>
      <c r="U10" s="46" t="s">
        <v>680</v>
      </c>
      <c r="V10" s="46" t="s">
        <v>192</v>
      </c>
      <c r="X10" s="67" t="s">
        <v>1091</v>
      </c>
      <c r="Y10" s="46" t="s">
        <v>697</v>
      </c>
      <c r="Z10" s="46" t="s">
        <v>475</v>
      </c>
      <c r="AA10" s="46" t="s">
        <v>476</v>
      </c>
      <c r="AB10" s="46" t="s">
        <v>477</v>
      </c>
      <c r="AC10" s="46" t="s">
        <v>478</v>
      </c>
      <c r="AD10" s="46" t="s">
        <v>479</v>
      </c>
      <c r="AE10" s="46" t="s">
        <v>497</v>
      </c>
    </row>
    <row r="11" spans="1:33" ht="16.5" thickTop="1" thickBot="1" x14ac:dyDescent="0.3">
      <c r="B11" s="72"/>
      <c r="C11" s="25"/>
      <c r="D11" s="72"/>
      <c r="O11" s="35" t="s">
        <v>32</v>
      </c>
      <c r="P11" s="34" t="str">
        <f t="shared" ref="P11:U14" ca="1" si="8">INDEX(P$4:P$7,MATCH($V11,$V$4:$V$7,0))</f>
        <v>Slowenien</v>
      </c>
      <c r="Q11" s="177">
        <f t="shared" ca="1" si="8"/>
        <v>0</v>
      </c>
      <c r="R11" s="33">
        <f t="shared" ca="1" si="8"/>
        <v>0</v>
      </c>
      <c r="S11" s="33">
        <f t="shared" ca="1" si="8"/>
        <v>0</v>
      </c>
      <c r="T11" s="33">
        <f t="shared" ca="1" si="8"/>
        <v>0</v>
      </c>
      <c r="U11" s="33">
        <f t="shared" ca="1" si="8"/>
        <v>0</v>
      </c>
      <c r="V11" s="354">
        <f ca="1">LARGE($V$4:$V$7,ROW(A1))</f>
        <v>50000.000000400003</v>
      </c>
      <c r="X11" s="68">
        <f ca="1">IF(AND(OR(TRUNC($V$11,4)=TRUNC($V$12,4),TRUNC($V$11,4)=TRUNC($V$13,4),TRUNC($V$11,4)=TRUNC($V$14,4),TRUNC($V$12,4)=TRUNC($V$13,4),TRUNC($V$12,4)=TRUNC($V$14,4),TRUNC($V$13,4)=TRUNC($V$14,4)),$M$10&gt;0),1,0)</f>
        <v>0</v>
      </c>
      <c r="Y11" s="25">
        <f ca="1">IF(AND(VLOOKUP($B$8,$P$4:$AD$7,15,0)=VLOOKUP($D$8,$P$4:$AD$7,15,0),$E$8=$G$8,COUNTIF($Q$4:$Q$7,VLOOKUP($B$8,$P$4:$Q$7,2,0))=2,$M$10=6),1,0)</f>
        <v>0</v>
      </c>
      <c r="Z11" s="205" t="b">
        <f ca="1">VLOOKUP($P11,$E$18:$M$21,8,0)&lt;&gt;""</f>
        <v>0</v>
      </c>
      <c r="AA11" s="206" t="b">
        <f ca="1">VLOOKUP($P11,$E$18:$M$21,9,0)&lt;&gt;""</f>
        <v>0</v>
      </c>
      <c r="AB11" s="207" t="b">
        <f ca="1">SUMPRODUCT(1*(LEN($Z$18:$Z$35)&gt;0)*($P$18:$P$35=$P11))&gt;0</f>
        <v>0</v>
      </c>
      <c r="AC11" s="207" t="b">
        <f ca="1">SUMPRODUCT(1*(LEN($AE$18:$AE$35)&gt;0)*($P$18:$P$35=$P11))&gt;0</f>
        <v>0</v>
      </c>
      <c r="AD11" s="339" t="str">
        <f ca="1">IF($Z11,VLOOKUP($P11,$E$18:$M$21,8,0),IF($AA11,VLOOKUP($P11,$E$18:$M$21,9,0),IF($AB11,SUMIFS($Z$18:$Z$35,$P$18:$P$35,$P11),IF($AC11,SUMIFS($AE$18:$AE$35,$P$18:$P$35,$P11),""))))</f>
        <v/>
      </c>
      <c r="AE11" s="341" t="str">
        <f ca="1">IF(OR(AND($Y$11&gt;0,OR($B$8=$P11,$D$8=$P11)),AND($Y$12&gt;0,OR($B$9=$P11,$D$9=$P11))),SUMIF($B$8:$B$9,$P11,$J$8:$J$9)+SUMIF($D$8:$D$9,$P11,$L$8:$L$9),"")</f>
        <v/>
      </c>
    </row>
    <row r="12" spans="1:33" ht="15.75" thickTop="1" x14ac:dyDescent="0.25">
      <c r="B12" s="25"/>
      <c r="C12" s="25"/>
      <c r="D12" s="25"/>
      <c r="O12" s="32" t="s">
        <v>33</v>
      </c>
      <c r="P12" t="str">
        <f t="shared" ca="1" si="8"/>
        <v>Dänemark</v>
      </c>
      <c r="Q12" s="99">
        <f t="shared" ca="1" si="8"/>
        <v>0</v>
      </c>
      <c r="R12" s="25">
        <f t="shared" ca="1" si="8"/>
        <v>0</v>
      </c>
      <c r="S12" s="25">
        <f t="shared" ca="1" si="8"/>
        <v>0</v>
      </c>
      <c r="T12" s="25">
        <f t="shared" ca="1" si="8"/>
        <v>0</v>
      </c>
      <c r="U12" s="25">
        <f t="shared" ca="1" si="8"/>
        <v>0</v>
      </c>
      <c r="V12" s="355">
        <f ca="1">LARGE($V$4:$V$7,ROW(A2))</f>
        <v>50000.000000300002</v>
      </c>
      <c r="Y12" s="25">
        <f ca="1">IF(AND(VLOOKUP($B$9,$P$4:$AD$7,15,0)=VLOOKUP($D$9,$P$4:$AD$7,15,0),$E$9=$G$9,COUNTIF($Q$4:$Q$7,VLOOKUP($B$9,$P$4:$Q$7,2,0))=2,$M$10=6),1,0)</f>
        <v>0</v>
      </c>
      <c r="Z12" s="208" t="b">
        <f ca="1">VLOOKUP($P12,$E$18:$M$21,8,0)&lt;&gt;""</f>
        <v>0</v>
      </c>
      <c r="AA12" s="25" t="b">
        <f ca="1">VLOOKUP($P12,$E$18:$M$21,9,0)&lt;&gt;""</f>
        <v>0</v>
      </c>
      <c r="AB12" t="b">
        <f t="shared" ref="AB12:AB14" ca="1" si="9">SUMPRODUCT(1*(LEN($Z$18:$Z$35)&gt;0)*($P$18:$P$35=$P12))&gt;0</f>
        <v>0</v>
      </c>
      <c r="AC12" t="b">
        <f t="shared" ref="AC12:AC14" ca="1" si="10">SUMPRODUCT(1*(LEN($AE$18:$AE$35)&gt;0)*($P$18:$P$35=$P12))&gt;0</f>
        <v>0</v>
      </c>
      <c r="AD12" s="104" t="str">
        <f ca="1">IF($Z12,VLOOKUP($P12,$E$18:$M$21,8,0),IF($AA12,VLOOKUP($P12,$E$18:$M$21,9,0),IF($AB12,SUMIFS($Z$18:$Z$35,$P$18:$P$35,$P12),IF($AC12,SUMIFS($AE$18:$AE$35,$P$18:$P$35,$P12),""))))</f>
        <v/>
      </c>
      <c r="AE12" s="342" t="str">
        <f ca="1">IF(OR(AND($Y$11&gt;0,OR($B$8=$P12,$D$8=$P12)),AND($Y$12&gt;0,OR($B$9=$P12,$D$9=$P12))),SUMIF($B$8:$B$9,$P12,$J$8:$J$9)+SUMIF($D$8:$D$9,$P12,$L$8:$L$9),"")</f>
        <v/>
      </c>
    </row>
    <row r="13" spans="1:33" x14ac:dyDescent="0.25">
      <c r="B13" s="25"/>
      <c r="C13" s="25"/>
      <c r="D13" s="50"/>
      <c r="O13" s="32" t="s">
        <v>34</v>
      </c>
      <c r="P13" t="str">
        <f t="shared" ref="P13:U14" ca="1" si="11">INDEX(P$4:P$7,MATCH($V13,$V$4:$V$7,0))</f>
        <v>Serbien</v>
      </c>
      <c r="Q13" s="99">
        <f t="shared" ca="1" si="11"/>
        <v>0</v>
      </c>
      <c r="R13" s="25">
        <f t="shared" ca="1" si="11"/>
        <v>0</v>
      </c>
      <c r="S13" s="25">
        <f t="shared" ca="1" si="8"/>
        <v>0</v>
      </c>
      <c r="T13" s="25">
        <f t="shared" ca="1" si="8"/>
        <v>0</v>
      </c>
      <c r="U13" s="25">
        <f t="shared" ca="1" si="11"/>
        <v>0</v>
      </c>
      <c r="V13" s="355">
        <f ca="1">LARGE($V$4:$V$7,ROW(A3))</f>
        <v>50000.000000200002</v>
      </c>
      <c r="Z13" s="208" t="b">
        <f ca="1">VLOOKUP($P13,$E$18:$M$21,8,0)&lt;&gt;""</f>
        <v>0</v>
      </c>
      <c r="AA13" s="25" t="b">
        <f ca="1">VLOOKUP($P13,$E$18:$M$21,9,0)&lt;&gt;""</f>
        <v>0</v>
      </c>
      <c r="AB13" t="b">
        <f t="shared" ca="1" si="9"/>
        <v>0</v>
      </c>
      <c r="AC13" t="b">
        <f t="shared" ca="1" si="10"/>
        <v>0</v>
      </c>
      <c r="AD13" s="104" t="str">
        <f ca="1">IF($Z13,VLOOKUP($P13,$E$18:$M$21,8,0),IF($AA13,VLOOKUP($P13,$E$18:$M$21,9,0),IF($AB13,SUMIFS($Z$18:$Z$35,$P$18:$P$35,$P13),IF($AC13,SUMIFS($AE$18:$AE$35,$P$18:$P$35,$P13),""))))</f>
        <v/>
      </c>
      <c r="AE13" s="342" t="str">
        <f ca="1">IF(OR(AND($Y$11&gt;0,OR($B$8=$P13,$D$8=$P13)),AND($Y$12&gt;0,OR($B$9=$P13,$D$9=$P13))),SUMIF($B$8:$B$9,$P13,$J$8:$J$9)+SUMIF($D$8:$D$9,$P13,$L$8:$L$9),"")</f>
        <v/>
      </c>
    </row>
    <row r="14" spans="1:33" ht="15.75" thickBot="1" x14ac:dyDescent="0.3">
      <c r="B14" s="25"/>
      <c r="C14" s="25"/>
      <c r="D14" s="50"/>
      <c r="F14" s="25"/>
      <c r="G14" s="5"/>
      <c r="O14" s="31" t="s">
        <v>35</v>
      </c>
      <c r="P14" s="30" t="str">
        <f t="shared" ca="1" si="11"/>
        <v>England</v>
      </c>
      <c r="Q14" s="178">
        <f t="shared" ca="1" si="11"/>
        <v>0</v>
      </c>
      <c r="R14" s="29">
        <f t="shared" ca="1" si="11"/>
        <v>0</v>
      </c>
      <c r="S14" s="29">
        <f t="shared" ca="1" si="8"/>
        <v>0</v>
      </c>
      <c r="T14" s="29">
        <f t="shared" ca="1" si="8"/>
        <v>0</v>
      </c>
      <c r="U14" s="29">
        <f t="shared" ca="1" si="11"/>
        <v>0</v>
      </c>
      <c r="V14" s="356">
        <f ca="1">LARGE($V$4:$V$7,ROW(A4))</f>
        <v>50000.000000100001</v>
      </c>
      <c r="Z14" s="209" t="b">
        <f ca="1">VLOOKUP($P14,$E$18:$M$21,8,0)&lt;&gt;""</f>
        <v>0</v>
      </c>
      <c r="AA14" s="210" t="b">
        <f ca="1">VLOOKUP($P14,$E$18:$M$21,9,0)&lt;&gt;""</f>
        <v>0</v>
      </c>
      <c r="AB14" s="211" t="b">
        <f t="shared" ca="1" si="9"/>
        <v>0</v>
      </c>
      <c r="AC14" s="211" t="b">
        <f t="shared" ca="1" si="10"/>
        <v>0</v>
      </c>
      <c r="AD14" s="340" t="str">
        <f ca="1">IF($Z14,VLOOKUP($P14,$E$18:$M$21,8,0),IF($AA14,VLOOKUP($P14,$E$18:$M$21,9,0),IF($AB14,SUMIFS($Z$18:$Z$35,$P$18:$P$35,$P14),IF($AC14,SUMIFS($AE$18:$AE$35,$P$18:$P$35,$P14),""))))</f>
        <v/>
      </c>
      <c r="AE14" s="343" t="str">
        <f ca="1">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572" t="s">
        <v>464</v>
      </c>
      <c r="H16" s="572"/>
      <c r="I16" s="572"/>
      <c r="J16" s="572"/>
      <c r="K16" s="572"/>
      <c r="L16" s="572"/>
      <c r="M16" s="55"/>
      <c r="N16" s="55"/>
      <c r="W16" s="563" t="s">
        <v>465</v>
      </c>
      <c r="X16" s="563"/>
      <c r="Y16" s="563"/>
      <c r="Z16" s="563"/>
      <c r="AD16" s="563" t="s">
        <v>466</v>
      </c>
      <c r="AE16" s="563"/>
      <c r="AF16" s="212" t="b">
        <f ca="1">AND($Q$4=$Q$5,$Q$4=$Q$6,$Q$4=$Q$7)</f>
        <v>1</v>
      </c>
    </row>
    <row r="17" spans="2:31" ht="16.5" thickTop="1" thickBot="1" x14ac:dyDescent="0.3">
      <c r="B17" s="25"/>
      <c r="C17" s="25"/>
      <c r="D17" s="25"/>
      <c r="G17" s="338"/>
      <c r="H17" s="33" t="str">
        <f>LEFT($P$4,3)</f>
        <v>Slo</v>
      </c>
      <c r="I17" s="33" t="str">
        <f>LEFT($P$5,3)</f>
        <v>Dän</v>
      </c>
      <c r="J17" s="33" t="str">
        <f>LEFT($P$6,3)</f>
        <v>Ser</v>
      </c>
      <c r="K17" s="101" t="str">
        <f>LEFT($P$7,3)</f>
        <v>Eng</v>
      </c>
      <c r="L17" s="46" t="s">
        <v>463</v>
      </c>
      <c r="M17" s="46" t="s">
        <v>472</v>
      </c>
      <c r="N17" s="46"/>
      <c r="Q17" s="46" t="s">
        <v>191</v>
      </c>
      <c r="R17" s="46" t="s">
        <v>190</v>
      </c>
      <c r="S17" s="46" t="s">
        <v>1087</v>
      </c>
      <c r="T17" s="46" t="s">
        <v>1088</v>
      </c>
      <c r="U17" s="46"/>
      <c r="V17" s="46" t="s">
        <v>197</v>
      </c>
      <c r="W17" s="46" t="s">
        <v>674</v>
      </c>
      <c r="X17" s="55" t="s">
        <v>467</v>
      </c>
      <c r="Y17" s="46" t="s">
        <v>471</v>
      </c>
      <c r="Z17" s="46" t="s">
        <v>471</v>
      </c>
      <c r="AA17" s="564" t="s">
        <v>462</v>
      </c>
      <c r="AB17" s="564"/>
      <c r="AC17" s="564"/>
      <c r="AD17" s="55" t="s">
        <v>469</v>
      </c>
      <c r="AE17" s="46" t="s">
        <v>470</v>
      </c>
    </row>
    <row r="18" spans="2:31" ht="15.75" thickTop="1" x14ac:dyDescent="0.25">
      <c r="B18" s="25"/>
      <c r="C18" s="25"/>
      <c r="D18" s="25"/>
      <c r="E18" s="568" t="str">
        <f>$P$4</f>
        <v>Slowenien</v>
      </c>
      <c r="F18" s="569"/>
      <c r="G18" s="569"/>
      <c r="H18" s="100"/>
      <c r="I18" s="33">
        <f ca="1">SUMIFS($E$4:$E$9,$B$4:$B$9,$P$4,$D$4:$D$9,$P$5)+SUMIFS($G$4:$G$9,$B$4:$B$9,$P$5,$D$4:$D$9,$P$4)</f>
        <v>0</v>
      </c>
      <c r="J18" s="33">
        <f ca="1">SUMIFS($E$4:$E$9,$B$4:$B$9,$P$4,$D$4:$D$9,$P$6)+SUMIFS($G$4:$G$9,$B$4:$B$9,$P$6,$D$4:$D$9,$P$4)</f>
        <v>0</v>
      </c>
      <c r="K18" s="101">
        <f ca="1">SUMIFS($E$4:$E$9,$B$4:$B$9,$P$4,$D$4:$D$9,$P$7)+SUMIFS($G$4:$G$9,$B$4:$B$9,$P$7,$D$4:$D$9,$P$4)</f>
        <v>0</v>
      </c>
      <c r="L18" s="64" t="str">
        <f ca="1">IF(AND($Q$4=$Q$5,$Q$4&lt;&gt;$Q$6,$Q$4&lt;&gt;$Q$7),IF(I18&gt;H19,3,IF(I18=H19,1,0)),IF(AND($Q$4=$Q$6,$Q$4&lt;&gt;$Q$5,$Q$4&lt;&gt;$Q$7),IF(J18&gt;H20,3,IF(J18=H20,1,0)),IF(AND($Q$4=$Q$7,$Q$4&lt;&gt;$Q$5,$Q$4&lt;&gt;$Q$6),IF(K18&gt;H21,3,IF(K18=H21,1,0)),"")))</f>
        <v/>
      </c>
      <c r="M18" s="64" t="str">
        <f ca="1">IF($AF$16,IF(AND($AD$4=$AD$5,$AD$4&lt;&gt;$AD$6,$AD$4&lt;&gt;$AD$7),IF(I18&gt;H19,3,IF(I18=H19,1,0)),IF(AND($AD$4&lt;&gt;$AD$5,$AD$4=$AD$6,$AD$4&lt;&gt;$AD$7),IF(J18&gt;H20,3,IF(J18=H20,1,0)),IF(AND($AD$4&lt;&gt;$AD$5,$AD$4&lt;&gt;$AD$6,$AD$4=$AD$7),IF(K18&gt;H21,3,IF(K18=H21,1,0)),""))),"")</f>
        <v/>
      </c>
      <c r="N18" s="25"/>
      <c r="O18" s="25" t="s">
        <v>32</v>
      </c>
      <c r="P18" t="str">
        <f>$P$4</f>
        <v>Slowenien</v>
      </c>
      <c r="Q18" s="25">
        <f ca="1">SUMIFS($H$4:$H$9,$B$4:$B$9,$P18,$D$4:$D$9,"&lt;&gt;"&amp;$P$21)+SUMIFS($I$4:$I$9,$B$4:$B$9,"&lt;&gt;"&amp;$P$21,$D$4:$D$9,$P18)</f>
        <v>0</v>
      </c>
      <c r="R18" s="25">
        <f ca="1">S18-T18</f>
        <v>0</v>
      </c>
      <c r="S18" s="25">
        <f ca="1">SUMIFS($E$4:$E$9,$B$4:$B$9,$P18,$D$4:$D$9,"&lt;&gt;"&amp;$P$21)+SUMIFS($G$4:$G$9,$B$4:$B$9,"&lt;&gt;"&amp;$P$21,$D$4:$D$9,$P18)</f>
        <v>0</v>
      </c>
      <c r="T18" s="25">
        <f ca="1">SUMIFS($G$4:$G$9,$B$4:$B$9,$P18,$D$4:$D$9,"&lt;&gt;"&amp;$P$21)+SUMIFS($E$4:$E$9,$B$4:$B$9,"&lt;&gt;"&amp;$P$21,$D$4:$D$9,$P18)</f>
        <v>0</v>
      </c>
      <c r="U18" s="25"/>
      <c r="V18" s="202">
        <f ca="1">Q18*FactorPts+(GDzero+R18)*FactorGD+S18*FactorFor</f>
        <v>50000</v>
      </c>
      <c r="W18" s="25">
        <f ca="1">RANK(V18,V$18:V$20,1)</f>
        <v>1</v>
      </c>
      <c r="X18" s="25">
        <f ca="1">IF(AND($Q$4=$Q$5,$Q$4=$Q$6,$Q$4&lt;&gt;$Q$7),W18,0)</f>
        <v>0</v>
      </c>
      <c r="Y18" s="25" t="str">
        <f ca="1">IF(AND(V18=V19,V18&lt;&gt;V20),IF(AA18&gt;AA19,3,IF(AA18=AA19,1,0)),IF(AND(V18=V20,V18&lt;&gt;V19),IF(AB18&gt;AB20,3,IF(AB18=AB20,1,0)),""))</f>
        <v/>
      </c>
      <c r="Z18" s="25" t="str">
        <f ca="1">IF(X18&gt;0,Y18,"")</f>
        <v/>
      </c>
      <c r="AA18" s="188">
        <f ca="1">$I$18</f>
        <v>0</v>
      </c>
      <c r="AB18" s="189">
        <f ca="1">$J$18</f>
        <v>0</v>
      </c>
      <c r="AC18" s="190"/>
      <c r="AD18" s="25">
        <f ca="1">IF(AND($AF$16,$AD$4=$AD$5,$AD$4=$AD$6,$AD$4&lt;&gt;$AD$7),W18,0)</f>
        <v>0</v>
      </c>
      <c r="AE18" s="25" t="str">
        <f ca="1">IF(AD18&gt;0,Y18,"")</f>
        <v/>
      </c>
    </row>
    <row r="19" spans="2:31" x14ac:dyDescent="0.25">
      <c r="B19" s="25"/>
      <c r="C19" s="25"/>
      <c r="D19" s="25"/>
      <c r="E19" s="570" t="str">
        <f>$P$5</f>
        <v>Dänemark</v>
      </c>
      <c r="F19" s="571"/>
      <c r="G19" s="571"/>
      <c r="H19" s="32">
        <f ca="1">SUMIFS($E$4:$E$9,$B$4:$B$9,$P$5,$D$4:$D$9,$P$4)+SUMIFS($G$4:$G$9,$B$4:$B$9,$P$4,$D$4:$D$9,$P$5)</f>
        <v>0</v>
      </c>
      <c r="I19" s="69"/>
      <c r="J19" s="25">
        <f ca="1">SUMIFS($E$4:$E$9,$B$4:$B$9,$P$5,$D$4:$D$9,$P$6)+SUMIFS($G$4:$G$9,$B$4:$B$9,$P$6,$D$4:$D$9,$P$5)</f>
        <v>0</v>
      </c>
      <c r="K19" s="47">
        <f ca="1">SUMIFS($E$4:$E$9,$B$4:$B$9,$P$5,$D$4:$D$9,$P$7)+SUMIFS($G$4:$G$9,$B$4:$B$9,$P$7,$D$4:$D$9,$P$5)</f>
        <v>0</v>
      </c>
      <c r="L19" s="65" t="str">
        <f ca="1">IF(AND($Q$5=$Q$4,$Q$5&lt;&gt;$Q$6,$Q$5&lt;&gt;$Q$7),IF(H19&gt;I18,3,IF(H19=I18,1,0)),IF(AND($Q$5=$Q$6,$Q$5&lt;&gt;$Q$4,$Q$5&lt;&gt;$Q$7),IF(J19&gt;I20,3,IF(J19=I20,1,0)),IF(AND($Q$5=$Q$7,$Q$5&lt;&gt;$Q$4,$Q$5&lt;&gt;$Q$6),IF(K19&gt;I21,3,IF(K19=I21,1,0)),"")))</f>
        <v/>
      </c>
      <c r="M19" s="65" t="str">
        <f ca="1">IF($AF$16,IF(AND($AD$5=$AD$4,$AD$5&lt;&gt;$AD$6,$AD$5&lt;&gt;$AD$7),IF(H19&gt;I18,3,IF(H19=I18,1,0)),IF(AND($AD$5&lt;&gt;$AD$4,$AD$5=$AD$6,$AD$5&lt;&gt;$AD$7),IF(J19&gt;I20,3,IF(J19=I20,1,0)),IF(AND($AD$5&lt;&gt;$AD$4,$AD$5&lt;&gt;$AD$6,$AD$5=$AD$7),IF(K19&gt;I21,3,IF(K19=I21,1,0)),""))),"")</f>
        <v/>
      </c>
      <c r="N19" s="25"/>
      <c r="O19" s="25" t="s">
        <v>33</v>
      </c>
      <c r="P19" t="str">
        <f>$P$5</f>
        <v>Dänemark</v>
      </c>
      <c r="Q19" s="25">
        <f ca="1">SUMIFS($H$4:$H$9,$B$4:$B$9,$P19,$D$4:$D$9,"&lt;&gt;"&amp;$P$21)+SUMIFS($I$4:$I$9,$B$4:$B$9,"&lt;&gt;"&amp;$P$21,$D$4:$D$9,$P19)</f>
        <v>0</v>
      </c>
      <c r="R19" s="25">
        <f ca="1">S19-T19</f>
        <v>0</v>
      </c>
      <c r="S19" s="25">
        <f ca="1">SUMIFS($E$4:$E$9,$B$4:$B$9,$P19,$D$4:$D$9,"&lt;&gt;"&amp;$P$21)+SUMIFS($G$4:$G$9,$B$4:$B$9,"&lt;&gt;"&amp;$P$21,$D$4:$D$9,$P19)</f>
        <v>0</v>
      </c>
      <c r="T19" s="25">
        <f ca="1">SUMIFS($G$4:$G$9,$B$4:$B$9,$P19,$D$4:$D$9,"&lt;&gt;"&amp;$P$21)+SUMIFS($E$4:$E$9,$B$4:$B$9,"&lt;&gt;"&amp;$P$21,$D$4:$D$9,$P19)</f>
        <v>0</v>
      </c>
      <c r="U19" s="25"/>
      <c r="V19" s="202">
        <f ca="1">Q19*FactorPts+(GDzero+R19)*FactorGD+S19*FactorFor</f>
        <v>50000</v>
      </c>
      <c r="W19" s="25">
        <f ca="1">RANK(V19,V$18:V$20,1)</f>
        <v>1</v>
      </c>
      <c r="X19" s="25">
        <f ca="1">IF(AND($Q$4=$Q$5,$Q$4=$Q$6,$Q$4&lt;&gt;$Q$7),W19,0)</f>
        <v>0</v>
      </c>
      <c r="Y19" s="25" t="str">
        <f ca="1">IF(AND(V19=V18,V19&lt;&gt;V20),IF(AA19&gt;AA18,3,IF(AA19=AA18,1,0)),IF(AND(V19=V20,V19&lt;&gt;V18),IF(AC19&gt;AC20,3,IF(AC19=AC20,1,0)),""))</f>
        <v/>
      </c>
      <c r="Z19" s="25" t="str">
        <f t="shared" ref="Z19:Z20" ca="1" si="12">IF(X19&gt;0,Y19,"")</f>
        <v/>
      </c>
      <c r="AA19" s="191">
        <f ca="1">$H$19</f>
        <v>0</v>
      </c>
      <c r="AB19" s="25"/>
      <c r="AC19" s="204">
        <f ca="1">$J$19</f>
        <v>0</v>
      </c>
      <c r="AD19" s="25">
        <f ca="1">IF(AND($AF$16,$AD$4=$AD$5,$AD$4=$AD$6,$AD$4&lt;&gt;$AD$7),W19,0)</f>
        <v>0</v>
      </c>
      <c r="AE19" s="25" t="str">
        <f t="shared" ref="AE19:AE20" ca="1" si="13">IF(AD19&gt;0,Y19,"")</f>
        <v/>
      </c>
    </row>
    <row r="20" spans="2:31" x14ac:dyDescent="0.25">
      <c r="E20" s="570" t="str">
        <f>$P$6</f>
        <v>Serbien</v>
      </c>
      <c r="F20" s="571"/>
      <c r="G20" s="571"/>
      <c r="H20" s="32">
        <f ca="1">SUMIFS($E$4:$E$9,$B$4:$B$9,$P$6,$D$4:$D$9,$P$4)+SUMIFS($G$4:$G$9,$B$4:$B$9,$P$4,$D$4:$D$9,$P$6)</f>
        <v>0</v>
      </c>
      <c r="I20" s="25">
        <f ca="1">SUMIFS($E$4:$E$9,$B$4:$B$9,$P$6,$D$4:$D$9,$P$5)+SUMIFS($G$4:$G$9,$B$4:$B$9,$P$5,$D$4:$D$9,$P$6)</f>
        <v>0</v>
      </c>
      <c r="J20" s="69"/>
      <c r="K20" s="47">
        <f ca="1">SUMIFS($E$4:$E$9,$B$4:$B$9,$P$6,$D$4:$D$9,$P$7)+SUMIFS($G$4:$G$9,$B$4:$B$9,$P$7,$D$4:$D$9,$P$6)</f>
        <v>0</v>
      </c>
      <c r="L20" s="65" t="str">
        <f ca="1">IF(AND($Q$6=$Q$4,$Q$6&lt;&gt;$Q$5,$Q$6&lt;&gt;$Q$7),IF(H20&gt;J18,3,IF(H20=J18,1,0)),IF(AND($Q$6=$Q$5,$Q$6&lt;&gt;$Q$4,$Q$6&lt;&gt;$Q$7),IF(I20&gt;J19,3,IF(I20=J19,1,0)),IF(AND($Q$6=$Q$7,$Q$6&lt;&gt;$Q$4,$Q$6&lt;&gt;$Q$5),IF(K20&gt;J21,3,IF(K20=J21,1,0)),"")))</f>
        <v/>
      </c>
      <c r="M20" s="65" t="str">
        <f ca="1">IF($AF$16,IF(AND($AD$6=$AD$4,$AD$6&lt;&gt;$AD$5,$AD$6&lt;&gt;$AD$7),IF(H20&gt;J18,3,IF(H20=J18,1,0)),IF(AND($AD$6&lt;&gt;$AD$4,$AD$6=$AD$5,$AD$6&lt;&gt;$AD$7),IF(I20&gt;J19,3,IF(I20=J19,1,0)),IF(AND($AD$6&lt;&gt;$AD$4,$AD$6&lt;&gt;$AD$5,$AD$6=$AD$7),IF(K20&gt;J21,3,IF(K20=J21,1,0)),""))),"")</f>
        <v/>
      </c>
      <c r="N20" s="25"/>
      <c r="O20" s="25" t="s">
        <v>34</v>
      </c>
      <c r="P20" t="str">
        <f>$P$6</f>
        <v>Serbien</v>
      </c>
      <c r="Q20" s="25">
        <f ca="1">SUMIFS($H$4:$H$9,$B$4:$B$9,$P20,$D$4:$D$9,"&lt;&gt;"&amp;$P$21)+SUMIFS($I$4:$I$9,$B$4:$B$9,"&lt;&gt;"&amp;$P$21,$D$4:$D$9,$P20)</f>
        <v>0</v>
      </c>
      <c r="R20" s="25">
        <f ca="1">S20-T20</f>
        <v>0</v>
      </c>
      <c r="S20" s="25">
        <f ca="1">SUMIFS($E$4:$E$9,$B$4:$B$9,$P20,$D$4:$D$9,"&lt;&gt;"&amp;$P$21)+SUMIFS($G$4:$G$9,$B$4:$B$9,"&lt;&gt;"&amp;$P$21,$D$4:$D$9,$P20)</f>
        <v>0</v>
      </c>
      <c r="T20" s="25">
        <f ca="1">SUMIFS($G$4:$G$9,$B$4:$B$9,$P20,$D$4:$D$9,"&lt;&gt;"&amp;$P$21)+SUMIFS($E$4:$E$9,$B$4:$B$9,"&lt;&gt;"&amp;$P$21,$D$4:$D$9,$P20)</f>
        <v>0</v>
      </c>
      <c r="U20" s="25"/>
      <c r="V20" s="202">
        <f ca="1">Q20*FactorPts+(GDzero+R20)*FactorGD+S20*FactorFor</f>
        <v>50000</v>
      </c>
      <c r="W20" s="25">
        <f ca="1">RANK(V20,V$18:V$20,1)</f>
        <v>1</v>
      </c>
      <c r="X20" s="25">
        <f ca="1">IF(AND($Q$4=$Q$5,$Q$4=$Q$6,$Q$4&lt;&gt;$Q$7),W20,0)</f>
        <v>0</v>
      </c>
      <c r="Y20" s="25" t="str">
        <f ca="1">IF(AND(V20=V18,V20&lt;&gt;V19),IF(AB20&gt;AB18,3,IF(AB20=AB18,1,0)),IF(AND(V20=V19,V20&lt;&gt;V18),IF(AC20&gt;AC19,3,IF(AC20=AC19,1,0)),""))</f>
        <v/>
      </c>
      <c r="Z20" s="25" t="str">
        <f t="shared" ca="1" si="12"/>
        <v/>
      </c>
      <c r="AA20" s="191"/>
      <c r="AB20" s="25">
        <f ca="1">$H$20</f>
        <v>0</v>
      </c>
      <c r="AC20" s="204">
        <f ca="1">$I$20</f>
        <v>0</v>
      </c>
      <c r="AD20" s="25">
        <f ca="1">IF(AND($AF$16,$AD$4=$AD$5,$AD$4=$AD$6,$AD$4&lt;&gt;$AD$7),W20,0)</f>
        <v>0</v>
      </c>
      <c r="AE20" s="25" t="str">
        <f t="shared" ca="1" si="13"/>
        <v/>
      </c>
    </row>
    <row r="21" spans="2:31" ht="15.75" thickBot="1" x14ac:dyDescent="0.3">
      <c r="B21" s="36"/>
      <c r="C21" s="25"/>
      <c r="E21" s="565" t="str">
        <f>$P$7</f>
        <v>England</v>
      </c>
      <c r="F21" s="566"/>
      <c r="G21" s="566"/>
      <c r="H21" s="31">
        <f ca="1">SUMIFS($E$4:$E$9,$B$4:$B$9,$P$7,$D$4:$D$9,$P$4)+SUMIFS($G$4:$G$9,$B$4:$B$9,$P$4,$D$4:$D$9,$P$7)</f>
        <v>0</v>
      </c>
      <c r="I21" s="29">
        <f ca="1">SUMIFS($E$4:$E$9,$B$4:$B$9,$P$7,$D$4:$D$9,$P$5)+SUMIFS($G$4:$G$9,$B$4:$B$9,$P$5,$D$4:$D$9,$P$7)</f>
        <v>0</v>
      </c>
      <c r="J21" s="29">
        <f ca="1">SUMIFS($E$4:$E$9,$B$4:$B$9,$P$7,$D$4:$D$9,$P$6)+SUMIFS($G$4:$G$9,$B$4:$B$9,$P$6,$D$4:$D$9,$P$7)</f>
        <v>0</v>
      </c>
      <c r="K21" s="70"/>
      <c r="L21" s="66" t="str">
        <f ca="1">IF(AND($Q$7=$Q$4,$Q$7&lt;&gt;$Q$5,$Q$7&lt;&gt;$Q$6),IF(H21&gt;K18,3,IF(H21=K18,1,0)),IF(AND($Q$7=$Q$5,$Q$7&lt;&gt;$Q$4,$Q$7&lt;&gt;$Q$6),IF(I21&gt;K19,3,IF(I21=K19,1,0)),IF(AND($Q$7=$Q$6,$Q$7&lt;&gt;$Q$4,$Q$7&lt;&gt;$Q$5),IF(J21&gt;K20,3,IF(J21=K20,1,0)),"")))</f>
        <v/>
      </c>
      <c r="M21" s="66" t="str">
        <f ca="1">IF($AF$16,IF(AND($AD$7=$AD$4,$AD$7&lt;&gt;$AD$5,$AD$7&lt;&gt;$AD$6),IF(H21&gt;K18,3,IF(H21=K18,1,0)),IF(AND($AD$7&lt;&gt;$AD$4,$AD$7=$AD$5,$AD$7&lt;&gt;$AD$6),IF(I21&gt;K19,3,IF(I21=K19,1,0)),IF(AND($AD$7&lt;&gt;$AD$4,$AD$7&lt;&gt;$AD$5,$AD$7=$AD$6),IF(J21&gt;K20,3,IF(J21=K20,1,0)),""))),"")</f>
        <v/>
      </c>
      <c r="N21" s="25"/>
      <c r="P21" s="28" t="str">
        <f>$P$7</f>
        <v>England</v>
      </c>
      <c r="Q21" s="197"/>
      <c r="R21" s="197"/>
      <c r="S21" s="197"/>
      <c r="T21" s="197"/>
      <c r="U21" s="197"/>
      <c r="V21" s="198"/>
      <c r="W21" s="198"/>
      <c r="X21" s="197"/>
      <c r="Y21" s="197"/>
      <c r="Z21" s="197"/>
      <c r="AA21" s="199"/>
      <c r="AB21" s="197"/>
      <c r="AC21" s="200"/>
      <c r="AD21" s="198"/>
      <c r="AE21" s="197"/>
    </row>
    <row r="22" spans="2:31" ht="15.75" thickTop="1" x14ac:dyDescent="0.25">
      <c r="B22" s="36"/>
      <c r="C22" s="25"/>
      <c r="F22" s="25"/>
      <c r="G22" s="5"/>
      <c r="L22" s="46"/>
      <c r="Q22" s="198"/>
      <c r="R22" s="198"/>
      <c r="S22" s="198"/>
      <c r="T22" s="198"/>
      <c r="U22" s="198"/>
      <c r="V22" s="198"/>
      <c r="W22" s="198"/>
      <c r="X22" s="197"/>
      <c r="Y22" s="197"/>
      <c r="Z22" s="197"/>
      <c r="AA22" s="199"/>
      <c r="AB22" s="197"/>
      <c r="AC22" s="200"/>
      <c r="AD22" s="198"/>
      <c r="AE22" s="197"/>
    </row>
    <row r="23" spans="2:31" x14ac:dyDescent="0.25">
      <c r="B23" s="36"/>
      <c r="C23" s="25"/>
      <c r="O23" s="25" t="s">
        <v>32</v>
      </c>
      <c r="P23" t="str">
        <f>$P$4</f>
        <v>Slowenien</v>
      </c>
      <c r="Q23" s="25">
        <f ca="1">SUMIFS($H$4:$H$9,$B$4:$B$9,$P23,$D$4:$D$9,"&lt;&gt;"&amp;$P$26)+SUMIFS($I$4:$I$9,$B$4:$B$9,"&lt;&gt;"&amp;$P$26,$D$4:$D$9,$P23)</f>
        <v>0</v>
      </c>
      <c r="R23" s="25">
        <f ca="1">S23-T23</f>
        <v>0</v>
      </c>
      <c r="S23" s="25">
        <f ca="1">SUMIFS($E$4:$E$9,$B$4:$B$9,$P23,$D$4:$D$9,"&lt;&gt;"&amp;$P$26)+SUMIFS($G$4:$G$9,$B$4:$B$9,"&lt;&gt;"&amp;$P$26,$D$4:$D$9,$P23)</f>
        <v>0</v>
      </c>
      <c r="T23" s="25">
        <f ca="1">SUMIFS($G$4:$G$9,$B$4:$B$9,$P23,$D$4:$D$9,"&lt;&gt;"&amp;$P$26)+SUMIFS($E$4:$E$9,$B$4:$B$9,"&lt;&gt;"&amp;$P$26,$D$4:$D$9,$P23)</f>
        <v>0</v>
      </c>
      <c r="U23" s="25"/>
      <c r="V23" s="202">
        <f ca="1">Q23*FactorPts+(GDzero+R23)*FactorGD+S23*FactorFor</f>
        <v>50000</v>
      </c>
      <c r="W23" s="25">
        <f ca="1">RANK(V23,V$23:V$25,1)</f>
        <v>1</v>
      </c>
      <c r="X23" s="25">
        <f ca="1">IF(AND($Q$4=$Q$5,$Q$4=$Q$7,$Q$4&lt;&gt;$Q$6),W23,0)</f>
        <v>0</v>
      </c>
      <c r="Y23" s="25" t="str">
        <f ca="1">IF(AND(V23=V24,V23&lt;&gt;V25),IF(AA23&gt;AA24,3,IF(AA23=AA24,1,0)),IF(AND(V23=V25,V23&lt;&gt;V24),IF(AB23&gt;AB25,3,IF(AB23=AB25,1,0)),""))</f>
        <v/>
      </c>
      <c r="Z23" s="25" t="str">
        <f ca="1">IF(X23&gt;0,Y23,"")</f>
        <v/>
      </c>
      <c r="AA23" s="191">
        <f ca="1">$I$18</f>
        <v>0</v>
      </c>
      <c r="AB23" s="25">
        <f ca="1">$K$18</f>
        <v>0</v>
      </c>
      <c r="AC23" s="204"/>
      <c r="AD23" s="25">
        <f ca="1">IF(AND($AF$16,$AD$4=$AD$5,$AD$4=$AD$7,$AD$4&lt;&gt;$AD$6),W23,0)</f>
        <v>0</v>
      </c>
      <c r="AE23" s="25" t="str">
        <f ca="1">IF(AD23&gt;0,Y23,"")</f>
        <v/>
      </c>
    </row>
    <row r="24" spans="2:31" x14ac:dyDescent="0.25">
      <c r="B24" s="36"/>
      <c r="C24" s="25"/>
      <c r="O24" s="25" t="s">
        <v>33</v>
      </c>
      <c r="P24" t="str">
        <f>$P$5</f>
        <v>Dänemark</v>
      </c>
      <c r="Q24" s="25">
        <f ca="1">SUMIFS($H$4:$H$9,$B$4:$B$9,$P24,$D$4:$D$9,"&lt;&gt;"&amp;$P$26)+SUMIFS($I$4:$I$9,$B$4:$B$9,"&lt;&gt;"&amp;$P$26,$D$4:$D$9,$P24)</f>
        <v>0</v>
      </c>
      <c r="R24" s="25">
        <f ca="1">S24-T24</f>
        <v>0</v>
      </c>
      <c r="S24" s="25">
        <f ca="1">SUMIFS($E$4:$E$9,$B$4:$B$9,$P24,$D$4:$D$9,"&lt;&gt;"&amp;$P$26)+SUMIFS($G$4:$G$9,$B$4:$B$9,"&lt;&gt;"&amp;$P$26,$D$4:$D$9,$P24)</f>
        <v>0</v>
      </c>
      <c r="T24" s="25">
        <f ca="1">SUMIFS($G$4:$G$9,$B$4:$B$9,$P24,$D$4:$D$9,"&lt;&gt;"&amp;$P$26)+SUMIFS($E$4:$E$9,$B$4:$B$9,"&lt;&gt;"&amp;$P$26,$D$4:$D$9,$P24)</f>
        <v>0</v>
      </c>
      <c r="U24" s="25"/>
      <c r="V24" s="202">
        <f ca="1">Q24*FactorPts+(GDzero+R24)*FactorGD+S24*FactorFor</f>
        <v>50000</v>
      </c>
      <c r="W24" s="25">
        <f ca="1">RANK(V24,V$23:V$25,1)</f>
        <v>1</v>
      </c>
      <c r="X24" s="25">
        <f ca="1">IF(AND($Q$4=$Q$5,$Q$4=$Q$7,$Q$4&lt;&gt;$Q$6),W24,0)</f>
        <v>0</v>
      </c>
      <c r="Y24" s="25" t="str">
        <f ca="1">IF(AND(V24=V23,V24&lt;&gt;V25),IF(AA24&gt;AA23,3,IF(AA24=AA23,1,0)),IF(AND(V24=V25,V24&lt;&gt;V23),IF(AC24&gt;AC25,3,IF(AC24=AC25,1,0)),""))</f>
        <v/>
      </c>
      <c r="Z24" s="25" t="str">
        <f t="shared" ref="Z24:Z25" ca="1" si="14">IF(X24&gt;0,Y24,"")</f>
        <v/>
      </c>
      <c r="AA24" s="191">
        <f ca="1">$H$19</f>
        <v>0</v>
      </c>
      <c r="AB24" s="25"/>
      <c r="AC24" s="204">
        <f ca="1">$K$19</f>
        <v>0</v>
      </c>
      <c r="AD24" s="25">
        <f ca="1">IF(AND($AF$16,$AD$4=$AD$5,$AD$4=$AD$7,$AD$4&lt;&gt;$AD$6),W24,0)</f>
        <v>0</v>
      </c>
      <c r="AE24" s="25" t="str">
        <f t="shared" ref="AE24:AE25" ca="1" si="15">IF(AD24&gt;0,Y24,"")</f>
        <v/>
      </c>
    </row>
    <row r="25" spans="2:31" x14ac:dyDescent="0.25">
      <c r="B25" s="36"/>
      <c r="C25" s="25"/>
      <c r="O25" s="25" t="s">
        <v>34</v>
      </c>
      <c r="P25" t="str">
        <f>$P$7</f>
        <v>England</v>
      </c>
      <c r="Q25" s="25">
        <f ca="1">SUMIFS($H$4:$H$9,$B$4:$B$9,$P25,$D$4:$D$9,"&lt;&gt;"&amp;$P$26)+SUMIFS($I$4:$I$9,$B$4:$B$9,"&lt;&gt;"&amp;$P$26,$D$4:$D$9,$P25)</f>
        <v>0</v>
      </c>
      <c r="R25" s="25">
        <f ca="1">S25-T25</f>
        <v>0</v>
      </c>
      <c r="S25" s="25">
        <f ca="1">SUMIFS($E$4:$E$9,$B$4:$B$9,$P25,$D$4:$D$9,"&lt;&gt;"&amp;$P$26)+SUMIFS($G$4:$G$9,$B$4:$B$9,"&lt;&gt;"&amp;$P$26,$D$4:$D$9,$P25)</f>
        <v>0</v>
      </c>
      <c r="T25" s="25">
        <f ca="1">SUMIFS($G$4:$G$9,$B$4:$B$9,$P25,$D$4:$D$9,"&lt;&gt;"&amp;$P$26)+SUMIFS($E$4:$E$9,$B$4:$B$9,"&lt;&gt;"&amp;$P$26,$D$4:$D$9,$P25)</f>
        <v>0</v>
      </c>
      <c r="U25" s="25"/>
      <c r="V25" s="202">
        <f ca="1">Q25*FactorPts+(GDzero+R25)*FactorGD+S25*FactorFor</f>
        <v>50000</v>
      </c>
      <c r="W25" s="25">
        <f ca="1">RANK(V25,V$23:V$25,1)</f>
        <v>1</v>
      </c>
      <c r="X25" s="25">
        <f ca="1">IF(AND($Q$4=$Q$5,$Q$4=$Q$7,$Q$4&lt;&gt;$Q$6),W25,0)</f>
        <v>0</v>
      </c>
      <c r="Y25" s="25" t="str">
        <f ca="1">IF(AND(V25=V23,V25&lt;&gt;V24),IF(AB25&gt;AB23,3,IF(AB25=AB23,1,0)),IF(AND(V25=V24,V25&lt;&gt;V23),IF(AC25&gt;AC24,3,IF(AC25=AC24,1,0)),""))</f>
        <v/>
      </c>
      <c r="Z25" s="25" t="str">
        <f t="shared" ca="1" si="14"/>
        <v/>
      </c>
      <c r="AA25" s="191"/>
      <c r="AB25" s="25">
        <f ca="1">$H$21</f>
        <v>0</v>
      </c>
      <c r="AC25" s="204">
        <f ca="1">$I$21</f>
        <v>0</v>
      </c>
      <c r="AD25" s="25">
        <f ca="1">IF(AND($AF$16,$AD$4=$AD$5,$AD$4=$AD$7,$AD$4&lt;&gt;$AD$6),W25,0)</f>
        <v>0</v>
      </c>
      <c r="AE25" s="25" t="str">
        <f t="shared" ca="1" si="15"/>
        <v/>
      </c>
    </row>
    <row r="26" spans="2:31" x14ac:dyDescent="0.25">
      <c r="B26" s="36"/>
      <c r="C26" s="25"/>
      <c r="P26" s="28" t="str">
        <f>$P$6</f>
        <v>Serbien</v>
      </c>
      <c r="Q26" s="197"/>
      <c r="R26" s="197"/>
      <c r="S26" s="197"/>
      <c r="T26" s="197"/>
      <c r="U26" s="197"/>
      <c r="V26" s="198"/>
      <c r="W26" s="198"/>
      <c r="X26" s="197"/>
      <c r="Y26" s="197"/>
      <c r="Z26" s="197"/>
      <c r="AA26" s="199"/>
      <c r="AB26" s="197"/>
      <c r="AC26" s="200"/>
      <c r="AD26" s="198"/>
      <c r="AE26" s="197"/>
    </row>
    <row r="27" spans="2:31" x14ac:dyDescent="0.25">
      <c r="Q27" s="198"/>
      <c r="R27" s="198"/>
      <c r="S27" s="198"/>
      <c r="T27" s="198"/>
      <c r="U27" s="198"/>
      <c r="V27" s="198"/>
      <c r="W27" s="198"/>
      <c r="X27" s="197"/>
      <c r="Y27" s="197"/>
      <c r="Z27" s="197"/>
      <c r="AA27" s="199"/>
      <c r="AB27" s="197"/>
      <c r="AC27" s="200"/>
      <c r="AD27" s="198"/>
      <c r="AE27" s="197"/>
    </row>
    <row r="28" spans="2:31" x14ac:dyDescent="0.25">
      <c r="O28" s="25" t="s">
        <v>32</v>
      </c>
      <c r="P28" t="str">
        <f>$P$4</f>
        <v>Slowenien</v>
      </c>
      <c r="Q28" s="25">
        <f ca="1">SUMIFS($H$4:$H$9,$B$4:$B$9,$P28,$D$4:$D$9,"&lt;&gt;"&amp;$P$31)+SUMIFS($I$4:$I$9,$B$4:$B$9,"&lt;&gt;"&amp;$P$31,$D$4:$D$9,$P28)</f>
        <v>0</v>
      </c>
      <c r="R28" s="25">
        <f ca="1">S28-T28</f>
        <v>0</v>
      </c>
      <c r="S28" s="25">
        <f ca="1">SUMIFS($E$4:$E$9,$B$4:$B$9,$P28,$D$4:$D$9,"&lt;&gt;"&amp;$P$31)+SUMIFS($G$4:$G$9,$B$4:$B$9,"&lt;&gt;"&amp;$P$31,$D$4:$D$9,$P28)</f>
        <v>0</v>
      </c>
      <c r="T28" s="25">
        <f ca="1">SUMIFS($G$4:$G$9,$B$4:$B$9,$P28,$D$4:$D$9,"&lt;&gt;"&amp;$P$31)+SUMIFS($E$4:$E$9,$B$4:$B$9,"&lt;&gt;"&amp;$P$31,$D$4:$D$9,$P28)</f>
        <v>0</v>
      </c>
      <c r="U28" s="25"/>
      <c r="V28" s="202">
        <f ca="1">Q28*FactorPts+(GDzero+R28)*FactorGD+S28*FactorFor</f>
        <v>50000</v>
      </c>
      <c r="W28" s="25">
        <f ca="1">RANK(V28,V$28:V$30,1)</f>
        <v>1</v>
      </c>
      <c r="X28" s="25">
        <f ca="1">IF(AND($Q$4=$Q$6,$Q$4=$Q$7,$Q$4&lt;&gt;$Q$5),W28,0)</f>
        <v>0</v>
      </c>
      <c r="Y28" s="25" t="str">
        <f ca="1">IF(AND(V28=V29,V28&lt;&gt;V30),IF(AA28&gt;AA29,3,IF(AA28=AA29,1,0)),IF(AND(V28=V30,V28&lt;&gt;V29),IF(AB28&gt;AB30,3,IF(AB28=AB30,1,0)),""))</f>
        <v/>
      </c>
      <c r="Z28" s="25" t="str">
        <f ca="1">IF(X28&gt;0,Y28,"")</f>
        <v/>
      </c>
      <c r="AA28" s="191">
        <f ca="1">$J$18</f>
        <v>0</v>
      </c>
      <c r="AB28" s="25">
        <f ca="1">$K$18</f>
        <v>0</v>
      </c>
      <c r="AC28" s="204"/>
      <c r="AD28" s="25">
        <f ca="1">IF(AND($AF$16,$AD$4=$AD$6,$AD$4=$AD$7,$AD$4&lt;&gt;$AD$5),W28,0)</f>
        <v>0</v>
      </c>
      <c r="AE28" s="25" t="str">
        <f ca="1">IF(AD28&gt;0,Y28,"")</f>
        <v/>
      </c>
    </row>
    <row r="29" spans="2:31" x14ac:dyDescent="0.25">
      <c r="O29" s="25" t="s">
        <v>33</v>
      </c>
      <c r="P29" t="str">
        <f>$P$6</f>
        <v>Serbien</v>
      </c>
      <c r="Q29" s="25">
        <f ca="1">SUMIFS($H$4:$H$9,$B$4:$B$9,$P29,$D$4:$D$9,"&lt;&gt;"&amp;$P$31)+SUMIFS($I$4:$I$9,$B$4:$B$9,"&lt;&gt;"&amp;$P$31,$D$4:$D$9,$P29)</f>
        <v>0</v>
      </c>
      <c r="R29" s="25">
        <f ca="1">S29-T29</f>
        <v>0</v>
      </c>
      <c r="S29" s="25">
        <f ca="1">SUMIFS($E$4:$E$9,$B$4:$B$9,$P29,$D$4:$D$9,"&lt;&gt;"&amp;$P$31)+SUMIFS($G$4:$G$9,$B$4:$B$9,"&lt;&gt;"&amp;$P$31,$D$4:$D$9,$P29)</f>
        <v>0</v>
      </c>
      <c r="T29" s="25">
        <f ca="1">SUMIFS($G$4:$G$9,$B$4:$B$9,$P29,$D$4:$D$9,"&lt;&gt;"&amp;$P$31)+SUMIFS($E$4:$E$9,$B$4:$B$9,"&lt;&gt;"&amp;$P$31,$D$4:$D$9,$P29)</f>
        <v>0</v>
      </c>
      <c r="U29" s="25"/>
      <c r="V29" s="202">
        <f ca="1">Q29*FactorPts+(GDzero+R29)*FactorGD+S29*FactorFor</f>
        <v>50000</v>
      </c>
      <c r="W29" s="25">
        <f ca="1">RANK(V29,V$28:V$30,1)</f>
        <v>1</v>
      </c>
      <c r="X29" s="25">
        <f ca="1">IF(AND($Q$4=$Q$6,$Q$4=$Q$7,$Q$4&lt;&gt;$Q$5),W29,0)</f>
        <v>0</v>
      </c>
      <c r="Y29" s="25" t="str">
        <f ca="1">IF(AND(V29=V28,V29&lt;&gt;V30),IF(AA29&gt;AA28,3,IF(AA29=AA28,1,0)),IF(AND(V29=V30,V29&lt;&gt;V28),IF(AC29&gt;AC30,3,IF(AC29=AC30,1,0)),""))</f>
        <v/>
      </c>
      <c r="Z29" s="25" t="str">
        <f t="shared" ref="Z29:Z30" ca="1" si="16">IF(X29&gt;0,Y29,"")</f>
        <v/>
      </c>
      <c r="AA29" s="191">
        <f ca="1">$H$20</f>
        <v>0</v>
      </c>
      <c r="AB29" s="25"/>
      <c r="AC29" s="204">
        <f ca="1">$K$20</f>
        <v>0</v>
      </c>
      <c r="AD29" s="25">
        <f ca="1">IF(AND($AF$16,$AD$4=$AD$6,$AD$4=$AD$7,$AD$4&lt;&gt;$AD$5),W29,0)</f>
        <v>0</v>
      </c>
      <c r="AE29" s="25" t="str">
        <f t="shared" ref="AE29:AE30" ca="1" si="17">IF(AD29&gt;0,Y29,"")</f>
        <v/>
      </c>
    </row>
    <row r="30" spans="2:31" x14ac:dyDescent="0.25">
      <c r="O30" s="25" t="s">
        <v>34</v>
      </c>
      <c r="P30" t="str">
        <f>$P$7</f>
        <v>England</v>
      </c>
      <c r="Q30" s="25">
        <f ca="1">SUMIFS($H$4:$H$9,$B$4:$B$9,$P30,$D$4:$D$9,"&lt;&gt;"&amp;$P$31)+SUMIFS($I$4:$I$9,$B$4:$B$9,"&lt;&gt;"&amp;$P$31,$D$4:$D$9,$P30)</f>
        <v>0</v>
      </c>
      <c r="R30" s="25">
        <f ca="1">S30-T30</f>
        <v>0</v>
      </c>
      <c r="S30" s="25">
        <f ca="1">SUMIFS($E$4:$E$9,$B$4:$B$9,$P30,$D$4:$D$9,"&lt;&gt;"&amp;$P$31)+SUMIFS($G$4:$G$9,$B$4:$B$9,"&lt;&gt;"&amp;$P$31,$D$4:$D$9,$P30)</f>
        <v>0</v>
      </c>
      <c r="T30" s="25">
        <f ca="1">SUMIFS($G$4:$G$9,$B$4:$B$9,$P30,$D$4:$D$9,"&lt;&gt;"&amp;$P$31)+SUMIFS($E$4:$E$9,$B$4:$B$9,"&lt;&gt;"&amp;$P$31,$D$4:$D$9,$P30)</f>
        <v>0</v>
      </c>
      <c r="U30" s="25"/>
      <c r="V30" s="202">
        <f ca="1">Q30*FactorPts+(GDzero+R30)*FactorGD+S30*FactorFor</f>
        <v>50000</v>
      </c>
      <c r="W30" s="25">
        <f ca="1">RANK(V30,V$28:V$30,1)</f>
        <v>1</v>
      </c>
      <c r="X30" s="25">
        <f ca="1">IF(AND($Q$4=$Q$6,$Q$4=$Q$7,$Q$4&lt;&gt;$Q$5),W30,0)</f>
        <v>0</v>
      </c>
      <c r="Y30" s="25" t="str">
        <f ca="1">IF(AND(V30=V28,V30&lt;&gt;V29),IF(AB30&gt;AB28,3,IF(AB30=AB28,1,0)),IF(AND(V30=V29,V30&lt;&gt;V28),IF(AC30&gt;AC29,3,IF(AC30=AC29,1,0)),""))</f>
        <v/>
      </c>
      <c r="Z30" s="25" t="str">
        <f t="shared" ca="1" si="16"/>
        <v/>
      </c>
      <c r="AA30" s="191"/>
      <c r="AB30" s="25">
        <f ca="1">$H$21</f>
        <v>0</v>
      </c>
      <c r="AC30" s="204">
        <f ca="1">$J$21</f>
        <v>0</v>
      </c>
      <c r="AD30" s="25">
        <f ca="1">IF(AND($AF$16,$AD$4=$AD$6,$AD$4=$AD$7,$AD$4&lt;&gt;$AD$5),W30,0)</f>
        <v>0</v>
      </c>
      <c r="AE30" s="25" t="str">
        <f t="shared" ca="1" si="17"/>
        <v/>
      </c>
    </row>
    <row r="31" spans="2:31" x14ac:dyDescent="0.25">
      <c r="P31" s="28" t="str">
        <f>$P$5</f>
        <v>Dänemark</v>
      </c>
      <c r="Q31" s="197"/>
      <c r="R31" s="197"/>
      <c r="S31" s="197"/>
      <c r="T31" s="197"/>
      <c r="U31" s="197"/>
      <c r="V31" s="198"/>
      <c r="W31" s="198"/>
      <c r="X31" s="197"/>
      <c r="Y31" s="197"/>
      <c r="Z31" s="197"/>
      <c r="AA31" s="199"/>
      <c r="AB31" s="197"/>
      <c r="AC31" s="200"/>
      <c r="AD31" s="198"/>
      <c r="AE31" s="197"/>
    </row>
    <row r="32" spans="2:31" x14ac:dyDescent="0.25">
      <c r="Q32" s="198"/>
      <c r="R32" s="198"/>
      <c r="S32" s="198"/>
      <c r="T32" s="198"/>
      <c r="U32" s="198"/>
      <c r="V32" s="198"/>
      <c r="W32" s="198"/>
      <c r="X32" s="197"/>
      <c r="Y32" s="197"/>
      <c r="Z32" s="197"/>
      <c r="AA32" s="199"/>
      <c r="AB32" s="197"/>
      <c r="AC32" s="200"/>
      <c r="AD32" s="198"/>
      <c r="AE32" s="197"/>
    </row>
    <row r="33" spans="15:31" x14ac:dyDescent="0.25">
      <c r="O33" s="25" t="s">
        <v>32</v>
      </c>
      <c r="P33" t="str">
        <f>$P$5</f>
        <v>Dänemark</v>
      </c>
      <c r="Q33" s="25">
        <f ca="1">SUMIFS($H$4:$H$9,$B$4:$B$9,$P33,$D$4:$D$9,"&lt;&gt;"&amp;$P$36)+SUMIFS($I$4:$I$9,$B$4:$B$9,"&lt;&gt;"&amp;$P$36,$D$4:$D$9,$P33)</f>
        <v>0</v>
      </c>
      <c r="R33" s="25">
        <f ca="1">S33-T33</f>
        <v>0</v>
      </c>
      <c r="S33" s="25">
        <f ca="1">SUMIFS($E$4:$E$9,$B$4:$B$9,$P33,$D$4:$D$9,"&lt;&gt;"&amp;$P$36)+SUMIFS($G$4:$G$9,$B$4:$B$9,"&lt;&gt;"&amp;$P$36,$D$4:$D$9,$P33)</f>
        <v>0</v>
      </c>
      <c r="T33" s="25">
        <f ca="1">SUMIFS($G$4:$G$9,$B$4:$B$9,$P33,$D$4:$D$9,"&lt;&gt;"&amp;$P$36)+SUMIFS($E$4:$E$9,$B$4:$B$9,"&lt;&gt;"&amp;$P$36,$D$4:$D$9,$P33)</f>
        <v>0</v>
      </c>
      <c r="U33" s="25"/>
      <c r="V33" s="202">
        <f ca="1">Q33*FactorPts+(GDzero+R33)*FactorGD+S33*FactorFor</f>
        <v>50000</v>
      </c>
      <c r="W33" s="25">
        <f ca="1">RANK(V33,V$33:V$35,1)</f>
        <v>1</v>
      </c>
      <c r="X33" s="25">
        <f ca="1">IF(AND($Q$5=$Q$6,$Q$5=$Q$7,$Q$5&lt;&gt;$Q$4),W33,0)</f>
        <v>0</v>
      </c>
      <c r="Y33" s="25" t="str">
        <f ca="1">IF(AND(V33=V34,V33&lt;&gt;V35),IF(AA33&gt;AA34,3,IF(AA33=AA34,1,0)),IF(AND(V33=V35,V33&lt;&gt;V34),IF(AB33&gt;AB35,3,IF(AB33=AB35,1,0)),""))</f>
        <v/>
      </c>
      <c r="Z33" s="25" t="str">
        <f ca="1">IF(X33&gt;0,Y33,"")</f>
        <v/>
      </c>
      <c r="AA33" s="191">
        <f ca="1">$J$19</f>
        <v>0</v>
      </c>
      <c r="AB33" s="25">
        <f ca="1">$K$19</f>
        <v>0</v>
      </c>
      <c r="AC33" s="204"/>
      <c r="AD33" s="25">
        <f ca="1">IF(AND($AF$16,$AD$5=$AD$6,$AD$5=$AD$7,$AD$5&lt;&gt;$AD$4),W33,0)</f>
        <v>0</v>
      </c>
      <c r="AE33" s="25" t="str">
        <f ca="1">IF(AD33&gt;0,Y33,"")</f>
        <v/>
      </c>
    </row>
    <row r="34" spans="15:31" x14ac:dyDescent="0.25">
      <c r="O34" s="25" t="s">
        <v>33</v>
      </c>
      <c r="P34" t="str">
        <f>$P$6</f>
        <v>Serbien</v>
      </c>
      <c r="Q34" s="25">
        <f ca="1">SUMIFS($H$4:$H$9,$B$4:$B$9,$P34,$D$4:$D$9,"&lt;&gt;"&amp;$P$36)+SUMIFS($I$4:$I$9,$B$4:$B$9,"&lt;&gt;"&amp;$P$36,$D$4:$D$9,$P34)</f>
        <v>0</v>
      </c>
      <c r="R34" s="25">
        <f ca="1">S34-T34</f>
        <v>0</v>
      </c>
      <c r="S34" s="25">
        <f ca="1">SUMIFS($E$4:$E$9,$B$4:$B$9,$P34,$D$4:$D$9,"&lt;&gt;"&amp;$P$36)+SUMIFS($G$4:$G$9,$B$4:$B$9,"&lt;&gt;"&amp;$P$36,$D$4:$D$9,$P34)</f>
        <v>0</v>
      </c>
      <c r="T34" s="25">
        <f ca="1">SUMIFS($G$4:$G$9,$B$4:$B$9,$P34,$D$4:$D$9,"&lt;&gt;"&amp;$P$36)+SUMIFS($E$4:$E$9,$B$4:$B$9,"&lt;&gt;"&amp;$P$36,$D$4:$D$9,$P34)</f>
        <v>0</v>
      </c>
      <c r="U34" s="25"/>
      <c r="V34" s="202">
        <f ca="1">Q34*FactorPts+(GDzero+R34)*FactorGD+S34*FactorFor</f>
        <v>50000</v>
      </c>
      <c r="W34" s="25">
        <f ca="1">RANK(V34,V$33:V$35,1)</f>
        <v>1</v>
      </c>
      <c r="X34" s="25">
        <f ca="1">IF(AND($Q$5=$Q$6,$Q$5=$Q$7,$Q$5&lt;&gt;$Q$4),W34,0)</f>
        <v>0</v>
      </c>
      <c r="Y34" s="25" t="str">
        <f ca="1">IF(AND(V34=V33,V34&lt;&gt;V35),IF(AA34&gt;AA33,3,IF(AA34=AA33,1,0)),IF(AND(V34=V35,V34&lt;&gt;V33),IF(AC34&gt;AC35,3,IF(AC34=AC35,1,0)),""))</f>
        <v/>
      </c>
      <c r="Z34" s="25" t="str">
        <f t="shared" ref="Z34:Z35" ca="1" si="18">IF(X34&gt;0,Y34,"")</f>
        <v/>
      </c>
      <c r="AA34" s="191">
        <f ca="1">$I$20</f>
        <v>0</v>
      </c>
      <c r="AB34" s="25"/>
      <c r="AC34" s="204">
        <f ca="1">$K$20</f>
        <v>0</v>
      </c>
      <c r="AD34" s="25">
        <f ca="1">IF(AND($AF$16,$AD$5=$AD$6,$AD$5=$AD$7,$AD$5&lt;&gt;$AD$4),W34,0)</f>
        <v>0</v>
      </c>
      <c r="AE34" s="25" t="str">
        <f t="shared" ref="AE34:AE35" ca="1" si="19">IF(AD34&gt;0,Y34,"")</f>
        <v/>
      </c>
    </row>
    <row r="35" spans="15:31" ht="15.75" thickBot="1" x14ac:dyDescent="0.3">
      <c r="O35" s="25" t="s">
        <v>34</v>
      </c>
      <c r="P35" t="str">
        <f>$P$7</f>
        <v>England</v>
      </c>
      <c r="Q35" s="25">
        <f ca="1">SUMIFS($H$4:$H$9,$B$4:$B$9,$P35,$D$4:$D$9,"&lt;&gt;"&amp;$P$36)+SUMIFS($I$4:$I$9,$B$4:$B$9,"&lt;&gt;"&amp;$P$36,$D$4:$D$9,$P35)</f>
        <v>0</v>
      </c>
      <c r="R35" s="25">
        <f ca="1">S35-T35</f>
        <v>0</v>
      </c>
      <c r="S35" s="25">
        <f ca="1">SUMIFS($E$4:$E$9,$B$4:$B$9,$P35,$D$4:$D$9,"&lt;&gt;"&amp;$P$36)+SUMIFS($G$4:$G$9,$B$4:$B$9,"&lt;&gt;"&amp;$P$36,$D$4:$D$9,$P35)</f>
        <v>0</v>
      </c>
      <c r="T35" s="25">
        <f ca="1">SUMIFS($G$4:$G$9,$B$4:$B$9,$P35,$D$4:$D$9,"&lt;&gt;"&amp;$P$36)+SUMIFS($E$4:$E$9,$B$4:$B$9,"&lt;&gt;"&amp;$P$36,$D$4:$D$9,$P35)</f>
        <v>0</v>
      </c>
      <c r="U35" s="25"/>
      <c r="V35" s="202">
        <f ca="1">Q35*FactorPts+(GDzero+R35)*FactorGD+S35*FactorFor</f>
        <v>50000</v>
      </c>
      <c r="W35" s="25">
        <f ca="1">RANK(V35,V$33:V$35,1)</f>
        <v>1</v>
      </c>
      <c r="X35" s="25">
        <f ca="1">IF(AND($Q$5=$Q$6,$Q$5=$Q$7,$Q$5&lt;&gt;$Q$4),W35,0)</f>
        <v>0</v>
      </c>
      <c r="Y35" s="25" t="str">
        <f ca="1">IF(AND(V35=V33,V35&lt;&gt;V34),IF(AB35&gt;AB33,3,IF(AB35=AB33,1,0)),IF(AND(V35=V34,V35&lt;&gt;V33),IF(AC35&gt;AC34,3,IF(AC35=AC34,1,0)),""))</f>
        <v/>
      </c>
      <c r="Z35" s="25" t="str">
        <f t="shared" ca="1" si="18"/>
        <v/>
      </c>
      <c r="AA35" s="192"/>
      <c r="AB35" s="193">
        <f ca="1">$I$21</f>
        <v>0</v>
      </c>
      <c r="AC35" s="194">
        <f ca="1">$J$21</f>
        <v>0</v>
      </c>
      <c r="AD35" s="25">
        <f ca="1">IF(AND($AF$16,$AD$5=$AD$6,$AD$5=$AD$7,$AD$5&lt;&gt;$AD$4),W35,0)</f>
        <v>0</v>
      </c>
      <c r="AE35" s="25" t="str">
        <f t="shared" ca="1" si="19"/>
        <v/>
      </c>
    </row>
    <row r="36" spans="15:31" x14ac:dyDescent="0.25">
      <c r="P36" s="28" t="str">
        <f>$P$4</f>
        <v>Slowenien</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11"/>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1"/>
      <c r="B1" s="40" t="str">
        <f>VLOOKUP($Q$1,References!$B$5:$D$10,2,0)</f>
        <v>K</v>
      </c>
      <c r="D1" s="40" t="str">
        <f>VLOOKUP($Q$1,References!$B$5:$D$10,3,0)</f>
        <v>L</v>
      </c>
      <c r="P1" s="145" t="s">
        <v>209</v>
      </c>
      <c r="Q1" s="146" t="s">
        <v>31</v>
      </c>
    </row>
    <row r="2" spans="1:33" ht="8.25" customHeight="1" x14ac:dyDescent="0.25"/>
    <row r="3" spans="1:33" x14ac:dyDescent="0.25">
      <c r="B3" s="567" t="s">
        <v>195</v>
      </c>
      <c r="C3" s="567"/>
      <c r="D3" s="567"/>
      <c r="E3" s="567" t="s">
        <v>196</v>
      </c>
      <c r="F3" s="567"/>
      <c r="G3" s="567"/>
      <c r="H3" s="567" t="s">
        <v>191</v>
      </c>
      <c r="I3" s="567"/>
      <c r="J3" s="567" t="s">
        <v>1085</v>
      </c>
      <c r="K3" s="567"/>
      <c r="L3" s="567"/>
      <c r="M3" s="203" t="s">
        <v>168</v>
      </c>
      <c r="N3" s="72"/>
      <c r="O3" s="39"/>
      <c r="P3" s="38"/>
      <c r="Q3" s="203" t="s">
        <v>191</v>
      </c>
      <c r="R3" s="203" t="s">
        <v>190</v>
      </c>
      <c r="S3" s="203" t="s">
        <v>1087</v>
      </c>
      <c r="T3" s="203" t="s">
        <v>1088</v>
      </c>
      <c r="U3" s="203" t="s">
        <v>673</v>
      </c>
      <c r="V3" s="203" t="s">
        <v>192</v>
      </c>
      <c r="W3" s="203" t="s">
        <v>193</v>
      </c>
      <c r="X3" s="203" t="s">
        <v>194</v>
      </c>
      <c r="Y3" s="203" t="s">
        <v>482</v>
      </c>
      <c r="Z3" s="203" t="s">
        <v>483</v>
      </c>
      <c r="AA3" s="203" t="s">
        <v>474</v>
      </c>
      <c r="AB3" s="203" t="s">
        <v>38</v>
      </c>
      <c r="AC3" s="203" t="s">
        <v>313</v>
      </c>
      <c r="AD3" s="203" t="s">
        <v>197</v>
      </c>
      <c r="AE3" s="203" t="s">
        <v>497</v>
      </c>
      <c r="AF3" s="203" t="s">
        <v>534</v>
      </c>
    </row>
    <row r="4" spans="1:33" x14ac:dyDescent="0.25">
      <c r="B4" s="180" t="str">
        <f ca="1">INDIRECT("'"&amp;References!$A$1&amp;"'!"&amp;$B$1&amp;References!$G5)</f>
        <v>Polen</v>
      </c>
      <c r="C4" s="181" t="s">
        <v>36</v>
      </c>
      <c r="D4" s="182" t="str">
        <f ca="1">INDIRECT("'"&amp;References!$A$1&amp;"'!"&amp;$D$1&amp;References!$G5)</f>
        <v>Niederlande</v>
      </c>
      <c r="E4" s="180" t="str">
        <f ca="1">IF(OR(INDIRECT("'"&amp;References!$A$1&amp;"'!"&amp;$B$1&amp;References!$H5)="",INDIRECT("'"&amp;References!$A$1&amp;"'!"&amp;$D$1&amp;References!$H5)=""),"",INDIRECT("'"&amp;References!$A$1&amp;"'!"&amp;$B$1&amp;References!$H5))</f>
        <v/>
      </c>
      <c r="F4" s="181" t="s">
        <v>36</v>
      </c>
      <c r="G4" s="186" t="str">
        <f ca="1">IF(OR(INDIRECT("'"&amp;References!$A$1&amp;"'!"&amp;$B$1&amp;References!$H5)="",INDIRECT("'"&amp;References!$A$1&amp;"'!"&amp;$D$1&amp;References!$H5)=""),"",INDIRECT("'"&amp;References!$A$1&amp;"'!"&amp;$D$1&amp;References!$H5))</f>
        <v/>
      </c>
      <c r="H4" s="25">
        <f t="shared" ref="H4:H9" ca="1" si="0">IF($M4&gt;0,IF($E4&gt;$G4,3,IF($E4=$G4,1,0)),0)</f>
        <v>0</v>
      </c>
      <c r="I4" s="25">
        <f t="shared" ref="I4:I9" ca="1" si="1">IF($M4&gt;0,IF($E4&lt;$G4,3,IF($E4=$G4,1,0)),0)</f>
        <v>0</v>
      </c>
      <c r="L4" s="5"/>
      <c r="M4" s="25">
        <f t="shared" ref="M4:M9" ca="1" si="2">IF(AND($E4&lt;&gt;"",$G4&lt;&gt;""),1,0)</f>
        <v>0</v>
      </c>
      <c r="N4" s="25"/>
      <c r="O4" s="25" t="s">
        <v>32</v>
      </c>
      <c r="P4" s="37" t="str">
        <f>VLOOKUP($Q$1&amp;ROW($A1),Groups!$B$7:$D$35,3,0)</f>
        <v>Polen</v>
      </c>
      <c r="Q4" s="25">
        <f ca="1">SUMIF($B$4:$B$9,P4,$H$4:$H$9)+SUMIF($D$4:$D$9,P4,$I$4:$I$9)</f>
        <v>0</v>
      </c>
      <c r="R4" s="25">
        <f ca="1">S4-T4</f>
        <v>0</v>
      </c>
      <c r="S4" s="25">
        <f ca="1">SUMIF($B$4:$B$9,$P4,$E$4:$E$9)+SUMIF($D$4:$D$9,$P4,$G$4:$G$9)</f>
        <v>0</v>
      </c>
      <c r="T4" s="25">
        <f ca="1">SUMIF($B$4:$B$9,$P4,$G$4:$G$9)+SUMIF($D$4:$D$9,$P4,$E$4:$E$9)</f>
        <v>0</v>
      </c>
      <c r="U4" s="25">
        <f ca="1">COUNTIFS($B$4:$B$9,$P4,$H$4:$H$9,"=3")+COUNTIFS($D$4:$D$9,$P4,$I$4:$I$9,"=3")</f>
        <v>0</v>
      </c>
      <c r="V4" s="353">
        <f ca="1">$Q4*FactorPts+(GDzero+$R4)*FactorGD+$S4*FactorFor+$U4*FactorWins+$W4*FactorDirC3+$X4*FactorDirC2+$Y4*FactorDirC43+$Z4*FactorDirC42+$AA4*FactorDirC42+$AB4*FactorFairPlay+$AE4*FactorPenalty+(100-$AF4)*($M$10&gt;0)*FactorRank+(8-ROW())*FactorRow</f>
        <v>50000.000000400003</v>
      </c>
      <c r="W4" s="25">
        <f ca="1">SUMIFS($X$18:$X$35,$P$18:$P$35,$P4)</f>
        <v>0</v>
      </c>
      <c r="X4" s="25">
        <f ca="1">IF($L18="",0,$L18)+SUMIFS($Z$18:$Z$35,$P$18:$P$35,$P4)</f>
        <v>0</v>
      </c>
      <c r="Y4">
        <f ca="1">SUMIFS($AD$18:$AD$35,$P$18:$P$35,$P4)</f>
        <v>0</v>
      </c>
      <c r="Z4">
        <f ca="1">SUMIFS($AE$18:$AE$35,$P$18:$P$35,$P4)</f>
        <v>0</v>
      </c>
      <c r="AA4" s="25">
        <f ca="1">IF($M18="",0,$M18)</f>
        <v>0</v>
      </c>
      <c r="AB4" s="25">
        <f>SUMIFS(FairPlayPoints1,FairPlayTeams1,$P4)+SUMIFS(FairPlayPoints2,FairPlayTeams2,$P4)</f>
        <v>0</v>
      </c>
      <c r="AC4" s="25" t="b">
        <f ca="1">(Q4+T4&gt;0)</f>
        <v>0</v>
      </c>
      <c r="AD4" s="213">
        <f ca="1">$Q4*FactorPts+(GDzero+$R4)*FactorGD+$S4*FactorFor</f>
        <v>50000</v>
      </c>
      <c r="AE4" s="25">
        <f ca="1">IF(OR(AND($Y$11&gt;0,OR(AND($B$8=$P4,$J$8&gt;$L$8),AND($D$8=$P4,$J$8&lt;$L$8))),AND($Y$12&gt;0,OR(AND($B$9=$P4,$J$9&gt;$L$9),AND($D$9=$P4,$J$9&lt;$L$9)))),1,0)</f>
        <v>0</v>
      </c>
      <c r="AF4" s="25">
        <f>INDEX(Language!$D$5:$D$63,MATCH($P4,Language!$E$5:$E$63,0),1)</f>
        <v>26</v>
      </c>
      <c r="AG4" s="25"/>
    </row>
    <row r="5" spans="1:33" x14ac:dyDescent="0.25">
      <c r="B5" s="183" t="str">
        <f ca="1">INDIRECT("'"&amp;References!$A$1&amp;"'!"&amp;$B$1&amp;References!$G6)</f>
        <v>Österreich</v>
      </c>
      <c r="C5" s="184" t="s">
        <v>36</v>
      </c>
      <c r="D5" s="185" t="str">
        <f ca="1">INDIRECT("'"&amp;References!$A$1&amp;"'!"&amp;$D$1&amp;References!$G6)</f>
        <v>Frankreich</v>
      </c>
      <c r="E5" s="183" t="str">
        <f ca="1">IF(OR(INDIRECT("'"&amp;References!$A$1&amp;"'!"&amp;$B$1&amp;References!$H6)="",INDIRECT("'"&amp;References!$A$1&amp;"'!"&amp;$D$1&amp;References!$H6)=""),"",INDIRECT("'"&amp;References!$A$1&amp;"'!"&amp;$B$1&amp;References!$H6))</f>
        <v/>
      </c>
      <c r="F5" s="184" t="s">
        <v>36</v>
      </c>
      <c r="G5" s="187" t="str">
        <f ca="1">IF(OR(INDIRECT("'"&amp;References!$A$1&amp;"'!"&amp;$B$1&amp;References!$H6)="",INDIRECT("'"&amp;References!$A$1&amp;"'!"&amp;$D$1&amp;References!$H6)=""),"",INDIRECT("'"&amp;References!$A$1&amp;"'!"&amp;$D$1&amp;References!$H6))</f>
        <v/>
      </c>
      <c r="H5" s="25">
        <f t="shared" ca="1" si="0"/>
        <v>0</v>
      </c>
      <c r="I5" s="25">
        <f t="shared" ca="1" si="1"/>
        <v>0</v>
      </c>
      <c r="L5" s="5"/>
      <c r="M5" s="25">
        <f t="shared" ca="1" si="2"/>
        <v>0</v>
      </c>
      <c r="N5" s="25"/>
      <c r="O5" s="25" t="s">
        <v>33</v>
      </c>
      <c r="P5" s="37" t="str">
        <f>VLOOKUP($Q$1&amp;ROW($A2),Groups!$B$7:$D$35,3,0)</f>
        <v>Niederlande</v>
      </c>
      <c r="Q5" s="25">
        <f t="shared" ref="Q5:Q7" ca="1" si="3">SUMIF($B$4:$B$9,P5,$H$4:$H$9)+SUMIF($D$4:$D$9,P5,$I$4:$I$9)</f>
        <v>0</v>
      </c>
      <c r="R5" s="25">
        <f ca="1">S5-T5</f>
        <v>0</v>
      </c>
      <c r="S5" s="25">
        <f ca="1">SUMIF($B$4:$B$9,$P5,$E$4:$E$9)+SUMIF($D$4:$D$9,$P5,$G$4:$G$9)</f>
        <v>0</v>
      </c>
      <c r="T5" s="25">
        <f ca="1">SUMIF($B$4:$B$9,$P5,$G$4:$G$9)+SUMIF($D$4:$D$9,$P5,$E$4:$E$9)</f>
        <v>0</v>
      </c>
      <c r="U5" s="25">
        <f t="shared" ref="U5:U7" ca="1" si="4">COUNTIFS($B$4:$B$9,$P5,$H$4:$H$9,"=3")+COUNTIFS($D$4:$D$9,$P5,$I$4:$I$9,"=3")</f>
        <v>0</v>
      </c>
      <c r="V5" s="353">
        <f ca="1">$Q5*FactorPts+(GDzero+$R5)*FactorGD+$S5*FactorFor+$U5*FactorWins+$W5*FactorDirC3+$X5*FactorDirC2+$Y5*FactorDirC43+$Z5*FactorDirC42+$AA5*FactorDirC42+$AB5*FactorFairPlay+$AE5*FactorPenalty+(100-$AF5)*($M$10&gt;0)*FactorRank+(8-ROW())*FactorRow</f>
        <v>50000.000000300002</v>
      </c>
      <c r="W5" s="25">
        <f t="shared" ref="W5:W7" ca="1" si="5">SUMIFS($X$18:$X$35,$P$18:$P$35,$P5)</f>
        <v>0</v>
      </c>
      <c r="X5" s="25">
        <f ca="1">IF($L19="",0,$L19)+SUMIFS($Z$18:$Z$35,$P$18:$P$35,$P5)</f>
        <v>0</v>
      </c>
      <c r="Y5">
        <f t="shared" ref="Y5:Y7" ca="1" si="6">SUMIFS($AD$18:$AD$35,$P$18:$P$35,$P5)</f>
        <v>0</v>
      </c>
      <c r="Z5">
        <f t="shared" ref="Z5:Z7" ca="1" si="7">SUMIFS($AE$18:$AE$35,$P$18:$P$35,$P5)</f>
        <v>0</v>
      </c>
      <c r="AA5" s="25">
        <f ca="1">IF($M19="",0,$M19)</f>
        <v>0</v>
      </c>
      <c r="AB5" s="25">
        <f>SUMIFS(FairPlayPoints1,FairPlayTeams1,$P5)+SUMIFS(FairPlayPoints2,FairPlayTeams2,$P5)</f>
        <v>0</v>
      </c>
      <c r="AC5" s="25" t="b">
        <f ca="1">(Q5+T5&gt;0)</f>
        <v>0</v>
      </c>
      <c r="AD5" s="213">
        <f ca="1">$Q5*FactorPts+(GDzero+$R5)*FactorGD+$S5*FactorFor</f>
        <v>50000</v>
      </c>
      <c r="AE5" s="25">
        <f ca="1">IF(OR(AND($Y$11&gt;0,OR(AND($B$8=$P5,$J$8&gt;$L$8),AND($D$8=$P5,$J$8&lt;$L$8))),AND($Y$12&gt;0,OR(AND($B$9=$P5,$J$9&gt;$L$9),AND($D$9=$P5,$J$9&lt;$L$9)))),1,0)</f>
        <v>0</v>
      </c>
      <c r="AF5" s="406">
        <f>INDEX(Language!$D$5:$D$63,MATCH($P5,Language!$E$5:$E$63,0),1)</f>
        <v>12</v>
      </c>
    </row>
    <row r="6" spans="1:33" x14ac:dyDescent="0.25">
      <c r="B6" s="183" t="str">
        <f ca="1">INDIRECT("'"&amp;References!$A$1&amp;"'!"&amp;$B$1&amp;References!$G7)</f>
        <v>Polen</v>
      </c>
      <c r="C6" s="184" t="s">
        <v>36</v>
      </c>
      <c r="D6" s="185" t="str">
        <f ca="1">INDIRECT("'"&amp;References!$A$1&amp;"'!"&amp;$D$1&amp;References!$G7)</f>
        <v>Österreich</v>
      </c>
      <c r="E6" s="183" t="str">
        <f ca="1">IF(OR(INDIRECT("'"&amp;References!$A$1&amp;"'!"&amp;$B$1&amp;References!$H7)="",INDIRECT("'"&amp;References!$A$1&amp;"'!"&amp;$D$1&amp;References!$H7)=""),"",INDIRECT("'"&amp;References!$A$1&amp;"'!"&amp;$B$1&amp;References!$H7))</f>
        <v/>
      </c>
      <c r="F6" s="184" t="s">
        <v>36</v>
      </c>
      <c r="G6" s="187" t="str">
        <f ca="1">IF(OR(INDIRECT("'"&amp;References!$A$1&amp;"'!"&amp;$B$1&amp;References!$H7)="",INDIRECT("'"&amp;References!$A$1&amp;"'!"&amp;$D$1&amp;References!$H7)=""),"",INDIRECT("'"&amp;References!$A$1&amp;"'!"&amp;$D$1&amp;References!$H7))</f>
        <v/>
      </c>
      <c r="H6" s="25">
        <f t="shared" ca="1" si="0"/>
        <v>0</v>
      </c>
      <c r="I6" s="25">
        <f t="shared" ca="1" si="1"/>
        <v>0</v>
      </c>
      <c r="L6" s="5"/>
      <c r="M6" s="25">
        <f t="shared" ca="1" si="2"/>
        <v>0</v>
      </c>
      <c r="N6" s="25"/>
      <c r="O6" s="25" t="s">
        <v>34</v>
      </c>
      <c r="P6" s="37" t="str">
        <f>VLOOKUP($Q$1&amp;ROW($A3),Groups!$B$7:$D$35,3,0)</f>
        <v>Österreich</v>
      </c>
      <c r="Q6" s="25">
        <f t="shared" ca="1" si="3"/>
        <v>0</v>
      </c>
      <c r="R6" s="25">
        <f ca="1">S6-T6</f>
        <v>0</v>
      </c>
      <c r="S6" s="25">
        <f ca="1">SUMIF($B$4:$B$9,$P6,$E$4:$E$9)+SUMIF($D$4:$D$9,$P6,$G$4:$G$9)</f>
        <v>0</v>
      </c>
      <c r="T6" s="25">
        <f ca="1">SUMIF($B$4:$B$9,$P6,$G$4:$G$9)+SUMIF($D$4:$D$9,$P6,$E$4:$E$9)</f>
        <v>0</v>
      </c>
      <c r="U6" s="25">
        <f t="shared" ca="1" si="4"/>
        <v>0</v>
      </c>
      <c r="V6" s="353">
        <f ca="1">$Q6*FactorPts+(GDzero+$R6)*FactorGD+$S6*FactorFor+$U6*FactorWins+$W6*FactorDirC3+$X6*FactorDirC2+$Y6*FactorDirC43+$Z6*FactorDirC42+$AA6*FactorDirC42+$AB6*FactorFairPlay+$AE6*FactorPenalty+(100-$AF6)*($M$10&gt;0)*FactorRank+(8-ROW())*FactorRow</f>
        <v>50000.000000200002</v>
      </c>
      <c r="W6" s="25">
        <f t="shared" ca="1" si="5"/>
        <v>0</v>
      </c>
      <c r="X6" s="25">
        <f ca="1">IF($L20="",0,$L20)+SUMIFS($Z$18:$Z$35,$P$18:$P$35,$P6)</f>
        <v>0</v>
      </c>
      <c r="Y6">
        <f t="shared" ca="1" si="6"/>
        <v>0</v>
      </c>
      <c r="Z6">
        <f t="shared" ca="1" si="7"/>
        <v>0</v>
      </c>
      <c r="AA6" s="25">
        <f ca="1">IF($M20="",0,$M20)</f>
        <v>0</v>
      </c>
      <c r="AB6" s="25">
        <f>SUMIFS(FairPlayPoints1,FairPlayTeams1,$P6)+SUMIFS(FairPlayPoints2,FairPlayTeams2,$P6)</f>
        <v>0</v>
      </c>
      <c r="AC6" s="25" t="b">
        <f ca="1">(Q6+T6&gt;0)</f>
        <v>0</v>
      </c>
      <c r="AD6" s="213">
        <f ca="1">$Q6*FactorPts+(GDzero+$R6)*FactorGD+$S6*FactorFor</f>
        <v>50000</v>
      </c>
      <c r="AE6" s="25">
        <f ca="1">IF(OR(AND($Y$11&gt;0,OR(AND($B$8=$P6,$J$8&gt;$L$8),AND($D$8=$P6,$J$8&lt;$L$8))),AND($Y$12&gt;0,OR(AND($B$9=$P6,$J$9&gt;$L$9),AND($D$9=$P6,$J$9&lt;$L$9)))),1,0)</f>
        <v>0</v>
      </c>
      <c r="AF6" s="406">
        <f>INDEX(Language!$D$5:$D$63,MATCH($P6,Language!$E$5:$E$63,0),1)</f>
        <v>11</v>
      </c>
    </row>
    <row r="7" spans="1:33" x14ac:dyDescent="0.25">
      <c r="B7" s="183" t="str">
        <f ca="1">INDIRECT("'"&amp;References!$A$1&amp;"'!"&amp;$B$1&amp;References!$G8)</f>
        <v>Niederlande</v>
      </c>
      <c r="C7" s="184" t="s">
        <v>36</v>
      </c>
      <c r="D7" s="185" t="str">
        <f ca="1">INDIRECT("'"&amp;References!$A$1&amp;"'!"&amp;$D$1&amp;References!$G8)</f>
        <v>Frankreich</v>
      </c>
      <c r="E7" s="183" t="str">
        <f ca="1">IF(OR(INDIRECT("'"&amp;References!$A$1&amp;"'!"&amp;$B$1&amp;References!$H8)="",INDIRECT("'"&amp;References!$A$1&amp;"'!"&amp;$D$1&amp;References!$H8)=""),"",INDIRECT("'"&amp;References!$A$1&amp;"'!"&amp;$B$1&amp;References!$H8))</f>
        <v/>
      </c>
      <c r="F7" s="184" t="s">
        <v>36</v>
      </c>
      <c r="G7" s="187" t="str">
        <f ca="1">IF(OR(INDIRECT("'"&amp;References!$A$1&amp;"'!"&amp;$B$1&amp;References!$H8)="",INDIRECT("'"&amp;References!$A$1&amp;"'!"&amp;$D$1&amp;References!$H8)=""),"",INDIRECT("'"&amp;References!$A$1&amp;"'!"&amp;$D$1&amp;References!$H8))</f>
        <v/>
      </c>
      <c r="H7" s="25">
        <f t="shared" ca="1" si="0"/>
        <v>0</v>
      </c>
      <c r="I7" s="25">
        <f t="shared" ca="1" si="1"/>
        <v>0</v>
      </c>
      <c r="L7" s="5"/>
      <c r="M7" s="25">
        <f t="shared" ca="1" si="2"/>
        <v>0</v>
      </c>
      <c r="N7" s="25"/>
      <c r="O7" s="25" t="s">
        <v>35</v>
      </c>
      <c r="P7" s="37" t="str">
        <f>VLOOKUP($Q$1&amp;ROW($A4),Groups!$B$7:$D$35,3,0)</f>
        <v>Frankreich</v>
      </c>
      <c r="Q7" s="25">
        <f t="shared" ca="1" si="3"/>
        <v>0</v>
      </c>
      <c r="R7" s="25">
        <f ca="1">S7-T7</f>
        <v>0</v>
      </c>
      <c r="S7" s="25">
        <f ca="1">SUMIF($B$4:$B$9,$P7,$E$4:$E$9)+SUMIF($D$4:$D$9,$P7,$G$4:$G$9)</f>
        <v>0</v>
      </c>
      <c r="T7" s="25">
        <f ca="1">SUMIF($B$4:$B$9,$P7,$G$4:$G$9)+SUMIF($D$4:$D$9,$P7,$E$4:$E$9)</f>
        <v>0</v>
      </c>
      <c r="U7" s="25">
        <f t="shared" ca="1" si="4"/>
        <v>0</v>
      </c>
      <c r="V7" s="353">
        <f ca="1">$Q7*FactorPts+(GDzero+$R7)*FactorGD+$S7*FactorFor+$U7*FactorWins+$W7*FactorDirC3+$X7*FactorDirC2+$Y7*FactorDirC43+$Z7*FactorDirC42+$AA7*FactorDirC42+$AB7*FactorFairPlay+$AE7*FactorPenalty+(100-$AF7)*($M$10&gt;0)*FactorRank+(8-ROW())*FactorRow</f>
        <v>50000.000000100001</v>
      </c>
      <c r="W7" s="25">
        <f t="shared" ca="1" si="5"/>
        <v>0</v>
      </c>
      <c r="X7" s="25">
        <f ca="1">IF($L21="",0,$L21)+SUMIFS($Z$18:$Z$35,$P$18:$P$35,$P7)</f>
        <v>0</v>
      </c>
      <c r="Y7">
        <f t="shared" ca="1" si="6"/>
        <v>0</v>
      </c>
      <c r="Z7">
        <f t="shared" ca="1" si="7"/>
        <v>0</v>
      </c>
      <c r="AA7" s="25">
        <f ca="1">IF($M21="",0,$M21)</f>
        <v>0</v>
      </c>
      <c r="AB7" s="25">
        <f>SUMIFS(FairPlayPoints1,FairPlayTeams1,$P7)+SUMIFS(FairPlayPoints2,FairPlayTeams2,$P7)</f>
        <v>0</v>
      </c>
      <c r="AC7" s="25" t="b">
        <f ca="1">(Q7+T7&gt;0)</f>
        <v>0</v>
      </c>
      <c r="AD7" s="213">
        <f ca="1">$Q7*FactorPts+(GDzero+$R7)*FactorGD+$S7*FactorFor</f>
        <v>50000</v>
      </c>
      <c r="AE7" s="25">
        <f ca="1">IF(OR(AND($Y$11&gt;0,OR(AND($B$8=$P7,$J$8&gt;$L$8),AND($D$8=$P7,$J$8&lt;$L$8))),AND($Y$12&gt;0,OR(AND($B$9=$P7,$J$9&gt;$L$9),AND($D$9=$P7,$J$9&lt;$L$9)))),1,0)</f>
        <v>0</v>
      </c>
      <c r="AF7" s="406">
        <f>INDEX(Language!$D$5:$D$63,MATCH($P7,Language!$E$5:$E$63,0),1)</f>
        <v>2</v>
      </c>
    </row>
    <row r="8" spans="1:33" x14ac:dyDescent="0.25">
      <c r="B8" s="183" t="str">
        <f ca="1">INDIRECT("'"&amp;References!$A$1&amp;"'!"&amp;$B$1&amp;References!$G9)</f>
        <v>Niederlande</v>
      </c>
      <c r="C8" s="184" t="s">
        <v>36</v>
      </c>
      <c r="D8" s="185" t="str">
        <f ca="1">INDIRECT("'"&amp;References!$A$1&amp;"'!"&amp;$D$1&amp;References!$G9)</f>
        <v>Österreich</v>
      </c>
      <c r="E8" s="183" t="str">
        <f ca="1">IF(OR(INDIRECT("'"&amp;References!$A$1&amp;"'!"&amp;$B$1&amp;References!$H9)="",INDIRECT("'"&amp;References!$A$1&amp;"'!"&amp;$D$1&amp;References!$H9)=""),"",INDIRECT("'"&amp;References!$A$1&amp;"'!"&amp;$B$1&amp;References!$H9))</f>
        <v/>
      </c>
      <c r="F8" s="184" t="s">
        <v>36</v>
      </c>
      <c r="G8" s="187" t="str">
        <f ca="1">IF(OR(INDIRECT("'"&amp;References!$A$1&amp;"'!"&amp;$B$1&amp;References!$H9)="",INDIRECT("'"&amp;References!$A$1&amp;"'!"&amp;$D$1&amp;References!$H9)=""),"",INDIRECT("'"&amp;References!$A$1&amp;"'!"&amp;$D$1&amp;References!$H9))</f>
        <v/>
      </c>
      <c r="H8" s="25">
        <f t="shared" ca="1" si="0"/>
        <v>0</v>
      </c>
      <c r="I8" s="25">
        <f t="shared" ca="1" si="1"/>
        <v>0</v>
      </c>
      <c r="J8" t="str">
        <f ca="1">IF(OR(INDIRECT("'"&amp;References!$A$1&amp;"'!"&amp;$B$1&amp;(References!$H9+2))="",INDIRECT("'"&amp;References!$A$1&amp;"'!"&amp;$D$1&amp;(References!$H9+2))=""),"",INDIRECT("'"&amp;References!$A$1&amp;"'!"&amp;$B$1&amp;(References!$H9+2)))</f>
        <v/>
      </c>
      <c r="K8" s="25" t="s">
        <v>494</v>
      </c>
      <c r="L8" s="5" t="str">
        <f ca="1">IF(OR(INDIRECT("'"&amp;References!$A$1&amp;"'!"&amp;$B$1&amp;(References!$H9+2))="",INDIRECT("'"&amp;References!$A$1&amp;"'!"&amp;$D$1&amp;(References!$H9+2))=""),"",INDIRECT("'"&amp;References!$A$1&amp;"'!"&amp;$D$1&amp;(References!$H9+2)))</f>
        <v/>
      </c>
      <c r="M8" s="25">
        <f t="shared" ca="1" si="2"/>
        <v>0</v>
      </c>
      <c r="N8" s="25"/>
      <c r="Z8" s="45"/>
    </row>
    <row r="9" spans="1:33" x14ac:dyDescent="0.25">
      <c r="B9" s="183" t="str">
        <f ca="1">INDIRECT("'"&amp;References!$A$1&amp;"'!"&amp;$B$1&amp;References!$G10)</f>
        <v>Frankreich</v>
      </c>
      <c r="C9" s="184" t="s">
        <v>36</v>
      </c>
      <c r="D9" s="185" t="str">
        <f ca="1">INDIRECT("'"&amp;References!$A$1&amp;"'!"&amp;$D$1&amp;References!$G10)</f>
        <v>Polen</v>
      </c>
      <c r="E9" s="183" t="str">
        <f ca="1">IF(OR(INDIRECT("'"&amp;References!$A$1&amp;"'!"&amp;$B$1&amp;References!$H10)="",INDIRECT("'"&amp;References!$A$1&amp;"'!"&amp;$D$1&amp;References!$H10)=""),"",INDIRECT("'"&amp;References!$A$1&amp;"'!"&amp;$B$1&amp;References!$H10))</f>
        <v/>
      </c>
      <c r="F9" s="184" t="s">
        <v>36</v>
      </c>
      <c r="G9" s="187" t="str">
        <f ca="1">IF(OR(INDIRECT("'"&amp;References!$A$1&amp;"'!"&amp;$B$1&amp;References!$H10)="",INDIRECT("'"&amp;References!$A$1&amp;"'!"&amp;$D$1&amp;References!$H10)=""),"",INDIRECT("'"&amp;References!$A$1&amp;"'!"&amp;$D$1&amp;References!$H10))</f>
        <v/>
      </c>
      <c r="H9" s="25">
        <f t="shared" ca="1" si="0"/>
        <v>0</v>
      </c>
      <c r="I9" s="25">
        <f t="shared" ca="1" si="1"/>
        <v>0</v>
      </c>
      <c r="J9" t="str">
        <f ca="1">IF(OR(INDIRECT("'"&amp;References!$A$1&amp;"'!"&amp;$B$1&amp;(References!$H10+2))="",INDIRECT("'"&amp;References!$A$1&amp;"'!"&amp;$D$1&amp;(References!$H10+2))=""),"",INDIRECT("'"&amp;References!$A$1&amp;"'!"&amp;$B$1&amp;(References!$H10+2)))</f>
        <v/>
      </c>
      <c r="K9" s="25" t="s">
        <v>494</v>
      </c>
      <c r="L9" s="5" t="str">
        <f ca="1">IF(OR(INDIRECT("'"&amp;References!$A$1&amp;"'!"&amp;$B$1&amp;(References!$H10+2))="",INDIRECT("'"&amp;References!$A$1&amp;"'!"&amp;$D$1&amp;(References!$H10+2))=""),"",INDIRECT("'"&amp;References!$A$1&amp;"'!"&amp;$D$1&amp;(References!$H10+2)))</f>
        <v/>
      </c>
      <c r="M9" s="25">
        <f t="shared" ca="1" si="2"/>
        <v>0</v>
      </c>
      <c r="N9" s="25"/>
      <c r="Z9" s="573" t="s">
        <v>480</v>
      </c>
      <c r="AA9" s="573"/>
      <c r="AB9" s="573"/>
      <c r="AC9" s="573"/>
      <c r="AD9" s="573"/>
      <c r="AE9" s="573"/>
    </row>
    <row r="10" spans="1:33" ht="15.75" thickBot="1" x14ac:dyDescent="0.3">
      <c r="L10" s="49" t="s">
        <v>189</v>
      </c>
      <c r="M10" s="51">
        <f ca="1">SUM($M$4:$M$9)</f>
        <v>0</v>
      </c>
      <c r="N10" s="25"/>
      <c r="P10" s="143" t="s">
        <v>322</v>
      </c>
      <c r="Q10" s="46" t="s">
        <v>191</v>
      </c>
      <c r="R10" s="46" t="s">
        <v>190</v>
      </c>
      <c r="S10" s="46" t="s">
        <v>1087</v>
      </c>
      <c r="T10" s="46" t="s">
        <v>1088</v>
      </c>
      <c r="U10" s="46" t="s">
        <v>680</v>
      </c>
      <c r="V10" s="46" t="s">
        <v>192</v>
      </c>
      <c r="X10" s="67" t="s">
        <v>1091</v>
      </c>
      <c r="Y10" s="46" t="s">
        <v>697</v>
      </c>
      <c r="Z10" s="46" t="s">
        <v>475</v>
      </c>
      <c r="AA10" s="46" t="s">
        <v>476</v>
      </c>
      <c r="AB10" s="46" t="s">
        <v>477</v>
      </c>
      <c r="AC10" s="46" t="s">
        <v>478</v>
      </c>
      <c r="AD10" s="46" t="s">
        <v>479</v>
      </c>
      <c r="AE10" s="46" t="s">
        <v>497</v>
      </c>
    </row>
    <row r="11" spans="1:33" ht="16.5" thickTop="1" thickBot="1" x14ac:dyDescent="0.3">
      <c r="B11" s="72"/>
      <c r="C11" s="25"/>
      <c r="D11" s="72"/>
      <c r="O11" s="35" t="s">
        <v>32</v>
      </c>
      <c r="P11" s="34" t="str">
        <f t="shared" ref="P11:U14" ca="1" si="8">INDEX(P$4:P$7,MATCH($V11,$V$4:$V$7,0))</f>
        <v>Polen</v>
      </c>
      <c r="Q11" s="177">
        <f t="shared" ca="1" si="8"/>
        <v>0</v>
      </c>
      <c r="R11" s="33">
        <f t="shared" ca="1" si="8"/>
        <v>0</v>
      </c>
      <c r="S11" s="33">
        <f t="shared" ca="1" si="8"/>
        <v>0</v>
      </c>
      <c r="T11" s="33">
        <f t="shared" ca="1" si="8"/>
        <v>0</v>
      </c>
      <c r="U11" s="33">
        <f t="shared" ca="1" si="8"/>
        <v>0</v>
      </c>
      <c r="V11" s="354">
        <f ca="1">LARGE($V$4:$V$7,ROW(A1))</f>
        <v>50000.000000400003</v>
      </c>
      <c r="X11" s="68">
        <f ca="1">IF(AND(OR(TRUNC($V$11,4)=TRUNC($V$12,4),TRUNC($V$11,4)=TRUNC($V$13,4),TRUNC($V$11,4)=TRUNC($V$14,4),TRUNC($V$12,4)=TRUNC($V$13,4),TRUNC($V$12,4)=TRUNC($V$14,4),TRUNC($V$13,4)=TRUNC($V$14,4)),$M$10&gt;0),1,0)</f>
        <v>0</v>
      </c>
      <c r="Y11" s="25">
        <f ca="1">IF(AND(VLOOKUP($B$8,$P$4:$AD$7,15,0)=VLOOKUP($D$8,$P$4:$AD$7,15,0),$E$8=$G$8,COUNTIF($Q$4:$Q$7,VLOOKUP($B$8,$P$4:$Q$7,2,0))=2,$M$10=6),1,0)</f>
        <v>0</v>
      </c>
      <c r="Z11" s="205" t="b">
        <f ca="1">VLOOKUP($P11,$E$18:$M$21,8,0)&lt;&gt;""</f>
        <v>0</v>
      </c>
      <c r="AA11" s="206" t="b">
        <f ca="1">VLOOKUP($P11,$E$18:$M$21,9,0)&lt;&gt;""</f>
        <v>0</v>
      </c>
      <c r="AB11" s="207" t="b">
        <f ca="1">SUMPRODUCT(1*(LEN($Z$18:$Z$35)&gt;0)*($P$18:$P$35=$P11))&gt;0</f>
        <v>0</v>
      </c>
      <c r="AC11" s="207" t="b">
        <f ca="1">SUMPRODUCT(1*(LEN($AE$18:$AE$35)&gt;0)*($P$18:$P$35=$P11))&gt;0</f>
        <v>0</v>
      </c>
      <c r="AD11" s="339" t="str">
        <f ca="1">IF($Z11,VLOOKUP($P11,$E$18:$M$21,8,0),IF($AA11,VLOOKUP($P11,$E$18:$M$21,9,0),IF($AB11,SUMIFS($Z$18:$Z$35,$P$18:$P$35,$P11),IF($AC11,SUMIFS($AE$18:$AE$35,$P$18:$P$35,$P11),""))))</f>
        <v/>
      </c>
      <c r="AE11" s="341" t="str">
        <f ca="1">IF(OR(AND($Y$11&gt;0,OR($B$8=$P11,$D$8=$P11)),AND($Y$12&gt;0,OR($B$9=$P11,$D$9=$P11))),SUMIF($B$8:$B$9,$P11,$J$8:$J$9)+SUMIF($D$8:$D$9,$P11,$L$8:$L$9),"")</f>
        <v/>
      </c>
    </row>
    <row r="12" spans="1:33" ht="15.75" thickTop="1" x14ac:dyDescent="0.25">
      <c r="B12" s="25"/>
      <c r="C12" s="25"/>
      <c r="D12" s="25"/>
      <c r="O12" s="32" t="s">
        <v>33</v>
      </c>
      <c r="P12" t="str">
        <f t="shared" ca="1" si="8"/>
        <v>Niederlande</v>
      </c>
      <c r="Q12" s="99">
        <f t="shared" ca="1" si="8"/>
        <v>0</v>
      </c>
      <c r="R12" s="25">
        <f t="shared" ca="1" si="8"/>
        <v>0</v>
      </c>
      <c r="S12" s="25">
        <f t="shared" ca="1" si="8"/>
        <v>0</v>
      </c>
      <c r="T12" s="25">
        <f t="shared" ca="1" si="8"/>
        <v>0</v>
      </c>
      <c r="U12" s="25">
        <f t="shared" ca="1" si="8"/>
        <v>0</v>
      </c>
      <c r="V12" s="355">
        <f ca="1">LARGE($V$4:$V$7,ROW(A2))</f>
        <v>50000.000000300002</v>
      </c>
      <c r="Y12" s="25">
        <f ca="1">IF(AND(VLOOKUP($B$9,$P$4:$AD$7,15,0)=VLOOKUP($D$9,$P$4:$AD$7,15,0),$E$9=$G$9,COUNTIF($Q$4:$Q$7,VLOOKUP($B$9,$P$4:$Q$7,2,0))=2,$M$10=6),1,0)</f>
        <v>0</v>
      </c>
      <c r="Z12" s="208" t="b">
        <f ca="1">VLOOKUP($P12,$E$18:$M$21,8,0)&lt;&gt;""</f>
        <v>0</v>
      </c>
      <c r="AA12" s="25" t="b">
        <f ca="1">VLOOKUP($P12,$E$18:$M$21,9,0)&lt;&gt;""</f>
        <v>0</v>
      </c>
      <c r="AB12" t="b">
        <f t="shared" ref="AB12:AB14" ca="1" si="9">SUMPRODUCT(1*(LEN($Z$18:$Z$35)&gt;0)*($P$18:$P$35=$P12))&gt;0</f>
        <v>0</v>
      </c>
      <c r="AC12" t="b">
        <f t="shared" ref="AC12:AC14" ca="1" si="10">SUMPRODUCT(1*(LEN($AE$18:$AE$35)&gt;0)*($P$18:$P$35=$P12))&gt;0</f>
        <v>0</v>
      </c>
      <c r="AD12" s="104" t="str">
        <f ca="1">IF($Z12,VLOOKUP($P12,$E$18:$M$21,8,0),IF($AA12,VLOOKUP($P12,$E$18:$M$21,9,0),IF($AB12,SUMIFS($Z$18:$Z$35,$P$18:$P$35,$P12),IF($AC12,SUMIFS($AE$18:$AE$35,$P$18:$P$35,$P12),""))))</f>
        <v/>
      </c>
      <c r="AE12" s="342" t="str">
        <f ca="1">IF(OR(AND($Y$11&gt;0,OR($B$8=$P12,$D$8=$P12)),AND($Y$12&gt;0,OR($B$9=$P12,$D$9=$P12))),SUMIF($B$8:$B$9,$P12,$J$8:$J$9)+SUMIF($D$8:$D$9,$P12,$L$8:$L$9),"")</f>
        <v/>
      </c>
    </row>
    <row r="13" spans="1:33" x14ac:dyDescent="0.25">
      <c r="B13" s="25"/>
      <c r="C13" s="25"/>
      <c r="D13" s="50"/>
      <c r="O13" s="32" t="s">
        <v>34</v>
      </c>
      <c r="P13" t="str">
        <f t="shared" ref="P13:U14" ca="1" si="11">INDEX(P$4:P$7,MATCH($V13,$V$4:$V$7,0))</f>
        <v>Österreich</v>
      </c>
      <c r="Q13" s="99">
        <f t="shared" ca="1" si="11"/>
        <v>0</v>
      </c>
      <c r="R13" s="25">
        <f t="shared" ca="1" si="11"/>
        <v>0</v>
      </c>
      <c r="S13" s="25">
        <f t="shared" ca="1" si="8"/>
        <v>0</v>
      </c>
      <c r="T13" s="25">
        <f t="shared" ca="1" si="8"/>
        <v>0</v>
      </c>
      <c r="U13" s="25">
        <f t="shared" ca="1" si="11"/>
        <v>0</v>
      </c>
      <c r="V13" s="355">
        <f ca="1">LARGE($V$4:$V$7,ROW(A3))</f>
        <v>50000.000000200002</v>
      </c>
      <c r="Z13" s="208" t="b">
        <f ca="1">VLOOKUP($P13,$E$18:$M$21,8,0)&lt;&gt;""</f>
        <v>0</v>
      </c>
      <c r="AA13" s="25" t="b">
        <f ca="1">VLOOKUP($P13,$E$18:$M$21,9,0)&lt;&gt;""</f>
        <v>0</v>
      </c>
      <c r="AB13" t="b">
        <f t="shared" ca="1" si="9"/>
        <v>0</v>
      </c>
      <c r="AC13" t="b">
        <f t="shared" ca="1" si="10"/>
        <v>0</v>
      </c>
      <c r="AD13" s="104" t="str">
        <f ca="1">IF($Z13,VLOOKUP($P13,$E$18:$M$21,8,0),IF($AA13,VLOOKUP($P13,$E$18:$M$21,9,0),IF($AB13,SUMIFS($Z$18:$Z$35,$P$18:$P$35,$P13),IF($AC13,SUMIFS($AE$18:$AE$35,$P$18:$P$35,$P13),""))))</f>
        <v/>
      </c>
      <c r="AE13" s="342" t="str">
        <f ca="1">IF(OR(AND($Y$11&gt;0,OR($B$8=$P13,$D$8=$P13)),AND($Y$12&gt;0,OR($B$9=$P13,$D$9=$P13))),SUMIF($B$8:$B$9,$P13,$J$8:$J$9)+SUMIF($D$8:$D$9,$P13,$L$8:$L$9),"")</f>
        <v/>
      </c>
    </row>
    <row r="14" spans="1:33" ht="15.75" thickBot="1" x14ac:dyDescent="0.3">
      <c r="B14" s="25"/>
      <c r="C14" s="25"/>
      <c r="D14" s="50"/>
      <c r="F14" s="25"/>
      <c r="G14" s="5"/>
      <c r="O14" s="31" t="s">
        <v>35</v>
      </c>
      <c r="P14" s="30" t="str">
        <f t="shared" ca="1" si="11"/>
        <v>Frankreich</v>
      </c>
      <c r="Q14" s="178">
        <f t="shared" ca="1" si="11"/>
        <v>0</v>
      </c>
      <c r="R14" s="29">
        <f t="shared" ca="1" si="11"/>
        <v>0</v>
      </c>
      <c r="S14" s="29">
        <f t="shared" ca="1" si="8"/>
        <v>0</v>
      </c>
      <c r="T14" s="29">
        <f t="shared" ca="1" si="8"/>
        <v>0</v>
      </c>
      <c r="U14" s="29">
        <f t="shared" ca="1" si="11"/>
        <v>0</v>
      </c>
      <c r="V14" s="356">
        <f ca="1">LARGE($V$4:$V$7,ROW(A4))</f>
        <v>50000.000000100001</v>
      </c>
      <c r="Z14" s="209" t="b">
        <f ca="1">VLOOKUP($P14,$E$18:$M$21,8,0)&lt;&gt;""</f>
        <v>0</v>
      </c>
      <c r="AA14" s="210" t="b">
        <f ca="1">VLOOKUP($P14,$E$18:$M$21,9,0)&lt;&gt;""</f>
        <v>0</v>
      </c>
      <c r="AB14" s="211" t="b">
        <f t="shared" ca="1" si="9"/>
        <v>0</v>
      </c>
      <c r="AC14" s="211" t="b">
        <f t="shared" ca="1" si="10"/>
        <v>0</v>
      </c>
      <c r="AD14" s="340" t="str">
        <f ca="1">IF($Z14,VLOOKUP($P14,$E$18:$M$21,8,0),IF($AA14,VLOOKUP($P14,$E$18:$M$21,9,0),IF($AB14,SUMIFS($Z$18:$Z$35,$P$18:$P$35,$P14),IF($AC14,SUMIFS($AE$18:$AE$35,$P$18:$P$35,$P14),""))))</f>
        <v/>
      </c>
      <c r="AE14" s="343" t="str">
        <f ca="1">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572" t="s">
        <v>464</v>
      </c>
      <c r="H16" s="572"/>
      <c r="I16" s="572"/>
      <c r="J16" s="572"/>
      <c r="K16" s="572"/>
      <c r="L16" s="572"/>
      <c r="M16" s="55"/>
      <c r="N16" s="55"/>
      <c r="W16" s="563" t="s">
        <v>465</v>
      </c>
      <c r="X16" s="563"/>
      <c r="Y16" s="563"/>
      <c r="Z16" s="563"/>
      <c r="AD16" s="563" t="s">
        <v>466</v>
      </c>
      <c r="AE16" s="563"/>
      <c r="AF16" s="212" t="b">
        <f ca="1">AND($Q$4=$Q$5,$Q$4=$Q$6,$Q$4=$Q$7)</f>
        <v>1</v>
      </c>
    </row>
    <row r="17" spans="2:31" ht="16.5" thickTop="1" thickBot="1" x14ac:dyDescent="0.3">
      <c r="B17" s="25"/>
      <c r="C17" s="25"/>
      <c r="D17" s="25"/>
      <c r="G17" s="338"/>
      <c r="H17" s="33" t="str">
        <f>LEFT($P$4,3)</f>
        <v>Pol</v>
      </c>
      <c r="I17" s="33" t="str">
        <f>LEFT($P$5,3)</f>
        <v>Nie</v>
      </c>
      <c r="J17" s="33" t="str">
        <f>LEFT($P$6,3)</f>
        <v>Öst</v>
      </c>
      <c r="K17" s="101" t="str">
        <f>LEFT($P$7,3)</f>
        <v>Fra</v>
      </c>
      <c r="L17" s="46" t="s">
        <v>463</v>
      </c>
      <c r="M17" s="46" t="s">
        <v>472</v>
      </c>
      <c r="N17" s="46"/>
      <c r="Q17" s="46" t="s">
        <v>191</v>
      </c>
      <c r="R17" s="46" t="s">
        <v>190</v>
      </c>
      <c r="S17" s="46" t="s">
        <v>1087</v>
      </c>
      <c r="T17" s="46" t="s">
        <v>1088</v>
      </c>
      <c r="U17" s="46"/>
      <c r="V17" s="46" t="s">
        <v>197</v>
      </c>
      <c r="W17" s="46" t="s">
        <v>674</v>
      </c>
      <c r="X17" s="55" t="s">
        <v>467</v>
      </c>
      <c r="Y17" s="46" t="s">
        <v>471</v>
      </c>
      <c r="Z17" s="46" t="s">
        <v>471</v>
      </c>
      <c r="AA17" s="564" t="s">
        <v>462</v>
      </c>
      <c r="AB17" s="564"/>
      <c r="AC17" s="564"/>
      <c r="AD17" s="55" t="s">
        <v>469</v>
      </c>
      <c r="AE17" s="46" t="s">
        <v>470</v>
      </c>
    </row>
    <row r="18" spans="2:31" ht="15.75" thickTop="1" x14ac:dyDescent="0.25">
      <c r="B18" s="25"/>
      <c r="C18" s="25"/>
      <c r="D18" s="25"/>
      <c r="E18" s="568" t="str">
        <f>$P$4</f>
        <v>Polen</v>
      </c>
      <c r="F18" s="569"/>
      <c r="G18" s="569"/>
      <c r="H18" s="100"/>
      <c r="I18" s="33">
        <f ca="1">SUMIFS($E$4:$E$9,$B$4:$B$9,$P$4,$D$4:$D$9,$P$5)+SUMIFS($G$4:$G$9,$B$4:$B$9,$P$5,$D$4:$D$9,$P$4)</f>
        <v>0</v>
      </c>
      <c r="J18" s="33">
        <f ca="1">SUMIFS($E$4:$E$9,$B$4:$B$9,$P$4,$D$4:$D$9,$P$6)+SUMIFS($G$4:$G$9,$B$4:$B$9,$P$6,$D$4:$D$9,$P$4)</f>
        <v>0</v>
      </c>
      <c r="K18" s="101">
        <f ca="1">SUMIFS($E$4:$E$9,$B$4:$B$9,$P$4,$D$4:$D$9,$P$7)+SUMIFS($G$4:$G$9,$B$4:$B$9,$P$7,$D$4:$D$9,$P$4)</f>
        <v>0</v>
      </c>
      <c r="L18" s="64" t="str">
        <f ca="1">IF(AND($Q$4=$Q$5,$Q$4&lt;&gt;$Q$6,$Q$4&lt;&gt;$Q$7),IF(I18&gt;H19,3,IF(I18=H19,1,0)),IF(AND($Q$4=$Q$6,$Q$4&lt;&gt;$Q$5,$Q$4&lt;&gt;$Q$7),IF(J18&gt;H20,3,IF(J18=H20,1,0)),IF(AND($Q$4=$Q$7,$Q$4&lt;&gt;$Q$5,$Q$4&lt;&gt;$Q$6),IF(K18&gt;H21,3,IF(K18=H21,1,0)),"")))</f>
        <v/>
      </c>
      <c r="M18" s="64" t="str">
        <f ca="1">IF($AF$16,IF(AND($AD$4=$AD$5,$AD$4&lt;&gt;$AD$6,$AD$4&lt;&gt;$AD$7),IF(I18&gt;H19,3,IF(I18=H19,1,0)),IF(AND($AD$4&lt;&gt;$AD$5,$AD$4=$AD$6,$AD$4&lt;&gt;$AD$7),IF(J18&gt;H20,3,IF(J18=H20,1,0)),IF(AND($AD$4&lt;&gt;$AD$5,$AD$4&lt;&gt;$AD$6,$AD$4=$AD$7),IF(K18&gt;H21,3,IF(K18=H21,1,0)),""))),"")</f>
        <v/>
      </c>
      <c r="N18" s="25"/>
      <c r="O18" s="25" t="s">
        <v>32</v>
      </c>
      <c r="P18" t="str">
        <f>$P$4</f>
        <v>Polen</v>
      </c>
      <c r="Q18" s="25">
        <f ca="1">SUMIFS($H$4:$H$9,$B$4:$B$9,$P18,$D$4:$D$9,"&lt;&gt;"&amp;$P$21)+SUMIFS($I$4:$I$9,$B$4:$B$9,"&lt;&gt;"&amp;$P$21,$D$4:$D$9,$P18)</f>
        <v>0</v>
      </c>
      <c r="R18" s="25">
        <f ca="1">S18-T18</f>
        <v>0</v>
      </c>
      <c r="S18" s="25">
        <f ca="1">SUMIFS($E$4:$E$9,$B$4:$B$9,$P18,$D$4:$D$9,"&lt;&gt;"&amp;$P$21)+SUMIFS($G$4:$G$9,$B$4:$B$9,"&lt;&gt;"&amp;$P$21,$D$4:$D$9,$P18)</f>
        <v>0</v>
      </c>
      <c r="T18" s="25">
        <f ca="1">SUMIFS($G$4:$G$9,$B$4:$B$9,$P18,$D$4:$D$9,"&lt;&gt;"&amp;$P$21)+SUMIFS($E$4:$E$9,$B$4:$B$9,"&lt;&gt;"&amp;$P$21,$D$4:$D$9,$P18)</f>
        <v>0</v>
      </c>
      <c r="U18" s="25"/>
      <c r="V18" s="202">
        <f ca="1">Q18*FactorPts+(GDzero+R18)*FactorGD+S18*FactorFor</f>
        <v>50000</v>
      </c>
      <c r="W18" s="25">
        <f ca="1">RANK(V18,V$18:V$20,1)</f>
        <v>1</v>
      </c>
      <c r="X18" s="25">
        <f ca="1">IF(AND($Q$4=$Q$5,$Q$4=$Q$6,$Q$4&lt;&gt;$Q$7),W18,0)</f>
        <v>0</v>
      </c>
      <c r="Y18" s="25" t="str">
        <f ca="1">IF(AND(V18=V19,V18&lt;&gt;V20),IF(AA18&gt;AA19,3,IF(AA18=AA19,1,0)),IF(AND(V18=V20,V18&lt;&gt;V19),IF(AB18&gt;AB20,3,IF(AB18=AB20,1,0)),""))</f>
        <v/>
      </c>
      <c r="Z18" s="25" t="str">
        <f ca="1">IF(X18&gt;0,Y18,"")</f>
        <v/>
      </c>
      <c r="AA18" s="188">
        <f ca="1">$I$18</f>
        <v>0</v>
      </c>
      <c r="AB18" s="189">
        <f ca="1">$J$18</f>
        <v>0</v>
      </c>
      <c r="AC18" s="190"/>
      <c r="AD18" s="25">
        <f ca="1">IF(AND($AF$16,$AD$4=$AD$5,$AD$4=$AD$6,$AD$4&lt;&gt;$AD$7),W18,0)</f>
        <v>0</v>
      </c>
      <c r="AE18" s="25" t="str">
        <f ca="1">IF(AD18&gt;0,Y18,"")</f>
        <v/>
      </c>
    </row>
    <row r="19" spans="2:31" x14ac:dyDescent="0.25">
      <c r="B19" s="25"/>
      <c r="C19" s="25"/>
      <c r="D19" s="25"/>
      <c r="E19" s="570" t="str">
        <f>$P$5</f>
        <v>Niederlande</v>
      </c>
      <c r="F19" s="571"/>
      <c r="G19" s="571"/>
      <c r="H19" s="32">
        <f ca="1">SUMIFS($E$4:$E$9,$B$4:$B$9,$P$5,$D$4:$D$9,$P$4)+SUMIFS($G$4:$G$9,$B$4:$B$9,$P$4,$D$4:$D$9,$P$5)</f>
        <v>0</v>
      </c>
      <c r="I19" s="69"/>
      <c r="J19" s="25">
        <f ca="1">SUMIFS($E$4:$E$9,$B$4:$B$9,$P$5,$D$4:$D$9,$P$6)+SUMIFS($G$4:$G$9,$B$4:$B$9,$P$6,$D$4:$D$9,$P$5)</f>
        <v>0</v>
      </c>
      <c r="K19" s="47">
        <f ca="1">SUMIFS($E$4:$E$9,$B$4:$B$9,$P$5,$D$4:$D$9,$P$7)+SUMIFS($G$4:$G$9,$B$4:$B$9,$P$7,$D$4:$D$9,$P$5)</f>
        <v>0</v>
      </c>
      <c r="L19" s="65" t="str">
        <f ca="1">IF(AND($Q$5=$Q$4,$Q$5&lt;&gt;$Q$6,$Q$5&lt;&gt;$Q$7),IF(H19&gt;I18,3,IF(H19=I18,1,0)),IF(AND($Q$5=$Q$6,$Q$5&lt;&gt;$Q$4,$Q$5&lt;&gt;$Q$7),IF(J19&gt;I20,3,IF(J19=I20,1,0)),IF(AND($Q$5=$Q$7,$Q$5&lt;&gt;$Q$4,$Q$5&lt;&gt;$Q$6),IF(K19&gt;I21,3,IF(K19=I21,1,0)),"")))</f>
        <v/>
      </c>
      <c r="M19" s="65" t="str">
        <f ca="1">IF($AF$16,IF(AND($AD$5=$AD$4,$AD$5&lt;&gt;$AD$6,$AD$5&lt;&gt;$AD$7),IF(H19&gt;I18,3,IF(H19=I18,1,0)),IF(AND($AD$5&lt;&gt;$AD$4,$AD$5=$AD$6,$AD$5&lt;&gt;$AD$7),IF(J19&gt;I20,3,IF(J19=I20,1,0)),IF(AND($AD$5&lt;&gt;$AD$4,$AD$5&lt;&gt;$AD$6,$AD$5=$AD$7),IF(K19&gt;I21,3,IF(K19=I21,1,0)),""))),"")</f>
        <v/>
      </c>
      <c r="N19" s="25"/>
      <c r="O19" s="25" t="s">
        <v>33</v>
      </c>
      <c r="P19" t="str">
        <f>$P$5</f>
        <v>Niederlande</v>
      </c>
      <c r="Q19" s="25">
        <f ca="1">SUMIFS($H$4:$H$9,$B$4:$B$9,$P19,$D$4:$D$9,"&lt;&gt;"&amp;$P$21)+SUMIFS($I$4:$I$9,$B$4:$B$9,"&lt;&gt;"&amp;$P$21,$D$4:$D$9,$P19)</f>
        <v>0</v>
      </c>
      <c r="R19" s="25">
        <f ca="1">S19-T19</f>
        <v>0</v>
      </c>
      <c r="S19" s="25">
        <f ca="1">SUMIFS($E$4:$E$9,$B$4:$B$9,$P19,$D$4:$D$9,"&lt;&gt;"&amp;$P$21)+SUMIFS($G$4:$G$9,$B$4:$B$9,"&lt;&gt;"&amp;$P$21,$D$4:$D$9,$P19)</f>
        <v>0</v>
      </c>
      <c r="T19" s="25">
        <f ca="1">SUMIFS($G$4:$G$9,$B$4:$B$9,$P19,$D$4:$D$9,"&lt;&gt;"&amp;$P$21)+SUMIFS($E$4:$E$9,$B$4:$B$9,"&lt;&gt;"&amp;$P$21,$D$4:$D$9,$P19)</f>
        <v>0</v>
      </c>
      <c r="U19" s="25"/>
      <c r="V19" s="202">
        <f ca="1">Q19*FactorPts+(GDzero+R19)*FactorGD+S19*FactorFor</f>
        <v>50000</v>
      </c>
      <c r="W19" s="25">
        <f ca="1">RANK(V19,V$18:V$20,1)</f>
        <v>1</v>
      </c>
      <c r="X19" s="25">
        <f ca="1">IF(AND($Q$4=$Q$5,$Q$4=$Q$6,$Q$4&lt;&gt;$Q$7),W19,0)</f>
        <v>0</v>
      </c>
      <c r="Y19" s="25" t="str">
        <f ca="1">IF(AND(V19=V18,V19&lt;&gt;V20),IF(AA19&gt;AA18,3,IF(AA19=AA18,1,0)),IF(AND(V19=V20,V19&lt;&gt;V18),IF(AC19&gt;AC20,3,IF(AC19=AC20,1,0)),""))</f>
        <v/>
      </c>
      <c r="Z19" s="25" t="str">
        <f t="shared" ref="Z19:Z20" ca="1" si="12">IF(X19&gt;0,Y19,"")</f>
        <v/>
      </c>
      <c r="AA19" s="191">
        <f ca="1">$H$19</f>
        <v>0</v>
      </c>
      <c r="AB19" s="25"/>
      <c r="AC19" s="204">
        <f ca="1">$J$19</f>
        <v>0</v>
      </c>
      <c r="AD19" s="25">
        <f ca="1">IF(AND($AF$16,$AD$4=$AD$5,$AD$4=$AD$6,$AD$4&lt;&gt;$AD$7),W19,0)</f>
        <v>0</v>
      </c>
      <c r="AE19" s="25" t="str">
        <f t="shared" ref="AE19:AE20" ca="1" si="13">IF(AD19&gt;0,Y19,"")</f>
        <v/>
      </c>
    </row>
    <row r="20" spans="2:31" x14ac:dyDescent="0.25">
      <c r="E20" s="570" t="str">
        <f>$P$6</f>
        <v>Österreich</v>
      </c>
      <c r="F20" s="571"/>
      <c r="G20" s="571"/>
      <c r="H20" s="32">
        <f ca="1">SUMIFS($E$4:$E$9,$B$4:$B$9,$P$6,$D$4:$D$9,$P$4)+SUMIFS($G$4:$G$9,$B$4:$B$9,$P$4,$D$4:$D$9,$P$6)</f>
        <v>0</v>
      </c>
      <c r="I20" s="25">
        <f ca="1">SUMIFS($E$4:$E$9,$B$4:$B$9,$P$6,$D$4:$D$9,$P$5)+SUMIFS($G$4:$G$9,$B$4:$B$9,$P$5,$D$4:$D$9,$P$6)</f>
        <v>0</v>
      </c>
      <c r="J20" s="69"/>
      <c r="K20" s="47">
        <f ca="1">SUMIFS($E$4:$E$9,$B$4:$B$9,$P$6,$D$4:$D$9,$P$7)+SUMIFS($G$4:$G$9,$B$4:$B$9,$P$7,$D$4:$D$9,$P$6)</f>
        <v>0</v>
      </c>
      <c r="L20" s="65" t="str">
        <f ca="1">IF(AND($Q$6=$Q$4,$Q$6&lt;&gt;$Q$5,$Q$6&lt;&gt;$Q$7),IF(H20&gt;J18,3,IF(H20=J18,1,0)),IF(AND($Q$6=$Q$5,$Q$6&lt;&gt;$Q$4,$Q$6&lt;&gt;$Q$7),IF(I20&gt;J19,3,IF(I20=J19,1,0)),IF(AND($Q$6=$Q$7,$Q$6&lt;&gt;$Q$4,$Q$6&lt;&gt;$Q$5),IF(K20&gt;J21,3,IF(K20=J21,1,0)),"")))</f>
        <v/>
      </c>
      <c r="M20" s="65" t="str">
        <f ca="1">IF($AF$16,IF(AND($AD$6=$AD$4,$AD$6&lt;&gt;$AD$5,$AD$6&lt;&gt;$AD$7),IF(H20&gt;J18,3,IF(H20=J18,1,0)),IF(AND($AD$6&lt;&gt;$AD$4,$AD$6=$AD$5,$AD$6&lt;&gt;$AD$7),IF(I20&gt;J19,3,IF(I20=J19,1,0)),IF(AND($AD$6&lt;&gt;$AD$4,$AD$6&lt;&gt;$AD$5,$AD$6=$AD$7),IF(K20&gt;J21,3,IF(K20=J21,1,0)),""))),"")</f>
        <v/>
      </c>
      <c r="N20" s="25"/>
      <c r="O20" s="25" t="s">
        <v>34</v>
      </c>
      <c r="P20" t="str">
        <f>$P$6</f>
        <v>Österreich</v>
      </c>
      <c r="Q20" s="25">
        <f ca="1">SUMIFS($H$4:$H$9,$B$4:$B$9,$P20,$D$4:$D$9,"&lt;&gt;"&amp;$P$21)+SUMIFS($I$4:$I$9,$B$4:$B$9,"&lt;&gt;"&amp;$P$21,$D$4:$D$9,$P20)</f>
        <v>0</v>
      </c>
      <c r="R20" s="25">
        <f ca="1">S20-T20</f>
        <v>0</v>
      </c>
      <c r="S20" s="25">
        <f ca="1">SUMIFS($E$4:$E$9,$B$4:$B$9,$P20,$D$4:$D$9,"&lt;&gt;"&amp;$P$21)+SUMIFS($G$4:$G$9,$B$4:$B$9,"&lt;&gt;"&amp;$P$21,$D$4:$D$9,$P20)</f>
        <v>0</v>
      </c>
      <c r="T20" s="25">
        <f ca="1">SUMIFS($G$4:$G$9,$B$4:$B$9,$P20,$D$4:$D$9,"&lt;&gt;"&amp;$P$21)+SUMIFS($E$4:$E$9,$B$4:$B$9,"&lt;&gt;"&amp;$P$21,$D$4:$D$9,$P20)</f>
        <v>0</v>
      </c>
      <c r="U20" s="25"/>
      <c r="V20" s="202">
        <f ca="1">Q20*FactorPts+(GDzero+R20)*FactorGD+S20*FactorFor</f>
        <v>50000</v>
      </c>
      <c r="W20" s="25">
        <f ca="1">RANK(V20,V$18:V$20,1)</f>
        <v>1</v>
      </c>
      <c r="X20" s="25">
        <f ca="1">IF(AND($Q$4=$Q$5,$Q$4=$Q$6,$Q$4&lt;&gt;$Q$7),W20,0)</f>
        <v>0</v>
      </c>
      <c r="Y20" s="25" t="str">
        <f ca="1">IF(AND(V20=V18,V20&lt;&gt;V19),IF(AB20&gt;AB18,3,IF(AB20=AB18,1,0)),IF(AND(V20=V19,V20&lt;&gt;V18),IF(AC20&gt;AC19,3,IF(AC20=AC19,1,0)),""))</f>
        <v/>
      </c>
      <c r="Z20" s="25" t="str">
        <f t="shared" ca="1" si="12"/>
        <v/>
      </c>
      <c r="AA20" s="191"/>
      <c r="AB20" s="25">
        <f ca="1">$H$20</f>
        <v>0</v>
      </c>
      <c r="AC20" s="204">
        <f ca="1">$I$20</f>
        <v>0</v>
      </c>
      <c r="AD20" s="25">
        <f ca="1">IF(AND($AF$16,$AD$4=$AD$5,$AD$4=$AD$6,$AD$4&lt;&gt;$AD$7),W20,0)</f>
        <v>0</v>
      </c>
      <c r="AE20" s="25" t="str">
        <f t="shared" ca="1" si="13"/>
        <v/>
      </c>
    </row>
    <row r="21" spans="2:31" ht="15.75" thickBot="1" x14ac:dyDescent="0.3">
      <c r="B21" s="36"/>
      <c r="C21" s="25"/>
      <c r="E21" s="565" t="str">
        <f>$P$7</f>
        <v>Frankreich</v>
      </c>
      <c r="F21" s="566"/>
      <c r="G21" s="566"/>
      <c r="H21" s="31">
        <f ca="1">SUMIFS($E$4:$E$9,$B$4:$B$9,$P$7,$D$4:$D$9,$P$4)+SUMIFS($G$4:$G$9,$B$4:$B$9,$P$4,$D$4:$D$9,$P$7)</f>
        <v>0</v>
      </c>
      <c r="I21" s="29">
        <f ca="1">SUMIFS($E$4:$E$9,$B$4:$B$9,$P$7,$D$4:$D$9,$P$5)+SUMIFS($G$4:$G$9,$B$4:$B$9,$P$5,$D$4:$D$9,$P$7)</f>
        <v>0</v>
      </c>
      <c r="J21" s="29">
        <f ca="1">SUMIFS($E$4:$E$9,$B$4:$B$9,$P$7,$D$4:$D$9,$P$6)+SUMIFS($G$4:$G$9,$B$4:$B$9,$P$6,$D$4:$D$9,$P$7)</f>
        <v>0</v>
      </c>
      <c r="K21" s="70"/>
      <c r="L21" s="66" t="str">
        <f ca="1">IF(AND($Q$7=$Q$4,$Q$7&lt;&gt;$Q$5,$Q$7&lt;&gt;$Q$6),IF(H21&gt;K18,3,IF(H21=K18,1,0)),IF(AND($Q$7=$Q$5,$Q$7&lt;&gt;$Q$4,$Q$7&lt;&gt;$Q$6),IF(I21&gt;K19,3,IF(I21=K19,1,0)),IF(AND($Q$7=$Q$6,$Q$7&lt;&gt;$Q$4,$Q$7&lt;&gt;$Q$5),IF(J21&gt;K20,3,IF(J21=K20,1,0)),"")))</f>
        <v/>
      </c>
      <c r="M21" s="66" t="str">
        <f ca="1">IF($AF$16,IF(AND($AD$7=$AD$4,$AD$7&lt;&gt;$AD$5,$AD$7&lt;&gt;$AD$6),IF(H21&gt;K18,3,IF(H21=K18,1,0)),IF(AND($AD$7&lt;&gt;$AD$4,$AD$7=$AD$5,$AD$7&lt;&gt;$AD$6),IF(I21&gt;K19,3,IF(I21=K19,1,0)),IF(AND($AD$7&lt;&gt;$AD$4,$AD$7&lt;&gt;$AD$5,$AD$7=$AD$6),IF(J21&gt;K20,3,IF(J21=K20,1,0)),""))),"")</f>
        <v/>
      </c>
      <c r="N21" s="25"/>
      <c r="P21" s="28" t="str">
        <f>$P$7</f>
        <v>Frankreich</v>
      </c>
      <c r="Q21" s="197"/>
      <c r="R21" s="197"/>
      <c r="S21" s="197"/>
      <c r="T21" s="197"/>
      <c r="U21" s="197"/>
      <c r="V21" s="198"/>
      <c r="W21" s="198"/>
      <c r="X21" s="197"/>
      <c r="Y21" s="197"/>
      <c r="Z21" s="197"/>
      <c r="AA21" s="199"/>
      <c r="AB21" s="197"/>
      <c r="AC21" s="200"/>
      <c r="AD21" s="198"/>
      <c r="AE21" s="197"/>
    </row>
    <row r="22" spans="2:31" ht="15.75" thickTop="1" x14ac:dyDescent="0.25">
      <c r="B22" s="36"/>
      <c r="C22" s="25"/>
      <c r="F22" s="25"/>
      <c r="G22" s="5"/>
      <c r="L22" s="46"/>
      <c r="Q22" s="198"/>
      <c r="R22" s="198"/>
      <c r="S22" s="198"/>
      <c r="T22" s="198"/>
      <c r="U22" s="198"/>
      <c r="V22" s="198"/>
      <c r="W22" s="198"/>
      <c r="X22" s="197"/>
      <c r="Y22" s="197"/>
      <c r="Z22" s="197"/>
      <c r="AA22" s="199"/>
      <c r="AB22" s="197"/>
      <c r="AC22" s="200"/>
      <c r="AD22" s="198"/>
      <c r="AE22" s="197"/>
    </row>
    <row r="23" spans="2:31" x14ac:dyDescent="0.25">
      <c r="B23" s="36"/>
      <c r="C23" s="25"/>
      <c r="O23" s="25" t="s">
        <v>32</v>
      </c>
      <c r="P23" t="str">
        <f>$P$4</f>
        <v>Polen</v>
      </c>
      <c r="Q23" s="25">
        <f ca="1">SUMIFS($H$4:$H$9,$B$4:$B$9,$P23,$D$4:$D$9,"&lt;&gt;"&amp;$P$26)+SUMIFS($I$4:$I$9,$B$4:$B$9,"&lt;&gt;"&amp;$P$26,$D$4:$D$9,$P23)</f>
        <v>0</v>
      </c>
      <c r="R23" s="25">
        <f ca="1">S23-T23</f>
        <v>0</v>
      </c>
      <c r="S23" s="25">
        <f ca="1">SUMIFS($E$4:$E$9,$B$4:$B$9,$P23,$D$4:$D$9,"&lt;&gt;"&amp;$P$26)+SUMIFS($G$4:$G$9,$B$4:$B$9,"&lt;&gt;"&amp;$P$26,$D$4:$D$9,$P23)</f>
        <v>0</v>
      </c>
      <c r="T23" s="25">
        <f ca="1">SUMIFS($G$4:$G$9,$B$4:$B$9,$P23,$D$4:$D$9,"&lt;&gt;"&amp;$P$26)+SUMIFS($E$4:$E$9,$B$4:$B$9,"&lt;&gt;"&amp;$P$26,$D$4:$D$9,$P23)</f>
        <v>0</v>
      </c>
      <c r="U23" s="25"/>
      <c r="V23" s="202">
        <f ca="1">Q23*FactorPts+(GDzero+R23)*FactorGD+S23*FactorFor</f>
        <v>50000</v>
      </c>
      <c r="W23" s="25">
        <f ca="1">RANK(V23,V$23:V$25,1)</f>
        <v>1</v>
      </c>
      <c r="X23" s="25">
        <f ca="1">IF(AND($Q$4=$Q$5,$Q$4=$Q$7,$Q$4&lt;&gt;$Q$6),W23,0)</f>
        <v>0</v>
      </c>
      <c r="Y23" s="25" t="str">
        <f ca="1">IF(AND(V23=V24,V23&lt;&gt;V25),IF(AA23&gt;AA24,3,IF(AA23=AA24,1,0)),IF(AND(V23=V25,V23&lt;&gt;V24),IF(AB23&gt;AB25,3,IF(AB23=AB25,1,0)),""))</f>
        <v/>
      </c>
      <c r="Z23" s="25" t="str">
        <f ca="1">IF(X23&gt;0,Y23,"")</f>
        <v/>
      </c>
      <c r="AA23" s="191">
        <f ca="1">$I$18</f>
        <v>0</v>
      </c>
      <c r="AB23" s="25">
        <f ca="1">$K$18</f>
        <v>0</v>
      </c>
      <c r="AC23" s="204"/>
      <c r="AD23" s="25">
        <f ca="1">IF(AND($AF$16,$AD$4=$AD$5,$AD$4=$AD$7,$AD$4&lt;&gt;$AD$6),W23,0)</f>
        <v>0</v>
      </c>
      <c r="AE23" s="25" t="str">
        <f ca="1">IF(AD23&gt;0,Y23,"")</f>
        <v/>
      </c>
    </row>
    <row r="24" spans="2:31" x14ac:dyDescent="0.25">
      <c r="B24" s="36"/>
      <c r="C24" s="25"/>
      <c r="O24" s="25" t="s">
        <v>33</v>
      </c>
      <c r="P24" t="str">
        <f>$P$5</f>
        <v>Niederlande</v>
      </c>
      <c r="Q24" s="25">
        <f ca="1">SUMIFS($H$4:$H$9,$B$4:$B$9,$P24,$D$4:$D$9,"&lt;&gt;"&amp;$P$26)+SUMIFS($I$4:$I$9,$B$4:$B$9,"&lt;&gt;"&amp;$P$26,$D$4:$D$9,$P24)</f>
        <v>0</v>
      </c>
      <c r="R24" s="25">
        <f ca="1">S24-T24</f>
        <v>0</v>
      </c>
      <c r="S24" s="25">
        <f ca="1">SUMIFS($E$4:$E$9,$B$4:$B$9,$P24,$D$4:$D$9,"&lt;&gt;"&amp;$P$26)+SUMIFS($G$4:$G$9,$B$4:$B$9,"&lt;&gt;"&amp;$P$26,$D$4:$D$9,$P24)</f>
        <v>0</v>
      </c>
      <c r="T24" s="25">
        <f ca="1">SUMIFS($G$4:$G$9,$B$4:$B$9,$P24,$D$4:$D$9,"&lt;&gt;"&amp;$P$26)+SUMIFS($E$4:$E$9,$B$4:$B$9,"&lt;&gt;"&amp;$P$26,$D$4:$D$9,$P24)</f>
        <v>0</v>
      </c>
      <c r="U24" s="25"/>
      <c r="V24" s="202">
        <f ca="1">Q24*FactorPts+(GDzero+R24)*FactorGD+S24*FactorFor</f>
        <v>50000</v>
      </c>
      <c r="W24" s="25">
        <f ca="1">RANK(V24,V$23:V$25,1)</f>
        <v>1</v>
      </c>
      <c r="X24" s="25">
        <f ca="1">IF(AND($Q$4=$Q$5,$Q$4=$Q$7,$Q$4&lt;&gt;$Q$6),W24,0)</f>
        <v>0</v>
      </c>
      <c r="Y24" s="25" t="str">
        <f ca="1">IF(AND(V24=V23,V24&lt;&gt;V25),IF(AA24&gt;AA23,3,IF(AA24=AA23,1,0)),IF(AND(V24=V25,V24&lt;&gt;V23),IF(AC24&gt;AC25,3,IF(AC24=AC25,1,0)),""))</f>
        <v/>
      </c>
      <c r="Z24" s="25" t="str">
        <f t="shared" ref="Z24:Z25" ca="1" si="14">IF(X24&gt;0,Y24,"")</f>
        <v/>
      </c>
      <c r="AA24" s="191">
        <f ca="1">$H$19</f>
        <v>0</v>
      </c>
      <c r="AB24" s="25"/>
      <c r="AC24" s="204">
        <f ca="1">$K$19</f>
        <v>0</v>
      </c>
      <c r="AD24" s="25">
        <f ca="1">IF(AND($AF$16,$AD$4=$AD$5,$AD$4=$AD$7,$AD$4&lt;&gt;$AD$6),W24,0)</f>
        <v>0</v>
      </c>
      <c r="AE24" s="25" t="str">
        <f t="shared" ref="AE24:AE25" ca="1" si="15">IF(AD24&gt;0,Y24,"")</f>
        <v/>
      </c>
    </row>
    <row r="25" spans="2:31" x14ac:dyDescent="0.25">
      <c r="B25" s="36"/>
      <c r="C25" s="25"/>
      <c r="O25" s="25" t="s">
        <v>34</v>
      </c>
      <c r="P25" t="str">
        <f>$P$7</f>
        <v>Frankreich</v>
      </c>
      <c r="Q25" s="25">
        <f ca="1">SUMIFS($H$4:$H$9,$B$4:$B$9,$P25,$D$4:$D$9,"&lt;&gt;"&amp;$P$26)+SUMIFS($I$4:$I$9,$B$4:$B$9,"&lt;&gt;"&amp;$P$26,$D$4:$D$9,$P25)</f>
        <v>0</v>
      </c>
      <c r="R25" s="25">
        <f ca="1">S25-T25</f>
        <v>0</v>
      </c>
      <c r="S25" s="25">
        <f ca="1">SUMIFS($E$4:$E$9,$B$4:$B$9,$P25,$D$4:$D$9,"&lt;&gt;"&amp;$P$26)+SUMIFS($G$4:$G$9,$B$4:$B$9,"&lt;&gt;"&amp;$P$26,$D$4:$D$9,$P25)</f>
        <v>0</v>
      </c>
      <c r="T25" s="25">
        <f ca="1">SUMIFS($G$4:$G$9,$B$4:$B$9,$P25,$D$4:$D$9,"&lt;&gt;"&amp;$P$26)+SUMIFS($E$4:$E$9,$B$4:$B$9,"&lt;&gt;"&amp;$P$26,$D$4:$D$9,$P25)</f>
        <v>0</v>
      </c>
      <c r="U25" s="25"/>
      <c r="V25" s="202">
        <f ca="1">Q25*FactorPts+(GDzero+R25)*FactorGD+S25*FactorFor</f>
        <v>50000</v>
      </c>
      <c r="W25" s="25">
        <f ca="1">RANK(V25,V$23:V$25,1)</f>
        <v>1</v>
      </c>
      <c r="X25" s="25">
        <f ca="1">IF(AND($Q$4=$Q$5,$Q$4=$Q$7,$Q$4&lt;&gt;$Q$6),W25,0)</f>
        <v>0</v>
      </c>
      <c r="Y25" s="25" t="str">
        <f ca="1">IF(AND(V25=V23,V25&lt;&gt;V24),IF(AB25&gt;AB23,3,IF(AB25=AB23,1,0)),IF(AND(V25=V24,V25&lt;&gt;V23),IF(AC25&gt;AC24,3,IF(AC25=AC24,1,0)),""))</f>
        <v/>
      </c>
      <c r="Z25" s="25" t="str">
        <f t="shared" ca="1" si="14"/>
        <v/>
      </c>
      <c r="AA25" s="191"/>
      <c r="AB25" s="25">
        <f ca="1">$H$21</f>
        <v>0</v>
      </c>
      <c r="AC25" s="204">
        <f ca="1">$I$21</f>
        <v>0</v>
      </c>
      <c r="AD25" s="25">
        <f ca="1">IF(AND($AF$16,$AD$4=$AD$5,$AD$4=$AD$7,$AD$4&lt;&gt;$AD$6),W25,0)</f>
        <v>0</v>
      </c>
      <c r="AE25" s="25" t="str">
        <f t="shared" ca="1" si="15"/>
        <v/>
      </c>
    </row>
    <row r="26" spans="2:31" x14ac:dyDescent="0.25">
      <c r="B26" s="36"/>
      <c r="C26" s="25"/>
      <c r="P26" s="28" t="str">
        <f>$P$6</f>
        <v>Österreich</v>
      </c>
      <c r="Q26" s="197"/>
      <c r="R26" s="197"/>
      <c r="S26" s="197"/>
      <c r="T26" s="197"/>
      <c r="U26" s="197"/>
      <c r="V26" s="198"/>
      <c r="W26" s="198"/>
      <c r="X26" s="197"/>
      <c r="Y26" s="197"/>
      <c r="Z26" s="197"/>
      <c r="AA26" s="199"/>
      <c r="AB26" s="197"/>
      <c r="AC26" s="200"/>
      <c r="AD26" s="198"/>
      <c r="AE26" s="197"/>
    </row>
    <row r="27" spans="2:31" x14ac:dyDescent="0.25">
      <c r="Q27" s="198"/>
      <c r="R27" s="198"/>
      <c r="S27" s="198"/>
      <c r="T27" s="198"/>
      <c r="U27" s="198"/>
      <c r="V27" s="198"/>
      <c r="W27" s="198"/>
      <c r="X27" s="197"/>
      <c r="Y27" s="197"/>
      <c r="Z27" s="197"/>
      <c r="AA27" s="199"/>
      <c r="AB27" s="197"/>
      <c r="AC27" s="200"/>
      <c r="AD27" s="198"/>
      <c r="AE27" s="197"/>
    </row>
    <row r="28" spans="2:31" x14ac:dyDescent="0.25">
      <c r="O28" s="25" t="s">
        <v>32</v>
      </c>
      <c r="P28" t="str">
        <f>$P$4</f>
        <v>Polen</v>
      </c>
      <c r="Q28" s="25">
        <f ca="1">SUMIFS($H$4:$H$9,$B$4:$B$9,$P28,$D$4:$D$9,"&lt;&gt;"&amp;$P$31)+SUMIFS($I$4:$I$9,$B$4:$B$9,"&lt;&gt;"&amp;$P$31,$D$4:$D$9,$P28)</f>
        <v>0</v>
      </c>
      <c r="R28" s="25">
        <f ca="1">S28-T28</f>
        <v>0</v>
      </c>
      <c r="S28" s="25">
        <f ca="1">SUMIFS($E$4:$E$9,$B$4:$B$9,$P28,$D$4:$D$9,"&lt;&gt;"&amp;$P$31)+SUMIFS($G$4:$G$9,$B$4:$B$9,"&lt;&gt;"&amp;$P$31,$D$4:$D$9,$P28)</f>
        <v>0</v>
      </c>
      <c r="T28" s="25">
        <f ca="1">SUMIFS($G$4:$G$9,$B$4:$B$9,$P28,$D$4:$D$9,"&lt;&gt;"&amp;$P$31)+SUMIFS($E$4:$E$9,$B$4:$B$9,"&lt;&gt;"&amp;$P$31,$D$4:$D$9,$P28)</f>
        <v>0</v>
      </c>
      <c r="U28" s="25"/>
      <c r="V28" s="202">
        <f ca="1">Q28*FactorPts+(GDzero+R28)*FactorGD+S28*FactorFor</f>
        <v>50000</v>
      </c>
      <c r="W28" s="25">
        <f ca="1">RANK(V28,V$28:V$30,1)</f>
        <v>1</v>
      </c>
      <c r="X28" s="25">
        <f ca="1">IF(AND($Q$4=$Q$6,$Q$4=$Q$7,$Q$4&lt;&gt;$Q$5),W28,0)</f>
        <v>0</v>
      </c>
      <c r="Y28" s="25" t="str">
        <f ca="1">IF(AND(V28=V29,V28&lt;&gt;V30),IF(AA28&gt;AA29,3,IF(AA28=AA29,1,0)),IF(AND(V28=V30,V28&lt;&gt;V29),IF(AB28&gt;AB30,3,IF(AB28=AB30,1,0)),""))</f>
        <v/>
      </c>
      <c r="Z28" s="25" t="str">
        <f ca="1">IF(X28&gt;0,Y28,"")</f>
        <v/>
      </c>
      <c r="AA28" s="191">
        <f ca="1">$J$18</f>
        <v>0</v>
      </c>
      <c r="AB28" s="25">
        <f ca="1">$K$18</f>
        <v>0</v>
      </c>
      <c r="AC28" s="204"/>
      <c r="AD28" s="25">
        <f ca="1">IF(AND($AF$16,$AD$4=$AD$6,$AD$4=$AD$7,$AD$4&lt;&gt;$AD$5),W28,0)</f>
        <v>0</v>
      </c>
      <c r="AE28" s="25" t="str">
        <f ca="1">IF(AD28&gt;0,Y28,"")</f>
        <v/>
      </c>
    </row>
    <row r="29" spans="2:31" x14ac:dyDescent="0.25">
      <c r="O29" s="25" t="s">
        <v>33</v>
      </c>
      <c r="P29" t="str">
        <f>$P$6</f>
        <v>Österreich</v>
      </c>
      <c r="Q29" s="25">
        <f ca="1">SUMIFS($H$4:$H$9,$B$4:$B$9,$P29,$D$4:$D$9,"&lt;&gt;"&amp;$P$31)+SUMIFS($I$4:$I$9,$B$4:$B$9,"&lt;&gt;"&amp;$P$31,$D$4:$D$9,$P29)</f>
        <v>0</v>
      </c>
      <c r="R29" s="25">
        <f ca="1">S29-T29</f>
        <v>0</v>
      </c>
      <c r="S29" s="25">
        <f ca="1">SUMIFS($E$4:$E$9,$B$4:$B$9,$P29,$D$4:$D$9,"&lt;&gt;"&amp;$P$31)+SUMIFS($G$4:$G$9,$B$4:$B$9,"&lt;&gt;"&amp;$P$31,$D$4:$D$9,$P29)</f>
        <v>0</v>
      </c>
      <c r="T29" s="25">
        <f ca="1">SUMIFS($G$4:$G$9,$B$4:$B$9,$P29,$D$4:$D$9,"&lt;&gt;"&amp;$P$31)+SUMIFS($E$4:$E$9,$B$4:$B$9,"&lt;&gt;"&amp;$P$31,$D$4:$D$9,$P29)</f>
        <v>0</v>
      </c>
      <c r="U29" s="25"/>
      <c r="V29" s="202">
        <f ca="1">Q29*FactorPts+(GDzero+R29)*FactorGD+S29*FactorFor</f>
        <v>50000</v>
      </c>
      <c r="W29" s="25">
        <f ca="1">RANK(V29,V$28:V$30,1)</f>
        <v>1</v>
      </c>
      <c r="X29" s="25">
        <f ca="1">IF(AND($Q$4=$Q$6,$Q$4=$Q$7,$Q$4&lt;&gt;$Q$5),W29,0)</f>
        <v>0</v>
      </c>
      <c r="Y29" s="25" t="str">
        <f ca="1">IF(AND(V29=V28,V29&lt;&gt;V30),IF(AA29&gt;AA28,3,IF(AA29=AA28,1,0)),IF(AND(V29=V30,V29&lt;&gt;V28),IF(AC29&gt;AC30,3,IF(AC29=AC30,1,0)),""))</f>
        <v/>
      </c>
      <c r="Z29" s="25" t="str">
        <f t="shared" ref="Z29:Z30" ca="1" si="16">IF(X29&gt;0,Y29,"")</f>
        <v/>
      </c>
      <c r="AA29" s="191">
        <f ca="1">$H$20</f>
        <v>0</v>
      </c>
      <c r="AB29" s="25"/>
      <c r="AC29" s="204">
        <f ca="1">$K$20</f>
        <v>0</v>
      </c>
      <c r="AD29" s="25">
        <f ca="1">IF(AND($AF$16,$AD$4=$AD$6,$AD$4=$AD$7,$AD$4&lt;&gt;$AD$5),W29,0)</f>
        <v>0</v>
      </c>
      <c r="AE29" s="25" t="str">
        <f t="shared" ref="AE29:AE30" ca="1" si="17">IF(AD29&gt;0,Y29,"")</f>
        <v/>
      </c>
    </row>
    <row r="30" spans="2:31" x14ac:dyDescent="0.25">
      <c r="O30" s="25" t="s">
        <v>34</v>
      </c>
      <c r="P30" t="str">
        <f>$P$7</f>
        <v>Frankreich</v>
      </c>
      <c r="Q30" s="25">
        <f ca="1">SUMIFS($H$4:$H$9,$B$4:$B$9,$P30,$D$4:$D$9,"&lt;&gt;"&amp;$P$31)+SUMIFS($I$4:$I$9,$B$4:$B$9,"&lt;&gt;"&amp;$P$31,$D$4:$D$9,$P30)</f>
        <v>0</v>
      </c>
      <c r="R30" s="25">
        <f ca="1">S30-T30</f>
        <v>0</v>
      </c>
      <c r="S30" s="25">
        <f ca="1">SUMIFS($E$4:$E$9,$B$4:$B$9,$P30,$D$4:$D$9,"&lt;&gt;"&amp;$P$31)+SUMIFS($G$4:$G$9,$B$4:$B$9,"&lt;&gt;"&amp;$P$31,$D$4:$D$9,$P30)</f>
        <v>0</v>
      </c>
      <c r="T30" s="25">
        <f ca="1">SUMIFS($G$4:$G$9,$B$4:$B$9,$P30,$D$4:$D$9,"&lt;&gt;"&amp;$P$31)+SUMIFS($E$4:$E$9,$B$4:$B$9,"&lt;&gt;"&amp;$P$31,$D$4:$D$9,$P30)</f>
        <v>0</v>
      </c>
      <c r="U30" s="25"/>
      <c r="V30" s="202">
        <f ca="1">Q30*FactorPts+(GDzero+R30)*FactorGD+S30*FactorFor</f>
        <v>50000</v>
      </c>
      <c r="W30" s="25">
        <f ca="1">RANK(V30,V$28:V$30,1)</f>
        <v>1</v>
      </c>
      <c r="X30" s="25">
        <f ca="1">IF(AND($Q$4=$Q$6,$Q$4=$Q$7,$Q$4&lt;&gt;$Q$5),W30,0)</f>
        <v>0</v>
      </c>
      <c r="Y30" s="25" t="str">
        <f ca="1">IF(AND(V30=V28,V30&lt;&gt;V29),IF(AB30&gt;AB28,3,IF(AB30=AB28,1,0)),IF(AND(V30=V29,V30&lt;&gt;V28),IF(AC30&gt;AC29,3,IF(AC30=AC29,1,0)),""))</f>
        <v/>
      </c>
      <c r="Z30" s="25" t="str">
        <f t="shared" ca="1" si="16"/>
        <v/>
      </c>
      <c r="AA30" s="191"/>
      <c r="AB30" s="25">
        <f ca="1">$H$21</f>
        <v>0</v>
      </c>
      <c r="AC30" s="204">
        <f ca="1">$J$21</f>
        <v>0</v>
      </c>
      <c r="AD30" s="25">
        <f ca="1">IF(AND($AF$16,$AD$4=$AD$6,$AD$4=$AD$7,$AD$4&lt;&gt;$AD$5),W30,0)</f>
        <v>0</v>
      </c>
      <c r="AE30" s="25" t="str">
        <f t="shared" ca="1" si="17"/>
        <v/>
      </c>
    </row>
    <row r="31" spans="2:31" x14ac:dyDescent="0.25">
      <c r="P31" s="28" t="str">
        <f>$P$5</f>
        <v>Niederlande</v>
      </c>
      <c r="Q31" s="197"/>
      <c r="R31" s="197"/>
      <c r="S31" s="197"/>
      <c r="T31" s="197"/>
      <c r="U31" s="197"/>
      <c r="V31" s="198"/>
      <c r="W31" s="198"/>
      <c r="X31" s="197"/>
      <c r="Y31" s="197"/>
      <c r="Z31" s="197"/>
      <c r="AA31" s="199"/>
      <c r="AB31" s="197"/>
      <c r="AC31" s="200"/>
      <c r="AD31" s="198"/>
      <c r="AE31" s="197"/>
    </row>
    <row r="32" spans="2:31" x14ac:dyDescent="0.25">
      <c r="Q32" s="198"/>
      <c r="R32" s="198"/>
      <c r="S32" s="198"/>
      <c r="T32" s="198"/>
      <c r="U32" s="198"/>
      <c r="V32" s="198"/>
      <c r="W32" s="198"/>
      <c r="X32" s="197"/>
      <c r="Y32" s="197"/>
      <c r="Z32" s="197"/>
      <c r="AA32" s="199"/>
      <c r="AB32" s="197"/>
      <c r="AC32" s="200"/>
      <c r="AD32" s="198"/>
      <c r="AE32" s="197"/>
    </row>
    <row r="33" spans="15:31" x14ac:dyDescent="0.25">
      <c r="O33" s="25" t="s">
        <v>32</v>
      </c>
      <c r="P33" t="str">
        <f>$P$5</f>
        <v>Niederlande</v>
      </c>
      <c r="Q33" s="25">
        <f ca="1">SUMIFS($H$4:$H$9,$B$4:$B$9,$P33,$D$4:$D$9,"&lt;&gt;"&amp;$P$36)+SUMIFS($I$4:$I$9,$B$4:$B$9,"&lt;&gt;"&amp;$P$36,$D$4:$D$9,$P33)</f>
        <v>0</v>
      </c>
      <c r="R33" s="25">
        <f ca="1">S33-T33</f>
        <v>0</v>
      </c>
      <c r="S33" s="25">
        <f ca="1">SUMIFS($E$4:$E$9,$B$4:$B$9,$P33,$D$4:$D$9,"&lt;&gt;"&amp;$P$36)+SUMIFS($G$4:$G$9,$B$4:$B$9,"&lt;&gt;"&amp;$P$36,$D$4:$D$9,$P33)</f>
        <v>0</v>
      </c>
      <c r="T33" s="25">
        <f ca="1">SUMIFS($G$4:$G$9,$B$4:$B$9,$P33,$D$4:$D$9,"&lt;&gt;"&amp;$P$36)+SUMIFS($E$4:$E$9,$B$4:$B$9,"&lt;&gt;"&amp;$P$36,$D$4:$D$9,$P33)</f>
        <v>0</v>
      </c>
      <c r="U33" s="25"/>
      <c r="V33" s="202">
        <f ca="1">Q33*FactorPts+(GDzero+R33)*FactorGD+S33*FactorFor</f>
        <v>50000</v>
      </c>
      <c r="W33" s="25">
        <f ca="1">RANK(V33,V$33:V$35,1)</f>
        <v>1</v>
      </c>
      <c r="X33" s="25">
        <f ca="1">IF(AND($Q$5=$Q$6,$Q$5=$Q$7,$Q$5&lt;&gt;$Q$4),W33,0)</f>
        <v>0</v>
      </c>
      <c r="Y33" s="25" t="str">
        <f ca="1">IF(AND(V33=V34,V33&lt;&gt;V35),IF(AA33&gt;AA34,3,IF(AA33=AA34,1,0)),IF(AND(V33=V35,V33&lt;&gt;V34),IF(AB33&gt;AB35,3,IF(AB33=AB35,1,0)),""))</f>
        <v/>
      </c>
      <c r="Z33" s="25" t="str">
        <f ca="1">IF(X33&gt;0,Y33,"")</f>
        <v/>
      </c>
      <c r="AA33" s="191">
        <f ca="1">$J$19</f>
        <v>0</v>
      </c>
      <c r="AB33" s="25">
        <f ca="1">$K$19</f>
        <v>0</v>
      </c>
      <c r="AC33" s="204"/>
      <c r="AD33" s="25">
        <f ca="1">IF(AND($AF$16,$AD$5=$AD$6,$AD$5=$AD$7,$AD$5&lt;&gt;$AD$4),W33,0)</f>
        <v>0</v>
      </c>
      <c r="AE33" s="25" t="str">
        <f ca="1">IF(AD33&gt;0,Y33,"")</f>
        <v/>
      </c>
    </row>
    <row r="34" spans="15:31" x14ac:dyDescent="0.25">
      <c r="O34" s="25" t="s">
        <v>33</v>
      </c>
      <c r="P34" t="str">
        <f>$P$6</f>
        <v>Österreich</v>
      </c>
      <c r="Q34" s="25">
        <f ca="1">SUMIFS($H$4:$H$9,$B$4:$B$9,$P34,$D$4:$D$9,"&lt;&gt;"&amp;$P$36)+SUMIFS($I$4:$I$9,$B$4:$B$9,"&lt;&gt;"&amp;$P$36,$D$4:$D$9,$P34)</f>
        <v>0</v>
      </c>
      <c r="R34" s="25">
        <f ca="1">S34-T34</f>
        <v>0</v>
      </c>
      <c r="S34" s="25">
        <f ca="1">SUMIFS($E$4:$E$9,$B$4:$B$9,$P34,$D$4:$D$9,"&lt;&gt;"&amp;$P$36)+SUMIFS($G$4:$G$9,$B$4:$B$9,"&lt;&gt;"&amp;$P$36,$D$4:$D$9,$P34)</f>
        <v>0</v>
      </c>
      <c r="T34" s="25">
        <f ca="1">SUMIFS($G$4:$G$9,$B$4:$B$9,$P34,$D$4:$D$9,"&lt;&gt;"&amp;$P$36)+SUMIFS($E$4:$E$9,$B$4:$B$9,"&lt;&gt;"&amp;$P$36,$D$4:$D$9,$P34)</f>
        <v>0</v>
      </c>
      <c r="U34" s="25"/>
      <c r="V34" s="202">
        <f ca="1">Q34*FactorPts+(GDzero+R34)*FactorGD+S34*FactorFor</f>
        <v>50000</v>
      </c>
      <c r="W34" s="25">
        <f ca="1">RANK(V34,V$33:V$35,1)</f>
        <v>1</v>
      </c>
      <c r="X34" s="25">
        <f ca="1">IF(AND($Q$5=$Q$6,$Q$5=$Q$7,$Q$5&lt;&gt;$Q$4),W34,0)</f>
        <v>0</v>
      </c>
      <c r="Y34" s="25" t="str">
        <f ca="1">IF(AND(V34=V33,V34&lt;&gt;V35),IF(AA34&gt;AA33,3,IF(AA34=AA33,1,0)),IF(AND(V34=V35,V34&lt;&gt;V33),IF(AC34&gt;AC35,3,IF(AC34=AC35,1,0)),""))</f>
        <v/>
      </c>
      <c r="Z34" s="25" t="str">
        <f t="shared" ref="Z34:Z35" ca="1" si="18">IF(X34&gt;0,Y34,"")</f>
        <v/>
      </c>
      <c r="AA34" s="191">
        <f ca="1">$I$20</f>
        <v>0</v>
      </c>
      <c r="AB34" s="25"/>
      <c r="AC34" s="204">
        <f ca="1">$K$20</f>
        <v>0</v>
      </c>
      <c r="AD34" s="25">
        <f ca="1">IF(AND($AF$16,$AD$5=$AD$6,$AD$5=$AD$7,$AD$5&lt;&gt;$AD$4),W34,0)</f>
        <v>0</v>
      </c>
      <c r="AE34" s="25" t="str">
        <f t="shared" ref="AE34:AE35" ca="1" si="19">IF(AD34&gt;0,Y34,"")</f>
        <v/>
      </c>
    </row>
    <row r="35" spans="15:31" ht="15.75" thickBot="1" x14ac:dyDescent="0.3">
      <c r="O35" s="25" t="s">
        <v>34</v>
      </c>
      <c r="P35" t="str">
        <f>$P$7</f>
        <v>Frankreich</v>
      </c>
      <c r="Q35" s="25">
        <f ca="1">SUMIFS($H$4:$H$9,$B$4:$B$9,$P35,$D$4:$D$9,"&lt;&gt;"&amp;$P$36)+SUMIFS($I$4:$I$9,$B$4:$B$9,"&lt;&gt;"&amp;$P$36,$D$4:$D$9,$P35)</f>
        <v>0</v>
      </c>
      <c r="R35" s="25">
        <f ca="1">S35-T35</f>
        <v>0</v>
      </c>
      <c r="S35" s="25">
        <f ca="1">SUMIFS($E$4:$E$9,$B$4:$B$9,$P35,$D$4:$D$9,"&lt;&gt;"&amp;$P$36)+SUMIFS($G$4:$G$9,$B$4:$B$9,"&lt;&gt;"&amp;$P$36,$D$4:$D$9,$P35)</f>
        <v>0</v>
      </c>
      <c r="T35" s="25">
        <f ca="1">SUMIFS($G$4:$G$9,$B$4:$B$9,$P35,$D$4:$D$9,"&lt;&gt;"&amp;$P$36)+SUMIFS($E$4:$E$9,$B$4:$B$9,"&lt;&gt;"&amp;$P$36,$D$4:$D$9,$P35)</f>
        <v>0</v>
      </c>
      <c r="U35" s="25"/>
      <c r="V35" s="202">
        <f ca="1">Q35*FactorPts+(GDzero+R35)*FactorGD+S35*FactorFor</f>
        <v>50000</v>
      </c>
      <c r="W35" s="25">
        <f ca="1">RANK(V35,V$33:V$35,1)</f>
        <v>1</v>
      </c>
      <c r="X35" s="25">
        <f ca="1">IF(AND($Q$5=$Q$6,$Q$5=$Q$7,$Q$5&lt;&gt;$Q$4),W35,0)</f>
        <v>0</v>
      </c>
      <c r="Y35" s="25" t="str">
        <f ca="1">IF(AND(V35=V33,V35&lt;&gt;V34),IF(AB35&gt;AB33,3,IF(AB35=AB33,1,0)),IF(AND(V35=V34,V35&lt;&gt;V33),IF(AC35&gt;AC34,3,IF(AC35=AC34,1,0)),""))</f>
        <v/>
      </c>
      <c r="Z35" s="25" t="str">
        <f t="shared" ca="1" si="18"/>
        <v/>
      </c>
      <c r="AA35" s="192"/>
      <c r="AB35" s="193">
        <f ca="1">$I$21</f>
        <v>0</v>
      </c>
      <c r="AC35" s="194">
        <f ca="1">$J$21</f>
        <v>0</v>
      </c>
      <c r="AD35" s="25">
        <f ca="1">IF(AND($AF$16,$AD$5=$AD$6,$AD$5=$AD$7,$AD$5&lt;&gt;$AD$4),W35,0)</f>
        <v>0</v>
      </c>
      <c r="AE35" s="25" t="str">
        <f t="shared" ca="1" si="19"/>
        <v/>
      </c>
    </row>
    <row r="36" spans="15:31" x14ac:dyDescent="0.25">
      <c r="P36" s="28" t="str">
        <f>$P$4</f>
        <v>Polen</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2"/>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1"/>
      <c r="B1" s="40" t="str">
        <f>VLOOKUP($Q$1,References!$B$5:$D$10,2,0)</f>
        <v>N</v>
      </c>
      <c r="D1" s="40" t="str">
        <f>VLOOKUP($Q$1,References!$B$5:$D$10,3,0)</f>
        <v>O</v>
      </c>
      <c r="P1" s="145" t="s">
        <v>209</v>
      </c>
      <c r="Q1" s="146" t="s">
        <v>28</v>
      </c>
    </row>
    <row r="2" spans="1:33" ht="8.25" customHeight="1" x14ac:dyDescent="0.25"/>
    <row r="3" spans="1:33" x14ac:dyDescent="0.25">
      <c r="B3" s="567" t="s">
        <v>195</v>
      </c>
      <c r="C3" s="567"/>
      <c r="D3" s="567"/>
      <c r="E3" s="567" t="s">
        <v>196</v>
      </c>
      <c r="F3" s="567"/>
      <c r="G3" s="567"/>
      <c r="H3" s="567" t="s">
        <v>191</v>
      </c>
      <c r="I3" s="567"/>
      <c r="J3" s="567" t="s">
        <v>1085</v>
      </c>
      <c r="K3" s="567"/>
      <c r="L3" s="567"/>
      <c r="M3" s="203" t="s">
        <v>168</v>
      </c>
      <c r="N3" s="72"/>
      <c r="O3" s="39"/>
      <c r="P3" s="38"/>
      <c r="Q3" s="203" t="s">
        <v>191</v>
      </c>
      <c r="R3" s="203" t="s">
        <v>190</v>
      </c>
      <c r="S3" s="203" t="s">
        <v>1087</v>
      </c>
      <c r="T3" s="203" t="s">
        <v>1088</v>
      </c>
      <c r="U3" s="203" t="s">
        <v>673</v>
      </c>
      <c r="V3" s="203" t="s">
        <v>192</v>
      </c>
      <c r="W3" s="203" t="s">
        <v>193</v>
      </c>
      <c r="X3" s="203" t="s">
        <v>194</v>
      </c>
      <c r="Y3" s="203" t="s">
        <v>482</v>
      </c>
      <c r="Z3" s="203" t="s">
        <v>483</v>
      </c>
      <c r="AA3" s="203" t="s">
        <v>474</v>
      </c>
      <c r="AB3" s="203" t="s">
        <v>38</v>
      </c>
      <c r="AC3" s="203" t="s">
        <v>313</v>
      </c>
      <c r="AD3" s="203" t="s">
        <v>197</v>
      </c>
      <c r="AE3" s="203" t="s">
        <v>497</v>
      </c>
      <c r="AF3" s="203" t="s">
        <v>534</v>
      </c>
    </row>
    <row r="4" spans="1:33" x14ac:dyDescent="0.25">
      <c r="B4" s="180" t="str">
        <f ca="1">INDIRECT("'"&amp;References!$A$1&amp;"'!"&amp;$B$1&amp;References!$G5)</f>
        <v>Rumänien</v>
      </c>
      <c r="C4" s="181" t="s">
        <v>36</v>
      </c>
      <c r="D4" s="182" t="str">
        <f ca="1">INDIRECT("'"&amp;References!$A$1&amp;"'!"&amp;$D$1&amp;References!$G5)</f>
        <v>Ukraine</v>
      </c>
      <c r="E4" s="180" t="str">
        <f ca="1">IF(OR(INDIRECT("'"&amp;References!$A$1&amp;"'!"&amp;$B$1&amp;References!$H5)="",INDIRECT("'"&amp;References!$A$1&amp;"'!"&amp;$D$1&amp;References!$H5)=""),"",INDIRECT("'"&amp;References!$A$1&amp;"'!"&amp;$B$1&amp;References!$H5))</f>
        <v/>
      </c>
      <c r="F4" s="181" t="s">
        <v>36</v>
      </c>
      <c r="G4" s="186" t="str">
        <f ca="1">IF(OR(INDIRECT("'"&amp;References!$A$1&amp;"'!"&amp;$B$1&amp;References!$H5)="",INDIRECT("'"&amp;References!$A$1&amp;"'!"&amp;$D$1&amp;References!$H5)=""),"",INDIRECT("'"&amp;References!$A$1&amp;"'!"&amp;$D$1&amp;References!$H5))</f>
        <v/>
      </c>
      <c r="H4" s="25">
        <f t="shared" ref="H4:H9" ca="1" si="0">IF($M4&gt;0,IF($E4&gt;$G4,3,IF($E4=$G4,1,0)),0)</f>
        <v>0</v>
      </c>
      <c r="I4" s="25">
        <f t="shared" ref="I4:I9" ca="1" si="1">IF($M4&gt;0,IF($E4&lt;$G4,3,IF($E4=$G4,1,0)),0)</f>
        <v>0</v>
      </c>
      <c r="L4" s="5"/>
      <c r="M4" s="25">
        <f t="shared" ref="M4:M9" ca="1" si="2">IF(AND($E4&lt;&gt;"",$G4&lt;&gt;""),1,0)</f>
        <v>0</v>
      </c>
      <c r="N4" s="25"/>
      <c r="O4" s="25" t="s">
        <v>32</v>
      </c>
      <c r="P4" s="37" t="str">
        <f>VLOOKUP($Q$1&amp;ROW($A1),Groups!$B$7:$D$35,3,0)</f>
        <v>Belgien</v>
      </c>
      <c r="Q4" s="25">
        <f ca="1">SUMIF($B$4:$B$9,P4,$H$4:$H$9)+SUMIF($D$4:$D$9,P4,$I$4:$I$9)</f>
        <v>0</v>
      </c>
      <c r="R4" s="25">
        <f ca="1">S4-T4</f>
        <v>0</v>
      </c>
      <c r="S4" s="25">
        <f ca="1">SUMIF($B$4:$B$9,$P4,$E$4:$E$9)+SUMIF($D$4:$D$9,$P4,$G$4:$G$9)</f>
        <v>0</v>
      </c>
      <c r="T4" s="25">
        <f ca="1">SUMIF($B$4:$B$9,$P4,$G$4:$G$9)+SUMIF($D$4:$D$9,$P4,$E$4:$E$9)</f>
        <v>0</v>
      </c>
      <c r="U4" s="25">
        <f ca="1">COUNTIFS($B$4:$B$9,$P4,$H$4:$H$9,"=3")+COUNTIFS($D$4:$D$9,$P4,$I$4:$I$9,"=3")</f>
        <v>0</v>
      </c>
      <c r="V4" s="353">
        <f ca="1">$Q4*FactorPts+(GDzero+$R4)*FactorGD+$S4*FactorFor+$U4*FactorWins+$W4*FactorDirC3+$X4*FactorDirC2+$Y4*FactorDirC43+$Z4*FactorDirC42+$AA4*FactorDirC42+$AB4*FactorFairPlay+$AE4*FactorPenalty+(100-$AF4)*($M$10&gt;0)*FactorRank+(8-ROW())*FactorRow</f>
        <v>50000.000000400003</v>
      </c>
      <c r="W4" s="25">
        <f ca="1">SUMIFS($X$18:$X$35,$P$18:$P$35,$P4)</f>
        <v>0</v>
      </c>
      <c r="X4" s="25">
        <f ca="1">IF($L18="",0,$L18)+SUMIFS($Z$18:$Z$35,$P$18:$P$35,$P4)</f>
        <v>0</v>
      </c>
      <c r="Y4">
        <f ca="1">SUMIFS($AD$18:$AD$35,$P$18:$P$35,$P4)</f>
        <v>0</v>
      </c>
      <c r="Z4">
        <f ca="1">SUMIFS($AE$18:$AE$35,$P$18:$P$35,$P4)</f>
        <v>0</v>
      </c>
      <c r="AA4" s="25">
        <f ca="1">IF($M18="",0,$M18)</f>
        <v>0</v>
      </c>
      <c r="AB4" s="25">
        <f>SUMIFS(FairPlayPoints1,FairPlayTeams1,$P4)+SUMIFS(FairPlayPoints2,FairPlayTeams2,$P4)</f>
        <v>0</v>
      </c>
      <c r="AC4" s="25" t="b">
        <f ca="1">(Q4+T4&gt;0)</f>
        <v>0</v>
      </c>
      <c r="AD4" s="213">
        <f ca="1">$Q4*FactorPts+(GDzero+$R4)*FactorGD+$S4*FactorFor</f>
        <v>50000</v>
      </c>
      <c r="AE4" s="25">
        <f ca="1">IF(OR(AND($Y$11&gt;0,OR(AND($B$8=$P4,$J$8&gt;$L$8),AND($D$8=$P4,$J$8&lt;$L$8))),AND($Y$12&gt;0,OR(AND($B$9=$P4,$J$9&gt;$L$9),AND($D$9=$P4,$J$9&lt;$L$9)))),1,0)</f>
        <v>0</v>
      </c>
      <c r="AF4" s="406">
        <f>INDEX(Language!$D$5:$D$63,MATCH($P4,Language!$E$5:$E$63,0),1)</f>
        <v>4</v>
      </c>
      <c r="AG4" s="25"/>
    </row>
    <row r="5" spans="1:33" x14ac:dyDescent="0.25">
      <c r="B5" s="183" t="str">
        <f ca="1">INDIRECT("'"&amp;References!$A$1&amp;"'!"&amp;$B$1&amp;References!$G6)</f>
        <v>Belgien</v>
      </c>
      <c r="C5" s="184" t="s">
        <v>36</v>
      </c>
      <c r="D5" s="185" t="str">
        <f ca="1">INDIRECT("'"&amp;References!$A$1&amp;"'!"&amp;$D$1&amp;References!$G6)</f>
        <v>Slowakei</v>
      </c>
      <c r="E5" s="183" t="str">
        <f ca="1">IF(OR(INDIRECT("'"&amp;References!$A$1&amp;"'!"&amp;$B$1&amp;References!$H6)="",INDIRECT("'"&amp;References!$A$1&amp;"'!"&amp;$D$1&amp;References!$H6)=""),"",INDIRECT("'"&amp;References!$A$1&amp;"'!"&amp;$B$1&amp;References!$H6))</f>
        <v/>
      </c>
      <c r="F5" s="184" t="s">
        <v>36</v>
      </c>
      <c r="G5" s="187" t="str">
        <f ca="1">IF(OR(INDIRECT("'"&amp;References!$A$1&amp;"'!"&amp;$B$1&amp;References!$H6)="",INDIRECT("'"&amp;References!$A$1&amp;"'!"&amp;$D$1&amp;References!$H6)=""),"",INDIRECT("'"&amp;References!$A$1&amp;"'!"&amp;$D$1&amp;References!$H6))</f>
        <v/>
      </c>
      <c r="H5" s="25">
        <f t="shared" ca="1" si="0"/>
        <v>0</v>
      </c>
      <c r="I5" s="25">
        <f t="shared" ca="1" si="1"/>
        <v>0</v>
      </c>
      <c r="L5" s="5"/>
      <c r="M5" s="25">
        <f t="shared" ca="1" si="2"/>
        <v>0</v>
      </c>
      <c r="N5" s="25"/>
      <c r="O5" s="25" t="s">
        <v>33</v>
      </c>
      <c r="P5" s="37" t="str">
        <f>VLOOKUP($Q$1&amp;ROW($A2),Groups!$B$7:$D$35,3,0)</f>
        <v>Slowakei</v>
      </c>
      <c r="Q5" s="25">
        <f t="shared" ref="Q5:Q7" ca="1" si="3">SUMIF($B$4:$B$9,P5,$H$4:$H$9)+SUMIF($D$4:$D$9,P5,$I$4:$I$9)</f>
        <v>0</v>
      </c>
      <c r="R5" s="25">
        <f ca="1">S5-T5</f>
        <v>0</v>
      </c>
      <c r="S5" s="25">
        <f ca="1">SUMIF($B$4:$B$9,$P5,$E$4:$E$9)+SUMIF($D$4:$D$9,$P5,$G$4:$G$9)</f>
        <v>0</v>
      </c>
      <c r="T5" s="25">
        <f ca="1">SUMIF($B$4:$B$9,$P5,$G$4:$G$9)+SUMIF($D$4:$D$9,$P5,$E$4:$E$9)</f>
        <v>0</v>
      </c>
      <c r="U5" s="25">
        <f t="shared" ref="U5:U7" ca="1" si="4">COUNTIFS($B$4:$B$9,$P5,$H$4:$H$9,"=3")+COUNTIFS($D$4:$D$9,$P5,$I$4:$I$9,"=3")</f>
        <v>0</v>
      </c>
      <c r="V5" s="353">
        <f ca="1">$Q5*FactorPts+(GDzero+$R5)*FactorGD+$S5*FactorFor+$U5*FactorWins+$W5*FactorDirC3+$X5*FactorDirC2+$Y5*FactorDirC43+$Z5*FactorDirC42+$AA5*FactorDirC42+$AB5*FactorFairPlay+$AE5*FactorPenalty+(100-$AF5)*($M$10&gt;0)*FactorRank+(8-ROW())*FactorRow</f>
        <v>50000.000000300002</v>
      </c>
      <c r="W5" s="25">
        <f t="shared" ref="W5:W7" ca="1" si="5">SUMIFS($X$18:$X$35,$P$18:$P$35,$P5)</f>
        <v>0</v>
      </c>
      <c r="X5" s="25">
        <f ca="1">IF($L19="",0,$L19)+SUMIFS($Z$18:$Z$35,$P$18:$P$35,$P5)</f>
        <v>0</v>
      </c>
      <c r="Y5">
        <f t="shared" ref="Y5:Y7" ca="1" si="6">SUMIFS($AD$18:$AD$35,$P$18:$P$35,$P5)</f>
        <v>0</v>
      </c>
      <c r="Z5">
        <f t="shared" ref="Z5:Z7" ca="1" si="7">SUMIFS($AE$18:$AE$35,$P$18:$P$35,$P5)</f>
        <v>0</v>
      </c>
      <c r="AA5" s="25">
        <f ca="1">IF($M19="",0,$M19)</f>
        <v>0</v>
      </c>
      <c r="AB5" s="25">
        <f>SUMIFS(FairPlayPoints1,FairPlayTeams1,$P5)+SUMIFS(FairPlayPoints2,FairPlayTeams2,$P5)</f>
        <v>0</v>
      </c>
      <c r="AC5" s="25" t="b">
        <f ca="1">(Q5+T5&gt;0)</f>
        <v>0</v>
      </c>
      <c r="AD5" s="213">
        <f ca="1">$Q5*FactorPts+(GDzero+$R5)*FactorGD+$S5*FactorFor</f>
        <v>50000</v>
      </c>
      <c r="AE5" s="25">
        <f ca="1">IF(OR(AND($Y$11&gt;0,OR(AND($B$8=$P5,$J$8&gt;$L$8),AND($D$8=$P5,$J$8&lt;$L$8))),AND($Y$12&gt;0,OR(AND($B$9=$P5,$J$9&gt;$L$9),AND($D$9=$P5,$J$9&lt;$L$9)))),1,0)</f>
        <v>0</v>
      </c>
      <c r="AF5" s="406">
        <f>INDEX(Language!$D$5:$D$63,MATCH($P5,Language!$E$5:$E$63,0),1)</f>
        <v>16</v>
      </c>
    </row>
    <row r="6" spans="1:33" x14ac:dyDescent="0.25">
      <c r="B6" s="183" t="str">
        <f ca="1">INDIRECT("'"&amp;References!$A$1&amp;"'!"&amp;$B$1&amp;References!$G7)</f>
        <v>Slowakei</v>
      </c>
      <c r="C6" s="184" t="s">
        <v>36</v>
      </c>
      <c r="D6" s="185" t="str">
        <f ca="1">INDIRECT("'"&amp;References!$A$1&amp;"'!"&amp;$D$1&amp;References!$G7)</f>
        <v>Ukraine</v>
      </c>
      <c r="E6" s="183" t="str">
        <f ca="1">IF(OR(INDIRECT("'"&amp;References!$A$1&amp;"'!"&amp;$B$1&amp;References!$H7)="",INDIRECT("'"&amp;References!$A$1&amp;"'!"&amp;$D$1&amp;References!$H7)=""),"",INDIRECT("'"&amp;References!$A$1&amp;"'!"&amp;$B$1&amp;References!$H7))</f>
        <v/>
      </c>
      <c r="F6" s="184" t="s">
        <v>36</v>
      </c>
      <c r="G6" s="187" t="str">
        <f ca="1">IF(OR(INDIRECT("'"&amp;References!$A$1&amp;"'!"&amp;$B$1&amp;References!$H7)="",INDIRECT("'"&amp;References!$A$1&amp;"'!"&amp;$D$1&amp;References!$H7)=""),"",INDIRECT("'"&amp;References!$A$1&amp;"'!"&amp;$D$1&amp;References!$H7))</f>
        <v/>
      </c>
      <c r="H6" s="25">
        <f t="shared" ca="1" si="0"/>
        <v>0</v>
      </c>
      <c r="I6" s="25">
        <f t="shared" ca="1" si="1"/>
        <v>0</v>
      </c>
      <c r="L6" s="5"/>
      <c r="M6" s="25">
        <f t="shared" ca="1" si="2"/>
        <v>0</v>
      </c>
      <c r="N6" s="25"/>
      <c r="O6" s="25" t="s">
        <v>34</v>
      </c>
      <c r="P6" s="37" t="str">
        <f>VLOOKUP($Q$1&amp;ROW($A3),Groups!$B$7:$D$35,3,0)</f>
        <v>Rumänien</v>
      </c>
      <c r="Q6" s="25">
        <f t="shared" ca="1" si="3"/>
        <v>0</v>
      </c>
      <c r="R6" s="25">
        <f ca="1">S6-T6</f>
        <v>0</v>
      </c>
      <c r="S6" s="25">
        <f ca="1">SUMIF($B$4:$B$9,$P6,$E$4:$E$9)+SUMIF($D$4:$D$9,$P6,$G$4:$G$9)</f>
        <v>0</v>
      </c>
      <c r="T6" s="25">
        <f ca="1">SUMIF($B$4:$B$9,$P6,$G$4:$G$9)+SUMIF($D$4:$D$9,$P6,$E$4:$E$9)</f>
        <v>0</v>
      </c>
      <c r="U6" s="25">
        <f t="shared" ca="1" si="4"/>
        <v>0</v>
      </c>
      <c r="V6" s="353">
        <f ca="1">$Q6*FactorPts+(GDzero+$R6)*FactorGD+$S6*FactorFor+$U6*FactorWins+$W6*FactorDirC3+$X6*FactorDirC2+$Y6*FactorDirC43+$Z6*FactorDirC42+$AA6*FactorDirC42+$AB6*FactorFairPlay+$AE6*FactorPenalty+(100-$AF6)*($M$10&gt;0)*FactorRank+(8-ROW())*FactorRow</f>
        <v>50000.000000200002</v>
      </c>
      <c r="W6" s="25">
        <f t="shared" ca="1" si="5"/>
        <v>0</v>
      </c>
      <c r="X6" s="25">
        <f ca="1">IF($L20="",0,$L20)+SUMIFS($Z$18:$Z$35,$P$18:$P$35,$P6)</f>
        <v>0</v>
      </c>
      <c r="Y6">
        <f t="shared" ca="1" si="6"/>
        <v>0</v>
      </c>
      <c r="Z6">
        <f t="shared" ca="1" si="7"/>
        <v>0</v>
      </c>
      <c r="AA6" s="25">
        <f ca="1">IF($M20="",0,$M20)</f>
        <v>0</v>
      </c>
      <c r="AB6" s="25">
        <f>SUMIFS(FairPlayPoints1,FairPlayTeams1,$P6)+SUMIFS(FairPlayPoints2,FairPlayTeams2,$P6)</f>
        <v>0</v>
      </c>
      <c r="AC6" s="25" t="b">
        <f ca="1">(Q6+T6&gt;0)</f>
        <v>0</v>
      </c>
      <c r="AD6" s="213">
        <f ca="1">$Q6*FactorPts+(GDzero+$R6)*FactorGD+$S6*FactorFor</f>
        <v>50000</v>
      </c>
      <c r="AE6" s="25">
        <f ca="1">IF(OR(AND($Y$11&gt;0,OR(AND($B$8=$P6,$J$8&gt;$L$8),AND($D$8=$P6,$J$8&lt;$L$8))),AND($Y$12&gt;0,OR(AND($B$9=$P6,$J$9&gt;$L$9),AND($D$9=$P6,$J$9&lt;$L$9)))),1,0)</f>
        <v>0</v>
      </c>
      <c r="AF6" s="406">
        <f>INDEX(Language!$D$5:$D$63,MATCH($P6,Language!$E$5:$E$63,0),1)</f>
        <v>8</v>
      </c>
    </row>
    <row r="7" spans="1:33" x14ac:dyDescent="0.25">
      <c r="B7" s="183" t="str">
        <f ca="1">INDIRECT("'"&amp;References!$A$1&amp;"'!"&amp;$B$1&amp;References!$G8)</f>
        <v>Belgien</v>
      </c>
      <c r="C7" s="184" t="s">
        <v>36</v>
      </c>
      <c r="D7" s="185" t="str">
        <f ca="1">INDIRECT("'"&amp;References!$A$1&amp;"'!"&amp;$D$1&amp;References!$G8)</f>
        <v>Rumänien</v>
      </c>
      <c r="E7" s="183" t="str">
        <f ca="1">IF(OR(INDIRECT("'"&amp;References!$A$1&amp;"'!"&amp;$B$1&amp;References!$H8)="",INDIRECT("'"&amp;References!$A$1&amp;"'!"&amp;$D$1&amp;References!$H8)=""),"",INDIRECT("'"&amp;References!$A$1&amp;"'!"&amp;$B$1&amp;References!$H8))</f>
        <v/>
      </c>
      <c r="F7" s="184" t="s">
        <v>36</v>
      </c>
      <c r="G7" s="187" t="str">
        <f ca="1">IF(OR(INDIRECT("'"&amp;References!$A$1&amp;"'!"&amp;$B$1&amp;References!$H8)="",INDIRECT("'"&amp;References!$A$1&amp;"'!"&amp;$D$1&amp;References!$H8)=""),"",INDIRECT("'"&amp;References!$A$1&amp;"'!"&amp;$D$1&amp;References!$H8))</f>
        <v/>
      </c>
      <c r="H7" s="25">
        <f t="shared" ca="1" si="0"/>
        <v>0</v>
      </c>
      <c r="I7" s="25">
        <f t="shared" ca="1" si="1"/>
        <v>0</v>
      </c>
      <c r="L7" s="5"/>
      <c r="M7" s="25">
        <f t="shared" ca="1" si="2"/>
        <v>0</v>
      </c>
      <c r="N7" s="25"/>
      <c r="O7" s="25" t="s">
        <v>35</v>
      </c>
      <c r="P7" s="37" t="str">
        <f>VLOOKUP($Q$1&amp;ROW($A4),Groups!$B$7:$D$35,3,0)</f>
        <v>Ukraine</v>
      </c>
      <c r="Q7" s="25">
        <f t="shared" ca="1" si="3"/>
        <v>0</v>
      </c>
      <c r="R7" s="25">
        <f ca="1">S7-T7</f>
        <v>0</v>
      </c>
      <c r="S7" s="25">
        <f ca="1">SUMIF($B$4:$B$9,$P7,$E$4:$E$9)+SUMIF($D$4:$D$9,$P7,$G$4:$G$9)</f>
        <v>0</v>
      </c>
      <c r="T7" s="25">
        <f ca="1">SUMIF($B$4:$B$9,$P7,$G$4:$G$9)+SUMIF($D$4:$D$9,$P7,$E$4:$E$9)</f>
        <v>0</v>
      </c>
      <c r="U7" s="25">
        <f t="shared" ca="1" si="4"/>
        <v>0</v>
      </c>
      <c r="V7" s="353">
        <f ca="1">$Q7*FactorPts+(GDzero+$R7)*FactorGD+$S7*FactorFor+$U7*FactorWins+$W7*FactorDirC3+$X7*FactorDirC2+$Y7*FactorDirC43+$Z7*FactorDirC42+$AA7*FactorDirC42+$AB7*FactorFairPlay+$AE7*FactorPenalty+(100-$AF7)*($M$10&gt;0)*FactorRank+(8-ROW())*FactorRow</f>
        <v>50000.000000100001</v>
      </c>
      <c r="W7" s="25">
        <f t="shared" ca="1" si="5"/>
        <v>0</v>
      </c>
      <c r="X7" s="25">
        <f ca="1">IF($L21="",0,$L21)+SUMIFS($Z$18:$Z$35,$P$18:$P$35,$P7)</f>
        <v>0</v>
      </c>
      <c r="Y7">
        <f t="shared" ca="1" si="6"/>
        <v>0</v>
      </c>
      <c r="Z7">
        <f t="shared" ca="1" si="7"/>
        <v>0</v>
      </c>
      <c r="AA7" s="25">
        <f ca="1">IF($M21="",0,$M21)</f>
        <v>0</v>
      </c>
      <c r="AB7" s="25">
        <f>SUMIFS(FairPlayPoints1,FairPlayTeams1,$P7)+SUMIFS(FairPlayPoints2,FairPlayTeams2,$P7)</f>
        <v>0</v>
      </c>
      <c r="AC7" s="25" t="b">
        <f ca="1">(Q7+T7&gt;0)</f>
        <v>0</v>
      </c>
      <c r="AD7" s="213">
        <f ca="1">$Q7*FactorPts+(GDzero+$R7)*FactorGD+$S7*FactorFor</f>
        <v>50000</v>
      </c>
      <c r="AE7" s="25">
        <f ca="1">IF(OR(AND($Y$11&gt;0,OR(AND($B$8=$P7,$J$8&gt;$L$8),AND($D$8=$P7,$J$8&lt;$L$8))),AND($Y$12&gt;0,OR(AND($B$9=$P7,$J$9&gt;$L$9),AND($D$9=$P7,$J$9&lt;$L$9)))),1,0)</f>
        <v>0</v>
      </c>
      <c r="AF7" s="406">
        <f>INDEX(Language!$D$5:$D$63,MATCH($P7,Language!$E$5:$E$63,0),1)</f>
        <v>21</v>
      </c>
    </row>
    <row r="8" spans="1:33" x14ac:dyDescent="0.25">
      <c r="B8" s="183" t="str">
        <f ca="1">INDIRECT("'"&amp;References!$A$1&amp;"'!"&amp;$B$1&amp;References!$G9)</f>
        <v>Slowakei</v>
      </c>
      <c r="C8" s="184" t="s">
        <v>36</v>
      </c>
      <c r="D8" s="185" t="str">
        <f ca="1">INDIRECT("'"&amp;References!$A$1&amp;"'!"&amp;$D$1&amp;References!$G9)</f>
        <v>Rumänien</v>
      </c>
      <c r="E8" s="183" t="str">
        <f ca="1">IF(OR(INDIRECT("'"&amp;References!$A$1&amp;"'!"&amp;$B$1&amp;References!$H9)="",INDIRECT("'"&amp;References!$A$1&amp;"'!"&amp;$D$1&amp;References!$H9)=""),"",INDIRECT("'"&amp;References!$A$1&amp;"'!"&amp;$B$1&amp;References!$H9))</f>
        <v/>
      </c>
      <c r="F8" s="184" t="s">
        <v>36</v>
      </c>
      <c r="G8" s="187" t="str">
        <f ca="1">IF(OR(INDIRECT("'"&amp;References!$A$1&amp;"'!"&amp;$B$1&amp;References!$H9)="",INDIRECT("'"&amp;References!$A$1&amp;"'!"&amp;$D$1&amp;References!$H9)=""),"",INDIRECT("'"&amp;References!$A$1&amp;"'!"&amp;$D$1&amp;References!$H9))</f>
        <v/>
      </c>
      <c r="H8" s="25">
        <f t="shared" ca="1" si="0"/>
        <v>0</v>
      </c>
      <c r="I8" s="25">
        <f t="shared" ca="1" si="1"/>
        <v>0</v>
      </c>
      <c r="J8" t="str">
        <f ca="1">IF(OR(INDIRECT("'"&amp;References!$A$1&amp;"'!"&amp;$B$1&amp;(References!$H9+2))="",INDIRECT("'"&amp;References!$A$1&amp;"'!"&amp;$D$1&amp;(References!$H9+2))=""),"",INDIRECT("'"&amp;References!$A$1&amp;"'!"&amp;$B$1&amp;(References!$H9+2)))</f>
        <v/>
      </c>
      <c r="K8" s="25" t="s">
        <v>494</v>
      </c>
      <c r="L8" s="5" t="str">
        <f ca="1">IF(OR(INDIRECT("'"&amp;References!$A$1&amp;"'!"&amp;$B$1&amp;(References!$H9+2))="",INDIRECT("'"&amp;References!$A$1&amp;"'!"&amp;$D$1&amp;(References!$H9+2))=""),"",INDIRECT("'"&amp;References!$A$1&amp;"'!"&amp;$D$1&amp;(References!$H9+2)))</f>
        <v/>
      </c>
      <c r="M8" s="25">
        <f t="shared" ca="1" si="2"/>
        <v>0</v>
      </c>
      <c r="N8" s="25"/>
      <c r="Z8" s="45"/>
    </row>
    <row r="9" spans="1:33" x14ac:dyDescent="0.25">
      <c r="B9" s="183" t="str">
        <f ca="1">INDIRECT("'"&amp;References!$A$1&amp;"'!"&amp;$B$1&amp;References!$G10)</f>
        <v>Ukraine</v>
      </c>
      <c r="C9" s="184" t="s">
        <v>36</v>
      </c>
      <c r="D9" s="185" t="str">
        <f ca="1">INDIRECT("'"&amp;References!$A$1&amp;"'!"&amp;$D$1&amp;References!$G10)</f>
        <v>Belgien</v>
      </c>
      <c r="E9" s="183" t="str">
        <f ca="1">IF(OR(INDIRECT("'"&amp;References!$A$1&amp;"'!"&amp;$B$1&amp;References!$H10)="",INDIRECT("'"&amp;References!$A$1&amp;"'!"&amp;$D$1&amp;References!$H10)=""),"",INDIRECT("'"&amp;References!$A$1&amp;"'!"&amp;$B$1&amp;References!$H10))</f>
        <v/>
      </c>
      <c r="F9" s="184" t="s">
        <v>36</v>
      </c>
      <c r="G9" s="187" t="str">
        <f ca="1">IF(OR(INDIRECT("'"&amp;References!$A$1&amp;"'!"&amp;$B$1&amp;References!$H10)="",INDIRECT("'"&amp;References!$A$1&amp;"'!"&amp;$D$1&amp;References!$H10)=""),"",INDIRECT("'"&amp;References!$A$1&amp;"'!"&amp;$D$1&amp;References!$H10))</f>
        <v/>
      </c>
      <c r="H9" s="25">
        <f t="shared" ca="1" si="0"/>
        <v>0</v>
      </c>
      <c r="I9" s="25">
        <f t="shared" ca="1" si="1"/>
        <v>0</v>
      </c>
      <c r="J9" t="str">
        <f ca="1">IF(OR(INDIRECT("'"&amp;References!$A$1&amp;"'!"&amp;$B$1&amp;(References!$H10+2))="",INDIRECT("'"&amp;References!$A$1&amp;"'!"&amp;$D$1&amp;(References!$H10+2))=""),"",INDIRECT("'"&amp;References!$A$1&amp;"'!"&amp;$B$1&amp;(References!$H10+2)))</f>
        <v/>
      </c>
      <c r="K9" s="25" t="s">
        <v>494</v>
      </c>
      <c r="L9" s="5" t="str">
        <f ca="1">IF(OR(INDIRECT("'"&amp;References!$A$1&amp;"'!"&amp;$B$1&amp;(References!$H10+2))="",INDIRECT("'"&amp;References!$A$1&amp;"'!"&amp;$D$1&amp;(References!$H10+2))=""),"",INDIRECT("'"&amp;References!$A$1&amp;"'!"&amp;$D$1&amp;(References!$H10+2)))</f>
        <v/>
      </c>
      <c r="M9" s="25">
        <f t="shared" ca="1" si="2"/>
        <v>0</v>
      </c>
      <c r="N9" s="25"/>
      <c r="Z9" s="573" t="s">
        <v>480</v>
      </c>
      <c r="AA9" s="573"/>
      <c r="AB9" s="573"/>
      <c r="AC9" s="573"/>
      <c r="AD9" s="573"/>
      <c r="AE9" s="573"/>
    </row>
    <row r="10" spans="1:33" ht="15.75" thickBot="1" x14ac:dyDescent="0.3">
      <c r="L10" s="49" t="s">
        <v>189</v>
      </c>
      <c r="M10" s="51">
        <f ca="1">SUM($M$4:$M$9)</f>
        <v>0</v>
      </c>
      <c r="N10" s="25"/>
      <c r="P10" s="143" t="s">
        <v>322</v>
      </c>
      <c r="Q10" s="46" t="s">
        <v>191</v>
      </c>
      <c r="R10" s="46" t="s">
        <v>190</v>
      </c>
      <c r="S10" s="46" t="s">
        <v>1087</v>
      </c>
      <c r="T10" s="46" t="s">
        <v>1088</v>
      </c>
      <c r="U10" s="46" t="s">
        <v>680</v>
      </c>
      <c r="V10" s="46" t="s">
        <v>192</v>
      </c>
      <c r="X10" s="67" t="s">
        <v>1091</v>
      </c>
      <c r="Y10" s="46" t="s">
        <v>697</v>
      </c>
      <c r="Z10" s="46" t="s">
        <v>475</v>
      </c>
      <c r="AA10" s="46" t="s">
        <v>476</v>
      </c>
      <c r="AB10" s="46" t="s">
        <v>477</v>
      </c>
      <c r="AC10" s="46" t="s">
        <v>478</v>
      </c>
      <c r="AD10" s="46" t="s">
        <v>479</v>
      </c>
      <c r="AE10" s="46" t="s">
        <v>497</v>
      </c>
    </row>
    <row r="11" spans="1:33" ht="16.5" thickTop="1" thickBot="1" x14ac:dyDescent="0.3">
      <c r="B11" s="72"/>
      <c r="C11" s="25"/>
      <c r="D11" s="72"/>
      <c r="O11" s="35" t="s">
        <v>32</v>
      </c>
      <c r="P11" s="34" t="str">
        <f t="shared" ref="P11:U14" ca="1" si="8">INDEX(P$4:P$7,MATCH($V11,$V$4:$V$7,0))</f>
        <v>Belgien</v>
      </c>
      <c r="Q11" s="177">
        <f t="shared" ca="1" si="8"/>
        <v>0</v>
      </c>
      <c r="R11" s="33">
        <f t="shared" ca="1" si="8"/>
        <v>0</v>
      </c>
      <c r="S11" s="33">
        <f t="shared" ca="1" si="8"/>
        <v>0</v>
      </c>
      <c r="T11" s="33">
        <f t="shared" ca="1" si="8"/>
        <v>0</v>
      </c>
      <c r="U11" s="33">
        <f t="shared" ca="1" si="8"/>
        <v>0</v>
      </c>
      <c r="V11" s="354">
        <f ca="1">LARGE($V$4:$V$7,ROW(A1))</f>
        <v>50000.000000400003</v>
      </c>
      <c r="X11" s="68">
        <f ca="1">IF(AND(OR(TRUNC($V$11,4)=TRUNC($V$12,4),TRUNC($V$11,4)=TRUNC($V$13,4),TRUNC($V$11,4)=TRUNC($V$14,4),TRUNC($V$12,4)=TRUNC($V$13,4),TRUNC($V$12,4)=TRUNC($V$14,4),TRUNC($V$13,4)=TRUNC($V$14,4)),$M$10&gt;0),1,0)</f>
        <v>0</v>
      </c>
      <c r="Y11" s="25">
        <f ca="1">IF(AND(VLOOKUP($B$8,$P$4:$AD$7,15,0)=VLOOKUP($D$8,$P$4:$AD$7,15,0),$E$8=$G$8,COUNTIF($Q$4:$Q$7,VLOOKUP($B$8,$P$4:$Q$7,2,0))=2,$M$10=6),1,0)</f>
        <v>0</v>
      </c>
      <c r="Z11" s="205" t="b">
        <f ca="1">VLOOKUP($P11,$E$18:$M$21,8,0)&lt;&gt;""</f>
        <v>0</v>
      </c>
      <c r="AA11" s="206" t="b">
        <f ca="1">VLOOKUP($P11,$E$18:$M$21,9,0)&lt;&gt;""</f>
        <v>0</v>
      </c>
      <c r="AB11" s="207" t="b">
        <f ca="1">SUMPRODUCT(1*(LEN($Z$18:$Z$35)&gt;0)*($P$18:$P$35=$P11))&gt;0</f>
        <v>0</v>
      </c>
      <c r="AC11" s="207" t="b">
        <f ca="1">SUMPRODUCT(1*(LEN($AE$18:$AE$35)&gt;0)*($P$18:$P$35=$P11))&gt;0</f>
        <v>0</v>
      </c>
      <c r="AD11" s="339" t="str">
        <f ca="1">IF($Z11,VLOOKUP($P11,$E$18:$M$21,8,0),IF($AA11,VLOOKUP($P11,$E$18:$M$21,9,0),IF($AB11,SUMIFS($Z$18:$Z$35,$P$18:$P$35,$P11),IF($AC11,SUMIFS($AE$18:$AE$35,$P$18:$P$35,$P11),""))))</f>
        <v/>
      </c>
      <c r="AE11" s="341" t="str">
        <f ca="1">IF(OR(AND($Y$11&gt;0,OR($B$8=$P11,$D$8=$P11)),AND($Y$12&gt;0,OR($B$9=$P11,$D$9=$P11))),SUMIF($B$8:$B$9,$P11,$J$8:$J$9)+SUMIF($D$8:$D$9,$P11,$L$8:$L$9),"")</f>
        <v/>
      </c>
    </row>
    <row r="12" spans="1:33" ht="15.75" thickTop="1" x14ac:dyDescent="0.25">
      <c r="B12" s="25"/>
      <c r="C12" s="25"/>
      <c r="D12" s="25"/>
      <c r="O12" s="32" t="s">
        <v>33</v>
      </c>
      <c r="P12" t="str">
        <f t="shared" ca="1" si="8"/>
        <v>Slowakei</v>
      </c>
      <c r="Q12" s="99">
        <f t="shared" ca="1" si="8"/>
        <v>0</v>
      </c>
      <c r="R12" s="25">
        <f t="shared" ca="1" si="8"/>
        <v>0</v>
      </c>
      <c r="S12" s="25">
        <f t="shared" ca="1" si="8"/>
        <v>0</v>
      </c>
      <c r="T12" s="25">
        <f t="shared" ca="1" si="8"/>
        <v>0</v>
      </c>
      <c r="U12" s="25">
        <f t="shared" ca="1" si="8"/>
        <v>0</v>
      </c>
      <c r="V12" s="355">
        <f ca="1">LARGE($V$4:$V$7,ROW(A2))</f>
        <v>50000.000000300002</v>
      </c>
      <c r="Y12" s="25">
        <f ca="1">IF(AND(VLOOKUP($B$9,$P$4:$AD$7,15,0)=VLOOKUP($D$9,$P$4:$AD$7,15,0),$E$9=$G$9,COUNTIF($Q$4:$Q$7,VLOOKUP($B$9,$P$4:$Q$7,2,0))=2,$M$10=6),1,0)</f>
        <v>0</v>
      </c>
      <c r="Z12" s="208" t="b">
        <f ca="1">VLOOKUP($P12,$E$18:$M$21,8,0)&lt;&gt;""</f>
        <v>0</v>
      </c>
      <c r="AA12" s="25" t="b">
        <f ca="1">VLOOKUP($P12,$E$18:$M$21,9,0)&lt;&gt;""</f>
        <v>0</v>
      </c>
      <c r="AB12" t="b">
        <f t="shared" ref="AB12:AB14" ca="1" si="9">SUMPRODUCT(1*(LEN($Z$18:$Z$35)&gt;0)*($P$18:$P$35=$P12))&gt;0</f>
        <v>0</v>
      </c>
      <c r="AC12" t="b">
        <f t="shared" ref="AC12:AC14" ca="1" si="10">SUMPRODUCT(1*(LEN($AE$18:$AE$35)&gt;0)*($P$18:$P$35=$P12))&gt;0</f>
        <v>0</v>
      </c>
      <c r="AD12" s="104" t="str">
        <f ca="1">IF($Z12,VLOOKUP($P12,$E$18:$M$21,8,0),IF($AA12,VLOOKUP($P12,$E$18:$M$21,9,0),IF($AB12,SUMIFS($Z$18:$Z$35,$P$18:$P$35,$P12),IF($AC12,SUMIFS($AE$18:$AE$35,$P$18:$P$35,$P12),""))))</f>
        <v/>
      </c>
      <c r="AE12" s="342" t="str">
        <f ca="1">IF(OR(AND($Y$11&gt;0,OR($B$8=$P12,$D$8=$P12)),AND($Y$12&gt;0,OR($B$9=$P12,$D$9=$P12))),SUMIF($B$8:$B$9,$P12,$J$8:$J$9)+SUMIF($D$8:$D$9,$P12,$L$8:$L$9),"")</f>
        <v/>
      </c>
    </row>
    <row r="13" spans="1:33" x14ac:dyDescent="0.25">
      <c r="B13" s="25"/>
      <c r="C13" s="25"/>
      <c r="D13" s="50"/>
      <c r="O13" s="32" t="s">
        <v>34</v>
      </c>
      <c r="P13" t="str">
        <f t="shared" ref="P13:U14" ca="1" si="11">INDEX(P$4:P$7,MATCH($V13,$V$4:$V$7,0))</f>
        <v>Rumänien</v>
      </c>
      <c r="Q13" s="99">
        <f t="shared" ca="1" si="11"/>
        <v>0</v>
      </c>
      <c r="R13" s="25">
        <f t="shared" ca="1" si="11"/>
        <v>0</v>
      </c>
      <c r="S13" s="25">
        <f t="shared" ca="1" si="8"/>
        <v>0</v>
      </c>
      <c r="T13" s="25">
        <f t="shared" ca="1" si="8"/>
        <v>0</v>
      </c>
      <c r="U13" s="25">
        <f t="shared" ca="1" si="11"/>
        <v>0</v>
      </c>
      <c r="V13" s="355">
        <f ca="1">LARGE($V$4:$V$7,ROW(A3))</f>
        <v>50000.000000200002</v>
      </c>
      <c r="Z13" s="208" t="b">
        <f ca="1">VLOOKUP($P13,$E$18:$M$21,8,0)&lt;&gt;""</f>
        <v>0</v>
      </c>
      <c r="AA13" s="25" t="b">
        <f ca="1">VLOOKUP($P13,$E$18:$M$21,9,0)&lt;&gt;""</f>
        <v>0</v>
      </c>
      <c r="AB13" t="b">
        <f t="shared" ca="1" si="9"/>
        <v>0</v>
      </c>
      <c r="AC13" t="b">
        <f t="shared" ca="1" si="10"/>
        <v>0</v>
      </c>
      <c r="AD13" s="104" t="str">
        <f ca="1">IF($Z13,VLOOKUP($P13,$E$18:$M$21,8,0),IF($AA13,VLOOKUP($P13,$E$18:$M$21,9,0),IF($AB13,SUMIFS($Z$18:$Z$35,$P$18:$P$35,$P13),IF($AC13,SUMIFS($AE$18:$AE$35,$P$18:$P$35,$P13),""))))</f>
        <v/>
      </c>
      <c r="AE13" s="342" t="str">
        <f ca="1">IF(OR(AND($Y$11&gt;0,OR($B$8=$P13,$D$8=$P13)),AND($Y$12&gt;0,OR($B$9=$P13,$D$9=$P13))),SUMIF($B$8:$B$9,$P13,$J$8:$J$9)+SUMIF($D$8:$D$9,$P13,$L$8:$L$9),"")</f>
        <v/>
      </c>
    </row>
    <row r="14" spans="1:33" ht="15.75" thickBot="1" x14ac:dyDescent="0.3">
      <c r="B14" s="25"/>
      <c r="C14" s="25"/>
      <c r="D14" s="50"/>
      <c r="F14" s="25"/>
      <c r="G14" s="5"/>
      <c r="O14" s="31" t="s">
        <v>35</v>
      </c>
      <c r="P14" s="30" t="str">
        <f t="shared" ca="1" si="11"/>
        <v>Ukraine</v>
      </c>
      <c r="Q14" s="178">
        <f t="shared" ca="1" si="11"/>
        <v>0</v>
      </c>
      <c r="R14" s="29">
        <f t="shared" ca="1" si="11"/>
        <v>0</v>
      </c>
      <c r="S14" s="29">
        <f t="shared" ca="1" si="8"/>
        <v>0</v>
      </c>
      <c r="T14" s="29">
        <f t="shared" ca="1" si="8"/>
        <v>0</v>
      </c>
      <c r="U14" s="29">
        <f t="shared" ca="1" si="11"/>
        <v>0</v>
      </c>
      <c r="V14" s="356">
        <f ca="1">LARGE($V$4:$V$7,ROW(A4))</f>
        <v>50000.000000100001</v>
      </c>
      <c r="Z14" s="209" t="b">
        <f ca="1">VLOOKUP($P14,$E$18:$M$21,8,0)&lt;&gt;""</f>
        <v>0</v>
      </c>
      <c r="AA14" s="210" t="b">
        <f ca="1">VLOOKUP($P14,$E$18:$M$21,9,0)&lt;&gt;""</f>
        <v>0</v>
      </c>
      <c r="AB14" s="211" t="b">
        <f t="shared" ca="1" si="9"/>
        <v>0</v>
      </c>
      <c r="AC14" s="211" t="b">
        <f t="shared" ca="1" si="10"/>
        <v>0</v>
      </c>
      <c r="AD14" s="340" t="str">
        <f ca="1">IF($Z14,VLOOKUP($P14,$E$18:$M$21,8,0),IF($AA14,VLOOKUP($P14,$E$18:$M$21,9,0),IF($AB14,SUMIFS($Z$18:$Z$35,$P$18:$P$35,$P14),IF($AC14,SUMIFS($AE$18:$AE$35,$P$18:$P$35,$P14),""))))</f>
        <v/>
      </c>
      <c r="AE14" s="343" t="str">
        <f ca="1">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572" t="s">
        <v>464</v>
      </c>
      <c r="H16" s="572"/>
      <c r="I16" s="572"/>
      <c r="J16" s="572"/>
      <c r="K16" s="572"/>
      <c r="L16" s="572"/>
      <c r="M16" s="55"/>
      <c r="N16" s="55"/>
      <c r="W16" s="563" t="s">
        <v>465</v>
      </c>
      <c r="X16" s="563"/>
      <c r="Y16" s="563"/>
      <c r="Z16" s="563"/>
      <c r="AD16" s="563" t="s">
        <v>466</v>
      </c>
      <c r="AE16" s="563"/>
      <c r="AF16" s="212" t="b">
        <f ca="1">AND($Q$4=$Q$5,$Q$4=$Q$6,$Q$4=$Q$7)</f>
        <v>1</v>
      </c>
    </row>
    <row r="17" spans="2:31" ht="16.5" thickTop="1" thickBot="1" x14ac:dyDescent="0.3">
      <c r="B17" s="25"/>
      <c r="C17" s="25"/>
      <c r="D17" s="25"/>
      <c r="G17" s="338"/>
      <c r="H17" s="33" t="str">
        <f>LEFT($P$4,3)</f>
        <v>Bel</v>
      </c>
      <c r="I17" s="33" t="str">
        <f>LEFT($P$5,3)</f>
        <v>Slo</v>
      </c>
      <c r="J17" s="33" t="str">
        <f>LEFT($P$6,3)</f>
        <v>Rum</v>
      </c>
      <c r="K17" s="101" t="str">
        <f>LEFT($P$7,3)</f>
        <v>Ukr</v>
      </c>
      <c r="L17" s="46" t="s">
        <v>463</v>
      </c>
      <c r="M17" s="46" t="s">
        <v>472</v>
      </c>
      <c r="N17" s="46"/>
      <c r="Q17" s="46" t="s">
        <v>191</v>
      </c>
      <c r="R17" s="46" t="s">
        <v>190</v>
      </c>
      <c r="S17" s="46" t="s">
        <v>1087</v>
      </c>
      <c r="T17" s="46" t="s">
        <v>1088</v>
      </c>
      <c r="U17" s="46"/>
      <c r="V17" s="46" t="s">
        <v>197</v>
      </c>
      <c r="W17" s="46" t="s">
        <v>674</v>
      </c>
      <c r="X17" s="55" t="s">
        <v>467</v>
      </c>
      <c r="Y17" s="46" t="s">
        <v>471</v>
      </c>
      <c r="Z17" s="46" t="s">
        <v>471</v>
      </c>
      <c r="AA17" s="564" t="s">
        <v>462</v>
      </c>
      <c r="AB17" s="564"/>
      <c r="AC17" s="564"/>
      <c r="AD17" s="55" t="s">
        <v>469</v>
      </c>
      <c r="AE17" s="46" t="s">
        <v>470</v>
      </c>
    </row>
    <row r="18" spans="2:31" ht="15.75" thickTop="1" x14ac:dyDescent="0.25">
      <c r="B18" s="25"/>
      <c r="C18" s="25"/>
      <c r="D18" s="25"/>
      <c r="E18" s="568" t="str">
        <f>$P$4</f>
        <v>Belgien</v>
      </c>
      <c r="F18" s="569"/>
      <c r="G18" s="569"/>
      <c r="H18" s="100"/>
      <c r="I18" s="33">
        <f ca="1">SUMIFS($E$4:$E$9,$B$4:$B$9,$P$4,$D$4:$D$9,$P$5)+SUMIFS($G$4:$G$9,$B$4:$B$9,$P$5,$D$4:$D$9,$P$4)</f>
        <v>0</v>
      </c>
      <c r="J18" s="33">
        <f ca="1">SUMIFS($E$4:$E$9,$B$4:$B$9,$P$4,$D$4:$D$9,$P$6)+SUMIFS($G$4:$G$9,$B$4:$B$9,$P$6,$D$4:$D$9,$P$4)</f>
        <v>0</v>
      </c>
      <c r="K18" s="101">
        <f ca="1">SUMIFS($E$4:$E$9,$B$4:$B$9,$P$4,$D$4:$D$9,$P$7)+SUMIFS($G$4:$G$9,$B$4:$B$9,$P$7,$D$4:$D$9,$P$4)</f>
        <v>0</v>
      </c>
      <c r="L18" s="64" t="str">
        <f ca="1">IF(AND($Q$4=$Q$5,$Q$4&lt;&gt;$Q$6,$Q$4&lt;&gt;$Q$7),IF(I18&gt;H19,3,IF(I18=H19,1,0)),IF(AND($Q$4=$Q$6,$Q$4&lt;&gt;$Q$5,$Q$4&lt;&gt;$Q$7),IF(J18&gt;H20,3,IF(J18=H20,1,0)),IF(AND($Q$4=$Q$7,$Q$4&lt;&gt;$Q$5,$Q$4&lt;&gt;$Q$6),IF(K18&gt;H21,3,IF(K18=H21,1,0)),"")))</f>
        <v/>
      </c>
      <c r="M18" s="64" t="str">
        <f ca="1">IF($AF$16,IF(AND($AD$4=$AD$5,$AD$4&lt;&gt;$AD$6,$AD$4&lt;&gt;$AD$7),IF(I18&gt;H19,3,IF(I18=H19,1,0)),IF(AND($AD$4&lt;&gt;$AD$5,$AD$4=$AD$6,$AD$4&lt;&gt;$AD$7),IF(J18&gt;H20,3,IF(J18=H20,1,0)),IF(AND($AD$4&lt;&gt;$AD$5,$AD$4&lt;&gt;$AD$6,$AD$4=$AD$7),IF(K18&gt;H21,3,IF(K18=H21,1,0)),""))),"")</f>
        <v/>
      </c>
      <c r="N18" s="25"/>
      <c r="O18" s="25" t="s">
        <v>32</v>
      </c>
      <c r="P18" t="str">
        <f>$P$4</f>
        <v>Belgien</v>
      </c>
      <c r="Q18" s="25">
        <f ca="1">SUMIFS($H$4:$H$9,$B$4:$B$9,$P18,$D$4:$D$9,"&lt;&gt;"&amp;$P$21)+SUMIFS($I$4:$I$9,$B$4:$B$9,"&lt;&gt;"&amp;$P$21,$D$4:$D$9,$P18)</f>
        <v>0</v>
      </c>
      <c r="R18" s="25">
        <f ca="1">S18-T18</f>
        <v>0</v>
      </c>
      <c r="S18" s="25">
        <f ca="1">SUMIFS($E$4:$E$9,$B$4:$B$9,$P18,$D$4:$D$9,"&lt;&gt;"&amp;$P$21)+SUMIFS($G$4:$G$9,$B$4:$B$9,"&lt;&gt;"&amp;$P$21,$D$4:$D$9,$P18)</f>
        <v>0</v>
      </c>
      <c r="T18" s="25">
        <f ca="1">SUMIFS($G$4:$G$9,$B$4:$B$9,$P18,$D$4:$D$9,"&lt;&gt;"&amp;$P$21)+SUMIFS($E$4:$E$9,$B$4:$B$9,"&lt;&gt;"&amp;$P$21,$D$4:$D$9,$P18)</f>
        <v>0</v>
      </c>
      <c r="U18" s="25"/>
      <c r="V18" s="202">
        <f ca="1">Q18*FactorPts+(GDzero+R18)*FactorGD+S18*FactorFor</f>
        <v>50000</v>
      </c>
      <c r="W18" s="25">
        <f ca="1">RANK(V18,V$18:V$20,1)</f>
        <v>1</v>
      </c>
      <c r="X18" s="25">
        <f ca="1">IF(AND($Q$4=$Q$5,$Q$4=$Q$6,$Q$4&lt;&gt;$Q$7),W18,0)</f>
        <v>0</v>
      </c>
      <c r="Y18" s="25" t="str">
        <f ca="1">IF(AND(V18=V19,V18&lt;&gt;V20),IF(AA18&gt;AA19,3,IF(AA18=AA19,1,0)),IF(AND(V18=V20,V18&lt;&gt;V19),IF(AB18&gt;AB20,3,IF(AB18=AB20,1,0)),""))</f>
        <v/>
      </c>
      <c r="Z18" s="25" t="str">
        <f ca="1">IF(X18&gt;0,Y18,"")</f>
        <v/>
      </c>
      <c r="AA18" s="188">
        <f ca="1">$I$18</f>
        <v>0</v>
      </c>
      <c r="AB18" s="189">
        <f ca="1">$J$18</f>
        <v>0</v>
      </c>
      <c r="AC18" s="190"/>
      <c r="AD18" s="25">
        <f ca="1">IF(AND($AF$16,$AD$4=$AD$5,$AD$4=$AD$6,$AD$4&lt;&gt;$AD$7),W18,0)</f>
        <v>0</v>
      </c>
      <c r="AE18" s="25" t="str">
        <f ca="1">IF(AD18&gt;0,Y18,"")</f>
        <v/>
      </c>
    </row>
    <row r="19" spans="2:31" x14ac:dyDescent="0.25">
      <c r="B19" s="25"/>
      <c r="C19" s="25"/>
      <c r="D19" s="25"/>
      <c r="E19" s="570" t="str">
        <f>$P$5</f>
        <v>Slowakei</v>
      </c>
      <c r="F19" s="571"/>
      <c r="G19" s="571"/>
      <c r="H19" s="32">
        <f ca="1">SUMIFS($E$4:$E$9,$B$4:$B$9,$P$5,$D$4:$D$9,$P$4)+SUMIFS($G$4:$G$9,$B$4:$B$9,$P$4,$D$4:$D$9,$P$5)</f>
        <v>0</v>
      </c>
      <c r="I19" s="69"/>
      <c r="J19" s="25">
        <f ca="1">SUMIFS($E$4:$E$9,$B$4:$B$9,$P$5,$D$4:$D$9,$P$6)+SUMIFS($G$4:$G$9,$B$4:$B$9,$P$6,$D$4:$D$9,$P$5)</f>
        <v>0</v>
      </c>
      <c r="K19" s="47">
        <f ca="1">SUMIFS($E$4:$E$9,$B$4:$B$9,$P$5,$D$4:$D$9,$P$7)+SUMIFS($G$4:$G$9,$B$4:$B$9,$P$7,$D$4:$D$9,$P$5)</f>
        <v>0</v>
      </c>
      <c r="L19" s="65" t="str">
        <f ca="1">IF(AND($Q$5=$Q$4,$Q$5&lt;&gt;$Q$6,$Q$5&lt;&gt;$Q$7),IF(H19&gt;I18,3,IF(H19=I18,1,0)),IF(AND($Q$5=$Q$6,$Q$5&lt;&gt;$Q$4,$Q$5&lt;&gt;$Q$7),IF(J19&gt;I20,3,IF(J19=I20,1,0)),IF(AND($Q$5=$Q$7,$Q$5&lt;&gt;$Q$4,$Q$5&lt;&gt;$Q$6),IF(K19&gt;I21,3,IF(K19=I21,1,0)),"")))</f>
        <v/>
      </c>
      <c r="M19" s="65" t="str">
        <f ca="1">IF($AF$16,IF(AND($AD$5=$AD$4,$AD$5&lt;&gt;$AD$6,$AD$5&lt;&gt;$AD$7),IF(H19&gt;I18,3,IF(H19=I18,1,0)),IF(AND($AD$5&lt;&gt;$AD$4,$AD$5=$AD$6,$AD$5&lt;&gt;$AD$7),IF(J19&gt;I20,3,IF(J19=I20,1,0)),IF(AND($AD$5&lt;&gt;$AD$4,$AD$5&lt;&gt;$AD$6,$AD$5=$AD$7),IF(K19&gt;I21,3,IF(K19=I21,1,0)),""))),"")</f>
        <v/>
      </c>
      <c r="N19" s="25"/>
      <c r="O19" s="25" t="s">
        <v>33</v>
      </c>
      <c r="P19" t="str">
        <f>$P$5</f>
        <v>Slowakei</v>
      </c>
      <c r="Q19" s="25">
        <f ca="1">SUMIFS($H$4:$H$9,$B$4:$B$9,$P19,$D$4:$D$9,"&lt;&gt;"&amp;$P$21)+SUMIFS($I$4:$I$9,$B$4:$B$9,"&lt;&gt;"&amp;$P$21,$D$4:$D$9,$P19)</f>
        <v>0</v>
      </c>
      <c r="R19" s="25">
        <f ca="1">S19-T19</f>
        <v>0</v>
      </c>
      <c r="S19" s="25">
        <f ca="1">SUMIFS($E$4:$E$9,$B$4:$B$9,$P19,$D$4:$D$9,"&lt;&gt;"&amp;$P$21)+SUMIFS($G$4:$G$9,$B$4:$B$9,"&lt;&gt;"&amp;$P$21,$D$4:$D$9,$P19)</f>
        <v>0</v>
      </c>
      <c r="T19" s="25">
        <f ca="1">SUMIFS($G$4:$G$9,$B$4:$B$9,$P19,$D$4:$D$9,"&lt;&gt;"&amp;$P$21)+SUMIFS($E$4:$E$9,$B$4:$B$9,"&lt;&gt;"&amp;$P$21,$D$4:$D$9,$P19)</f>
        <v>0</v>
      </c>
      <c r="U19" s="25"/>
      <c r="V19" s="202">
        <f ca="1">Q19*FactorPts+(GDzero+R19)*FactorGD+S19*FactorFor</f>
        <v>50000</v>
      </c>
      <c r="W19" s="25">
        <f ca="1">RANK(V19,V$18:V$20,1)</f>
        <v>1</v>
      </c>
      <c r="X19" s="25">
        <f ca="1">IF(AND($Q$4=$Q$5,$Q$4=$Q$6,$Q$4&lt;&gt;$Q$7),W19,0)</f>
        <v>0</v>
      </c>
      <c r="Y19" s="25" t="str">
        <f ca="1">IF(AND(V19=V18,V19&lt;&gt;V20),IF(AA19&gt;AA18,3,IF(AA19=AA18,1,0)),IF(AND(V19=V20,V19&lt;&gt;V18),IF(AC19&gt;AC20,3,IF(AC19=AC20,1,0)),""))</f>
        <v/>
      </c>
      <c r="Z19" s="25" t="str">
        <f t="shared" ref="Z19:Z20" ca="1" si="12">IF(X19&gt;0,Y19,"")</f>
        <v/>
      </c>
      <c r="AA19" s="191">
        <f ca="1">$H$19</f>
        <v>0</v>
      </c>
      <c r="AB19" s="25"/>
      <c r="AC19" s="204">
        <f ca="1">$J$19</f>
        <v>0</v>
      </c>
      <c r="AD19" s="25">
        <f ca="1">IF(AND($AF$16,$AD$4=$AD$5,$AD$4=$AD$6,$AD$4&lt;&gt;$AD$7),W19,0)</f>
        <v>0</v>
      </c>
      <c r="AE19" s="25" t="str">
        <f t="shared" ref="AE19:AE20" ca="1" si="13">IF(AD19&gt;0,Y19,"")</f>
        <v/>
      </c>
    </row>
    <row r="20" spans="2:31" x14ac:dyDescent="0.25">
      <c r="E20" s="570" t="str">
        <f>$P$6</f>
        <v>Rumänien</v>
      </c>
      <c r="F20" s="571"/>
      <c r="G20" s="571"/>
      <c r="H20" s="32">
        <f ca="1">SUMIFS($E$4:$E$9,$B$4:$B$9,$P$6,$D$4:$D$9,$P$4)+SUMIFS($G$4:$G$9,$B$4:$B$9,$P$4,$D$4:$D$9,$P$6)</f>
        <v>0</v>
      </c>
      <c r="I20" s="25">
        <f ca="1">SUMIFS($E$4:$E$9,$B$4:$B$9,$P$6,$D$4:$D$9,$P$5)+SUMIFS($G$4:$G$9,$B$4:$B$9,$P$5,$D$4:$D$9,$P$6)</f>
        <v>0</v>
      </c>
      <c r="J20" s="69"/>
      <c r="K20" s="47">
        <f ca="1">SUMIFS($E$4:$E$9,$B$4:$B$9,$P$6,$D$4:$D$9,$P$7)+SUMIFS($G$4:$G$9,$B$4:$B$9,$P$7,$D$4:$D$9,$P$6)</f>
        <v>0</v>
      </c>
      <c r="L20" s="65" t="str">
        <f ca="1">IF(AND($Q$6=$Q$4,$Q$6&lt;&gt;$Q$5,$Q$6&lt;&gt;$Q$7),IF(H20&gt;J18,3,IF(H20=J18,1,0)),IF(AND($Q$6=$Q$5,$Q$6&lt;&gt;$Q$4,$Q$6&lt;&gt;$Q$7),IF(I20&gt;J19,3,IF(I20=J19,1,0)),IF(AND($Q$6=$Q$7,$Q$6&lt;&gt;$Q$4,$Q$6&lt;&gt;$Q$5),IF(K20&gt;J21,3,IF(K20=J21,1,0)),"")))</f>
        <v/>
      </c>
      <c r="M20" s="65" t="str">
        <f ca="1">IF($AF$16,IF(AND($AD$6=$AD$4,$AD$6&lt;&gt;$AD$5,$AD$6&lt;&gt;$AD$7),IF(H20&gt;J18,3,IF(H20=J18,1,0)),IF(AND($AD$6&lt;&gt;$AD$4,$AD$6=$AD$5,$AD$6&lt;&gt;$AD$7),IF(I20&gt;J19,3,IF(I20=J19,1,0)),IF(AND($AD$6&lt;&gt;$AD$4,$AD$6&lt;&gt;$AD$5,$AD$6=$AD$7),IF(K20&gt;J21,3,IF(K20=J21,1,0)),""))),"")</f>
        <v/>
      </c>
      <c r="N20" s="25"/>
      <c r="O20" s="25" t="s">
        <v>34</v>
      </c>
      <c r="P20" t="str">
        <f>$P$6</f>
        <v>Rumänien</v>
      </c>
      <c r="Q20" s="25">
        <f ca="1">SUMIFS($H$4:$H$9,$B$4:$B$9,$P20,$D$4:$D$9,"&lt;&gt;"&amp;$P$21)+SUMIFS($I$4:$I$9,$B$4:$B$9,"&lt;&gt;"&amp;$P$21,$D$4:$D$9,$P20)</f>
        <v>0</v>
      </c>
      <c r="R20" s="25">
        <f ca="1">S20-T20</f>
        <v>0</v>
      </c>
      <c r="S20" s="25">
        <f ca="1">SUMIFS($E$4:$E$9,$B$4:$B$9,$P20,$D$4:$D$9,"&lt;&gt;"&amp;$P$21)+SUMIFS($G$4:$G$9,$B$4:$B$9,"&lt;&gt;"&amp;$P$21,$D$4:$D$9,$P20)</f>
        <v>0</v>
      </c>
      <c r="T20" s="25">
        <f ca="1">SUMIFS($G$4:$G$9,$B$4:$B$9,$P20,$D$4:$D$9,"&lt;&gt;"&amp;$P$21)+SUMIFS($E$4:$E$9,$B$4:$B$9,"&lt;&gt;"&amp;$P$21,$D$4:$D$9,$P20)</f>
        <v>0</v>
      </c>
      <c r="U20" s="25"/>
      <c r="V20" s="202">
        <f ca="1">Q20*FactorPts+(GDzero+R20)*FactorGD+S20*FactorFor</f>
        <v>50000</v>
      </c>
      <c r="W20" s="25">
        <f ca="1">RANK(V20,V$18:V$20,1)</f>
        <v>1</v>
      </c>
      <c r="X20" s="25">
        <f ca="1">IF(AND($Q$4=$Q$5,$Q$4=$Q$6,$Q$4&lt;&gt;$Q$7),W20,0)</f>
        <v>0</v>
      </c>
      <c r="Y20" s="25" t="str">
        <f ca="1">IF(AND(V20=V18,V20&lt;&gt;V19),IF(AB20&gt;AB18,3,IF(AB20=AB18,1,0)),IF(AND(V20=V19,V20&lt;&gt;V18),IF(AC20&gt;AC19,3,IF(AC20=AC19,1,0)),""))</f>
        <v/>
      </c>
      <c r="Z20" s="25" t="str">
        <f t="shared" ca="1" si="12"/>
        <v/>
      </c>
      <c r="AA20" s="191"/>
      <c r="AB20" s="25">
        <f ca="1">$H$20</f>
        <v>0</v>
      </c>
      <c r="AC20" s="204">
        <f ca="1">$I$20</f>
        <v>0</v>
      </c>
      <c r="AD20" s="25">
        <f ca="1">IF(AND($AF$16,$AD$4=$AD$5,$AD$4=$AD$6,$AD$4&lt;&gt;$AD$7),W20,0)</f>
        <v>0</v>
      </c>
      <c r="AE20" s="25" t="str">
        <f t="shared" ca="1" si="13"/>
        <v/>
      </c>
    </row>
    <row r="21" spans="2:31" ht="15.75" thickBot="1" x14ac:dyDescent="0.3">
      <c r="B21" s="36"/>
      <c r="C21" s="25"/>
      <c r="E21" s="565" t="str">
        <f>$P$7</f>
        <v>Ukraine</v>
      </c>
      <c r="F21" s="566"/>
      <c r="G21" s="566"/>
      <c r="H21" s="31">
        <f ca="1">SUMIFS($E$4:$E$9,$B$4:$B$9,$P$7,$D$4:$D$9,$P$4)+SUMIFS($G$4:$G$9,$B$4:$B$9,$P$4,$D$4:$D$9,$P$7)</f>
        <v>0</v>
      </c>
      <c r="I21" s="29">
        <f ca="1">SUMIFS($E$4:$E$9,$B$4:$B$9,$P$7,$D$4:$D$9,$P$5)+SUMIFS($G$4:$G$9,$B$4:$B$9,$P$5,$D$4:$D$9,$P$7)</f>
        <v>0</v>
      </c>
      <c r="J21" s="29">
        <f ca="1">SUMIFS($E$4:$E$9,$B$4:$B$9,$P$7,$D$4:$D$9,$P$6)+SUMIFS($G$4:$G$9,$B$4:$B$9,$P$6,$D$4:$D$9,$P$7)</f>
        <v>0</v>
      </c>
      <c r="K21" s="70"/>
      <c r="L21" s="66" t="str">
        <f ca="1">IF(AND($Q$7=$Q$4,$Q$7&lt;&gt;$Q$5,$Q$7&lt;&gt;$Q$6),IF(H21&gt;K18,3,IF(H21=K18,1,0)),IF(AND($Q$7=$Q$5,$Q$7&lt;&gt;$Q$4,$Q$7&lt;&gt;$Q$6),IF(I21&gt;K19,3,IF(I21=K19,1,0)),IF(AND($Q$7=$Q$6,$Q$7&lt;&gt;$Q$4,$Q$7&lt;&gt;$Q$5),IF(J21&gt;K20,3,IF(J21=K20,1,0)),"")))</f>
        <v/>
      </c>
      <c r="M21" s="66" t="str">
        <f ca="1">IF($AF$16,IF(AND($AD$7=$AD$4,$AD$7&lt;&gt;$AD$5,$AD$7&lt;&gt;$AD$6),IF(H21&gt;K18,3,IF(H21=K18,1,0)),IF(AND($AD$7&lt;&gt;$AD$4,$AD$7=$AD$5,$AD$7&lt;&gt;$AD$6),IF(I21&gt;K19,3,IF(I21=K19,1,0)),IF(AND($AD$7&lt;&gt;$AD$4,$AD$7&lt;&gt;$AD$5,$AD$7=$AD$6),IF(J21&gt;K20,3,IF(J21=K20,1,0)),""))),"")</f>
        <v/>
      </c>
      <c r="N21" s="25"/>
      <c r="P21" s="28" t="str">
        <f>$P$7</f>
        <v>Ukraine</v>
      </c>
      <c r="Q21" s="197"/>
      <c r="R21" s="197"/>
      <c r="S21" s="197"/>
      <c r="T21" s="197"/>
      <c r="U21" s="197"/>
      <c r="V21" s="198"/>
      <c r="W21" s="198"/>
      <c r="X21" s="197"/>
      <c r="Y21" s="197"/>
      <c r="Z21" s="197"/>
      <c r="AA21" s="199"/>
      <c r="AB21" s="197"/>
      <c r="AC21" s="200"/>
      <c r="AD21" s="198"/>
      <c r="AE21" s="197"/>
    </row>
    <row r="22" spans="2:31" ht="15.75" thickTop="1" x14ac:dyDescent="0.25">
      <c r="B22" s="36"/>
      <c r="C22" s="25"/>
      <c r="F22" s="25"/>
      <c r="G22" s="5"/>
      <c r="L22" s="46"/>
      <c r="Q22" s="198"/>
      <c r="R22" s="198"/>
      <c r="S22" s="198"/>
      <c r="T22" s="198"/>
      <c r="U22" s="198"/>
      <c r="V22" s="198"/>
      <c r="W22" s="198"/>
      <c r="X22" s="197"/>
      <c r="Y22" s="197"/>
      <c r="Z22" s="197"/>
      <c r="AA22" s="199"/>
      <c r="AB22" s="197"/>
      <c r="AC22" s="200"/>
      <c r="AD22" s="198"/>
      <c r="AE22" s="197"/>
    </row>
    <row r="23" spans="2:31" x14ac:dyDescent="0.25">
      <c r="B23" s="36"/>
      <c r="C23" s="25"/>
      <c r="O23" s="25" t="s">
        <v>32</v>
      </c>
      <c r="P23" t="str">
        <f>$P$4</f>
        <v>Belgien</v>
      </c>
      <c r="Q23" s="25">
        <f ca="1">SUMIFS($H$4:$H$9,$B$4:$B$9,$P23,$D$4:$D$9,"&lt;&gt;"&amp;$P$26)+SUMIFS($I$4:$I$9,$B$4:$B$9,"&lt;&gt;"&amp;$P$26,$D$4:$D$9,$P23)</f>
        <v>0</v>
      </c>
      <c r="R23" s="25">
        <f ca="1">S23-T23</f>
        <v>0</v>
      </c>
      <c r="S23" s="25">
        <f ca="1">SUMIFS($E$4:$E$9,$B$4:$B$9,$P23,$D$4:$D$9,"&lt;&gt;"&amp;$P$26)+SUMIFS($G$4:$G$9,$B$4:$B$9,"&lt;&gt;"&amp;$P$26,$D$4:$D$9,$P23)</f>
        <v>0</v>
      </c>
      <c r="T23" s="25">
        <f ca="1">SUMIFS($G$4:$G$9,$B$4:$B$9,$P23,$D$4:$D$9,"&lt;&gt;"&amp;$P$26)+SUMIFS($E$4:$E$9,$B$4:$B$9,"&lt;&gt;"&amp;$P$26,$D$4:$D$9,$P23)</f>
        <v>0</v>
      </c>
      <c r="U23" s="25"/>
      <c r="V23" s="202">
        <f ca="1">Q23*FactorPts+(GDzero+R23)*FactorGD+S23*FactorFor</f>
        <v>50000</v>
      </c>
      <c r="W23" s="25">
        <f ca="1">RANK(V23,V$23:V$25,1)</f>
        <v>1</v>
      </c>
      <c r="X23" s="25">
        <f ca="1">IF(AND($Q$4=$Q$5,$Q$4=$Q$7,$Q$4&lt;&gt;$Q$6),W23,0)</f>
        <v>0</v>
      </c>
      <c r="Y23" s="25" t="str">
        <f ca="1">IF(AND(V23=V24,V23&lt;&gt;V25),IF(AA23&gt;AA24,3,IF(AA23=AA24,1,0)),IF(AND(V23=V25,V23&lt;&gt;V24),IF(AB23&gt;AB25,3,IF(AB23=AB25,1,0)),""))</f>
        <v/>
      </c>
      <c r="Z23" s="25" t="str">
        <f ca="1">IF(X23&gt;0,Y23,"")</f>
        <v/>
      </c>
      <c r="AA23" s="191">
        <f ca="1">$I$18</f>
        <v>0</v>
      </c>
      <c r="AB23" s="25">
        <f ca="1">$K$18</f>
        <v>0</v>
      </c>
      <c r="AC23" s="204"/>
      <c r="AD23" s="25">
        <f ca="1">IF(AND($AF$16,$AD$4=$AD$5,$AD$4=$AD$7,$AD$4&lt;&gt;$AD$6),W23,0)</f>
        <v>0</v>
      </c>
      <c r="AE23" s="25" t="str">
        <f ca="1">IF(AD23&gt;0,Y23,"")</f>
        <v/>
      </c>
    </row>
    <row r="24" spans="2:31" x14ac:dyDescent="0.25">
      <c r="B24" s="36"/>
      <c r="C24" s="25"/>
      <c r="O24" s="25" t="s">
        <v>33</v>
      </c>
      <c r="P24" t="str">
        <f>$P$5</f>
        <v>Slowakei</v>
      </c>
      <c r="Q24" s="25">
        <f ca="1">SUMIFS($H$4:$H$9,$B$4:$B$9,$P24,$D$4:$D$9,"&lt;&gt;"&amp;$P$26)+SUMIFS($I$4:$I$9,$B$4:$B$9,"&lt;&gt;"&amp;$P$26,$D$4:$D$9,$P24)</f>
        <v>0</v>
      </c>
      <c r="R24" s="25">
        <f ca="1">S24-T24</f>
        <v>0</v>
      </c>
      <c r="S24" s="25">
        <f ca="1">SUMIFS($E$4:$E$9,$B$4:$B$9,$P24,$D$4:$D$9,"&lt;&gt;"&amp;$P$26)+SUMIFS($G$4:$G$9,$B$4:$B$9,"&lt;&gt;"&amp;$P$26,$D$4:$D$9,$P24)</f>
        <v>0</v>
      </c>
      <c r="T24" s="25">
        <f ca="1">SUMIFS($G$4:$G$9,$B$4:$B$9,$P24,$D$4:$D$9,"&lt;&gt;"&amp;$P$26)+SUMIFS($E$4:$E$9,$B$4:$B$9,"&lt;&gt;"&amp;$P$26,$D$4:$D$9,$P24)</f>
        <v>0</v>
      </c>
      <c r="U24" s="25"/>
      <c r="V24" s="202">
        <f ca="1">Q24*FactorPts+(GDzero+R24)*FactorGD+S24*FactorFor</f>
        <v>50000</v>
      </c>
      <c r="W24" s="25">
        <f ca="1">RANK(V24,V$23:V$25,1)</f>
        <v>1</v>
      </c>
      <c r="X24" s="25">
        <f ca="1">IF(AND($Q$4=$Q$5,$Q$4=$Q$7,$Q$4&lt;&gt;$Q$6),W24,0)</f>
        <v>0</v>
      </c>
      <c r="Y24" s="25" t="str">
        <f ca="1">IF(AND(V24=V23,V24&lt;&gt;V25),IF(AA24&gt;AA23,3,IF(AA24=AA23,1,0)),IF(AND(V24=V25,V24&lt;&gt;V23),IF(AC24&gt;AC25,3,IF(AC24=AC25,1,0)),""))</f>
        <v/>
      </c>
      <c r="Z24" s="25" t="str">
        <f t="shared" ref="Z24:Z25" ca="1" si="14">IF(X24&gt;0,Y24,"")</f>
        <v/>
      </c>
      <c r="AA24" s="191">
        <f ca="1">$H$19</f>
        <v>0</v>
      </c>
      <c r="AB24" s="25"/>
      <c r="AC24" s="204">
        <f ca="1">$K$19</f>
        <v>0</v>
      </c>
      <c r="AD24" s="25">
        <f ca="1">IF(AND($AF$16,$AD$4=$AD$5,$AD$4=$AD$7,$AD$4&lt;&gt;$AD$6),W24,0)</f>
        <v>0</v>
      </c>
      <c r="AE24" s="25" t="str">
        <f t="shared" ref="AE24:AE25" ca="1" si="15">IF(AD24&gt;0,Y24,"")</f>
        <v/>
      </c>
    </row>
    <row r="25" spans="2:31" x14ac:dyDescent="0.25">
      <c r="B25" s="36"/>
      <c r="C25" s="25"/>
      <c r="O25" s="25" t="s">
        <v>34</v>
      </c>
      <c r="P25" t="str">
        <f>$P$7</f>
        <v>Ukraine</v>
      </c>
      <c r="Q25" s="25">
        <f ca="1">SUMIFS($H$4:$H$9,$B$4:$B$9,$P25,$D$4:$D$9,"&lt;&gt;"&amp;$P$26)+SUMIFS($I$4:$I$9,$B$4:$B$9,"&lt;&gt;"&amp;$P$26,$D$4:$D$9,$P25)</f>
        <v>0</v>
      </c>
      <c r="R25" s="25">
        <f ca="1">S25-T25</f>
        <v>0</v>
      </c>
      <c r="S25" s="25">
        <f ca="1">SUMIFS($E$4:$E$9,$B$4:$B$9,$P25,$D$4:$D$9,"&lt;&gt;"&amp;$P$26)+SUMIFS($G$4:$G$9,$B$4:$B$9,"&lt;&gt;"&amp;$P$26,$D$4:$D$9,$P25)</f>
        <v>0</v>
      </c>
      <c r="T25" s="25">
        <f ca="1">SUMIFS($G$4:$G$9,$B$4:$B$9,$P25,$D$4:$D$9,"&lt;&gt;"&amp;$P$26)+SUMIFS($E$4:$E$9,$B$4:$B$9,"&lt;&gt;"&amp;$P$26,$D$4:$D$9,$P25)</f>
        <v>0</v>
      </c>
      <c r="U25" s="25"/>
      <c r="V25" s="202">
        <f ca="1">Q25*FactorPts+(GDzero+R25)*FactorGD+S25*FactorFor</f>
        <v>50000</v>
      </c>
      <c r="W25" s="25">
        <f ca="1">RANK(V25,V$23:V$25,1)</f>
        <v>1</v>
      </c>
      <c r="X25" s="25">
        <f ca="1">IF(AND($Q$4=$Q$5,$Q$4=$Q$7,$Q$4&lt;&gt;$Q$6),W25,0)</f>
        <v>0</v>
      </c>
      <c r="Y25" s="25" t="str">
        <f ca="1">IF(AND(V25=V23,V25&lt;&gt;V24),IF(AB25&gt;AB23,3,IF(AB25=AB23,1,0)),IF(AND(V25=V24,V25&lt;&gt;V23),IF(AC25&gt;AC24,3,IF(AC25=AC24,1,0)),""))</f>
        <v/>
      </c>
      <c r="Z25" s="25" t="str">
        <f t="shared" ca="1" si="14"/>
        <v/>
      </c>
      <c r="AA25" s="191"/>
      <c r="AB25" s="25">
        <f ca="1">$H$21</f>
        <v>0</v>
      </c>
      <c r="AC25" s="204">
        <f ca="1">$I$21</f>
        <v>0</v>
      </c>
      <c r="AD25" s="25">
        <f ca="1">IF(AND($AF$16,$AD$4=$AD$5,$AD$4=$AD$7,$AD$4&lt;&gt;$AD$6),W25,0)</f>
        <v>0</v>
      </c>
      <c r="AE25" s="25" t="str">
        <f t="shared" ca="1" si="15"/>
        <v/>
      </c>
    </row>
    <row r="26" spans="2:31" x14ac:dyDescent="0.25">
      <c r="B26" s="36"/>
      <c r="C26" s="25"/>
      <c r="P26" s="28" t="str">
        <f>$P$6</f>
        <v>Rumänien</v>
      </c>
      <c r="Q26" s="197"/>
      <c r="R26" s="197"/>
      <c r="S26" s="197"/>
      <c r="T26" s="197"/>
      <c r="U26" s="197"/>
      <c r="V26" s="198"/>
      <c r="W26" s="198"/>
      <c r="X26" s="197"/>
      <c r="Y26" s="197"/>
      <c r="Z26" s="197"/>
      <c r="AA26" s="199"/>
      <c r="AB26" s="197"/>
      <c r="AC26" s="200"/>
      <c r="AD26" s="198"/>
      <c r="AE26" s="197"/>
    </row>
    <row r="27" spans="2:31" x14ac:dyDescent="0.25">
      <c r="Q27" s="198"/>
      <c r="R27" s="198"/>
      <c r="S27" s="198"/>
      <c r="T27" s="198"/>
      <c r="U27" s="198"/>
      <c r="V27" s="198"/>
      <c r="W27" s="198"/>
      <c r="X27" s="197"/>
      <c r="Y27" s="197"/>
      <c r="Z27" s="197"/>
      <c r="AA27" s="199"/>
      <c r="AB27" s="197"/>
      <c r="AC27" s="200"/>
      <c r="AD27" s="198"/>
      <c r="AE27" s="197"/>
    </row>
    <row r="28" spans="2:31" x14ac:dyDescent="0.25">
      <c r="O28" s="25" t="s">
        <v>32</v>
      </c>
      <c r="P28" t="str">
        <f>$P$4</f>
        <v>Belgien</v>
      </c>
      <c r="Q28" s="25">
        <f ca="1">SUMIFS($H$4:$H$9,$B$4:$B$9,$P28,$D$4:$D$9,"&lt;&gt;"&amp;$P$31)+SUMIFS($I$4:$I$9,$B$4:$B$9,"&lt;&gt;"&amp;$P$31,$D$4:$D$9,$P28)</f>
        <v>0</v>
      </c>
      <c r="R28" s="25">
        <f ca="1">S28-T28</f>
        <v>0</v>
      </c>
      <c r="S28" s="25">
        <f ca="1">SUMIFS($E$4:$E$9,$B$4:$B$9,$P28,$D$4:$D$9,"&lt;&gt;"&amp;$P$31)+SUMIFS($G$4:$G$9,$B$4:$B$9,"&lt;&gt;"&amp;$P$31,$D$4:$D$9,$P28)</f>
        <v>0</v>
      </c>
      <c r="T28" s="25">
        <f ca="1">SUMIFS($G$4:$G$9,$B$4:$B$9,$P28,$D$4:$D$9,"&lt;&gt;"&amp;$P$31)+SUMIFS($E$4:$E$9,$B$4:$B$9,"&lt;&gt;"&amp;$P$31,$D$4:$D$9,$P28)</f>
        <v>0</v>
      </c>
      <c r="U28" s="25"/>
      <c r="V28" s="202">
        <f ca="1">Q28*FactorPts+(GDzero+R28)*FactorGD+S28*FactorFor</f>
        <v>50000</v>
      </c>
      <c r="W28" s="25">
        <f ca="1">RANK(V28,V$28:V$30,1)</f>
        <v>1</v>
      </c>
      <c r="X28" s="25">
        <f ca="1">IF(AND($Q$4=$Q$6,$Q$4=$Q$7,$Q$4&lt;&gt;$Q$5),W28,0)</f>
        <v>0</v>
      </c>
      <c r="Y28" s="25" t="str">
        <f ca="1">IF(AND(V28=V29,V28&lt;&gt;V30),IF(AA28&gt;AA29,3,IF(AA28=AA29,1,0)),IF(AND(V28=V30,V28&lt;&gt;V29),IF(AB28&gt;AB30,3,IF(AB28=AB30,1,0)),""))</f>
        <v/>
      </c>
      <c r="Z28" s="25" t="str">
        <f ca="1">IF(X28&gt;0,Y28,"")</f>
        <v/>
      </c>
      <c r="AA28" s="191">
        <f ca="1">$J$18</f>
        <v>0</v>
      </c>
      <c r="AB28" s="25">
        <f ca="1">$K$18</f>
        <v>0</v>
      </c>
      <c r="AC28" s="204"/>
      <c r="AD28" s="25">
        <f ca="1">IF(AND($AF$16,$AD$4=$AD$6,$AD$4=$AD$7,$AD$4&lt;&gt;$AD$5),W28,0)</f>
        <v>0</v>
      </c>
      <c r="AE28" s="25" t="str">
        <f ca="1">IF(AD28&gt;0,Y28,"")</f>
        <v/>
      </c>
    </row>
    <row r="29" spans="2:31" x14ac:dyDescent="0.25">
      <c r="O29" s="25" t="s">
        <v>33</v>
      </c>
      <c r="P29" t="str">
        <f>$P$6</f>
        <v>Rumänien</v>
      </c>
      <c r="Q29" s="25">
        <f ca="1">SUMIFS($H$4:$H$9,$B$4:$B$9,$P29,$D$4:$D$9,"&lt;&gt;"&amp;$P$31)+SUMIFS($I$4:$I$9,$B$4:$B$9,"&lt;&gt;"&amp;$P$31,$D$4:$D$9,$P29)</f>
        <v>0</v>
      </c>
      <c r="R29" s="25">
        <f ca="1">S29-T29</f>
        <v>0</v>
      </c>
      <c r="S29" s="25">
        <f ca="1">SUMIFS($E$4:$E$9,$B$4:$B$9,$P29,$D$4:$D$9,"&lt;&gt;"&amp;$P$31)+SUMIFS($G$4:$G$9,$B$4:$B$9,"&lt;&gt;"&amp;$P$31,$D$4:$D$9,$P29)</f>
        <v>0</v>
      </c>
      <c r="T29" s="25">
        <f ca="1">SUMIFS($G$4:$G$9,$B$4:$B$9,$P29,$D$4:$D$9,"&lt;&gt;"&amp;$P$31)+SUMIFS($E$4:$E$9,$B$4:$B$9,"&lt;&gt;"&amp;$P$31,$D$4:$D$9,$P29)</f>
        <v>0</v>
      </c>
      <c r="U29" s="25"/>
      <c r="V29" s="202">
        <f ca="1">Q29*FactorPts+(GDzero+R29)*FactorGD+S29*FactorFor</f>
        <v>50000</v>
      </c>
      <c r="W29" s="25">
        <f ca="1">RANK(V29,V$28:V$30,1)</f>
        <v>1</v>
      </c>
      <c r="X29" s="25">
        <f ca="1">IF(AND($Q$4=$Q$6,$Q$4=$Q$7,$Q$4&lt;&gt;$Q$5),W29,0)</f>
        <v>0</v>
      </c>
      <c r="Y29" s="25" t="str">
        <f ca="1">IF(AND(V29=V28,V29&lt;&gt;V30),IF(AA29&gt;AA28,3,IF(AA29=AA28,1,0)),IF(AND(V29=V30,V29&lt;&gt;V28),IF(AC29&gt;AC30,3,IF(AC29=AC30,1,0)),""))</f>
        <v/>
      </c>
      <c r="Z29" s="25" t="str">
        <f t="shared" ref="Z29:Z30" ca="1" si="16">IF(X29&gt;0,Y29,"")</f>
        <v/>
      </c>
      <c r="AA29" s="191">
        <f ca="1">$H$20</f>
        <v>0</v>
      </c>
      <c r="AB29" s="25"/>
      <c r="AC29" s="204">
        <f ca="1">$K$20</f>
        <v>0</v>
      </c>
      <c r="AD29" s="25">
        <f ca="1">IF(AND($AF$16,$AD$4=$AD$6,$AD$4=$AD$7,$AD$4&lt;&gt;$AD$5),W29,0)</f>
        <v>0</v>
      </c>
      <c r="AE29" s="25" t="str">
        <f t="shared" ref="AE29:AE30" ca="1" si="17">IF(AD29&gt;0,Y29,"")</f>
        <v/>
      </c>
    </row>
    <row r="30" spans="2:31" x14ac:dyDescent="0.25">
      <c r="O30" s="25" t="s">
        <v>34</v>
      </c>
      <c r="P30" t="str">
        <f>$P$7</f>
        <v>Ukraine</v>
      </c>
      <c r="Q30" s="25">
        <f ca="1">SUMIFS($H$4:$H$9,$B$4:$B$9,$P30,$D$4:$D$9,"&lt;&gt;"&amp;$P$31)+SUMIFS($I$4:$I$9,$B$4:$B$9,"&lt;&gt;"&amp;$P$31,$D$4:$D$9,$P30)</f>
        <v>0</v>
      </c>
      <c r="R30" s="25">
        <f ca="1">S30-T30</f>
        <v>0</v>
      </c>
      <c r="S30" s="25">
        <f ca="1">SUMIFS($E$4:$E$9,$B$4:$B$9,$P30,$D$4:$D$9,"&lt;&gt;"&amp;$P$31)+SUMIFS($G$4:$G$9,$B$4:$B$9,"&lt;&gt;"&amp;$P$31,$D$4:$D$9,$P30)</f>
        <v>0</v>
      </c>
      <c r="T30" s="25">
        <f ca="1">SUMIFS($G$4:$G$9,$B$4:$B$9,$P30,$D$4:$D$9,"&lt;&gt;"&amp;$P$31)+SUMIFS($E$4:$E$9,$B$4:$B$9,"&lt;&gt;"&amp;$P$31,$D$4:$D$9,$P30)</f>
        <v>0</v>
      </c>
      <c r="U30" s="25"/>
      <c r="V30" s="202">
        <f ca="1">Q30*FactorPts+(GDzero+R30)*FactorGD+S30*FactorFor</f>
        <v>50000</v>
      </c>
      <c r="W30" s="25">
        <f ca="1">RANK(V30,V$28:V$30,1)</f>
        <v>1</v>
      </c>
      <c r="X30" s="25">
        <f ca="1">IF(AND($Q$4=$Q$6,$Q$4=$Q$7,$Q$4&lt;&gt;$Q$5),W30,0)</f>
        <v>0</v>
      </c>
      <c r="Y30" s="25" t="str">
        <f ca="1">IF(AND(V30=V28,V30&lt;&gt;V29),IF(AB30&gt;AB28,3,IF(AB30=AB28,1,0)),IF(AND(V30=V29,V30&lt;&gt;V28),IF(AC30&gt;AC29,3,IF(AC30=AC29,1,0)),""))</f>
        <v/>
      </c>
      <c r="Z30" s="25" t="str">
        <f t="shared" ca="1" si="16"/>
        <v/>
      </c>
      <c r="AA30" s="191"/>
      <c r="AB30" s="25">
        <f ca="1">$H$21</f>
        <v>0</v>
      </c>
      <c r="AC30" s="204">
        <f ca="1">$J$21</f>
        <v>0</v>
      </c>
      <c r="AD30" s="25">
        <f ca="1">IF(AND($AF$16,$AD$4=$AD$6,$AD$4=$AD$7,$AD$4&lt;&gt;$AD$5),W30,0)</f>
        <v>0</v>
      </c>
      <c r="AE30" s="25" t="str">
        <f t="shared" ca="1" si="17"/>
        <v/>
      </c>
    </row>
    <row r="31" spans="2:31" x14ac:dyDescent="0.25">
      <c r="P31" s="28" t="str">
        <f>$P$5</f>
        <v>Slowakei</v>
      </c>
      <c r="Q31" s="197"/>
      <c r="R31" s="197"/>
      <c r="S31" s="197"/>
      <c r="T31" s="197"/>
      <c r="U31" s="197"/>
      <c r="V31" s="198"/>
      <c r="W31" s="198"/>
      <c r="X31" s="197"/>
      <c r="Y31" s="197"/>
      <c r="Z31" s="197"/>
      <c r="AA31" s="199"/>
      <c r="AB31" s="197"/>
      <c r="AC31" s="200"/>
      <c r="AD31" s="198"/>
      <c r="AE31" s="197"/>
    </row>
    <row r="32" spans="2:31" x14ac:dyDescent="0.25">
      <c r="Q32" s="198"/>
      <c r="R32" s="198"/>
      <c r="S32" s="198"/>
      <c r="T32" s="198"/>
      <c r="U32" s="198"/>
      <c r="V32" s="198"/>
      <c r="W32" s="198"/>
      <c r="X32" s="197"/>
      <c r="Y32" s="197"/>
      <c r="Z32" s="197"/>
      <c r="AA32" s="199"/>
      <c r="AB32" s="197"/>
      <c r="AC32" s="200"/>
      <c r="AD32" s="198"/>
      <c r="AE32" s="197"/>
    </row>
    <row r="33" spans="15:31" x14ac:dyDescent="0.25">
      <c r="O33" s="25" t="s">
        <v>32</v>
      </c>
      <c r="P33" t="str">
        <f>$P$5</f>
        <v>Slowakei</v>
      </c>
      <c r="Q33" s="25">
        <f ca="1">SUMIFS($H$4:$H$9,$B$4:$B$9,$P33,$D$4:$D$9,"&lt;&gt;"&amp;$P$36)+SUMIFS($I$4:$I$9,$B$4:$B$9,"&lt;&gt;"&amp;$P$36,$D$4:$D$9,$P33)</f>
        <v>0</v>
      </c>
      <c r="R33" s="25">
        <f ca="1">S33-T33</f>
        <v>0</v>
      </c>
      <c r="S33" s="25">
        <f ca="1">SUMIFS($E$4:$E$9,$B$4:$B$9,$P33,$D$4:$D$9,"&lt;&gt;"&amp;$P$36)+SUMIFS($G$4:$G$9,$B$4:$B$9,"&lt;&gt;"&amp;$P$36,$D$4:$D$9,$P33)</f>
        <v>0</v>
      </c>
      <c r="T33" s="25">
        <f ca="1">SUMIFS($G$4:$G$9,$B$4:$B$9,$P33,$D$4:$D$9,"&lt;&gt;"&amp;$P$36)+SUMIFS($E$4:$E$9,$B$4:$B$9,"&lt;&gt;"&amp;$P$36,$D$4:$D$9,$P33)</f>
        <v>0</v>
      </c>
      <c r="U33" s="25"/>
      <c r="V33" s="202">
        <f ca="1">Q33*FactorPts+(GDzero+R33)*FactorGD+S33*FactorFor</f>
        <v>50000</v>
      </c>
      <c r="W33" s="25">
        <f ca="1">RANK(V33,V$33:V$35,1)</f>
        <v>1</v>
      </c>
      <c r="X33" s="25">
        <f ca="1">IF(AND($Q$5=$Q$6,$Q$5=$Q$7,$Q$5&lt;&gt;$Q$4),W33,0)</f>
        <v>0</v>
      </c>
      <c r="Y33" s="25" t="str">
        <f ca="1">IF(AND(V33=V34,V33&lt;&gt;V35),IF(AA33&gt;AA34,3,IF(AA33=AA34,1,0)),IF(AND(V33=V35,V33&lt;&gt;V34),IF(AB33&gt;AB35,3,IF(AB33=AB35,1,0)),""))</f>
        <v/>
      </c>
      <c r="Z33" s="25" t="str">
        <f ca="1">IF(X33&gt;0,Y33,"")</f>
        <v/>
      </c>
      <c r="AA33" s="191">
        <f ca="1">$J$19</f>
        <v>0</v>
      </c>
      <c r="AB33" s="25">
        <f ca="1">$K$19</f>
        <v>0</v>
      </c>
      <c r="AC33" s="204"/>
      <c r="AD33" s="25">
        <f ca="1">IF(AND($AF$16,$AD$5=$AD$6,$AD$5=$AD$7,$AD$5&lt;&gt;$AD$4),W33,0)</f>
        <v>0</v>
      </c>
      <c r="AE33" s="25" t="str">
        <f ca="1">IF(AD33&gt;0,Y33,"")</f>
        <v/>
      </c>
    </row>
    <row r="34" spans="15:31" x14ac:dyDescent="0.25">
      <c r="O34" s="25" t="s">
        <v>33</v>
      </c>
      <c r="P34" t="str">
        <f>$P$6</f>
        <v>Rumänien</v>
      </c>
      <c r="Q34" s="25">
        <f ca="1">SUMIFS($H$4:$H$9,$B$4:$B$9,$P34,$D$4:$D$9,"&lt;&gt;"&amp;$P$36)+SUMIFS($I$4:$I$9,$B$4:$B$9,"&lt;&gt;"&amp;$P$36,$D$4:$D$9,$P34)</f>
        <v>0</v>
      </c>
      <c r="R34" s="25">
        <f ca="1">S34-T34</f>
        <v>0</v>
      </c>
      <c r="S34" s="25">
        <f ca="1">SUMIFS($E$4:$E$9,$B$4:$B$9,$P34,$D$4:$D$9,"&lt;&gt;"&amp;$P$36)+SUMIFS($G$4:$G$9,$B$4:$B$9,"&lt;&gt;"&amp;$P$36,$D$4:$D$9,$P34)</f>
        <v>0</v>
      </c>
      <c r="T34" s="25">
        <f ca="1">SUMIFS($G$4:$G$9,$B$4:$B$9,$P34,$D$4:$D$9,"&lt;&gt;"&amp;$P$36)+SUMIFS($E$4:$E$9,$B$4:$B$9,"&lt;&gt;"&amp;$P$36,$D$4:$D$9,$P34)</f>
        <v>0</v>
      </c>
      <c r="U34" s="25"/>
      <c r="V34" s="202">
        <f ca="1">Q34*FactorPts+(GDzero+R34)*FactorGD+S34*FactorFor</f>
        <v>50000</v>
      </c>
      <c r="W34" s="25">
        <f ca="1">RANK(V34,V$33:V$35,1)</f>
        <v>1</v>
      </c>
      <c r="X34" s="25">
        <f ca="1">IF(AND($Q$5=$Q$6,$Q$5=$Q$7,$Q$5&lt;&gt;$Q$4),W34,0)</f>
        <v>0</v>
      </c>
      <c r="Y34" s="25" t="str">
        <f ca="1">IF(AND(V34=V33,V34&lt;&gt;V35),IF(AA34&gt;AA33,3,IF(AA34=AA33,1,0)),IF(AND(V34=V35,V34&lt;&gt;V33),IF(AC34&gt;AC35,3,IF(AC34=AC35,1,0)),""))</f>
        <v/>
      </c>
      <c r="Z34" s="25" t="str">
        <f t="shared" ref="Z34:Z35" ca="1" si="18">IF(X34&gt;0,Y34,"")</f>
        <v/>
      </c>
      <c r="AA34" s="191">
        <f ca="1">$I$20</f>
        <v>0</v>
      </c>
      <c r="AB34" s="25"/>
      <c r="AC34" s="204">
        <f ca="1">$K$20</f>
        <v>0</v>
      </c>
      <c r="AD34" s="25">
        <f ca="1">IF(AND($AF$16,$AD$5=$AD$6,$AD$5=$AD$7,$AD$5&lt;&gt;$AD$4),W34,0)</f>
        <v>0</v>
      </c>
      <c r="AE34" s="25" t="str">
        <f t="shared" ref="AE34:AE35" ca="1" si="19">IF(AD34&gt;0,Y34,"")</f>
        <v/>
      </c>
    </row>
    <row r="35" spans="15:31" ht="15.75" thickBot="1" x14ac:dyDescent="0.3">
      <c r="O35" s="25" t="s">
        <v>34</v>
      </c>
      <c r="P35" t="str">
        <f>$P$7</f>
        <v>Ukraine</v>
      </c>
      <c r="Q35" s="25">
        <f ca="1">SUMIFS($H$4:$H$9,$B$4:$B$9,$P35,$D$4:$D$9,"&lt;&gt;"&amp;$P$36)+SUMIFS($I$4:$I$9,$B$4:$B$9,"&lt;&gt;"&amp;$P$36,$D$4:$D$9,$P35)</f>
        <v>0</v>
      </c>
      <c r="R35" s="25">
        <f ca="1">S35-T35</f>
        <v>0</v>
      </c>
      <c r="S35" s="25">
        <f ca="1">SUMIFS($E$4:$E$9,$B$4:$B$9,$P35,$D$4:$D$9,"&lt;&gt;"&amp;$P$36)+SUMIFS($G$4:$G$9,$B$4:$B$9,"&lt;&gt;"&amp;$P$36,$D$4:$D$9,$P35)</f>
        <v>0</v>
      </c>
      <c r="T35" s="25">
        <f ca="1">SUMIFS($G$4:$G$9,$B$4:$B$9,$P35,$D$4:$D$9,"&lt;&gt;"&amp;$P$36)+SUMIFS($E$4:$E$9,$B$4:$B$9,"&lt;&gt;"&amp;$P$36,$D$4:$D$9,$P35)</f>
        <v>0</v>
      </c>
      <c r="U35" s="25"/>
      <c r="V35" s="202">
        <f ca="1">Q35*FactorPts+(GDzero+R35)*FactorGD+S35*FactorFor</f>
        <v>50000</v>
      </c>
      <c r="W35" s="25">
        <f ca="1">RANK(V35,V$33:V$35,1)</f>
        <v>1</v>
      </c>
      <c r="X35" s="25">
        <f ca="1">IF(AND($Q$5=$Q$6,$Q$5=$Q$7,$Q$5&lt;&gt;$Q$4),W35,0)</f>
        <v>0</v>
      </c>
      <c r="Y35" s="25" t="str">
        <f ca="1">IF(AND(V35=V33,V35&lt;&gt;V34),IF(AB35&gt;AB33,3,IF(AB35=AB33,1,0)),IF(AND(V35=V34,V35&lt;&gt;V33),IF(AC35&gt;AC34,3,IF(AC35=AC34,1,0)),""))</f>
        <v/>
      </c>
      <c r="Z35" s="25" t="str">
        <f t="shared" ca="1" si="18"/>
        <v/>
      </c>
      <c r="AA35" s="192"/>
      <c r="AB35" s="193">
        <f ca="1">$I$21</f>
        <v>0</v>
      </c>
      <c r="AC35" s="194">
        <f ca="1">$J$21</f>
        <v>0</v>
      </c>
      <c r="AD35" s="25">
        <f ca="1">IF(AND($AF$16,$AD$5=$AD$6,$AD$5=$AD$7,$AD$5&lt;&gt;$AD$4),W35,0)</f>
        <v>0</v>
      </c>
      <c r="AE35" s="25" t="str">
        <f t="shared" ca="1" si="19"/>
        <v/>
      </c>
    </row>
    <row r="36" spans="15:31" x14ac:dyDescent="0.25">
      <c r="P36" s="28" t="str">
        <f>$P$4</f>
        <v>Belgien</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3"/>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5703125" customWidth="1"/>
  </cols>
  <sheetData>
    <row r="1" spans="1:33" ht="23.25" x14ac:dyDescent="0.35">
      <c r="A1" s="41"/>
      <c r="B1" s="40" t="str">
        <f>VLOOKUP($Q$1,References!$B$5:$D$10,2,0)</f>
        <v>Q</v>
      </c>
      <c r="D1" s="40" t="str">
        <f>VLOOKUP($Q$1,References!$B$5:$D$10,3,0)</f>
        <v>R</v>
      </c>
      <c r="P1" s="145" t="s">
        <v>209</v>
      </c>
      <c r="Q1" s="146" t="s">
        <v>29</v>
      </c>
    </row>
    <row r="2" spans="1:33" ht="8.25" customHeight="1" x14ac:dyDescent="0.25"/>
    <row r="3" spans="1:33" x14ac:dyDescent="0.25">
      <c r="B3" s="567" t="s">
        <v>195</v>
      </c>
      <c r="C3" s="567"/>
      <c r="D3" s="567"/>
      <c r="E3" s="567" t="s">
        <v>196</v>
      </c>
      <c r="F3" s="567"/>
      <c r="G3" s="567"/>
      <c r="H3" s="567" t="s">
        <v>191</v>
      </c>
      <c r="I3" s="567"/>
      <c r="J3" s="567" t="s">
        <v>1085</v>
      </c>
      <c r="K3" s="567"/>
      <c r="L3" s="567"/>
      <c r="M3" s="203" t="s">
        <v>168</v>
      </c>
      <c r="N3" s="72"/>
      <c r="O3" s="39"/>
      <c r="P3" s="38"/>
      <c r="Q3" s="203" t="s">
        <v>191</v>
      </c>
      <c r="R3" s="203" t="s">
        <v>190</v>
      </c>
      <c r="S3" s="203" t="s">
        <v>1087</v>
      </c>
      <c r="T3" s="203" t="s">
        <v>1088</v>
      </c>
      <c r="U3" s="203" t="s">
        <v>673</v>
      </c>
      <c r="V3" s="203" t="s">
        <v>192</v>
      </c>
      <c r="W3" s="203" t="s">
        <v>193</v>
      </c>
      <c r="X3" s="203" t="s">
        <v>194</v>
      </c>
      <c r="Y3" s="203" t="s">
        <v>482</v>
      </c>
      <c r="Z3" s="203" t="s">
        <v>483</v>
      </c>
      <c r="AA3" s="203" t="s">
        <v>474</v>
      </c>
      <c r="AB3" s="203" t="s">
        <v>38</v>
      </c>
      <c r="AC3" s="203" t="s">
        <v>313</v>
      </c>
      <c r="AD3" s="203" t="s">
        <v>197</v>
      </c>
      <c r="AE3" s="203" t="s">
        <v>497</v>
      </c>
      <c r="AF3" s="203" t="s">
        <v>534</v>
      </c>
    </row>
    <row r="4" spans="1:33" x14ac:dyDescent="0.25">
      <c r="B4" s="180" t="str">
        <f ca="1">INDIRECT("'"&amp;References!$A$1&amp;"'!"&amp;$B$1&amp;References!$G5)</f>
        <v>Türkei</v>
      </c>
      <c r="C4" s="181" t="s">
        <v>36</v>
      </c>
      <c r="D4" s="182" t="str">
        <f ca="1">INDIRECT("'"&amp;References!$A$1&amp;"'!"&amp;$D$1&amp;References!$G5)</f>
        <v>Georgien</v>
      </c>
      <c r="E4" s="180" t="str">
        <f ca="1">IF(OR(INDIRECT("'"&amp;References!$A$1&amp;"'!"&amp;$B$1&amp;References!$H5)="",INDIRECT("'"&amp;References!$A$1&amp;"'!"&amp;$D$1&amp;References!$H5)=""),"",INDIRECT("'"&amp;References!$A$1&amp;"'!"&amp;$B$1&amp;References!$H5))</f>
        <v/>
      </c>
      <c r="F4" s="181" t="s">
        <v>36</v>
      </c>
      <c r="G4" s="186" t="str">
        <f ca="1">IF(OR(INDIRECT("'"&amp;References!$A$1&amp;"'!"&amp;$B$1&amp;References!$H5)="",INDIRECT("'"&amp;References!$A$1&amp;"'!"&amp;$D$1&amp;References!$H5)=""),"",INDIRECT("'"&amp;References!$A$1&amp;"'!"&amp;$D$1&amp;References!$H5))</f>
        <v/>
      </c>
      <c r="H4" s="25">
        <f t="shared" ref="H4:H9" ca="1" si="0">IF($M4&gt;0,IF($E4&gt;$G4,3,IF($E4=$G4,1,0)),0)</f>
        <v>0</v>
      </c>
      <c r="I4" s="25">
        <f t="shared" ref="I4:I9" ca="1" si="1">IF($M4&gt;0,IF($E4&lt;$G4,3,IF($E4=$G4,1,0)),0)</f>
        <v>0</v>
      </c>
      <c r="L4" s="5"/>
      <c r="M4" s="25">
        <f t="shared" ref="M4:M9" ca="1" si="2">IF(AND($E4&lt;&gt;"",$G4&lt;&gt;""),1,0)</f>
        <v>0</v>
      </c>
      <c r="N4" s="25"/>
      <c r="O4" s="25" t="s">
        <v>32</v>
      </c>
      <c r="P4" s="37" t="str">
        <f>VLOOKUP($Q$1&amp;ROW($A1),Groups!$B$7:$D$35,3,0)</f>
        <v>Türkei</v>
      </c>
      <c r="Q4" s="25">
        <f ca="1">SUMIF($B$4:$B$9,P4,$H$4:$H$9)+SUMIF($D$4:$D$9,P4,$I$4:$I$9)</f>
        <v>0</v>
      </c>
      <c r="R4" s="25">
        <f ca="1">S4-T4</f>
        <v>0</v>
      </c>
      <c r="S4" s="25">
        <f ca="1">SUMIF($B$4:$B$9,$P4,$E$4:$E$9)+SUMIF($D$4:$D$9,$P4,$G$4:$G$9)</f>
        <v>0</v>
      </c>
      <c r="T4" s="25">
        <f ca="1">SUMIF($B$4:$B$9,$P4,$G$4:$G$9)+SUMIF($D$4:$D$9,$P4,$E$4:$E$9)</f>
        <v>0</v>
      </c>
      <c r="U4" s="25">
        <f ca="1">COUNTIFS($B$4:$B$9,$P4,$H$4:$H$9,"=3")+COUNTIFS($D$4:$D$9,$P4,$I$4:$I$9,"=3")</f>
        <v>0</v>
      </c>
      <c r="V4" s="353">
        <f ca="1">$Q4*FactorPts+(GDzero+$R4)*FactorGD+$S4*FactorFor+$U4*FactorWins+$W4*FactorDirC3+$X4*FactorDirC2+$Y4*FactorDirC43+$Z4*FactorDirC42+$AA4*FactorDirC42+$AB4*FactorFairPlay+$AE4*FactorPenalty+(100-$AF4)*($M$10&gt;0)*FactorRank+(8-ROW())*FactorRow</f>
        <v>50000.000000400003</v>
      </c>
      <c r="W4" s="25">
        <f ca="1">SUMIFS($X$18:$X$35,$P$18:$P$35,$P4)</f>
        <v>0</v>
      </c>
      <c r="X4" s="25">
        <f ca="1">IF($L18="",0,$L18)+SUMIFS($Z$18:$Z$35,$P$18:$P$35,$P4)</f>
        <v>0</v>
      </c>
      <c r="Y4">
        <f ca="1">SUMIFS($AD$18:$AD$35,$P$18:$P$35,$P4)</f>
        <v>0</v>
      </c>
      <c r="Z4">
        <f ca="1">SUMIFS($AE$18:$AE$35,$P$18:$P$35,$P4)</f>
        <v>0</v>
      </c>
      <c r="AA4" s="25">
        <f ca="1">IF($M18="",0,$M18)</f>
        <v>0</v>
      </c>
      <c r="AB4" s="25">
        <f>SUMIFS(FairPlayPoints1,FairPlayTeams1,$P4)+SUMIFS(FairPlayPoints2,FairPlayTeams2,$P4)</f>
        <v>0</v>
      </c>
      <c r="AC4" s="25" t="b">
        <f ca="1">(Q4+T4&gt;0)</f>
        <v>0</v>
      </c>
      <c r="AD4" s="213">
        <f ca="1">$Q4*FactorPts+(GDzero+$R4)*FactorGD+$S4*FactorFor</f>
        <v>50000</v>
      </c>
      <c r="AE4" s="25">
        <f ca="1">IF(OR(AND($Y$11&gt;0,OR(AND($B$8=$P4,$J$8&gt;$L$8),AND($D$8=$P4,$J$8&lt;$L$8))),AND($Y$12&gt;0,OR(AND($B$9=$P4,$J$9&gt;$L$9),AND($D$9=$P4,$J$9&lt;$L$9)))),1,0)</f>
        <v>0</v>
      </c>
      <c r="AF4" s="406">
        <f>INDEX(Language!$D$5:$D$63,MATCH($P4,Language!$E$5:$E$63,0),1)</f>
        <v>7</v>
      </c>
      <c r="AG4" s="25"/>
    </row>
    <row r="5" spans="1:33" x14ac:dyDescent="0.25">
      <c r="B5" s="183" t="str">
        <f ca="1">INDIRECT("'"&amp;References!$A$1&amp;"'!"&amp;$B$1&amp;References!$G6)</f>
        <v>Portugal</v>
      </c>
      <c r="C5" s="184" t="s">
        <v>36</v>
      </c>
      <c r="D5" s="185" t="str">
        <f ca="1">INDIRECT("'"&amp;References!$A$1&amp;"'!"&amp;$D$1&amp;References!$G6)</f>
        <v>Tschechien</v>
      </c>
      <c r="E5" s="183" t="str">
        <f ca="1">IF(OR(INDIRECT("'"&amp;References!$A$1&amp;"'!"&amp;$B$1&amp;References!$H6)="",INDIRECT("'"&amp;References!$A$1&amp;"'!"&amp;$D$1&amp;References!$H6)=""),"",INDIRECT("'"&amp;References!$A$1&amp;"'!"&amp;$B$1&amp;References!$H6))</f>
        <v/>
      </c>
      <c r="F5" s="184" t="s">
        <v>36</v>
      </c>
      <c r="G5" s="187" t="str">
        <f ca="1">IF(OR(INDIRECT("'"&amp;References!$A$1&amp;"'!"&amp;$B$1&amp;References!$H6)="",INDIRECT("'"&amp;References!$A$1&amp;"'!"&amp;$D$1&amp;References!$H6)=""),"",INDIRECT("'"&amp;References!$A$1&amp;"'!"&amp;$D$1&amp;References!$H6))</f>
        <v/>
      </c>
      <c r="H5" s="25">
        <f t="shared" ca="1" si="0"/>
        <v>0</v>
      </c>
      <c r="I5" s="25">
        <f t="shared" ca="1" si="1"/>
        <v>0</v>
      </c>
      <c r="L5" s="5"/>
      <c r="M5" s="25">
        <f t="shared" ca="1" si="2"/>
        <v>0</v>
      </c>
      <c r="N5" s="25"/>
      <c r="O5" s="25" t="s">
        <v>33</v>
      </c>
      <c r="P5" s="37" t="str">
        <f>VLOOKUP($Q$1&amp;ROW($A2),Groups!$B$7:$D$35,3,0)</f>
        <v>Georgien</v>
      </c>
      <c r="Q5" s="25">
        <f t="shared" ref="Q5:Q7" ca="1" si="3">SUMIF($B$4:$B$9,P5,$H$4:$H$9)+SUMIF($D$4:$D$9,P5,$I$4:$I$9)</f>
        <v>0</v>
      </c>
      <c r="R5" s="25">
        <f ca="1">S5-T5</f>
        <v>0</v>
      </c>
      <c r="S5" s="25">
        <f ca="1">SUMIF($B$4:$B$9,$P5,$E$4:$E$9)+SUMIF($D$4:$D$9,$P5,$G$4:$G$9)</f>
        <v>0</v>
      </c>
      <c r="T5" s="25">
        <f ca="1">SUMIF($B$4:$B$9,$P5,$G$4:$G$9)+SUMIF($D$4:$D$9,$P5,$E$4:$E$9)</f>
        <v>0</v>
      </c>
      <c r="U5" s="25">
        <f t="shared" ref="U5:U7" ca="1" si="4">COUNTIFS($B$4:$B$9,$P5,$H$4:$H$9,"=3")+COUNTIFS($D$4:$D$9,$P5,$I$4:$I$9,"=3")</f>
        <v>0</v>
      </c>
      <c r="V5" s="353">
        <f ca="1">$Q5*FactorPts+(GDzero+$R5)*FactorGD+$S5*FactorFor+$U5*FactorWins+$W5*FactorDirC3+$X5*FactorDirC2+$Y5*FactorDirC43+$Z5*FactorDirC42+$AA5*FactorDirC42+$AB5*FactorFairPlay+$AE5*FactorPenalty+(100-$AF5)*($M$10&gt;0)*FactorRank+(8-ROW())*FactorRow</f>
        <v>50000.000000300002</v>
      </c>
      <c r="W5" s="25">
        <f t="shared" ref="W5:W7" ca="1" si="5">SUMIFS($X$18:$X$35,$P$18:$P$35,$P5)</f>
        <v>0</v>
      </c>
      <c r="X5" s="25">
        <f ca="1">IF($L19="",0,$L19)+SUMIFS($Z$18:$Z$35,$P$18:$P$35,$P5)</f>
        <v>0</v>
      </c>
      <c r="Y5">
        <f t="shared" ref="Y5:Y7" ca="1" si="6">SUMIFS($AD$18:$AD$35,$P$18:$P$35,$P5)</f>
        <v>0</v>
      </c>
      <c r="Z5">
        <f t="shared" ref="Z5:Z7" ca="1" si="7">SUMIFS($AE$18:$AE$35,$P$18:$P$35,$P5)</f>
        <v>0</v>
      </c>
      <c r="AA5" s="25">
        <f ca="1">IF($M19="",0,$M19)</f>
        <v>0</v>
      </c>
      <c r="AB5" s="25">
        <f>SUMIFS(FairPlayPoints1,FairPlayTeams1,$P5)+SUMIFS(FairPlayPoints2,FairPlayTeams2,$P5)</f>
        <v>0</v>
      </c>
      <c r="AC5" s="25" t="b">
        <f ca="1">(Q5+T5&gt;0)</f>
        <v>0</v>
      </c>
      <c r="AD5" s="213">
        <f ca="1">$Q5*FactorPts+(GDzero+$R5)*FactorGD+$S5*FactorFor</f>
        <v>50000</v>
      </c>
      <c r="AE5" s="25">
        <f ca="1">IF(OR(AND($Y$11&gt;0,OR(AND($B$8=$P5,$J$8&gt;$L$8),AND($D$8=$P5,$J$8&lt;$L$8))),AND($Y$12&gt;0,OR(AND($B$9=$P5,$J$9&gt;$L$9),AND($D$9=$P5,$J$9&lt;$L$9)))),1,0)</f>
        <v>0</v>
      </c>
      <c r="AF5" s="406">
        <f>INDEX(Language!$D$5:$D$63,MATCH($P5,Language!$E$5:$E$63,0),1)</f>
        <v>34</v>
      </c>
    </row>
    <row r="6" spans="1:33" x14ac:dyDescent="0.25">
      <c r="B6" s="183" t="str">
        <f ca="1">INDIRECT("'"&amp;References!$A$1&amp;"'!"&amp;$B$1&amp;References!$G7)</f>
        <v>Georgien</v>
      </c>
      <c r="C6" s="184" t="s">
        <v>36</v>
      </c>
      <c r="D6" s="185" t="str">
        <f ca="1">INDIRECT("'"&amp;References!$A$1&amp;"'!"&amp;$D$1&amp;References!$G7)</f>
        <v>Tschechien</v>
      </c>
      <c r="E6" s="183" t="str">
        <f ca="1">IF(OR(INDIRECT("'"&amp;References!$A$1&amp;"'!"&amp;$B$1&amp;References!$H7)="",INDIRECT("'"&amp;References!$A$1&amp;"'!"&amp;$D$1&amp;References!$H7)=""),"",INDIRECT("'"&amp;References!$A$1&amp;"'!"&amp;$B$1&amp;References!$H7))</f>
        <v/>
      </c>
      <c r="F6" s="184" t="s">
        <v>36</v>
      </c>
      <c r="G6" s="187" t="str">
        <f ca="1">IF(OR(INDIRECT("'"&amp;References!$A$1&amp;"'!"&amp;$B$1&amp;References!$H7)="",INDIRECT("'"&amp;References!$A$1&amp;"'!"&amp;$D$1&amp;References!$H7)=""),"",INDIRECT("'"&amp;References!$A$1&amp;"'!"&amp;$D$1&amp;References!$H7))</f>
        <v/>
      </c>
      <c r="H6" s="25">
        <f t="shared" ca="1" si="0"/>
        <v>0</v>
      </c>
      <c r="I6" s="25">
        <f t="shared" ca="1" si="1"/>
        <v>0</v>
      </c>
      <c r="L6" s="5"/>
      <c r="M6" s="25">
        <f t="shared" ca="1" si="2"/>
        <v>0</v>
      </c>
      <c r="N6" s="25"/>
      <c r="O6" s="25" t="s">
        <v>34</v>
      </c>
      <c r="P6" s="37" t="str">
        <f>VLOOKUP($Q$1&amp;ROW($A3),Groups!$B$7:$D$35,3,0)</f>
        <v>Portugal</v>
      </c>
      <c r="Q6" s="25">
        <f t="shared" ca="1" si="3"/>
        <v>0</v>
      </c>
      <c r="R6" s="25">
        <f ca="1">S6-T6</f>
        <v>0</v>
      </c>
      <c r="S6" s="25">
        <f ca="1">SUMIF($B$4:$B$9,$P6,$E$4:$E$9)+SUMIF($D$4:$D$9,$P6,$G$4:$G$9)</f>
        <v>0</v>
      </c>
      <c r="T6" s="25">
        <f ca="1">SUMIF($B$4:$B$9,$P6,$G$4:$G$9)+SUMIF($D$4:$D$9,$P6,$E$4:$E$9)</f>
        <v>0</v>
      </c>
      <c r="U6" s="25">
        <f t="shared" ca="1" si="4"/>
        <v>0</v>
      </c>
      <c r="V6" s="353">
        <f ca="1">$Q6*FactorPts+(GDzero+$R6)*FactorGD+$S6*FactorFor+$U6*FactorWins+$W6*FactorDirC3+$X6*FactorDirC2+$Y6*FactorDirC43+$Z6*FactorDirC42+$AA6*FactorDirC42+$AB6*FactorFairPlay+$AE6*FactorPenalty+(100-$AF6)*($M$10&gt;0)*FactorRank+(8-ROW())*FactorRow</f>
        <v>50000.000000200002</v>
      </c>
      <c r="W6" s="25">
        <f t="shared" ca="1" si="5"/>
        <v>0</v>
      </c>
      <c r="X6" s="25">
        <f ca="1">IF($L20="",0,$L20)+SUMIFS($Z$18:$Z$35,$P$18:$P$35,$P6)</f>
        <v>0</v>
      </c>
      <c r="Y6">
        <f t="shared" ca="1" si="6"/>
        <v>0</v>
      </c>
      <c r="Z6">
        <f t="shared" ca="1" si="7"/>
        <v>0</v>
      </c>
      <c r="AA6" s="25">
        <f ca="1">IF($M20="",0,$M20)</f>
        <v>0</v>
      </c>
      <c r="AB6" s="25">
        <f>SUMIFS(FairPlayPoints1,FairPlayTeams1,$P6)+SUMIFS(FairPlayPoints2,FairPlayTeams2,$P6)</f>
        <v>0</v>
      </c>
      <c r="AC6" s="25" t="b">
        <f ca="1">(Q6+T6&gt;0)</f>
        <v>0</v>
      </c>
      <c r="AD6" s="213">
        <f ca="1">$Q6*FactorPts+(GDzero+$R6)*FactorGD+$S6*FactorFor</f>
        <v>50000</v>
      </c>
      <c r="AE6" s="25">
        <f ca="1">IF(OR(AND($Y$11&gt;0,OR(AND($B$8=$P6,$J$8&gt;$L$8),AND($D$8=$P6,$J$8&lt;$L$8))),AND($Y$12&gt;0,OR(AND($B$9=$P6,$J$9&gt;$L$9),AND($D$9=$P6,$J$9&lt;$L$9)))),1,0)</f>
        <v>0</v>
      </c>
      <c r="AF6" s="406">
        <f>INDEX(Language!$D$5:$D$63,MATCH($P6,Language!$E$5:$E$63,0),1)</f>
        <v>1</v>
      </c>
    </row>
    <row r="7" spans="1:33" x14ac:dyDescent="0.25">
      <c r="B7" s="183" t="str">
        <f ca="1">INDIRECT("'"&amp;References!$A$1&amp;"'!"&amp;$B$1&amp;References!$G8)</f>
        <v>Türkei</v>
      </c>
      <c r="C7" s="184" t="s">
        <v>36</v>
      </c>
      <c r="D7" s="185" t="str">
        <f ca="1">INDIRECT("'"&amp;References!$A$1&amp;"'!"&amp;$D$1&amp;References!$G8)</f>
        <v>Portugal</v>
      </c>
      <c r="E7" s="183" t="str">
        <f ca="1">IF(OR(INDIRECT("'"&amp;References!$A$1&amp;"'!"&amp;$B$1&amp;References!$H8)="",INDIRECT("'"&amp;References!$A$1&amp;"'!"&amp;$D$1&amp;References!$H8)=""),"",INDIRECT("'"&amp;References!$A$1&amp;"'!"&amp;$B$1&amp;References!$H8))</f>
        <v/>
      </c>
      <c r="F7" s="184" t="s">
        <v>36</v>
      </c>
      <c r="G7" s="187" t="str">
        <f ca="1">IF(OR(INDIRECT("'"&amp;References!$A$1&amp;"'!"&amp;$B$1&amp;References!$H8)="",INDIRECT("'"&amp;References!$A$1&amp;"'!"&amp;$D$1&amp;References!$H8)=""),"",INDIRECT("'"&amp;References!$A$1&amp;"'!"&amp;$D$1&amp;References!$H8))</f>
        <v/>
      </c>
      <c r="H7" s="25">
        <f t="shared" ca="1" si="0"/>
        <v>0</v>
      </c>
      <c r="I7" s="25">
        <f t="shared" ca="1" si="1"/>
        <v>0</v>
      </c>
      <c r="L7" s="5"/>
      <c r="M7" s="25">
        <f t="shared" ca="1" si="2"/>
        <v>0</v>
      </c>
      <c r="N7" s="25"/>
      <c r="O7" s="25" t="s">
        <v>35</v>
      </c>
      <c r="P7" s="37" t="str">
        <f>VLOOKUP($Q$1&amp;ROW($A4),Groups!$B$7:$D$35,3,0)</f>
        <v>Tschechien</v>
      </c>
      <c r="Q7" s="25">
        <f t="shared" ca="1" si="3"/>
        <v>0</v>
      </c>
      <c r="R7" s="25">
        <f ca="1">S7-T7</f>
        <v>0</v>
      </c>
      <c r="S7" s="25">
        <f ca="1">SUMIF($B$4:$B$9,$P7,$E$4:$E$9)+SUMIF($D$4:$D$9,$P7,$G$4:$G$9)</f>
        <v>0</v>
      </c>
      <c r="T7" s="25">
        <f ca="1">SUMIF($B$4:$B$9,$P7,$G$4:$G$9)+SUMIF($D$4:$D$9,$P7,$E$4:$E$9)</f>
        <v>0</v>
      </c>
      <c r="U7" s="25">
        <f t="shared" ca="1" si="4"/>
        <v>0</v>
      </c>
      <c r="V7" s="353">
        <f ca="1">$Q7*FactorPts+(GDzero+$R7)*FactorGD+$S7*FactorFor+$U7*FactorWins+$W7*FactorDirC3+$X7*FactorDirC2+$Y7*FactorDirC43+$Z7*FactorDirC42+$AA7*FactorDirC42+$AB7*FactorFairPlay+$AE7*FactorPenalty+(100-$AF7)*($M$10&gt;0)*FactorRank+(8-ROW())*FactorRow</f>
        <v>50000.000000100001</v>
      </c>
      <c r="W7" s="25">
        <f t="shared" ca="1" si="5"/>
        <v>0</v>
      </c>
      <c r="X7" s="25">
        <f ca="1">IF($L21="",0,$L21)+SUMIFS($Z$18:$Z$35,$P$18:$P$35,$P7)</f>
        <v>0</v>
      </c>
      <c r="Y7">
        <f t="shared" ca="1" si="6"/>
        <v>0</v>
      </c>
      <c r="Z7">
        <f t="shared" ca="1" si="7"/>
        <v>0</v>
      </c>
      <c r="AA7" s="25">
        <f ca="1">IF($M21="",0,$M21)</f>
        <v>0</v>
      </c>
      <c r="AB7" s="25">
        <f>SUMIFS(FairPlayPoints1,FairPlayTeams1,$P7)+SUMIFS(FairPlayPoints2,FairPlayTeams2,$P7)</f>
        <v>0</v>
      </c>
      <c r="AC7" s="25" t="b">
        <f ca="1">(Q7+T7&gt;0)</f>
        <v>0</v>
      </c>
      <c r="AD7" s="213">
        <f ca="1">$Q7*FactorPts+(GDzero+$R7)*FactorGD+$S7*FactorFor</f>
        <v>50000</v>
      </c>
      <c r="AE7" s="25">
        <f ca="1">IF(OR(AND($Y$11&gt;0,OR(AND($B$8=$P7,$J$8&gt;$L$8),AND($D$8=$P7,$J$8&lt;$L$8))),AND($Y$12&gt;0,OR(AND($B$9=$P7,$J$9&gt;$L$9),AND($D$9=$P7,$J$9&lt;$L$9)))),1,0)</f>
        <v>0</v>
      </c>
      <c r="AF7" s="406">
        <f>INDEX(Language!$D$5:$D$63,MATCH($P7,Language!$E$5:$E$63,0),1)</f>
        <v>17</v>
      </c>
    </row>
    <row r="8" spans="1:33" x14ac:dyDescent="0.25">
      <c r="B8" s="183" t="str">
        <f ca="1">INDIRECT("'"&amp;References!$A$1&amp;"'!"&amp;$B$1&amp;References!$G9)</f>
        <v>Georgien</v>
      </c>
      <c r="C8" s="184" t="s">
        <v>36</v>
      </c>
      <c r="D8" s="185" t="str">
        <f ca="1">INDIRECT("'"&amp;References!$A$1&amp;"'!"&amp;$D$1&amp;References!$G9)</f>
        <v>Portugal</v>
      </c>
      <c r="E8" s="183" t="str">
        <f ca="1">IF(OR(INDIRECT("'"&amp;References!$A$1&amp;"'!"&amp;$B$1&amp;References!$H9)="",INDIRECT("'"&amp;References!$A$1&amp;"'!"&amp;$D$1&amp;References!$H9)=""),"",INDIRECT("'"&amp;References!$A$1&amp;"'!"&amp;$B$1&amp;References!$H9))</f>
        <v/>
      </c>
      <c r="F8" s="184" t="s">
        <v>36</v>
      </c>
      <c r="G8" s="187" t="str">
        <f ca="1">IF(OR(INDIRECT("'"&amp;References!$A$1&amp;"'!"&amp;$B$1&amp;References!$H9)="",INDIRECT("'"&amp;References!$A$1&amp;"'!"&amp;$D$1&amp;References!$H9)=""),"",INDIRECT("'"&amp;References!$A$1&amp;"'!"&amp;$D$1&amp;References!$H9))</f>
        <v/>
      </c>
      <c r="H8" s="25">
        <f t="shared" ca="1" si="0"/>
        <v>0</v>
      </c>
      <c r="I8" s="25">
        <f t="shared" ca="1" si="1"/>
        <v>0</v>
      </c>
      <c r="J8" t="str">
        <f ca="1">IF(OR(INDIRECT("'"&amp;References!$A$1&amp;"'!"&amp;$B$1&amp;(References!$H9+2))="",INDIRECT("'"&amp;References!$A$1&amp;"'!"&amp;$D$1&amp;(References!$H9+2))=""),"",INDIRECT("'"&amp;References!$A$1&amp;"'!"&amp;$B$1&amp;(References!$H9+2)))</f>
        <v/>
      </c>
      <c r="K8" s="25" t="s">
        <v>494</v>
      </c>
      <c r="L8" s="5" t="str">
        <f ca="1">IF(OR(INDIRECT("'"&amp;References!$A$1&amp;"'!"&amp;$B$1&amp;(References!$H9+2))="",INDIRECT("'"&amp;References!$A$1&amp;"'!"&amp;$D$1&amp;(References!$H9+2))=""),"",INDIRECT("'"&amp;References!$A$1&amp;"'!"&amp;$D$1&amp;(References!$H9+2)))</f>
        <v/>
      </c>
      <c r="M8" s="25">
        <f t="shared" ca="1" si="2"/>
        <v>0</v>
      </c>
      <c r="N8" s="25"/>
      <c r="Z8" s="45"/>
    </row>
    <row r="9" spans="1:33" x14ac:dyDescent="0.25">
      <c r="B9" s="183" t="str">
        <f ca="1">INDIRECT("'"&amp;References!$A$1&amp;"'!"&amp;$B$1&amp;References!$G10)</f>
        <v>Tschechien</v>
      </c>
      <c r="C9" s="184" t="s">
        <v>36</v>
      </c>
      <c r="D9" s="185" t="str">
        <f ca="1">INDIRECT("'"&amp;References!$A$1&amp;"'!"&amp;$D$1&amp;References!$G10)</f>
        <v>Türkei</v>
      </c>
      <c r="E9" s="183" t="str">
        <f ca="1">IF(OR(INDIRECT("'"&amp;References!$A$1&amp;"'!"&amp;$B$1&amp;References!$H10)="",INDIRECT("'"&amp;References!$A$1&amp;"'!"&amp;$D$1&amp;References!$H10)=""),"",INDIRECT("'"&amp;References!$A$1&amp;"'!"&amp;$B$1&amp;References!$H10))</f>
        <v/>
      </c>
      <c r="F9" s="184" t="s">
        <v>36</v>
      </c>
      <c r="G9" s="187" t="str">
        <f ca="1">IF(OR(INDIRECT("'"&amp;References!$A$1&amp;"'!"&amp;$B$1&amp;References!$H10)="",INDIRECT("'"&amp;References!$A$1&amp;"'!"&amp;$D$1&amp;References!$H10)=""),"",INDIRECT("'"&amp;References!$A$1&amp;"'!"&amp;$D$1&amp;References!$H10))</f>
        <v/>
      </c>
      <c r="H9" s="25">
        <f t="shared" ca="1" si="0"/>
        <v>0</v>
      </c>
      <c r="I9" s="25">
        <f t="shared" ca="1" si="1"/>
        <v>0</v>
      </c>
      <c r="J9" t="str">
        <f ca="1">IF(OR(INDIRECT("'"&amp;References!$A$1&amp;"'!"&amp;$B$1&amp;(References!$H10+2))="",INDIRECT("'"&amp;References!$A$1&amp;"'!"&amp;$D$1&amp;(References!$H10+2))=""),"",INDIRECT("'"&amp;References!$A$1&amp;"'!"&amp;$B$1&amp;(References!$H10+2)))</f>
        <v/>
      </c>
      <c r="K9" s="25" t="s">
        <v>494</v>
      </c>
      <c r="L9" s="5" t="str">
        <f ca="1">IF(OR(INDIRECT("'"&amp;References!$A$1&amp;"'!"&amp;$B$1&amp;(References!$H10+2))="",INDIRECT("'"&amp;References!$A$1&amp;"'!"&amp;$D$1&amp;(References!$H10+2))=""),"",INDIRECT("'"&amp;References!$A$1&amp;"'!"&amp;$D$1&amp;(References!$H10+2)))</f>
        <v/>
      </c>
      <c r="M9" s="25">
        <f t="shared" ca="1" si="2"/>
        <v>0</v>
      </c>
      <c r="N9" s="25"/>
      <c r="Z9" s="573" t="s">
        <v>480</v>
      </c>
      <c r="AA9" s="573"/>
      <c r="AB9" s="573"/>
      <c r="AC9" s="573"/>
      <c r="AD9" s="573"/>
      <c r="AE9" s="573"/>
    </row>
    <row r="10" spans="1:33" ht="15.75" thickBot="1" x14ac:dyDescent="0.3">
      <c r="L10" s="49" t="s">
        <v>189</v>
      </c>
      <c r="M10" s="51">
        <f ca="1">SUM($M$4:$M$9)</f>
        <v>0</v>
      </c>
      <c r="N10" s="25"/>
      <c r="P10" s="143" t="s">
        <v>322</v>
      </c>
      <c r="Q10" s="46" t="s">
        <v>191</v>
      </c>
      <c r="R10" s="46" t="s">
        <v>190</v>
      </c>
      <c r="S10" s="46" t="s">
        <v>1087</v>
      </c>
      <c r="T10" s="46" t="s">
        <v>1088</v>
      </c>
      <c r="U10" s="46" t="s">
        <v>680</v>
      </c>
      <c r="V10" s="46" t="s">
        <v>192</v>
      </c>
      <c r="X10" s="67" t="s">
        <v>1091</v>
      </c>
      <c r="Y10" s="46" t="s">
        <v>697</v>
      </c>
      <c r="Z10" s="46" t="s">
        <v>475</v>
      </c>
      <c r="AA10" s="46" t="s">
        <v>476</v>
      </c>
      <c r="AB10" s="46" t="s">
        <v>477</v>
      </c>
      <c r="AC10" s="46" t="s">
        <v>478</v>
      </c>
      <c r="AD10" s="46" t="s">
        <v>479</v>
      </c>
      <c r="AE10" s="46" t="s">
        <v>497</v>
      </c>
    </row>
    <row r="11" spans="1:33" ht="16.5" thickTop="1" thickBot="1" x14ac:dyDescent="0.3">
      <c r="B11" s="72"/>
      <c r="C11" s="25"/>
      <c r="D11" s="72"/>
      <c r="O11" s="35" t="s">
        <v>32</v>
      </c>
      <c r="P11" s="34" t="str">
        <f t="shared" ref="P11:U14" ca="1" si="8">INDEX(P$4:P$7,MATCH($V11,$V$4:$V$7,0))</f>
        <v>Türkei</v>
      </c>
      <c r="Q11" s="177">
        <f t="shared" ca="1" si="8"/>
        <v>0</v>
      </c>
      <c r="R11" s="33">
        <f t="shared" ca="1" si="8"/>
        <v>0</v>
      </c>
      <c r="S11" s="33">
        <f t="shared" ca="1" si="8"/>
        <v>0</v>
      </c>
      <c r="T11" s="33">
        <f t="shared" ca="1" si="8"/>
        <v>0</v>
      </c>
      <c r="U11" s="33">
        <f t="shared" ca="1" si="8"/>
        <v>0</v>
      </c>
      <c r="V11" s="354">
        <f ca="1">LARGE($V$4:$V$7,ROW(A1))</f>
        <v>50000.000000400003</v>
      </c>
      <c r="X11" s="68">
        <f ca="1">IF(AND(OR(TRUNC($V$11,4)=TRUNC($V$12,4),TRUNC($V$11,4)=TRUNC($V$13,4),TRUNC($V$11,4)=TRUNC($V$14,4),TRUNC($V$12,4)=TRUNC($V$13,4),TRUNC($V$12,4)=TRUNC($V$14,4),TRUNC($V$13,4)=TRUNC($V$14,4)),$M$10&gt;0),1,0)</f>
        <v>0</v>
      </c>
      <c r="Y11" s="25">
        <f ca="1">IF(AND(VLOOKUP($B$8,$P$4:$AD$7,15,0)=VLOOKUP($D$8,$P$4:$AD$7,15,0),$E$8=$G$8,COUNTIF($Q$4:$Q$7,VLOOKUP($B$8,$P$4:$Q$7,2,0))=2,$M$10=6),1,0)</f>
        <v>0</v>
      </c>
      <c r="Z11" s="205" t="b">
        <f ca="1">VLOOKUP($P11,$E$18:$M$21,8,0)&lt;&gt;""</f>
        <v>0</v>
      </c>
      <c r="AA11" s="206" t="b">
        <f ca="1">VLOOKUP($P11,$E$18:$M$21,9,0)&lt;&gt;""</f>
        <v>0</v>
      </c>
      <c r="AB11" s="207" t="b">
        <f ca="1">SUMPRODUCT(1*(LEN($Z$18:$Z$35)&gt;0)*($P$18:$P$35=$P11))&gt;0</f>
        <v>0</v>
      </c>
      <c r="AC11" s="207" t="b">
        <f ca="1">SUMPRODUCT(1*(LEN($AE$18:$AE$35)&gt;0)*($P$18:$P$35=$P11))&gt;0</f>
        <v>0</v>
      </c>
      <c r="AD11" s="339" t="str">
        <f ca="1">IF($Z11,VLOOKUP($P11,$E$18:$M$21,8,0),IF($AA11,VLOOKUP($P11,$E$18:$M$21,9,0),IF($AB11,SUMIFS($Z$18:$Z$35,$P$18:$P$35,$P11),IF($AC11,SUMIFS($AE$18:$AE$35,$P$18:$P$35,$P11),""))))</f>
        <v/>
      </c>
      <c r="AE11" s="341" t="str">
        <f ca="1">IF(OR(AND($Y$11&gt;0,OR($B$8=$P11,$D$8=$P11)),AND($Y$12&gt;0,OR($B$9=$P11,$D$9=$P11))),SUMIF($B$8:$B$9,$P11,$J$8:$J$9)+SUMIF($D$8:$D$9,$P11,$L$8:$L$9),"")</f>
        <v/>
      </c>
    </row>
    <row r="12" spans="1:33" ht="15.75" thickTop="1" x14ac:dyDescent="0.25">
      <c r="B12" s="25"/>
      <c r="C12" s="25"/>
      <c r="D12" s="25"/>
      <c r="O12" s="32" t="s">
        <v>33</v>
      </c>
      <c r="P12" t="str">
        <f t="shared" ca="1" si="8"/>
        <v>Georgien</v>
      </c>
      <c r="Q12" s="99">
        <f t="shared" ca="1" si="8"/>
        <v>0</v>
      </c>
      <c r="R12" s="25">
        <f t="shared" ca="1" si="8"/>
        <v>0</v>
      </c>
      <c r="S12" s="25">
        <f t="shared" ca="1" si="8"/>
        <v>0</v>
      </c>
      <c r="T12" s="25">
        <f t="shared" ca="1" si="8"/>
        <v>0</v>
      </c>
      <c r="U12" s="25">
        <f t="shared" ca="1" si="8"/>
        <v>0</v>
      </c>
      <c r="V12" s="355">
        <f ca="1">LARGE($V$4:$V$7,ROW(A2))</f>
        <v>50000.000000300002</v>
      </c>
      <c r="Y12" s="25">
        <f ca="1">IF(AND(VLOOKUP($B$9,$P$4:$AD$7,15,0)=VLOOKUP($D$9,$P$4:$AD$7,15,0),$E$9=$G$9,COUNTIF($Q$4:$Q$7,VLOOKUP($B$9,$P$4:$Q$7,2,0))=2,$M$10=6),1,0)</f>
        <v>0</v>
      </c>
      <c r="Z12" s="208" t="b">
        <f ca="1">VLOOKUP($P12,$E$18:$M$21,8,0)&lt;&gt;""</f>
        <v>0</v>
      </c>
      <c r="AA12" s="25" t="b">
        <f ca="1">VLOOKUP($P12,$E$18:$M$21,9,0)&lt;&gt;""</f>
        <v>0</v>
      </c>
      <c r="AB12" t="b">
        <f t="shared" ref="AB12:AB14" ca="1" si="9">SUMPRODUCT(1*(LEN($Z$18:$Z$35)&gt;0)*($P$18:$P$35=$P12))&gt;0</f>
        <v>0</v>
      </c>
      <c r="AC12" t="b">
        <f t="shared" ref="AC12:AC14" ca="1" si="10">SUMPRODUCT(1*(LEN($AE$18:$AE$35)&gt;0)*($P$18:$P$35=$P12))&gt;0</f>
        <v>0</v>
      </c>
      <c r="AD12" s="104" t="str">
        <f ca="1">IF($Z12,VLOOKUP($P12,$E$18:$M$21,8,0),IF($AA12,VLOOKUP($P12,$E$18:$M$21,9,0),IF($AB12,SUMIFS($Z$18:$Z$35,$P$18:$P$35,$P12),IF($AC12,SUMIFS($AE$18:$AE$35,$P$18:$P$35,$P12),""))))</f>
        <v/>
      </c>
      <c r="AE12" s="342" t="str">
        <f ca="1">IF(OR(AND($Y$11&gt;0,OR($B$8=$P12,$D$8=$P12)),AND($Y$12&gt;0,OR($B$9=$P12,$D$9=$P12))),SUMIF($B$8:$B$9,$P12,$J$8:$J$9)+SUMIF($D$8:$D$9,$P12,$L$8:$L$9),"")</f>
        <v/>
      </c>
    </row>
    <row r="13" spans="1:33" x14ac:dyDescent="0.25">
      <c r="B13" s="25"/>
      <c r="C13" s="25"/>
      <c r="D13" s="50"/>
      <c r="O13" s="32" t="s">
        <v>34</v>
      </c>
      <c r="P13" t="str">
        <f t="shared" ref="P13:U14" ca="1" si="11">INDEX(P$4:P$7,MATCH($V13,$V$4:$V$7,0))</f>
        <v>Portugal</v>
      </c>
      <c r="Q13" s="99">
        <f t="shared" ca="1" si="11"/>
        <v>0</v>
      </c>
      <c r="R13" s="25">
        <f t="shared" ca="1" si="11"/>
        <v>0</v>
      </c>
      <c r="S13" s="25">
        <f t="shared" ca="1" si="8"/>
        <v>0</v>
      </c>
      <c r="T13" s="25">
        <f t="shared" ca="1" si="8"/>
        <v>0</v>
      </c>
      <c r="U13" s="25">
        <f t="shared" ca="1" si="11"/>
        <v>0</v>
      </c>
      <c r="V13" s="355">
        <f ca="1">LARGE($V$4:$V$7,ROW(A3))</f>
        <v>50000.000000200002</v>
      </c>
      <c r="Z13" s="208" t="b">
        <f ca="1">VLOOKUP($P13,$E$18:$M$21,8,0)&lt;&gt;""</f>
        <v>0</v>
      </c>
      <c r="AA13" s="25" t="b">
        <f ca="1">VLOOKUP($P13,$E$18:$M$21,9,0)&lt;&gt;""</f>
        <v>0</v>
      </c>
      <c r="AB13" t="b">
        <f t="shared" ca="1" si="9"/>
        <v>0</v>
      </c>
      <c r="AC13" t="b">
        <f t="shared" ca="1" si="10"/>
        <v>0</v>
      </c>
      <c r="AD13" s="104" t="str">
        <f ca="1">IF($Z13,VLOOKUP($P13,$E$18:$M$21,8,0),IF($AA13,VLOOKUP($P13,$E$18:$M$21,9,0),IF($AB13,SUMIFS($Z$18:$Z$35,$P$18:$P$35,$P13),IF($AC13,SUMIFS($AE$18:$AE$35,$P$18:$P$35,$P13),""))))</f>
        <v/>
      </c>
      <c r="AE13" s="342" t="str">
        <f ca="1">IF(OR(AND($Y$11&gt;0,OR($B$8=$P13,$D$8=$P13)),AND($Y$12&gt;0,OR($B$9=$P13,$D$9=$P13))),SUMIF($B$8:$B$9,$P13,$J$8:$J$9)+SUMIF($D$8:$D$9,$P13,$L$8:$L$9),"")</f>
        <v/>
      </c>
    </row>
    <row r="14" spans="1:33" ht="15.75" thickBot="1" x14ac:dyDescent="0.3">
      <c r="B14" s="25"/>
      <c r="C14" s="25"/>
      <c r="D14" s="50"/>
      <c r="F14" s="25"/>
      <c r="G14" s="5"/>
      <c r="O14" s="31" t="s">
        <v>35</v>
      </c>
      <c r="P14" s="30" t="str">
        <f t="shared" ca="1" si="11"/>
        <v>Tschechien</v>
      </c>
      <c r="Q14" s="178">
        <f t="shared" ca="1" si="11"/>
        <v>0</v>
      </c>
      <c r="R14" s="29">
        <f t="shared" ca="1" si="11"/>
        <v>0</v>
      </c>
      <c r="S14" s="29">
        <f t="shared" ca="1" si="8"/>
        <v>0</v>
      </c>
      <c r="T14" s="29">
        <f t="shared" ca="1" si="8"/>
        <v>0</v>
      </c>
      <c r="U14" s="29">
        <f t="shared" ca="1" si="11"/>
        <v>0</v>
      </c>
      <c r="V14" s="356">
        <f ca="1">LARGE($V$4:$V$7,ROW(A4))</f>
        <v>50000.000000100001</v>
      </c>
      <c r="Z14" s="209" t="b">
        <f ca="1">VLOOKUP($P14,$E$18:$M$21,8,0)&lt;&gt;""</f>
        <v>0</v>
      </c>
      <c r="AA14" s="210" t="b">
        <f ca="1">VLOOKUP($P14,$E$18:$M$21,9,0)&lt;&gt;""</f>
        <v>0</v>
      </c>
      <c r="AB14" s="211" t="b">
        <f t="shared" ca="1" si="9"/>
        <v>0</v>
      </c>
      <c r="AC14" s="211" t="b">
        <f t="shared" ca="1" si="10"/>
        <v>0</v>
      </c>
      <c r="AD14" s="340" t="str">
        <f ca="1">IF($Z14,VLOOKUP($P14,$E$18:$M$21,8,0),IF($AA14,VLOOKUP($P14,$E$18:$M$21,9,0),IF($AB14,SUMIFS($Z$18:$Z$35,$P$18:$P$35,$P14),IF($AC14,SUMIFS($AE$18:$AE$35,$P$18:$P$35,$P14),""))))</f>
        <v/>
      </c>
      <c r="AE14" s="343" t="str">
        <f ca="1">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572" t="s">
        <v>464</v>
      </c>
      <c r="H16" s="572"/>
      <c r="I16" s="572"/>
      <c r="J16" s="572"/>
      <c r="K16" s="572"/>
      <c r="L16" s="572"/>
      <c r="M16" s="55"/>
      <c r="N16" s="55"/>
      <c r="W16" s="563" t="s">
        <v>465</v>
      </c>
      <c r="X16" s="563"/>
      <c r="Y16" s="563"/>
      <c r="Z16" s="563"/>
      <c r="AD16" s="563" t="s">
        <v>466</v>
      </c>
      <c r="AE16" s="563"/>
      <c r="AF16" s="212" t="b">
        <f ca="1">AND($Q$4=$Q$5,$Q$4=$Q$6,$Q$4=$Q$7)</f>
        <v>1</v>
      </c>
    </row>
    <row r="17" spans="2:31" ht="16.5" thickTop="1" thickBot="1" x14ac:dyDescent="0.3">
      <c r="B17" s="25"/>
      <c r="C17" s="25"/>
      <c r="D17" s="25"/>
      <c r="G17" s="338"/>
      <c r="H17" s="33" t="str">
        <f>LEFT($P$4,3)</f>
        <v>Tür</v>
      </c>
      <c r="I17" s="33" t="str">
        <f>LEFT($P$5,3)</f>
        <v>Geo</v>
      </c>
      <c r="J17" s="33" t="str">
        <f>LEFT($P$6,3)</f>
        <v>Por</v>
      </c>
      <c r="K17" s="101" t="str">
        <f>LEFT($P$7,3)</f>
        <v>Tsc</v>
      </c>
      <c r="L17" s="46" t="s">
        <v>463</v>
      </c>
      <c r="M17" s="46" t="s">
        <v>472</v>
      </c>
      <c r="N17" s="46"/>
      <c r="Q17" s="46" t="s">
        <v>191</v>
      </c>
      <c r="R17" s="46" t="s">
        <v>190</v>
      </c>
      <c r="S17" s="46" t="s">
        <v>1087</v>
      </c>
      <c r="T17" s="46" t="s">
        <v>1088</v>
      </c>
      <c r="U17" s="46"/>
      <c r="V17" s="46" t="s">
        <v>197</v>
      </c>
      <c r="W17" s="46" t="s">
        <v>674</v>
      </c>
      <c r="X17" s="55" t="s">
        <v>467</v>
      </c>
      <c r="Y17" s="46" t="s">
        <v>471</v>
      </c>
      <c r="Z17" s="46" t="s">
        <v>471</v>
      </c>
      <c r="AA17" s="564" t="s">
        <v>462</v>
      </c>
      <c r="AB17" s="564"/>
      <c r="AC17" s="564"/>
      <c r="AD17" s="55" t="s">
        <v>469</v>
      </c>
      <c r="AE17" s="46" t="s">
        <v>470</v>
      </c>
    </row>
    <row r="18" spans="2:31" ht="15.75" thickTop="1" x14ac:dyDescent="0.25">
      <c r="B18" s="25"/>
      <c r="C18" s="25"/>
      <c r="D18" s="25"/>
      <c r="E18" s="568" t="str">
        <f>$P$4</f>
        <v>Türkei</v>
      </c>
      <c r="F18" s="569"/>
      <c r="G18" s="569"/>
      <c r="H18" s="100"/>
      <c r="I18" s="33">
        <f ca="1">SUMIFS($E$4:$E$9,$B$4:$B$9,$P$4,$D$4:$D$9,$P$5)+SUMIFS($G$4:$G$9,$B$4:$B$9,$P$5,$D$4:$D$9,$P$4)</f>
        <v>0</v>
      </c>
      <c r="J18" s="33">
        <f ca="1">SUMIFS($E$4:$E$9,$B$4:$B$9,$P$4,$D$4:$D$9,$P$6)+SUMIFS($G$4:$G$9,$B$4:$B$9,$P$6,$D$4:$D$9,$P$4)</f>
        <v>0</v>
      </c>
      <c r="K18" s="101">
        <f ca="1">SUMIFS($E$4:$E$9,$B$4:$B$9,$P$4,$D$4:$D$9,$P$7)+SUMIFS($G$4:$G$9,$B$4:$B$9,$P$7,$D$4:$D$9,$P$4)</f>
        <v>0</v>
      </c>
      <c r="L18" s="64" t="str">
        <f ca="1">IF(AND($Q$4=$Q$5,$Q$4&lt;&gt;$Q$6,$Q$4&lt;&gt;$Q$7),IF(I18&gt;H19,3,IF(I18=H19,1,0)),IF(AND($Q$4=$Q$6,$Q$4&lt;&gt;$Q$5,$Q$4&lt;&gt;$Q$7),IF(J18&gt;H20,3,IF(J18=H20,1,0)),IF(AND($Q$4=$Q$7,$Q$4&lt;&gt;$Q$5,$Q$4&lt;&gt;$Q$6),IF(K18&gt;H21,3,IF(K18=H21,1,0)),"")))</f>
        <v/>
      </c>
      <c r="M18" s="64" t="str">
        <f ca="1">IF($AF$16,IF(AND($AD$4=$AD$5,$AD$4&lt;&gt;$AD$6,$AD$4&lt;&gt;$AD$7),IF(I18&gt;H19,3,IF(I18=H19,1,0)),IF(AND($AD$4&lt;&gt;$AD$5,$AD$4=$AD$6,$AD$4&lt;&gt;$AD$7),IF(J18&gt;H20,3,IF(J18=H20,1,0)),IF(AND($AD$4&lt;&gt;$AD$5,$AD$4&lt;&gt;$AD$6,$AD$4=$AD$7),IF(K18&gt;H21,3,IF(K18=H21,1,0)),""))),"")</f>
        <v/>
      </c>
      <c r="N18" s="25"/>
      <c r="O18" s="25" t="s">
        <v>32</v>
      </c>
      <c r="P18" t="str">
        <f>$P$4</f>
        <v>Türkei</v>
      </c>
      <c r="Q18" s="25">
        <f ca="1">SUMIFS($H$4:$H$9,$B$4:$B$9,$P18,$D$4:$D$9,"&lt;&gt;"&amp;$P$21)+SUMIFS($I$4:$I$9,$B$4:$B$9,"&lt;&gt;"&amp;$P$21,$D$4:$D$9,$P18)</f>
        <v>0</v>
      </c>
      <c r="R18" s="25">
        <f ca="1">S18-T18</f>
        <v>0</v>
      </c>
      <c r="S18" s="25">
        <f ca="1">SUMIFS($E$4:$E$9,$B$4:$B$9,$P18,$D$4:$D$9,"&lt;&gt;"&amp;$P$21)+SUMIFS($G$4:$G$9,$B$4:$B$9,"&lt;&gt;"&amp;$P$21,$D$4:$D$9,$P18)</f>
        <v>0</v>
      </c>
      <c r="T18" s="25">
        <f ca="1">SUMIFS($G$4:$G$9,$B$4:$B$9,$P18,$D$4:$D$9,"&lt;&gt;"&amp;$P$21)+SUMIFS($E$4:$E$9,$B$4:$B$9,"&lt;&gt;"&amp;$P$21,$D$4:$D$9,$P18)</f>
        <v>0</v>
      </c>
      <c r="U18" s="25"/>
      <c r="V18" s="202">
        <f ca="1">Q18*FactorPts+(GDzero+R18)*FactorGD+S18*FactorFor</f>
        <v>50000</v>
      </c>
      <c r="W18" s="25">
        <f ca="1">RANK(V18,V$18:V$20,1)</f>
        <v>1</v>
      </c>
      <c r="X18" s="25">
        <f ca="1">IF(AND($Q$4=$Q$5,$Q$4=$Q$6,$Q$4&lt;&gt;$Q$7),W18,0)</f>
        <v>0</v>
      </c>
      <c r="Y18" s="25" t="str">
        <f ca="1">IF(AND(V18=V19,V18&lt;&gt;V20),IF(AA18&gt;AA19,3,IF(AA18=AA19,1,0)),IF(AND(V18=V20,V18&lt;&gt;V19),IF(AB18&gt;AB20,3,IF(AB18=AB20,1,0)),""))</f>
        <v/>
      </c>
      <c r="Z18" s="25" t="str">
        <f ca="1">IF(X18&gt;0,Y18,"")</f>
        <v/>
      </c>
      <c r="AA18" s="188">
        <f ca="1">$I$18</f>
        <v>0</v>
      </c>
      <c r="AB18" s="189">
        <f ca="1">$J$18</f>
        <v>0</v>
      </c>
      <c r="AC18" s="190"/>
      <c r="AD18" s="25">
        <f ca="1">IF(AND($AF$16,$AD$4=$AD$5,$AD$4=$AD$6,$AD$4&lt;&gt;$AD$7),W18,0)</f>
        <v>0</v>
      </c>
      <c r="AE18" s="25" t="str">
        <f ca="1">IF(AD18&gt;0,Y18,"")</f>
        <v/>
      </c>
    </row>
    <row r="19" spans="2:31" x14ac:dyDescent="0.25">
      <c r="B19" s="25"/>
      <c r="C19" s="25"/>
      <c r="D19" s="25"/>
      <c r="E19" s="570" t="str">
        <f>$P$5</f>
        <v>Georgien</v>
      </c>
      <c r="F19" s="571"/>
      <c r="G19" s="571"/>
      <c r="H19" s="32">
        <f ca="1">SUMIFS($E$4:$E$9,$B$4:$B$9,$P$5,$D$4:$D$9,$P$4)+SUMIFS($G$4:$G$9,$B$4:$B$9,$P$4,$D$4:$D$9,$P$5)</f>
        <v>0</v>
      </c>
      <c r="I19" s="69"/>
      <c r="J19" s="25">
        <f ca="1">SUMIFS($E$4:$E$9,$B$4:$B$9,$P$5,$D$4:$D$9,$P$6)+SUMIFS($G$4:$G$9,$B$4:$B$9,$P$6,$D$4:$D$9,$P$5)</f>
        <v>0</v>
      </c>
      <c r="K19" s="47">
        <f ca="1">SUMIFS($E$4:$E$9,$B$4:$B$9,$P$5,$D$4:$D$9,$P$7)+SUMIFS($G$4:$G$9,$B$4:$B$9,$P$7,$D$4:$D$9,$P$5)</f>
        <v>0</v>
      </c>
      <c r="L19" s="65" t="str">
        <f ca="1">IF(AND($Q$5=$Q$4,$Q$5&lt;&gt;$Q$6,$Q$5&lt;&gt;$Q$7),IF(H19&gt;I18,3,IF(H19=I18,1,0)),IF(AND($Q$5=$Q$6,$Q$5&lt;&gt;$Q$4,$Q$5&lt;&gt;$Q$7),IF(J19&gt;I20,3,IF(J19=I20,1,0)),IF(AND($Q$5=$Q$7,$Q$5&lt;&gt;$Q$4,$Q$5&lt;&gt;$Q$6),IF(K19&gt;I21,3,IF(K19=I21,1,0)),"")))</f>
        <v/>
      </c>
      <c r="M19" s="65" t="str">
        <f ca="1">IF($AF$16,IF(AND($AD$5=$AD$4,$AD$5&lt;&gt;$AD$6,$AD$5&lt;&gt;$AD$7),IF(H19&gt;I18,3,IF(H19=I18,1,0)),IF(AND($AD$5&lt;&gt;$AD$4,$AD$5=$AD$6,$AD$5&lt;&gt;$AD$7),IF(J19&gt;I20,3,IF(J19=I20,1,0)),IF(AND($AD$5&lt;&gt;$AD$4,$AD$5&lt;&gt;$AD$6,$AD$5=$AD$7),IF(K19&gt;I21,3,IF(K19=I21,1,0)),""))),"")</f>
        <v/>
      </c>
      <c r="N19" s="25"/>
      <c r="O19" s="25" t="s">
        <v>33</v>
      </c>
      <c r="P19" t="str">
        <f>$P$5</f>
        <v>Georgien</v>
      </c>
      <c r="Q19" s="25">
        <f ca="1">SUMIFS($H$4:$H$9,$B$4:$B$9,$P19,$D$4:$D$9,"&lt;&gt;"&amp;$P$21)+SUMIFS($I$4:$I$9,$B$4:$B$9,"&lt;&gt;"&amp;$P$21,$D$4:$D$9,$P19)</f>
        <v>0</v>
      </c>
      <c r="R19" s="25">
        <f ca="1">S19-T19</f>
        <v>0</v>
      </c>
      <c r="S19" s="25">
        <f ca="1">SUMIFS($E$4:$E$9,$B$4:$B$9,$P19,$D$4:$D$9,"&lt;&gt;"&amp;$P$21)+SUMIFS($G$4:$G$9,$B$4:$B$9,"&lt;&gt;"&amp;$P$21,$D$4:$D$9,$P19)</f>
        <v>0</v>
      </c>
      <c r="T19" s="25">
        <f ca="1">SUMIFS($G$4:$G$9,$B$4:$B$9,$P19,$D$4:$D$9,"&lt;&gt;"&amp;$P$21)+SUMIFS($E$4:$E$9,$B$4:$B$9,"&lt;&gt;"&amp;$P$21,$D$4:$D$9,$P19)</f>
        <v>0</v>
      </c>
      <c r="U19" s="25"/>
      <c r="V19" s="202">
        <f ca="1">Q19*FactorPts+(GDzero+R19)*FactorGD+S19*FactorFor</f>
        <v>50000</v>
      </c>
      <c r="W19" s="25">
        <f ca="1">RANK(V19,V$18:V$20,1)</f>
        <v>1</v>
      </c>
      <c r="X19" s="25">
        <f ca="1">IF(AND($Q$4=$Q$5,$Q$4=$Q$6,$Q$4&lt;&gt;$Q$7),W19,0)</f>
        <v>0</v>
      </c>
      <c r="Y19" s="25" t="str">
        <f ca="1">IF(AND(V19=V18,V19&lt;&gt;V20),IF(AA19&gt;AA18,3,IF(AA19=AA18,1,0)),IF(AND(V19=V20,V19&lt;&gt;V18),IF(AC19&gt;AC20,3,IF(AC19=AC20,1,0)),""))</f>
        <v/>
      </c>
      <c r="Z19" s="25" t="str">
        <f t="shared" ref="Z19:Z20" ca="1" si="12">IF(X19&gt;0,Y19,"")</f>
        <v/>
      </c>
      <c r="AA19" s="191">
        <f ca="1">$H$19</f>
        <v>0</v>
      </c>
      <c r="AB19" s="25"/>
      <c r="AC19" s="204">
        <f ca="1">$J$19</f>
        <v>0</v>
      </c>
      <c r="AD19" s="25">
        <f ca="1">IF(AND($AF$16,$AD$4=$AD$5,$AD$4=$AD$6,$AD$4&lt;&gt;$AD$7),W19,0)</f>
        <v>0</v>
      </c>
      <c r="AE19" s="25" t="str">
        <f t="shared" ref="AE19:AE20" ca="1" si="13">IF(AD19&gt;0,Y19,"")</f>
        <v/>
      </c>
    </row>
    <row r="20" spans="2:31" x14ac:dyDescent="0.25">
      <c r="E20" s="570" t="str">
        <f>$P$6</f>
        <v>Portugal</v>
      </c>
      <c r="F20" s="571"/>
      <c r="G20" s="571"/>
      <c r="H20" s="32">
        <f ca="1">SUMIFS($E$4:$E$9,$B$4:$B$9,$P$6,$D$4:$D$9,$P$4)+SUMIFS($G$4:$G$9,$B$4:$B$9,$P$4,$D$4:$D$9,$P$6)</f>
        <v>0</v>
      </c>
      <c r="I20" s="25">
        <f ca="1">SUMIFS($E$4:$E$9,$B$4:$B$9,$P$6,$D$4:$D$9,$P$5)+SUMIFS($G$4:$G$9,$B$4:$B$9,$P$5,$D$4:$D$9,$P$6)</f>
        <v>0</v>
      </c>
      <c r="J20" s="69"/>
      <c r="K20" s="47">
        <f ca="1">SUMIFS($E$4:$E$9,$B$4:$B$9,$P$6,$D$4:$D$9,$P$7)+SUMIFS($G$4:$G$9,$B$4:$B$9,$P$7,$D$4:$D$9,$P$6)</f>
        <v>0</v>
      </c>
      <c r="L20" s="65" t="str">
        <f ca="1">IF(AND($Q$6=$Q$4,$Q$6&lt;&gt;$Q$5,$Q$6&lt;&gt;$Q$7),IF(H20&gt;J18,3,IF(H20=J18,1,0)),IF(AND($Q$6=$Q$5,$Q$6&lt;&gt;$Q$4,$Q$6&lt;&gt;$Q$7),IF(I20&gt;J19,3,IF(I20=J19,1,0)),IF(AND($Q$6=$Q$7,$Q$6&lt;&gt;$Q$4,$Q$6&lt;&gt;$Q$5),IF(K20&gt;J21,3,IF(K20=J21,1,0)),"")))</f>
        <v/>
      </c>
      <c r="M20" s="65" t="str">
        <f ca="1">IF($AF$16,IF(AND($AD$6=$AD$4,$AD$6&lt;&gt;$AD$5,$AD$6&lt;&gt;$AD$7),IF(H20&gt;J18,3,IF(H20=J18,1,0)),IF(AND($AD$6&lt;&gt;$AD$4,$AD$6=$AD$5,$AD$6&lt;&gt;$AD$7),IF(I20&gt;J19,3,IF(I20=J19,1,0)),IF(AND($AD$6&lt;&gt;$AD$4,$AD$6&lt;&gt;$AD$5,$AD$6=$AD$7),IF(K20&gt;J21,3,IF(K20=J21,1,0)),""))),"")</f>
        <v/>
      </c>
      <c r="N20" s="25"/>
      <c r="O20" s="25" t="s">
        <v>34</v>
      </c>
      <c r="P20" t="str">
        <f>$P$6</f>
        <v>Portugal</v>
      </c>
      <c r="Q20" s="25">
        <f ca="1">SUMIFS($H$4:$H$9,$B$4:$B$9,$P20,$D$4:$D$9,"&lt;&gt;"&amp;$P$21)+SUMIFS($I$4:$I$9,$B$4:$B$9,"&lt;&gt;"&amp;$P$21,$D$4:$D$9,$P20)</f>
        <v>0</v>
      </c>
      <c r="R20" s="25">
        <f ca="1">S20-T20</f>
        <v>0</v>
      </c>
      <c r="S20" s="25">
        <f ca="1">SUMIFS($E$4:$E$9,$B$4:$B$9,$P20,$D$4:$D$9,"&lt;&gt;"&amp;$P$21)+SUMIFS($G$4:$G$9,$B$4:$B$9,"&lt;&gt;"&amp;$P$21,$D$4:$D$9,$P20)</f>
        <v>0</v>
      </c>
      <c r="T20" s="25">
        <f ca="1">SUMIFS($G$4:$G$9,$B$4:$B$9,$P20,$D$4:$D$9,"&lt;&gt;"&amp;$P$21)+SUMIFS($E$4:$E$9,$B$4:$B$9,"&lt;&gt;"&amp;$P$21,$D$4:$D$9,$P20)</f>
        <v>0</v>
      </c>
      <c r="U20" s="25"/>
      <c r="V20" s="202">
        <f ca="1">Q20*FactorPts+(GDzero+R20)*FactorGD+S20*FactorFor</f>
        <v>50000</v>
      </c>
      <c r="W20" s="25">
        <f ca="1">RANK(V20,V$18:V$20,1)</f>
        <v>1</v>
      </c>
      <c r="X20" s="25">
        <f ca="1">IF(AND($Q$4=$Q$5,$Q$4=$Q$6,$Q$4&lt;&gt;$Q$7),W20,0)</f>
        <v>0</v>
      </c>
      <c r="Y20" s="25" t="str">
        <f ca="1">IF(AND(V20=V18,V20&lt;&gt;V19),IF(AB20&gt;AB18,3,IF(AB20=AB18,1,0)),IF(AND(V20=V19,V20&lt;&gt;V18),IF(AC20&gt;AC19,3,IF(AC20=AC19,1,0)),""))</f>
        <v/>
      </c>
      <c r="Z20" s="25" t="str">
        <f t="shared" ca="1" si="12"/>
        <v/>
      </c>
      <c r="AA20" s="191"/>
      <c r="AB20" s="25">
        <f ca="1">$H$20</f>
        <v>0</v>
      </c>
      <c r="AC20" s="204">
        <f ca="1">$I$20</f>
        <v>0</v>
      </c>
      <c r="AD20" s="25">
        <f ca="1">IF(AND($AF$16,$AD$4=$AD$5,$AD$4=$AD$6,$AD$4&lt;&gt;$AD$7),W20,0)</f>
        <v>0</v>
      </c>
      <c r="AE20" s="25" t="str">
        <f t="shared" ca="1" si="13"/>
        <v/>
      </c>
    </row>
    <row r="21" spans="2:31" ht="15.75" thickBot="1" x14ac:dyDescent="0.3">
      <c r="B21" s="36"/>
      <c r="C21" s="25"/>
      <c r="E21" s="565" t="str">
        <f>$P$7</f>
        <v>Tschechien</v>
      </c>
      <c r="F21" s="566"/>
      <c r="G21" s="566"/>
      <c r="H21" s="31">
        <f ca="1">SUMIFS($E$4:$E$9,$B$4:$B$9,$P$7,$D$4:$D$9,$P$4)+SUMIFS($G$4:$G$9,$B$4:$B$9,$P$4,$D$4:$D$9,$P$7)</f>
        <v>0</v>
      </c>
      <c r="I21" s="29">
        <f ca="1">SUMIFS($E$4:$E$9,$B$4:$B$9,$P$7,$D$4:$D$9,$P$5)+SUMIFS($G$4:$G$9,$B$4:$B$9,$P$5,$D$4:$D$9,$P$7)</f>
        <v>0</v>
      </c>
      <c r="J21" s="29">
        <f ca="1">SUMIFS($E$4:$E$9,$B$4:$B$9,$P$7,$D$4:$D$9,$P$6)+SUMIFS($G$4:$G$9,$B$4:$B$9,$P$6,$D$4:$D$9,$P$7)</f>
        <v>0</v>
      </c>
      <c r="K21" s="70"/>
      <c r="L21" s="66" t="str">
        <f ca="1">IF(AND($Q$7=$Q$4,$Q$7&lt;&gt;$Q$5,$Q$7&lt;&gt;$Q$6),IF(H21&gt;K18,3,IF(H21=K18,1,0)),IF(AND($Q$7=$Q$5,$Q$7&lt;&gt;$Q$4,$Q$7&lt;&gt;$Q$6),IF(I21&gt;K19,3,IF(I21=K19,1,0)),IF(AND($Q$7=$Q$6,$Q$7&lt;&gt;$Q$4,$Q$7&lt;&gt;$Q$5),IF(J21&gt;K20,3,IF(J21=K20,1,0)),"")))</f>
        <v/>
      </c>
      <c r="M21" s="66" t="str">
        <f ca="1">IF($AF$16,IF(AND($AD$7=$AD$4,$AD$7&lt;&gt;$AD$5,$AD$7&lt;&gt;$AD$6),IF(H21&gt;K18,3,IF(H21=K18,1,0)),IF(AND($AD$7&lt;&gt;$AD$4,$AD$7=$AD$5,$AD$7&lt;&gt;$AD$6),IF(I21&gt;K19,3,IF(I21=K19,1,0)),IF(AND($AD$7&lt;&gt;$AD$4,$AD$7&lt;&gt;$AD$5,$AD$7=$AD$6),IF(J21&gt;K20,3,IF(J21=K20,1,0)),""))),"")</f>
        <v/>
      </c>
      <c r="N21" s="25"/>
      <c r="P21" s="28" t="str">
        <f>$P$7</f>
        <v>Tschechien</v>
      </c>
      <c r="Q21" s="197"/>
      <c r="R21" s="197"/>
      <c r="S21" s="197"/>
      <c r="T21" s="197"/>
      <c r="U21" s="197"/>
      <c r="V21" s="198"/>
      <c r="W21" s="198"/>
      <c r="X21" s="197"/>
      <c r="Y21" s="197"/>
      <c r="Z21" s="197"/>
      <c r="AA21" s="199"/>
      <c r="AB21" s="197"/>
      <c r="AC21" s="200"/>
      <c r="AD21" s="198"/>
      <c r="AE21" s="197"/>
    </row>
    <row r="22" spans="2:31" ht="15.75" thickTop="1" x14ac:dyDescent="0.25">
      <c r="B22" s="36"/>
      <c r="C22" s="25"/>
      <c r="F22" s="25"/>
      <c r="G22" s="5"/>
      <c r="L22" s="46"/>
      <c r="Q22" s="198"/>
      <c r="R22" s="198"/>
      <c r="S22" s="198"/>
      <c r="T22" s="198"/>
      <c r="U22" s="198"/>
      <c r="V22" s="198"/>
      <c r="W22" s="198"/>
      <c r="X22" s="197"/>
      <c r="Y22" s="197"/>
      <c r="Z22" s="197"/>
      <c r="AA22" s="199"/>
      <c r="AB22" s="197"/>
      <c r="AC22" s="200"/>
      <c r="AD22" s="198"/>
      <c r="AE22" s="197"/>
    </row>
    <row r="23" spans="2:31" x14ac:dyDescent="0.25">
      <c r="B23" s="36"/>
      <c r="C23" s="25"/>
      <c r="O23" s="25" t="s">
        <v>32</v>
      </c>
      <c r="P23" t="str">
        <f>$P$4</f>
        <v>Türkei</v>
      </c>
      <c r="Q23" s="25">
        <f ca="1">SUMIFS($H$4:$H$9,$B$4:$B$9,$P23,$D$4:$D$9,"&lt;&gt;"&amp;$P$26)+SUMIFS($I$4:$I$9,$B$4:$B$9,"&lt;&gt;"&amp;$P$26,$D$4:$D$9,$P23)</f>
        <v>0</v>
      </c>
      <c r="R23" s="25">
        <f ca="1">S23-T23</f>
        <v>0</v>
      </c>
      <c r="S23" s="25">
        <f ca="1">SUMIFS($E$4:$E$9,$B$4:$B$9,$P23,$D$4:$D$9,"&lt;&gt;"&amp;$P$26)+SUMIFS($G$4:$G$9,$B$4:$B$9,"&lt;&gt;"&amp;$P$26,$D$4:$D$9,$P23)</f>
        <v>0</v>
      </c>
      <c r="T23" s="25">
        <f ca="1">SUMIFS($G$4:$G$9,$B$4:$B$9,$P23,$D$4:$D$9,"&lt;&gt;"&amp;$P$26)+SUMIFS($E$4:$E$9,$B$4:$B$9,"&lt;&gt;"&amp;$P$26,$D$4:$D$9,$P23)</f>
        <v>0</v>
      </c>
      <c r="U23" s="25"/>
      <c r="V23" s="202">
        <f ca="1">Q23*FactorPts+(GDzero+R23)*FactorGD+S23*FactorFor</f>
        <v>50000</v>
      </c>
      <c r="W23" s="25">
        <f ca="1">RANK(V23,V$23:V$25,1)</f>
        <v>1</v>
      </c>
      <c r="X23" s="25">
        <f ca="1">IF(AND($Q$4=$Q$5,$Q$4=$Q$7,$Q$4&lt;&gt;$Q$6),W23,0)</f>
        <v>0</v>
      </c>
      <c r="Y23" s="25" t="str">
        <f ca="1">IF(AND(V23=V24,V23&lt;&gt;V25),IF(AA23&gt;AA24,3,IF(AA23=AA24,1,0)),IF(AND(V23=V25,V23&lt;&gt;V24),IF(AB23&gt;AB25,3,IF(AB23=AB25,1,0)),""))</f>
        <v/>
      </c>
      <c r="Z23" s="25" t="str">
        <f ca="1">IF(X23&gt;0,Y23,"")</f>
        <v/>
      </c>
      <c r="AA23" s="191">
        <f ca="1">$I$18</f>
        <v>0</v>
      </c>
      <c r="AB23" s="25">
        <f ca="1">$K$18</f>
        <v>0</v>
      </c>
      <c r="AC23" s="204"/>
      <c r="AD23" s="25">
        <f ca="1">IF(AND($AF$16,$AD$4=$AD$5,$AD$4=$AD$7,$AD$4&lt;&gt;$AD$6),W23,0)</f>
        <v>0</v>
      </c>
      <c r="AE23" s="25" t="str">
        <f ca="1">IF(AD23&gt;0,Y23,"")</f>
        <v/>
      </c>
    </row>
    <row r="24" spans="2:31" x14ac:dyDescent="0.25">
      <c r="B24" s="36"/>
      <c r="C24" s="25"/>
      <c r="O24" s="25" t="s">
        <v>33</v>
      </c>
      <c r="P24" t="str">
        <f>$P$5</f>
        <v>Georgien</v>
      </c>
      <c r="Q24" s="25">
        <f ca="1">SUMIFS($H$4:$H$9,$B$4:$B$9,$P24,$D$4:$D$9,"&lt;&gt;"&amp;$P$26)+SUMIFS($I$4:$I$9,$B$4:$B$9,"&lt;&gt;"&amp;$P$26,$D$4:$D$9,$P24)</f>
        <v>0</v>
      </c>
      <c r="R24" s="25">
        <f ca="1">S24-T24</f>
        <v>0</v>
      </c>
      <c r="S24" s="25">
        <f ca="1">SUMIFS($E$4:$E$9,$B$4:$B$9,$P24,$D$4:$D$9,"&lt;&gt;"&amp;$P$26)+SUMIFS($G$4:$G$9,$B$4:$B$9,"&lt;&gt;"&amp;$P$26,$D$4:$D$9,$P24)</f>
        <v>0</v>
      </c>
      <c r="T24" s="25">
        <f ca="1">SUMIFS($G$4:$G$9,$B$4:$B$9,$P24,$D$4:$D$9,"&lt;&gt;"&amp;$P$26)+SUMIFS($E$4:$E$9,$B$4:$B$9,"&lt;&gt;"&amp;$P$26,$D$4:$D$9,$P24)</f>
        <v>0</v>
      </c>
      <c r="U24" s="25"/>
      <c r="V24" s="202">
        <f ca="1">Q24*FactorPts+(GDzero+R24)*FactorGD+S24*FactorFor</f>
        <v>50000</v>
      </c>
      <c r="W24" s="25">
        <f ca="1">RANK(V24,V$23:V$25,1)</f>
        <v>1</v>
      </c>
      <c r="X24" s="25">
        <f ca="1">IF(AND($Q$4=$Q$5,$Q$4=$Q$7,$Q$4&lt;&gt;$Q$6),W24,0)</f>
        <v>0</v>
      </c>
      <c r="Y24" s="25" t="str">
        <f ca="1">IF(AND(V24=V23,V24&lt;&gt;V25),IF(AA24&gt;AA23,3,IF(AA24=AA23,1,0)),IF(AND(V24=V25,V24&lt;&gt;V23),IF(AC24&gt;AC25,3,IF(AC24=AC25,1,0)),""))</f>
        <v/>
      </c>
      <c r="Z24" s="25" t="str">
        <f t="shared" ref="Z24:Z25" ca="1" si="14">IF(X24&gt;0,Y24,"")</f>
        <v/>
      </c>
      <c r="AA24" s="191">
        <f ca="1">$H$19</f>
        <v>0</v>
      </c>
      <c r="AB24" s="25"/>
      <c r="AC24" s="204">
        <f ca="1">$K$19</f>
        <v>0</v>
      </c>
      <c r="AD24" s="25">
        <f ca="1">IF(AND($AF$16,$AD$4=$AD$5,$AD$4=$AD$7,$AD$4&lt;&gt;$AD$6),W24,0)</f>
        <v>0</v>
      </c>
      <c r="AE24" s="25" t="str">
        <f t="shared" ref="AE24:AE25" ca="1" si="15">IF(AD24&gt;0,Y24,"")</f>
        <v/>
      </c>
    </row>
    <row r="25" spans="2:31" x14ac:dyDescent="0.25">
      <c r="B25" s="36"/>
      <c r="C25" s="25"/>
      <c r="O25" s="25" t="s">
        <v>34</v>
      </c>
      <c r="P25" t="str">
        <f>$P$7</f>
        <v>Tschechien</v>
      </c>
      <c r="Q25" s="25">
        <f ca="1">SUMIFS($H$4:$H$9,$B$4:$B$9,$P25,$D$4:$D$9,"&lt;&gt;"&amp;$P$26)+SUMIFS($I$4:$I$9,$B$4:$B$9,"&lt;&gt;"&amp;$P$26,$D$4:$D$9,$P25)</f>
        <v>0</v>
      </c>
      <c r="R25" s="25">
        <f ca="1">S25-T25</f>
        <v>0</v>
      </c>
      <c r="S25" s="25">
        <f ca="1">SUMIFS($E$4:$E$9,$B$4:$B$9,$P25,$D$4:$D$9,"&lt;&gt;"&amp;$P$26)+SUMIFS($G$4:$G$9,$B$4:$B$9,"&lt;&gt;"&amp;$P$26,$D$4:$D$9,$P25)</f>
        <v>0</v>
      </c>
      <c r="T25" s="25">
        <f ca="1">SUMIFS($G$4:$G$9,$B$4:$B$9,$P25,$D$4:$D$9,"&lt;&gt;"&amp;$P$26)+SUMIFS($E$4:$E$9,$B$4:$B$9,"&lt;&gt;"&amp;$P$26,$D$4:$D$9,$P25)</f>
        <v>0</v>
      </c>
      <c r="U25" s="25"/>
      <c r="V25" s="202">
        <f ca="1">Q25*FactorPts+(GDzero+R25)*FactorGD+S25*FactorFor</f>
        <v>50000</v>
      </c>
      <c r="W25" s="25">
        <f ca="1">RANK(V25,V$23:V$25,1)</f>
        <v>1</v>
      </c>
      <c r="X25" s="25">
        <f ca="1">IF(AND($Q$4=$Q$5,$Q$4=$Q$7,$Q$4&lt;&gt;$Q$6),W25,0)</f>
        <v>0</v>
      </c>
      <c r="Y25" s="25" t="str">
        <f ca="1">IF(AND(V25=V23,V25&lt;&gt;V24),IF(AB25&gt;AB23,3,IF(AB25=AB23,1,0)),IF(AND(V25=V24,V25&lt;&gt;V23),IF(AC25&gt;AC24,3,IF(AC25=AC24,1,0)),""))</f>
        <v/>
      </c>
      <c r="Z25" s="25" t="str">
        <f t="shared" ca="1" si="14"/>
        <v/>
      </c>
      <c r="AA25" s="191"/>
      <c r="AB25" s="25">
        <f ca="1">$H$21</f>
        <v>0</v>
      </c>
      <c r="AC25" s="204">
        <f ca="1">$I$21</f>
        <v>0</v>
      </c>
      <c r="AD25" s="25">
        <f ca="1">IF(AND($AF$16,$AD$4=$AD$5,$AD$4=$AD$7,$AD$4&lt;&gt;$AD$6),W25,0)</f>
        <v>0</v>
      </c>
      <c r="AE25" s="25" t="str">
        <f t="shared" ca="1" si="15"/>
        <v/>
      </c>
    </row>
    <row r="26" spans="2:31" x14ac:dyDescent="0.25">
      <c r="B26" s="36"/>
      <c r="C26" s="25"/>
      <c r="P26" s="28" t="str">
        <f>$P$6</f>
        <v>Portugal</v>
      </c>
      <c r="Q26" s="197"/>
      <c r="R26" s="197"/>
      <c r="S26" s="197"/>
      <c r="T26" s="197"/>
      <c r="U26" s="197"/>
      <c r="V26" s="198"/>
      <c r="W26" s="198"/>
      <c r="X26" s="197"/>
      <c r="Y26" s="197"/>
      <c r="Z26" s="197"/>
      <c r="AA26" s="199"/>
      <c r="AB26" s="197"/>
      <c r="AC26" s="200"/>
      <c r="AD26" s="198"/>
      <c r="AE26" s="197"/>
    </row>
    <row r="27" spans="2:31" x14ac:dyDescent="0.25">
      <c r="Q27" s="198"/>
      <c r="R27" s="198"/>
      <c r="S27" s="198"/>
      <c r="T27" s="198"/>
      <c r="U27" s="198"/>
      <c r="V27" s="198"/>
      <c r="W27" s="198"/>
      <c r="X27" s="197"/>
      <c r="Y27" s="197"/>
      <c r="Z27" s="197"/>
      <c r="AA27" s="199"/>
      <c r="AB27" s="197"/>
      <c r="AC27" s="200"/>
      <c r="AD27" s="198"/>
      <c r="AE27" s="197"/>
    </row>
    <row r="28" spans="2:31" x14ac:dyDescent="0.25">
      <c r="O28" s="25" t="s">
        <v>32</v>
      </c>
      <c r="P28" t="str">
        <f>$P$4</f>
        <v>Türkei</v>
      </c>
      <c r="Q28" s="25">
        <f ca="1">SUMIFS($H$4:$H$9,$B$4:$B$9,$P28,$D$4:$D$9,"&lt;&gt;"&amp;$P$31)+SUMIFS($I$4:$I$9,$B$4:$B$9,"&lt;&gt;"&amp;$P$31,$D$4:$D$9,$P28)</f>
        <v>0</v>
      </c>
      <c r="R28" s="25">
        <f ca="1">S28-T28</f>
        <v>0</v>
      </c>
      <c r="S28" s="25">
        <f ca="1">SUMIFS($E$4:$E$9,$B$4:$B$9,$P28,$D$4:$D$9,"&lt;&gt;"&amp;$P$31)+SUMIFS($G$4:$G$9,$B$4:$B$9,"&lt;&gt;"&amp;$P$31,$D$4:$D$9,$P28)</f>
        <v>0</v>
      </c>
      <c r="T28" s="25">
        <f ca="1">SUMIFS($G$4:$G$9,$B$4:$B$9,$P28,$D$4:$D$9,"&lt;&gt;"&amp;$P$31)+SUMIFS($E$4:$E$9,$B$4:$B$9,"&lt;&gt;"&amp;$P$31,$D$4:$D$9,$P28)</f>
        <v>0</v>
      </c>
      <c r="U28" s="25"/>
      <c r="V28" s="202">
        <f ca="1">Q28*FactorPts+(GDzero+R28)*FactorGD+S28*FactorFor</f>
        <v>50000</v>
      </c>
      <c r="W28" s="25">
        <f ca="1">RANK(V28,V$28:V$30,1)</f>
        <v>1</v>
      </c>
      <c r="X28" s="25">
        <f ca="1">IF(AND($Q$4=$Q$6,$Q$4=$Q$7,$Q$4&lt;&gt;$Q$5),W28,0)</f>
        <v>0</v>
      </c>
      <c r="Y28" s="25" t="str">
        <f ca="1">IF(AND(V28=V29,V28&lt;&gt;V30),IF(AA28&gt;AA29,3,IF(AA28=AA29,1,0)),IF(AND(V28=V30,V28&lt;&gt;V29),IF(AB28&gt;AB30,3,IF(AB28=AB30,1,0)),""))</f>
        <v/>
      </c>
      <c r="Z28" s="25" t="str">
        <f ca="1">IF(X28&gt;0,Y28,"")</f>
        <v/>
      </c>
      <c r="AA28" s="191">
        <f ca="1">$J$18</f>
        <v>0</v>
      </c>
      <c r="AB28" s="25">
        <f ca="1">$K$18</f>
        <v>0</v>
      </c>
      <c r="AC28" s="204"/>
      <c r="AD28" s="25">
        <f ca="1">IF(AND($AF$16,$AD$4=$AD$6,$AD$4=$AD$7,$AD$4&lt;&gt;$AD$5),W28,0)</f>
        <v>0</v>
      </c>
      <c r="AE28" s="25" t="str">
        <f ca="1">IF(AD28&gt;0,Y28,"")</f>
        <v/>
      </c>
    </row>
    <row r="29" spans="2:31" x14ac:dyDescent="0.25">
      <c r="O29" s="25" t="s">
        <v>33</v>
      </c>
      <c r="P29" t="str">
        <f>$P$6</f>
        <v>Portugal</v>
      </c>
      <c r="Q29" s="25">
        <f ca="1">SUMIFS($H$4:$H$9,$B$4:$B$9,$P29,$D$4:$D$9,"&lt;&gt;"&amp;$P$31)+SUMIFS($I$4:$I$9,$B$4:$B$9,"&lt;&gt;"&amp;$P$31,$D$4:$D$9,$P29)</f>
        <v>0</v>
      </c>
      <c r="R29" s="25">
        <f ca="1">S29-T29</f>
        <v>0</v>
      </c>
      <c r="S29" s="25">
        <f ca="1">SUMIFS($E$4:$E$9,$B$4:$B$9,$P29,$D$4:$D$9,"&lt;&gt;"&amp;$P$31)+SUMIFS($G$4:$G$9,$B$4:$B$9,"&lt;&gt;"&amp;$P$31,$D$4:$D$9,$P29)</f>
        <v>0</v>
      </c>
      <c r="T29" s="25">
        <f ca="1">SUMIFS($G$4:$G$9,$B$4:$B$9,$P29,$D$4:$D$9,"&lt;&gt;"&amp;$P$31)+SUMIFS($E$4:$E$9,$B$4:$B$9,"&lt;&gt;"&amp;$P$31,$D$4:$D$9,$P29)</f>
        <v>0</v>
      </c>
      <c r="U29" s="25"/>
      <c r="V29" s="202">
        <f ca="1">Q29*FactorPts+(GDzero+R29)*FactorGD+S29*FactorFor</f>
        <v>50000</v>
      </c>
      <c r="W29" s="25">
        <f ca="1">RANK(V29,V$28:V$30,1)</f>
        <v>1</v>
      </c>
      <c r="X29" s="25">
        <f ca="1">IF(AND($Q$4=$Q$6,$Q$4=$Q$7,$Q$4&lt;&gt;$Q$5),W29,0)</f>
        <v>0</v>
      </c>
      <c r="Y29" s="25" t="str">
        <f ca="1">IF(AND(V29=V28,V29&lt;&gt;V30),IF(AA29&gt;AA28,3,IF(AA29=AA28,1,0)),IF(AND(V29=V30,V29&lt;&gt;V28),IF(AC29&gt;AC30,3,IF(AC29=AC30,1,0)),""))</f>
        <v/>
      </c>
      <c r="Z29" s="25" t="str">
        <f t="shared" ref="Z29:Z30" ca="1" si="16">IF(X29&gt;0,Y29,"")</f>
        <v/>
      </c>
      <c r="AA29" s="191">
        <f ca="1">$H$20</f>
        <v>0</v>
      </c>
      <c r="AB29" s="25"/>
      <c r="AC29" s="204">
        <f ca="1">$K$20</f>
        <v>0</v>
      </c>
      <c r="AD29" s="25">
        <f ca="1">IF(AND($AF$16,$AD$4=$AD$6,$AD$4=$AD$7,$AD$4&lt;&gt;$AD$5),W29,0)</f>
        <v>0</v>
      </c>
      <c r="AE29" s="25" t="str">
        <f t="shared" ref="AE29:AE30" ca="1" si="17">IF(AD29&gt;0,Y29,"")</f>
        <v/>
      </c>
    </row>
    <row r="30" spans="2:31" x14ac:dyDescent="0.25">
      <c r="O30" s="25" t="s">
        <v>34</v>
      </c>
      <c r="P30" t="str">
        <f>$P$7</f>
        <v>Tschechien</v>
      </c>
      <c r="Q30" s="25">
        <f ca="1">SUMIFS($H$4:$H$9,$B$4:$B$9,$P30,$D$4:$D$9,"&lt;&gt;"&amp;$P$31)+SUMIFS($I$4:$I$9,$B$4:$B$9,"&lt;&gt;"&amp;$P$31,$D$4:$D$9,$P30)</f>
        <v>0</v>
      </c>
      <c r="R30" s="25">
        <f ca="1">S30-T30</f>
        <v>0</v>
      </c>
      <c r="S30" s="25">
        <f ca="1">SUMIFS($E$4:$E$9,$B$4:$B$9,$P30,$D$4:$D$9,"&lt;&gt;"&amp;$P$31)+SUMIFS($G$4:$G$9,$B$4:$B$9,"&lt;&gt;"&amp;$P$31,$D$4:$D$9,$P30)</f>
        <v>0</v>
      </c>
      <c r="T30" s="25">
        <f ca="1">SUMIFS($G$4:$G$9,$B$4:$B$9,$P30,$D$4:$D$9,"&lt;&gt;"&amp;$P$31)+SUMIFS($E$4:$E$9,$B$4:$B$9,"&lt;&gt;"&amp;$P$31,$D$4:$D$9,$P30)</f>
        <v>0</v>
      </c>
      <c r="U30" s="25"/>
      <c r="V30" s="202">
        <f ca="1">Q30*FactorPts+(GDzero+R30)*FactorGD+S30*FactorFor</f>
        <v>50000</v>
      </c>
      <c r="W30" s="25">
        <f ca="1">RANK(V30,V$28:V$30,1)</f>
        <v>1</v>
      </c>
      <c r="X30" s="25">
        <f ca="1">IF(AND($Q$4=$Q$6,$Q$4=$Q$7,$Q$4&lt;&gt;$Q$5),W30,0)</f>
        <v>0</v>
      </c>
      <c r="Y30" s="25" t="str">
        <f ca="1">IF(AND(V30=V28,V30&lt;&gt;V29),IF(AB30&gt;AB28,3,IF(AB30=AB28,1,0)),IF(AND(V30=V29,V30&lt;&gt;V28),IF(AC30&gt;AC29,3,IF(AC30=AC29,1,0)),""))</f>
        <v/>
      </c>
      <c r="Z30" s="25" t="str">
        <f t="shared" ca="1" si="16"/>
        <v/>
      </c>
      <c r="AA30" s="191"/>
      <c r="AB30" s="25">
        <f ca="1">$H$21</f>
        <v>0</v>
      </c>
      <c r="AC30" s="204">
        <f ca="1">$J$21</f>
        <v>0</v>
      </c>
      <c r="AD30" s="25">
        <f ca="1">IF(AND($AF$16,$AD$4=$AD$6,$AD$4=$AD$7,$AD$4&lt;&gt;$AD$5),W30,0)</f>
        <v>0</v>
      </c>
      <c r="AE30" s="25" t="str">
        <f t="shared" ca="1" si="17"/>
        <v/>
      </c>
    </row>
    <row r="31" spans="2:31" x14ac:dyDescent="0.25">
      <c r="P31" s="28" t="str">
        <f>$P$5</f>
        <v>Georgien</v>
      </c>
      <c r="Q31" s="197"/>
      <c r="R31" s="197"/>
      <c r="S31" s="197"/>
      <c r="T31" s="197"/>
      <c r="U31" s="197"/>
      <c r="V31" s="198"/>
      <c r="W31" s="198"/>
      <c r="X31" s="197"/>
      <c r="Y31" s="197"/>
      <c r="Z31" s="197"/>
      <c r="AA31" s="199"/>
      <c r="AB31" s="197"/>
      <c r="AC31" s="200"/>
      <c r="AD31" s="198"/>
      <c r="AE31" s="197"/>
    </row>
    <row r="32" spans="2:31" x14ac:dyDescent="0.25">
      <c r="Q32" s="198"/>
      <c r="R32" s="198"/>
      <c r="S32" s="198"/>
      <c r="T32" s="198"/>
      <c r="U32" s="198"/>
      <c r="V32" s="198"/>
      <c r="W32" s="198"/>
      <c r="X32" s="197"/>
      <c r="Y32" s="197"/>
      <c r="Z32" s="197"/>
      <c r="AA32" s="199"/>
      <c r="AB32" s="197"/>
      <c r="AC32" s="200"/>
      <c r="AD32" s="198"/>
      <c r="AE32" s="197"/>
    </row>
    <row r="33" spans="15:31" x14ac:dyDescent="0.25">
      <c r="O33" s="25" t="s">
        <v>32</v>
      </c>
      <c r="P33" t="str">
        <f>$P$5</f>
        <v>Georgien</v>
      </c>
      <c r="Q33" s="25">
        <f ca="1">SUMIFS($H$4:$H$9,$B$4:$B$9,$P33,$D$4:$D$9,"&lt;&gt;"&amp;$P$36)+SUMIFS($I$4:$I$9,$B$4:$B$9,"&lt;&gt;"&amp;$P$36,$D$4:$D$9,$P33)</f>
        <v>0</v>
      </c>
      <c r="R33" s="25">
        <f ca="1">S33-T33</f>
        <v>0</v>
      </c>
      <c r="S33" s="25">
        <f ca="1">SUMIFS($E$4:$E$9,$B$4:$B$9,$P33,$D$4:$D$9,"&lt;&gt;"&amp;$P$36)+SUMIFS($G$4:$G$9,$B$4:$B$9,"&lt;&gt;"&amp;$P$36,$D$4:$D$9,$P33)</f>
        <v>0</v>
      </c>
      <c r="T33" s="25">
        <f ca="1">SUMIFS($G$4:$G$9,$B$4:$B$9,$P33,$D$4:$D$9,"&lt;&gt;"&amp;$P$36)+SUMIFS($E$4:$E$9,$B$4:$B$9,"&lt;&gt;"&amp;$P$36,$D$4:$D$9,$P33)</f>
        <v>0</v>
      </c>
      <c r="U33" s="25"/>
      <c r="V33" s="202">
        <f ca="1">Q33*FactorPts+(GDzero+R33)*FactorGD+S33*FactorFor</f>
        <v>50000</v>
      </c>
      <c r="W33" s="25">
        <f ca="1">RANK(V33,V$33:V$35,1)</f>
        <v>1</v>
      </c>
      <c r="X33" s="25">
        <f ca="1">IF(AND($Q$5=$Q$6,$Q$5=$Q$7,$Q$5&lt;&gt;$Q$4),W33,0)</f>
        <v>0</v>
      </c>
      <c r="Y33" s="25" t="str">
        <f ca="1">IF(AND(V33=V34,V33&lt;&gt;V35),IF(AA33&gt;AA34,3,IF(AA33=AA34,1,0)),IF(AND(V33=V35,V33&lt;&gt;V34),IF(AB33&gt;AB35,3,IF(AB33=AB35,1,0)),""))</f>
        <v/>
      </c>
      <c r="Z33" s="25" t="str">
        <f ca="1">IF(X33&gt;0,Y33,"")</f>
        <v/>
      </c>
      <c r="AA33" s="191">
        <f ca="1">$J$19</f>
        <v>0</v>
      </c>
      <c r="AB33" s="25">
        <f ca="1">$K$19</f>
        <v>0</v>
      </c>
      <c r="AC33" s="204"/>
      <c r="AD33" s="25">
        <f ca="1">IF(AND($AF$16,$AD$5=$AD$6,$AD$5=$AD$7,$AD$5&lt;&gt;$AD$4),W33,0)</f>
        <v>0</v>
      </c>
      <c r="AE33" s="25" t="str">
        <f ca="1">IF(AD33&gt;0,Y33,"")</f>
        <v/>
      </c>
    </row>
    <row r="34" spans="15:31" x14ac:dyDescent="0.25">
      <c r="O34" s="25" t="s">
        <v>33</v>
      </c>
      <c r="P34" t="str">
        <f>$P$6</f>
        <v>Portugal</v>
      </c>
      <c r="Q34" s="25">
        <f ca="1">SUMIFS($H$4:$H$9,$B$4:$B$9,$P34,$D$4:$D$9,"&lt;&gt;"&amp;$P$36)+SUMIFS($I$4:$I$9,$B$4:$B$9,"&lt;&gt;"&amp;$P$36,$D$4:$D$9,$P34)</f>
        <v>0</v>
      </c>
      <c r="R34" s="25">
        <f ca="1">S34-T34</f>
        <v>0</v>
      </c>
      <c r="S34" s="25">
        <f ca="1">SUMIFS($E$4:$E$9,$B$4:$B$9,$P34,$D$4:$D$9,"&lt;&gt;"&amp;$P$36)+SUMIFS($G$4:$G$9,$B$4:$B$9,"&lt;&gt;"&amp;$P$36,$D$4:$D$9,$P34)</f>
        <v>0</v>
      </c>
      <c r="T34" s="25">
        <f ca="1">SUMIFS($G$4:$G$9,$B$4:$B$9,$P34,$D$4:$D$9,"&lt;&gt;"&amp;$P$36)+SUMIFS($E$4:$E$9,$B$4:$B$9,"&lt;&gt;"&amp;$P$36,$D$4:$D$9,$P34)</f>
        <v>0</v>
      </c>
      <c r="U34" s="25"/>
      <c r="V34" s="202">
        <f ca="1">Q34*FactorPts+(GDzero+R34)*FactorGD+S34*FactorFor</f>
        <v>50000</v>
      </c>
      <c r="W34" s="25">
        <f ca="1">RANK(V34,V$33:V$35,1)</f>
        <v>1</v>
      </c>
      <c r="X34" s="25">
        <f ca="1">IF(AND($Q$5=$Q$6,$Q$5=$Q$7,$Q$5&lt;&gt;$Q$4),W34,0)</f>
        <v>0</v>
      </c>
      <c r="Y34" s="25" t="str">
        <f ca="1">IF(AND(V34=V33,V34&lt;&gt;V35),IF(AA34&gt;AA33,3,IF(AA34=AA33,1,0)),IF(AND(V34=V35,V34&lt;&gt;V33),IF(AC34&gt;AC35,3,IF(AC34=AC35,1,0)),""))</f>
        <v/>
      </c>
      <c r="Z34" s="25" t="str">
        <f t="shared" ref="Z34:Z35" ca="1" si="18">IF(X34&gt;0,Y34,"")</f>
        <v/>
      </c>
      <c r="AA34" s="191">
        <f ca="1">$I$20</f>
        <v>0</v>
      </c>
      <c r="AB34" s="25"/>
      <c r="AC34" s="204">
        <f ca="1">$K$20</f>
        <v>0</v>
      </c>
      <c r="AD34" s="25">
        <f ca="1">IF(AND($AF$16,$AD$5=$AD$6,$AD$5=$AD$7,$AD$5&lt;&gt;$AD$4),W34,0)</f>
        <v>0</v>
      </c>
      <c r="AE34" s="25" t="str">
        <f t="shared" ref="AE34:AE35" ca="1" si="19">IF(AD34&gt;0,Y34,"")</f>
        <v/>
      </c>
    </row>
    <row r="35" spans="15:31" ht="15.75" thickBot="1" x14ac:dyDescent="0.3">
      <c r="O35" s="25" t="s">
        <v>34</v>
      </c>
      <c r="P35" t="str">
        <f>$P$7</f>
        <v>Tschechien</v>
      </c>
      <c r="Q35" s="25">
        <f ca="1">SUMIFS($H$4:$H$9,$B$4:$B$9,$P35,$D$4:$D$9,"&lt;&gt;"&amp;$P$36)+SUMIFS($I$4:$I$9,$B$4:$B$9,"&lt;&gt;"&amp;$P$36,$D$4:$D$9,$P35)</f>
        <v>0</v>
      </c>
      <c r="R35" s="25">
        <f ca="1">S35-T35</f>
        <v>0</v>
      </c>
      <c r="S35" s="25">
        <f ca="1">SUMIFS($E$4:$E$9,$B$4:$B$9,$P35,$D$4:$D$9,"&lt;&gt;"&amp;$P$36)+SUMIFS($G$4:$G$9,$B$4:$B$9,"&lt;&gt;"&amp;$P$36,$D$4:$D$9,$P35)</f>
        <v>0</v>
      </c>
      <c r="T35" s="25">
        <f ca="1">SUMIFS($G$4:$G$9,$B$4:$B$9,$P35,$D$4:$D$9,"&lt;&gt;"&amp;$P$36)+SUMIFS($E$4:$E$9,$B$4:$B$9,"&lt;&gt;"&amp;$P$36,$D$4:$D$9,$P35)</f>
        <v>0</v>
      </c>
      <c r="U35" s="25"/>
      <c r="V35" s="202">
        <f ca="1">Q35*FactorPts+(GDzero+R35)*FactorGD+S35*FactorFor</f>
        <v>50000</v>
      </c>
      <c r="W35" s="25">
        <f ca="1">RANK(V35,V$33:V$35,1)</f>
        <v>1</v>
      </c>
      <c r="X35" s="25">
        <f ca="1">IF(AND($Q$5=$Q$6,$Q$5=$Q$7,$Q$5&lt;&gt;$Q$4),W35,0)</f>
        <v>0</v>
      </c>
      <c r="Y35" s="25" t="str">
        <f ca="1">IF(AND(V35=V33,V35&lt;&gt;V34),IF(AB35&gt;AB33,3,IF(AB35=AB33,1,0)),IF(AND(V35=V34,V35&lt;&gt;V33),IF(AC35&gt;AC34,3,IF(AC35=AC34,1,0)),""))</f>
        <v/>
      </c>
      <c r="Z35" s="25" t="str">
        <f t="shared" ca="1" si="18"/>
        <v/>
      </c>
      <c r="AA35" s="192"/>
      <c r="AB35" s="193">
        <f ca="1">$I$21</f>
        <v>0</v>
      </c>
      <c r="AC35" s="194">
        <f ca="1">$J$21</f>
        <v>0</v>
      </c>
      <c r="AD35" s="25">
        <f ca="1">IF(AND($AF$16,$AD$5=$AD$6,$AD$5=$AD$7,$AD$5&lt;&gt;$AD$4),W35,0)</f>
        <v>0</v>
      </c>
      <c r="AE35" s="25" t="str">
        <f t="shared" ca="1" si="19"/>
        <v/>
      </c>
    </row>
    <row r="36" spans="15:31" x14ac:dyDescent="0.25">
      <c r="P36" s="28" t="str">
        <f>$P$4</f>
        <v>Türkei</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17</vt:i4>
      </vt:variant>
    </vt:vector>
  </HeadingPairs>
  <TitlesOfParts>
    <vt:vector size="34" baseType="lpstr">
      <vt:lpstr>EURO</vt:lpstr>
      <vt:lpstr>FairPlay</vt:lpstr>
      <vt:lpstr>AssignThird</vt:lpstr>
      <vt:lpstr>Language</vt:lpstr>
      <vt:lpstr>TimeZone</vt:lpstr>
      <vt:lpstr>ThirdPlaced</vt:lpstr>
      <vt:lpstr>Groups</vt:lpstr>
      <vt:lpstr>Matches</vt:lpstr>
      <vt:lpstr>Factors</vt:lpstr>
      <vt:lpstr>Distinctness</vt:lpstr>
      <vt:lpstr>References</vt:lpstr>
      <vt:lpstr>GrpA</vt:lpstr>
      <vt:lpstr>GrpB</vt:lpstr>
      <vt:lpstr>GrpC</vt:lpstr>
      <vt:lpstr>GrpD</vt:lpstr>
      <vt:lpstr>GrpE</vt:lpstr>
      <vt:lpstr>GrpF</vt:lpstr>
      <vt:lpstr>FactorDirC2</vt:lpstr>
      <vt:lpstr>FactorDirC3</vt:lpstr>
      <vt:lpstr>FactorDirC42</vt:lpstr>
      <vt:lpstr>FactorDirC43</vt:lpstr>
      <vt:lpstr>FactorFairPlay</vt:lpstr>
      <vt:lpstr>FactorFor</vt:lpstr>
      <vt:lpstr>FactorGD</vt:lpstr>
      <vt:lpstr>FactorPenalty</vt:lpstr>
      <vt:lpstr>FactorPts</vt:lpstr>
      <vt:lpstr>FactorRank</vt:lpstr>
      <vt:lpstr>FactorRow</vt:lpstr>
      <vt:lpstr>FactorWins</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cp:lastPrinted>2024-03-09T13:20:23Z</cp:lastPrinted>
  <dcterms:created xsi:type="dcterms:W3CDTF">2018-06-13T10:24:55Z</dcterms:created>
  <dcterms:modified xsi:type="dcterms:W3CDTF">2024-05-21T15:47:46Z</dcterms:modified>
</cp:coreProperties>
</file>