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E:\Excel\Spielpläne\Turnierpläne\Volleyball_Badminton\"/>
    </mc:Choice>
  </mc:AlternateContent>
  <xr:revisionPtr revIDLastSave="0" documentId="13_ncr:1_{A8B5D397-D419-44FD-A4A8-98AEC467C23D}" xr6:coauthVersionLast="36" xr6:coauthVersionMax="36" xr10:uidLastSave="{00000000-0000-0000-0000-000000000000}"/>
  <bookViews>
    <workbookView xWindow="-120" yWindow="-120" windowWidth="29040" windowHeight="15750" tabRatio="597" activeTab="2" xr2:uid="{00000000-000D-0000-FFFF-FFFF00000000}"/>
  </bookViews>
  <sheets>
    <sheet name="Planning" sheetId="23" r:id="rId1"/>
    <sheet name="proof" sheetId="17" state="hidden" r:id="rId2"/>
    <sheet name="Results" sheetId="6" r:id="rId3"/>
    <sheet name="TieBreak" sheetId="24" r:id="rId4"/>
    <sheet name="Playoffs" sheetId="21" r:id="rId5"/>
    <sheet name="DirectComparisons" sheetId="27" state="hidden" r:id="rId6"/>
    <sheet name="KickoffTimes" sheetId="12" r:id="rId7"/>
    <sheet name="Language" sheetId="9" r:id="rId8"/>
    <sheet name="Settings" sheetId="25" r:id="rId9"/>
    <sheet name="Pairings" sheetId="13" state="hidden" r:id="rId10"/>
    <sheet name="Help" sheetId="26" r:id="rId11"/>
    <sheet name="Calc" sheetId="3" state="hidden" r:id="rId12"/>
  </sheets>
  <externalReferences>
    <externalReference r:id="rId13"/>
  </externalReferences>
  <definedNames>
    <definedName name="FactorGD" localSheetId="1">[1]Calc1!$F$65</definedName>
    <definedName name="FactorGF" localSheetId="1">[1]Calc1!$F$66</definedName>
    <definedName name="FactorPts" localSheetId="1">[1]Calc1!$F$64</definedName>
    <definedName name="GDzero" localSheetId="1">[1]Calc1!$H$65</definedName>
  </definedNames>
  <calcPr calcId="191029" concurrentCalc="0"/>
</workbook>
</file>

<file path=xl/calcChain.xml><?xml version="1.0" encoding="utf-8"?>
<calcChain xmlns="http://schemas.openxmlformats.org/spreadsheetml/2006/main">
  <c r="K7" i="23" l="1" a="1"/>
  <c r="K78" i="23"/>
  <c r="N78" i="23"/>
  <c r="E81" i="6"/>
  <c r="M7" i="23" a="1"/>
  <c r="M78" i="23"/>
  <c r="P78" i="23"/>
  <c r="G81" i="6"/>
  <c r="C3" i="9"/>
  <c r="E70" i="9"/>
  <c r="BG7" i="6"/>
  <c r="BH81" i="6"/>
  <c r="BI81" i="6"/>
  <c r="BJ81" i="6"/>
  <c r="BG81" i="6"/>
  <c r="S81" i="6"/>
  <c r="E90" i="9"/>
  <c r="R81" i="6"/>
  <c r="Q81" i="6"/>
  <c r="K77" i="23"/>
  <c r="N77" i="23"/>
  <c r="E80" i="6"/>
  <c r="M77" i="23"/>
  <c r="P77" i="23"/>
  <c r="G80" i="6"/>
  <c r="BH80" i="6"/>
  <c r="BI80" i="6"/>
  <c r="BJ80" i="6"/>
  <c r="BG80" i="6"/>
  <c r="S80" i="6"/>
  <c r="R80" i="6"/>
  <c r="Q80" i="6"/>
  <c r="K76" i="23"/>
  <c r="N76" i="23"/>
  <c r="E79" i="6"/>
  <c r="M76" i="23"/>
  <c r="P76" i="23"/>
  <c r="G79" i="6"/>
  <c r="BH79" i="6"/>
  <c r="BI79" i="6"/>
  <c r="BJ79" i="6"/>
  <c r="BG79" i="6"/>
  <c r="S79" i="6"/>
  <c r="R79" i="6"/>
  <c r="Q79" i="6"/>
  <c r="K75" i="23"/>
  <c r="N75" i="23"/>
  <c r="E78" i="6"/>
  <c r="M75" i="23"/>
  <c r="P75" i="23"/>
  <c r="G78" i="6"/>
  <c r="BH78" i="6"/>
  <c r="BI78" i="6"/>
  <c r="BJ78" i="6"/>
  <c r="BG78" i="6"/>
  <c r="S78" i="6"/>
  <c r="R78" i="6"/>
  <c r="Q78" i="6"/>
  <c r="K74" i="23"/>
  <c r="N74" i="23"/>
  <c r="E77" i="6"/>
  <c r="M74" i="23"/>
  <c r="P74" i="23"/>
  <c r="G77" i="6"/>
  <c r="BH77" i="6"/>
  <c r="BI77" i="6"/>
  <c r="BJ77" i="6"/>
  <c r="BG77" i="6"/>
  <c r="S77" i="6"/>
  <c r="R77" i="6"/>
  <c r="Q77" i="6"/>
  <c r="K73" i="23"/>
  <c r="N73" i="23"/>
  <c r="E76" i="6"/>
  <c r="M73" i="23"/>
  <c r="P73" i="23"/>
  <c r="G76" i="6"/>
  <c r="BH76" i="6"/>
  <c r="BI76" i="6"/>
  <c r="BJ76" i="6"/>
  <c r="BG76" i="6"/>
  <c r="S76" i="6"/>
  <c r="R76" i="6"/>
  <c r="Q76" i="6"/>
  <c r="K72" i="23"/>
  <c r="N72" i="23"/>
  <c r="E75" i="6"/>
  <c r="M72" i="23"/>
  <c r="P72" i="23"/>
  <c r="G75" i="6"/>
  <c r="BH75" i="6"/>
  <c r="BI75" i="6"/>
  <c r="BJ75" i="6"/>
  <c r="BG75" i="6"/>
  <c r="S75" i="6"/>
  <c r="R75" i="6"/>
  <c r="Q75" i="6"/>
  <c r="K71" i="23"/>
  <c r="N71" i="23"/>
  <c r="E74" i="6"/>
  <c r="M71" i="23"/>
  <c r="P71" i="23"/>
  <c r="G74" i="6"/>
  <c r="BH74" i="6"/>
  <c r="BI74" i="6"/>
  <c r="BJ74" i="6"/>
  <c r="BG74" i="6"/>
  <c r="S74" i="6"/>
  <c r="R74" i="6"/>
  <c r="Q74" i="6"/>
  <c r="K70" i="23"/>
  <c r="N70" i="23"/>
  <c r="E73" i="6"/>
  <c r="M70" i="23"/>
  <c r="P70" i="23"/>
  <c r="G73" i="6"/>
  <c r="BH73" i="6"/>
  <c r="BI73" i="6"/>
  <c r="BJ73" i="6"/>
  <c r="BG73" i="6"/>
  <c r="S73" i="6"/>
  <c r="R73" i="6"/>
  <c r="Q73" i="6"/>
  <c r="K69" i="23"/>
  <c r="N69" i="23"/>
  <c r="E72" i="6"/>
  <c r="M69" i="23"/>
  <c r="P69" i="23"/>
  <c r="G72" i="6"/>
  <c r="BH72" i="6"/>
  <c r="BI72" i="6"/>
  <c r="BJ72" i="6"/>
  <c r="BG72" i="6"/>
  <c r="S72" i="6"/>
  <c r="R72" i="6"/>
  <c r="Q72" i="6"/>
  <c r="K68" i="23"/>
  <c r="N68" i="23"/>
  <c r="E71" i="6"/>
  <c r="M68" i="23"/>
  <c r="P68" i="23"/>
  <c r="G71" i="6"/>
  <c r="BH71" i="6"/>
  <c r="BI71" i="6"/>
  <c r="BJ71" i="6"/>
  <c r="BG71" i="6"/>
  <c r="S71" i="6"/>
  <c r="R71" i="6"/>
  <c r="Q71" i="6"/>
  <c r="K67" i="23"/>
  <c r="N67" i="23"/>
  <c r="E70" i="6"/>
  <c r="M67" i="23"/>
  <c r="P67" i="23"/>
  <c r="G70" i="6"/>
  <c r="BH70" i="6"/>
  <c r="BI70" i="6"/>
  <c r="BJ70" i="6"/>
  <c r="BG70" i="6"/>
  <c r="S70" i="6"/>
  <c r="R70" i="6"/>
  <c r="Q70" i="6"/>
  <c r="K66" i="23"/>
  <c r="N66" i="23"/>
  <c r="E69" i="6"/>
  <c r="M66" i="23"/>
  <c r="P66" i="23"/>
  <c r="G69" i="6"/>
  <c r="BH69" i="6"/>
  <c r="BI69" i="6"/>
  <c r="BJ69" i="6"/>
  <c r="BG69" i="6"/>
  <c r="S69" i="6"/>
  <c r="R69" i="6"/>
  <c r="Q69" i="6"/>
  <c r="K65" i="23"/>
  <c r="N65" i="23"/>
  <c r="E68" i="6"/>
  <c r="M65" i="23"/>
  <c r="P65" i="23"/>
  <c r="G68" i="6"/>
  <c r="BH68" i="6"/>
  <c r="BI68" i="6"/>
  <c r="BJ68" i="6"/>
  <c r="BG68" i="6"/>
  <c r="S68" i="6"/>
  <c r="R68" i="6"/>
  <c r="Q68" i="6"/>
  <c r="K64" i="23"/>
  <c r="N64" i="23"/>
  <c r="E67" i="6"/>
  <c r="M64" i="23"/>
  <c r="P64" i="23"/>
  <c r="G67" i="6"/>
  <c r="BH67" i="6"/>
  <c r="BI67" i="6"/>
  <c r="BJ67" i="6"/>
  <c r="BG67" i="6"/>
  <c r="S67" i="6"/>
  <c r="R67" i="6"/>
  <c r="Q67" i="6"/>
  <c r="K63" i="23"/>
  <c r="N63" i="23"/>
  <c r="E66" i="6"/>
  <c r="M63" i="23"/>
  <c r="P63" i="23"/>
  <c r="G66" i="6"/>
  <c r="BH66" i="6"/>
  <c r="BI66" i="6"/>
  <c r="BJ66" i="6"/>
  <c r="BG66" i="6"/>
  <c r="S66" i="6"/>
  <c r="R66" i="6"/>
  <c r="Q66" i="6"/>
  <c r="K62" i="23"/>
  <c r="N62" i="23"/>
  <c r="E65" i="6"/>
  <c r="M62" i="23"/>
  <c r="P62" i="23"/>
  <c r="G65" i="6"/>
  <c r="BH65" i="6"/>
  <c r="BI65" i="6"/>
  <c r="BJ65" i="6"/>
  <c r="BG65" i="6"/>
  <c r="S65" i="6"/>
  <c r="R65" i="6"/>
  <c r="Q65" i="6"/>
  <c r="K61" i="23"/>
  <c r="N61" i="23"/>
  <c r="E64" i="6"/>
  <c r="M61" i="23"/>
  <c r="P61" i="23"/>
  <c r="G64" i="6"/>
  <c r="BH64" i="6"/>
  <c r="BI64" i="6"/>
  <c r="BJ64" i="6"/>
  <c r="BG64" i="6"/>
  <c r="S64" i="6"/>
  <c r="R64" i="6"/>
  <c r="Q64" i="6"/>
  <c r="K60" i="23"/>
  <c r="N60" i="23"/>
  <c r="E63" i="6"/>
  <c r="M60" i="23"/>
  <c r="P60" i="23"/>
  <c r="G63" i="6"/>
  <c r="BH63" i="6"/>
  <c r="BI63" i="6"/>
  <c r="BJ63" i="6"/>
  <c r="BG63" i="6"/>
  <c r="S63" i="6"/>
  <c r="R63" i="6"/>
  <c r="Q63" i="6"/>
  <c r="K59" i="23"/>
  <c r="N59" i="23"/>
  <c r="E62" i="6"/>
  <c r="M59" i="23"/>
  <c r="P59" i="23"/>
  <c r="G62" i="6"/>
  <c r="BH62" i="6"/>
  <c r="BI62" i="6"/>
  <c r="BJ62" i="6"/>
  <c r="BG62" i="6"/>
  <c r="S62" i="6"/>
  <c r="R62" i="6"/>
  <c r="Q62" i="6"/>
  <c r="K58" i="23"/>
  <c r="N58" i="23"/>
  <c r="E61" i="6"/>
  <c r="M58" i="23"/>
  <c r="P58" i="23"/>
  <c r="G61" i="6"/>
  <c r="BH61" i="6"/>
  <c r="BI61" i="6"/>
  <c r="BJ61" i="6"/>
  <c r="BG61" i="6"/>
  <c r="S61" i="6"/>
  <c r="R61" i="6"/>
  <c r="Q61" i="6"/>
  <c r="K57" i="23"/>
  <c r="N57" i="23"/>
  <c r="E60" i="6"/>
  <c r="M57" i="23"/>
  <c r="P57" i="23"/>
  <c r="G60" i="6"/>
  <c r="BH60" i="6"/>
  <c r="BI60" i="6"/>
  <c r="BJ60" i="6"/>
  <c r="BG60" i="6"/>
  <c r="S60" i="6"/>
  <c r="R60" i="6"/>
  <c r="Q60" i="6"/>
  <c r="K56" i="23"/>
  <c r="N56" i="23"/>
  <c r="E59" i="6"/>
  <c r="M56" i="23"/>
  <c r="P56" i="23"/>
  <c r="G59" i="6"/>
  <c r="BH59" i="6"/>
  <c r="BI59" i="6"/>
  <c r="BJ59" i="6"/>
  <c r="BG59" i="6"/>
  <c r="S59" i="6"/>
  <c r="R59" i="6"/>
  <c r="Q59" i="6"/>
  <c r="K55" i="23"/>
  <c r="N55" i="23"/>
  <c r="E58" i="6"/>
  <c r="M55" i="23"/>
  <c r="P55" i="23"/>
  <c r="G58" i="6"/>
  <c r="BH58" i="6"/>
  <c r="BI58" i="6"/>
  <c r="BJ58" i="6"/>
  <c r="BG58" i="6"/>
  <c r="S58" i="6"/>
  <c r="R58" i="6"/>
  <c r="Q58" i="6"/>
  <c r="K54" i="23"/>
  <c r="N54" i="23"/>
  <c r="E57" i="6"/>
  <c r="M54" i="23"/>
  <c r="P54" i="23"/>
  <c r="G57" i="6"/>
  <c r="BH57" i="6"/>
  <c r="BI57" i="6"/>
  <c r="BJ57" i="6"/>
  <c r="BG57" i="6"/>
  <c r="S57" i="6"/>
  <c r="R57" i="6"/>
  <c r="Q57" i="6"/>
  <c r="K53" i="23"/>
  <c r="N53" i="23"/>
  <c r="E56" i="6"/>
  <c r="M53" i="23"/>
  <c r="P53" i="23"/>
  <c r="G56" i="6"/>
  <c r="BH56" i="6"/>
  <c r="BI56" i="6"/>
  <c r="BJ56" i="6"/>
  <c r="BG56" i="6"/>
  <c r="S56" i="6"/>
  <c r="R56" i="6"/>
  <c r="Q56" i="6"/>
  <c r="K52" i="23"/>
  <c r="N52" i="23"/>
  <c r="E55" i="6"/>
  <c r="M52" i="23"/>
  <c r="P52" i="23"/>
  <c r="G55" i="6"/>
  <c r="BH55" i="6"/>
  <c r="BI55" i="6"/>
  <c r="BJ55" i="6"/>
  <c r="BG55" i="6"/>
  <c r="S55" i="6"/>
  <c r="R55" i="6"/>
  <c r="Q55" i="6"/>
  <c r="K51" i="23"/>
  <c r="N51" i="23"/>
  <c r="E54" i="6"/>
  <c r="M51" i="23"/>
  <c r="P51" i="23"/>
  <c r="G54" i="6"/>
  <c r="BH54" i="6"/>
  <c r="BI54" i="6"/>
  <c r="BJ54" i="6"/>
  <c r="BG54" i="6"/>
  <c r="S54" i="6"/>
  <c r="R54" i="6"/>
  <c r="Q54" i="6"/>
  <c r="K50" i="23"/>
  <c r="N50" i="23"/>
  <c r="E53" i="6"/>
  <c r="M50" i="23"/>
  <c r="P50" i="23"/>
  <c r="G53" i="6"/>
  <c r="BH53" i="6"/>
  <c r="BI53" i="6"/>
  <c r="BJ53" i="6"/>
  <c r="BG53" i="6"/>
  <c r="S53" i="6"/>
  <c r="R53" i="6"/>
  <c r="Q53" i="6"/>
  <c r="K49" i="23"/>
  <c r="N49" i="23"/>
  <c r="E52" i="6"/>
  <c r="M49" i="23"/>
  <c r="P49" i="23"/>
  <c r="G52" i="6"/>
  <c r="BH52" i="6"/>
  <c r="BI52" i="6"/>
  <c r="BJ52" i="6"/>
  <c r="BG52" i="6"/>
  <c r="S52" i="6"/>
  <c r="R52" i="6"/>
  <c r="Q52" i="6"/>
  <c r="K48" i="23"/>
  <c r="N48" i="23"/>
  <c r="E51" i="6"/>
  <c r="M48" i="23"/>
  <c r="P48" i="23"/>
  <c r="G51" i="6"/>
  <c r="BH51" i="6"/>
  <c r="BI51" i="6"/>
  <c r="BJ51" i="6"/>
  <c r="BG51" i="6"/>
  <c r="S51" i="6"/>
  <c r="R51" i="6"/>
  <c r="Q51" i="6"/>
  <c r="K47" i="23"/>
  <c r="N47" i="23"/>
  <c r="E50" i="6"/>
  <c r="M47" i="23"/>
  <c r="P47" i="23"/>
  <c r="G50" i="6"/>
  <c r="BH50" i="6"/>
  <c r="BI50" i="6"/>
  <c r="BJ50" i="6"/>
  <c r="BG50" i="6"/>
  <c r="S50" i="6"/>
  <c r="R50" i="6"/>
  <c r="Q50" i="6"/>
  <c r="K46" i="23"/>
  <c r="N46" i="23"/>
  <c r="E49" i="6"/>
  <c r="M46" i="23"/>
  <c r="P46" i="23"/>
  <c r="G49" i="6"/>
  <c r="BH49" i="6"/>
  <c r="BI49" i="6"/>
  <c r="BJ49" i="6"/>
  <c r="BG49" i="6"/>
  <c r="S49" i="6"/>
  <c r="R49" i="6"/>
  <c r="Q49" i="6"/>
  <c r="K45" i="23"/>
  <c r="N45" i="23"/>
  <c r="E48" i="6"/>
  <c r="M45" i="23"/>
  <c r="P45" i="23"/>
  <c r="G48" i="6"/>
  <c r="BH48" i="6"/>
  <c r="BI48" i="6"/>
  <c r="BJ48" i="6"/>
  <c r="BG48" i="6"/>
  <c r="S48" i="6"/>
  <c r="R48" i="6"/>
  <c r="Q48" i="6"/>
  <c r="K44" i="23"/>
  <c r="N44" i="23"/>
  <c r="E47" i="6"/>
  <c r="M44" i="23"/>
  <c r="P44" i="23"/>
  <c r="G47" i="6"/>
  <c r="BH47" i="6"/>
  <c r="BI47" i="6"/>
  <c r="BJ47" i="6"/>
  <c r="BG47" i="6"/>
  <c r="S47" i="6"/>
  <c r="R47" i="6"/>
  <c r="Q47" i="6"/>
  <c r="K43" i="23"/>
  <c r="N43" i="23"/>
  <c r="E46" i="6"/>
  <c r="M43" i="23"/>
  <c r="P43" i="23"/>
  <c r="G46" i="6"/>
  <c r="BH46" i="6"/>
  <c r="BI46" i="6"/>
  <c r="BJ46" i="6"/>
  <c r="BG46" i="6"/>
  <c r="S46" i="6"/>
  <c r="R46" i="6"/>
  <c r="Q46" i="6"/>
  <c r="K42" i="23"/>
  <c r="N42" i="23"/>
  <c r="E45" i="6"/>
  <c r="M42" i="23"/>
  <c r="P42" i="23"/>
  <c r="G45" i="6"/>
  <c r="BH45" i="6"/>
  <c r="BI45" i="6"/>
  <c r="BJ45" i="6"/>
  <c r="BG45" i="6"/>
  <c r="S45" i="6"/>
  <c r="R45" i="6"/>
  <c r="Q45" i="6"/>
  <c r="K41" i="23"/>
  <c r="N41" i="23"/>
  <c r="E44" i="6"/>
  <c r="M41" i="23"/>
  <c r="P41" i="23"/>
  <c r="G44" i="6"/>
  <c r="BH44" i="6"/>
  <c r="BI44" i="6"/>
  <c r="BJ44" i="6"/>
  <c r="BG44" i="6"/>
  <c r="S44" i="6"/>
  <c r="R44" i="6"/>
  <c r="Q44" i="6"/>
  <c r="K40" i="23"/>
  <c r="N40" i="23"/>
  <c r="E43" i="6"/>
  <c r="M40" i="23"/>
  <c r="P40" i="23"/>
  <c r="G43" i="6"/>
  <c r="BH43" i="6"/>
  <c r="BI43" i="6"/>
  <c r="BJ43" i="6"/>
  <c r="BG43" i="6"/>
  <c r="S43" i="6"/>
  <c r="R43" i="6"/>
  <c r="Q43" i="6"/>
  <c r="K39" i="23"/>
  <c r="N39" i="23"/>
  <c r="E42" i="6"/>
  <c r="M39" i="23"/>
  <c r="P39" i="23"/>
  <c r="G42" i="6"/>
  <c r="BH42" i="6"/>
  <c r="BI42" i="6"/>
  <c r="BJ42" i="6"/>
  <c r="BG42" i="6"/>
  <c r="S42" i="6"/>
  <c r="R42" i="6"/>
  <c r="Q42" i="6"/>
  <c r="K38" i="23"/>
  <c r="N38" i="23"/>
  <c r="E41" i="6"/>
  <c r="M38" i="23"/>
  <c r="P38" i="23"/>
  <c r="G41" i="6"/>
  <c r="BH41" i="6"/>
  <c r="BI41" i="6"/>
  <c r="BJ41" i="6"/>
  <c r="BG41" i="6"/>
  <c r="S41" i="6"/>
  <c r="R41" i="6"/>
  <c r="Q41" i="6"/>
  <c r="K37" i="23"/>
  <c r="N37" i="23"/>
  <c r="E40" i="6"/>
  <c r="M37" i="23"/>
  <c r="P37" i="23"/>
  <c r="G40" i="6"/>
  <c r="BH40" i="6"/>
  <c r="BI40" i="6"/>
  <c r="BJ40" i="6"/>
  <c r="BG40" i="6"/>
  <c r="S40" i="6"/>
  <c r="R40" i="6"/>
  <c r="Q40" i="6"/>
  <c r="K36" i="23"/>
  <c r="N36" i="23"/>
  <c r="E39" i="6"/>
  <c r="M36" i="23"/>
  <c r="P36" i="23"/>
  <c r="G39" i="6"/>
  <c r="BH39" i="6"/>
  <c r="BI39" i="6"/>
  <c r="BJ39" i="6"/>
  <c r="BG39" i="6"/>
  <c r="S39" i="6"/>
  <c r="R39" i="6"/>
  <c r="Q39" i="6"/>
  <c r="K35" i="23"/>
  <c r="N35" i="23"/>
  <c r="E38" i="6"/>
  <c r="M35" i="23"/>
  <c r="P35" i="23"/>
  <c r="G38" i="6"/>
  <c r="BH38" i="6"/>
  <c r="BI38" i="6"/>
  <c r="BJ38" i="6"/>
  <c r="BG38" i="6"/>
  <c r="S38" i="6"/>
  <c r="R38" i="6"/>
  <c r="Q38" i="6"/>
  <c r="K34" i="23"/>
  <c r="N34" i="23"/>
  <c r="E37" i="6"/>
  <c r="M34" i="23"/>
  <c r="P34" i="23"/>
  <c r="G37" i="6"/>
  <c r="BH37" i="6"/>
  <c r="BI37" i="6"/>
  <c r="BJ37" i="6"/>
  <c r="BG37" i="6"/>
  <c r="S37" i="6"/>
  <c r="R37" i="6"/>
  <c r="Q37" i="6"/>
  <c r="K33" i="23"/>
  <c r="N33" i="23"/>
  <c r="E36" i="6"/>
  <c r="M33" i="23"/>
  <c r="P33" i="23"/>
  <c r="G36" i="6"/>
  <c r="BH36" i="6"/>
  <c r="BI36" i="6"/>
  <c r="BJ36" i="6"/>
  <c r="BG36" i="6"/>
  <c r="S36" i="6"/>
  <c r="R36" i="6"/>
  <c r="Q36" i="6"/>
  <c r="K32" i="23"/>
  <c r="N32" i="23"/>
  <c r="E35" i="6"/>
  <c r="M32" i="23"/>
  <c r="P32" i="23"/>
  <c r="G35" i="6"/>
  <c r="BH35" i="6"/>
  <c r="BI35" i="6"/>
  <c r="BJ35" i="6"/>
  <c r="BG35" i="6"/>
  <c r="S35" i="6"/>
  <c r="R35" i="6"/>
  <c r="Q35" i="6"/>
  <c r="K31" i="23"/>
  <c r="N31" i="23"/>
  <c r="E34" i="6"/>
  <c r="M31" i="23"/>
  <c r="P31" i="23"/>
  <c r="G34" i="6"/>
  <c r="BH34" i="6"/>
  <c r="BI34" i="6"/>
  <c r="BJ34" i="6"/>
  <c r="BG34" i="6"/>
  <c r="S34" i="6"/>
  <c r="R34" i="6"/>
  <c r="Q34" i="6"/>
  <c r="K30" i="23"/>
  <c r="N30" i="23"/>
  <c r="E33" i="6"/>
  <c r="M30" i="23"/>
  <c r="P30" i="23"/>
  <c r="G33" i="6"/>
  <c r="BH33" i="6"/>
  <c r="BI33" i="6"/>
  <c r="BJ33" i="6"/>
  <c r="BG33" i="6"/>
  <c r="S33" i="6"/>
  <c r="R33" i="6"/>
  <c r="Q33" i="6"/>
  <c r="K29" i="23"/>
  <c r="N29" i="23"/>
  <c r="E32" i="6"/>
  <c r="M29" i="23"/>
  <c r="P29" i="23"/>
  <c r="G32" i="6"/>
  <c r="BH32" i="6"/>
  <c r="BI32" i="6"/>
  <c r="BJ32" i="6"/>
  <c r="BG32" i="6"/>
  <c r="S32" i="6"/>
  <c r="R32" i="6"/>
  <c r="Q32" i="6"/>
  <c r="K28" i="23"/>
  <c r="N28" i="23"/>
  <c r="E31" i="6"/>
  <c r="M28" i="23"/>
  <c r="P28" i="23"/>
  <c r="G31" i="6"/>
  <c r="BH31" i="6"/>
  <c r="BI31" i="6"/>
  <c r="BJ31" i="6"/>
  <c r="BG31" i="6"/>
  <c r="S31" i="6"/>
  <c r="R31" i="6"/>
  <c r="Q31" i="6"/>
  <c r="K27" i="23"/>
  <c r="N27" i="23"/>
  <c r="E30" i="6"/>
  <c r="M27" i="23"/>
  <c r="P27" i="23"/>
  <c r="G30" i="6"/>
  <c r="BH30" i="6"/>
  <c r="BI30" i="6"/>
  <c r="BJ30" i="6"/>
  <c r="BG30" i="6"/>
  <c r="S30" i="6"/>
  <c r="R30" i="6"/>
  <c r="Q30" i="6"/>
  <c r="K26" i="23"/>
  <c r="N26" i="23"/>
  <c r="E29" i="6"/>
  <c r="M26" i="23"/>
  <c r="P26" i="23"/>
  <c r="G29" i="6"/>
  <c r="BH29" i="6"/>
  <c r="BI29" i="6"/>
  <c r="BJ29" i="6"/>
  <c r="BG29" i="6"/>
  <c r="S29" i="6"/>
  <c r="R29" i="6"/>
  <c r="Q29" i="6"/>
  <c r="K25" i="23"/>
  <c r="N25" i="23"/>
  <c r="E28" i="6"/>
  <c r="M25" i="23"/>
  <c r="P25" i="23"/>
  <c r="G28" i="6"/>
  <c r="BH28" i="6"/>
  <c r="BI28" i="6"/>
  <c r="BJ28" i="6"/>
  <c r="BG28" i="6"/>
  <c r="S28" i="6"/>
  <c r="R28" i="6"/>
  <c r="Q28" i="6"/>
  <c r="K24" i="23"/>
  <c r="N24" i="23"/>
  <c r="E27" i="6"/>
  <c r="M24" i="23"/>
  <c r="P24" i="23"/>
  <c r="G27" i="6"/>
  <c r="BH27" i="6"/>
  <c r="BI27" i="6"/>
  <c r="BJ27" i="6"/>
  <c r="BG27" i="6"/>
  <c r="S27" i="6"/>
  <c r="R27" i="6"/>
  <c r="Q27" i="6"/>
  <c r="K23" i="23"/>
  <c r="N23" i="23"/>
  <c r="E26" i="6"/>
  <c r="M23" i="23"/>
  <c r="P23" i="23"/>
  <c r="G26" i="6"/>
  <c r="BH26" i="6"/>
  <c r="BI26" i="6"/>
  <c r="BJ26" i="6"/>
  <c r="BG26" i="6"/>
  <c r="S26" i="6"/>
  <c r="R26" i="6"/>
  <c r="Q26" i="6"/>
  <c r="K22" i="23"/>
  <c r="N22" i="23"/>
  <c r="E25" i="6"/>
  <c r="M22" i="23"/>
  <c r="P22" i="23"/>
  <c r="G25" i="6"/>
  <c r="BH25" i="6"/>
  <c r="BI25" i="6"/>
  <c r="BJ25" i="6"/>
  <c r="BG25" i="6"/>
  <c r="S25" i="6"/>
  <c r="R25" i="6"/>
  <c r="Q25" i="6"/>
  <c r="K21" i="23"/>
  <c r="N21" i="23"/>
  <c r="E24" i="6"/>
  <c r="M21" i="23"/>
  <c r="P21" i="23"/>
  <c r="G24" i="6"/>
  <c r="BH24" i="6"/>
  <c r="BI24" i="6"/>
  <c r="BJ24" i="6"/>
  <c r="BG24" i="6"/>
  <c r="S24" i="6"/>
  <c r="R24" i="6"/>
  <c r="Q24" i="6"/>
  <c r="K20" i="23"/>
  <c r="N20" i="23"/>
  <c r="E23" i="6"/>
  <c r="M20" i="23"/>
  <c r="P20" i="23"/>
  <c r="G23" i="6"/>
  <c r="BH23" i="6"/>
  <c r="BI23" i="6"/>
  <c r="BJ23" i="6"/>
  <c r="BG23" i="6"/>
  <c r="S23" i="6"/>
  <c r="R23" i="6"/>
  <c r="Q23" i="6"/>
  <c r="K19" i="23"/>
  <c r="N19" i="23"/>
  <c r="E22" i="6"/>
  <c r="M19" i="23"/>
  <c r="P19" i="23"/>
  <c r="G22" i="6"/>
  <c r="BH22" i="6"/>
  <c r="BI22" i="6"/>
  <c r="BJ22" i="6"/>
  <c r="BG22" i="6"/>
  <c r="S22" i="6"/>
  <c r="R22" i="6"/>
  <c r="Q22" i="6"/>
  <c r="K18" i="23"/>
  <c r="N18" i="23"/>
  <c r="E21" i="6"/>
  <c r="M18" i="23"/>
  <c r="P18" i="23"/>
  <c r="G21" i="6"/>
  <c r="BH21" i="6"/>
  <c r="BI21" i="6"/>
  <c r="BJ21" i="6"/>
  <c r="BG21" i="6"/>
  <c r="S21" i="6"/>
  <c r="R21" i="6"/>
  <c r="Q21" i="6"/>
  <c r="K17" i="23"/>
  <c r="N17" i="23"/>
  <c r="E20" i="6"/>
  <c r="M17" i="23"/>
  <c r="P17" i="23"/>
  <c r="G20" i="6"/>
  <c r="BH20" i="6"/>
  <c r="BI20" i="6"/>
  <c r="BJ20" i="6"/>
  <c r="BG20" i="6"/>
  <c r="S20" i="6"/>
  <c r="R20" i="6"/>
  <c r="Q20" i="6"/>
  <c r="K16" i="23"/>
  <c r="N16" i="23"/>
  <c r="E19" i="6"/>
  <c r="M16" i="23"/>
  <c r="P16" i="23"/>
  <c r="G19" i="6"/>
  <c r="BH19" i="6"/>
  <c r="BI19" i="6"/>
  <c r="BJ19" i="6"/>
  <c r="BG19" i="6"/>
  <c r="S19" i="6"/>
  <c r="R19" i="6"/>
  <c r="Q19" i="6"/>
  <c r="K15" i="23"/>
  <c r="N15" i="23"/>
  <c r="E18" i="6"/>
  <c r="M15" i="23"/>
  <c r="P15" i="23"/>
  <c r="G18" i="6"/>
  <c r="BH18" i="6"/>
  <c r="BI18" i="6"/>
  <c r="BJ18" i="6"/>
  <c r="BG18" i="6"/>
  <c r="S18" i="6"/>
  <c r="R18" i="6"/>
  <c r="Q18" i="6"/>
  <c r="K14" i="23"/>
  <c r="N14" i="23"/>
  <c r="E17" i="6"/>
  <c r="M14" i="23"/>
  <c r="P14" i="23"/>
  <c r="G17" i="6"/>
  <c r="BH17" i="6"/>
  <c r="BI17" i="6"/>
  <c r="BJ17" i="6"/>
  <c r="BG17" i="6"/>
  <c r="S17" i="6"/>
  <c r="R17" i="6"/>
  <c r="Q17" i="6"/>
  <c r="K13" i="23"/>
  <c r="N13" i="23"/>
  <c r="E16" i="6"/>
  <c r="M13" i="23"/>
  <c r="P13" i="23"/>
  <c r="G16" i="6"/>
  <c r="BH16" i="6"/>
  <c r="BI16" i="6"/>
  <c r="BJ16" i="6"/>
  <c r="BG16" i="6"/>
  <c r="S16" i="6"/>
  <c r="R16" i="6"/>
  <c r="Q16" i="6"/>
  <c r="K12" i="23"/>
  <c r="N12" i="23"/>
  <c r="E15" i="6"/>
  <c r="M12" i="23"/>
  <c r="P12" i="23"/>
  <c r="G15" i="6"/>
  <c r="BH15" i="6"/>
  <c r="BI15" i="6"/>
  <c r="BJ15" i="6"/>
  <c r="BG15" i="6"/>
  <c r="S15" i="6"/>
  <c r="R15" i="6"/>
  <c r="Q15" i="6"/>
  <c r="K11" i="23"/>
  <c r="N11" i="23"/>
  <c r="E14" i="6"/>
  <c r="M11" i="23"/>
  <c r="P11" i="23"/>
  <c r="G14" i="6"/>
  <c r="BH14" i="6"/>
  <c r="BI14" i="6"/>
  <c r="BJ14" i="6"/>
  <c r="BG14" i="6"/>
  <c r="S14" i="6"/>
  <c r="R14" i="6"/>
  <c r="Q14" i="6"/>
  <c r="K10" i="23"/>
  <c r="N10" i="23"/>
  <c r="E13" i="6"/>
  <c r="M10" i="23"/>
  <c r="P10" i="23"/>
  <c r="G13" i="6"/>
  <c r="BH13" i="6"/>
  <c r="BI13" i="6"/>
  <c r="BJ13" i="6"/>
  <c r="BG13" i="6"/>
  <c r="S13" i="6"/>
  <c r="R13" i="6"/>
  <c r="Q13" i="6"/>
  <c r="K9" i="23"/>
  <c r="N9" i="23"/>
  <c r="E12" i="6"/>
  <c r="M9" i="23"/>
  <c r="P9" i="23"/>
  <c r="G12" i="6"/>
  <c r="BH12" i="6"/>
  <c r="BI12" i="6"/>
  <c r="BJ12" i="6"/>
  <c r="BG12" i="6"/>
  <c r="S12" i="6"/>
  <c r="R12" i="6"/>
  <c r="Q12" i="6"/>
  <c r="K8" i="23"/>
  <c r="N8" i="23"/>
  <c r="E11" i="6"/>
  <c r="M8" i="23"/>
  <c r="P8" i="23"/>
  <c r="G11" i="6"/>
  <c r="BH11" i="6"/>
  <c r="BI11" i="6"/>
  <c r="BJ11" i="6"/>
  <c r="BG11" i="6"/>
  <c r="S11" i="6"/>
  <c r="R11" i="6"/>
  <c r="Q11" i="6"/>
  <c r="K7" i="23"/>
  <c r="N7" i="23"/>
  <c r="E10" i="6"/>
  <c r="M7" i="23"/>
  <c r="P7" i="23"/>
  <c r="G10" i="6"/>
  <c r="BI10" i="6"/>
  <c r="BH10" i="6"/>
  <c r="BJ10" i="6"/>
  <c r="BG10" i="6"/>
  <c r="S10" i="6"/>
  <c r="Q10" i="6"/>
  <c r="E108" i="9"/>
  <c r="B38" i="25"/>
  <c r="E107" i="9"/>
  <c r="B37" i="25"/>
  <c r="V135" i="3"/>
  <c r="W135" i="3"/>
  <c r="Y135" i="3"/>
  <c r="X135" i="3"/>
  <c r="V134" i="3"/>
  <c r="W134" i="3"/>
  <c r="Y134" i="3"/>
  <c r="X134" i="3"/>
  <c r="V133" i="3"/>
  <c r="W133" i="3"/>
  <c r="Y133" i="3"/>
  <c r="X133" i="3"/>
  <c r="V132" i="3"/>
  <c r="W132" i="3"/>
  <c r="Y132" i="3"/>
  <c r="X132" i="3"/>
  <c r="V131" i="3"/>
  <c r="W131" i="3"/>
  <c r="Y131" i="3"/>
  <c r="X131" i="3"/>
  <c r="V130" i="3"/>
  <c r="W130" i="3"/>
  <c r="Y130" i="3"/>
  <c r="X130" i="3"/>
  <c r="V129" i="3"/>
  <c r="W129" i="3"/>
  <c r="Y129" i="3"/>
  <c r="X129" i="3"/>
  <c r="V128" i="3"/>
  <c r="W128" i="3"/>
  <c r="Y128" i="3"/>
  <c r="X128" i="3"/>
  <c r="V127" i="3"/>
  <c r="W127" i="3"/>
  <c r="Y127" i="3"/>
  <c r="X127" i="3"/>
  <c r="V126" i="3"/>
  <c r="W126" i="3"/>
  <c r="Y126" i="3"/>
  <c r="X126" i="3"/>
  <c r="V125" i="3"/>
  <c r="W125" i="3"/>
  <c r="Y125" i="3"/>
  <c r="X125" i="3"/>
  <c r="V124" i="3"/>
  <c r="W124" i="3"/>
  <c r="Y124" i="3"/>
  <c r="X124" i="3"/>
  <c r="V123" i="3"/>
  <c r="W123" i="3"/>
  <c r="Y123" i="3"/>
  <c r="X123" i="3"/>
  <c r="V122" i="3"/>
  <c r="W122" i="3"/>
  <c r="Y122" i="3"/>
  <c r="X122" i="3"/>
  <c r="V121" i="3"/>
  <c r="W121" i="3"/>
  <c r="Y121" i="3"/>
  <c r="X121" i="3"/>
  <c r="V120" i="3"/>
  <c r="W120" i="3"/>
  <c r="Y120" i="3"/>
  <c r="X120" i="3"/>
  <c r="V119" i="3"/>
  <c r="W119" i="3"/>
  <c r="Y119" i="3"/>
  <c r="X119" i="3"/>
  <c r="V118" i="3"/>
  <c r="W118" i="3"/>
  <c r="Y118" i="3"/>
  <c r="X118" i="3"/>
  <c r="V117" i="3"/>
  <c r="W117" i="3"/>
  <c r="Y117" i="3"/>
  <c r="X117" i="3"/>
  <c r="V116" i="3"/>
  <c r="W116" i="3"/>
  <c r="Y116" i="3"/>
  <c r="X116" i="3"/>
  <c r="V115" i="3"/>
  <c r="W115" i="3"/>
  <c r="Y115" i="3"/>
  <c r="X115" i="3"/>
  <c r="V114" i="3"/>
  <c r="W114" i="3"/>
  <c r="Y114" i="3"/>
  <c r="X114" i="3"/>
  <c r="V113" i="3"/>
  <c r="W113" i="3"/>
  <c r="Y113" i="3"/>
  <c r="X113" i="3"/>
  <c r="V112" i="3"/>
  <c r="W112" i="3"/>
  <c r="Y112" i="3"/>
  <c r="X112" i="3"/>
  <c r="V111" i="3"/>
  <c r="W111" i="3"/>
  <c r="Y111" i="3"/>
  <c r="X111" i="3"/>
  <c r="V110" i="3"/>
  <c r="W110" i="3"/>
  <c r="Y110" i="3"/>
  <c r="X110" i="3"/>
  <c r="V109" i="3"/>
  <c r="W109" i="3"/>
  <c r="Y109" i="3"/>
  <c r="X109" i="3"/>
  <c r="V108" i="3"/>
  <c r="W108" i="3"/>
  <c r="Y108" i="3"/>
  <c r="X108" i="3"/>
  <c r="V107" i="3"/>
  <c r="W107" i="3"/>
  <c r="Y107" i="3"/>
  <c r="X107" i="3"/>
  <c r="V106" i="3"/>
  <c r="W106" i="3"/>
  <c r="Y106" i="3"/>
  <c r="X106" i="3"/>
  <c r="V105" i="3"/>
  <c r="W105" i="3"/>
  <c r="Y105" i="3"/>
  <c r="X105" i="3"/>
  <c r="V104" i="3"/>
  <c r="W104" i="3"/>
  <c r="Y104" i="3"/>
  <c r="X104" i="3"/>
  <c r="V103" i="3"/>
  <c r="W103" i="3"/>
  <c r="Y103" i="3"/>
  <c r="X103" i="3"/>
  <c r="V102" i="3"/>
  <c r="W102" i="3"/>
  <c r="Y102" i="3"/>
  <c r="X102" i="3"/>
  <c r="V101" i="3"/>
  <c r="W101" i="3"/>
  <c r="Y101" i="3"/>
  <c r="X101" i="3"/>
  <c r="V100" i="3"/>
  <c r="W100" i="3"/>
  <c r="Y100" i="3"/>
  <c r="X100" i="3"/>
  <c r="V99" i="3"/>
  <c r="W99" i="3"/>
  <c r="Y99" i="3"/>
  <c r="X99" i="3"/>
  <c r="V98" i="3"/>
  <c r="W98" i="3"/>
  <c r="Y98" i="3"/>
  <c r="X98" i="3"/>
  <c r="V97" i="3"/>
  <c r="W97" i="3"/>
  <c r="Y97" i="3"/>
  <c r="X97" i="3"/>
  <c r="V96" i="3"/>
  <c r="W96" i="3"/>
  <c r="Y96" i="3"/>
  <c r="X96" i="3"/>
  <c r="V95" i="3"/>
  <c r="W95" i="3"/>
  <c r="Y95" i="3"/>
  <c r="X95" i="3"/>
  <c r="V94" i="3"/>
  <c r="W94" i="3"/>
  <c r="Y94" i="3"/>
  <c r="X94" i="3"/>
  <c r="V93" i="3"/>
  <c r="W93" i="3"/>
  <c r="Y93" i="3"/>
  <c r="X93" i="3"/>
  <c r="V92" i="3"/>
  <c r="W92" i="3"/>
  <c r="Y92" i="3"/>
  <c r="X92" i="3"/>
  <c r="V91" i="3"/>
  <c r="W91" i="3"/>
  <c r="Y91" i="3"/>
  <c r="X91" i="3"/>
  <c r="V90" i="3"/>
  <c r="W90" i="3"/>
  <c r="Y90" i="3"/>
  <c r="X90" i="3"/>
  <c r="V89" i="3"/>
  <c r="W89" i="3"/>
  <c r="Y89" i="3"/>
  <c r="X89" i="3"/>
  <c r="V88" i="3"/>
  <c r="W88" i="3"/>
  <c r="Y88" i="3"/>
  <c r="X88" i="3"/>
  <c r="V87" i="3"/>
  <c r="W87" i="3"/>
  <c r="Y87" i="3"/>
  <c r="X87" i="3"/>
  <c r="V86" i="3"/>
  <c r="W86" i="3"/>
  <c r="Y86" i="3"/>
  <c r="X86" i="3"/>
  <c r="V85" i="3"/>
  <c r="W85" i="3"/>
  <c r="Y85" i="3"/>
  <c r="X85" i="3"/>
  <c r="V84" i="3"/>
  <c r="W84" i="3"/>
  <c r="Y84" i="3"/>
  <c r="X84" i="3"/>
  <c r="V83" i="3"/>
  <c r="W83" i="3"/>
  <c r="Y83" i="3"/>
  <c r="X83" i="3"/>
  <c r="V82" i="3"/>
  <c r="W82" i="3"/>
  <c r="Y82" i="3"/>
  <c r="X82" i="3"/>
  <c r="V81" i="3"/>
  <c r="W81" i="3"/>
  <c r="Y81" i="3"/>
  <c r="X81" i="3"/>
  <c r="V80" i="3"/>
  <c r="W80" i="3"/>
  <c r="Y80" i="3"/>
  <c r="X80" i="3"/>
  <c r="V79" i="3"/>
  <c r="W79" i="3"/>
  <c r="Y79" i="3"/>
  <c r="X79" i="3"/>
  <c r="V78" i="3"/>
  <c r="W78" i="3"/>
  <c r="Y78" i="3"/>
  <c r="X78" i="3"/>
  <c r="V77" i="3"/>
  <c r="W77" i="3"/>
  <c r="Y77" i="3"/>
  <c r="X77" i="3"/>
  <c r="V76" i="3"/>
  <c r="W76" i="3"/>
  <c r="Y76" i="3"/>
  <c r="X76" i="3"/>
  <c r="V75" i="3"/>
  <c r="W75" i="3"/>
  <c r="Y75" i="3"/>
  <c r="X75" i="3"/>
  <c r="V74" i="3"/>
  <c r="W74" i="3"/>
  <c r="Y74" i="3"/>
  <c r="X74" i="3"/>
  <c r="V73" i="3"/>
  <c r="W73" i="3"/>
  <c r="Y73" i="3"/>
  <c r="X73" i="3"/>
  <c r="V72" i="3"/>
  <c r="W72" i="3"/>
  <c r="Y72" i="3"/>
  <c r="X72" i="3"/>
  <c r="V71" i="3"/>
  <c r="W71" i="3"/>
  <c r="Y71" i="3"/>
  <c r="X71" i="3"/>
  <c r="V70" i="3"/>
  <c r="W70" i="3"/>
  <c r="Y70" i="3"/>
  <c r="X70" i="3"/>
  <c r="V69" i="3"/>
  <c r="W69" i="3"/>
  <c r="Y69" i="3"/>
  <c r="X69" i="3"/>
  <c r="V68" i="3"/>
  <c r="W68" i="3"/>
  <c r="Y68" i="3"/>
  <c r="X68" i="3"/>
  <c r="V67" i="3"/>
  <c r="W67" i="3"/>
  <c r="Y67" i="3"/>
  <c r="X67" i="3"/>
  <c r="V66" i="3"/>
  <c r="W66" i="3"/>
  <c r="Y66" i="3"/>
  <c r="X66" i="3"/>
  <c r="V65" i="3"/>
  <c r="W65" i="3"/>
  <c r="Y65" i="3"/>
  <c r="X65" i="3"/>
  <c r="AI135" i="3"/>
  <c r="AH135" i="3"/>
  <c r="AG135" i="3"/>
  <c r="AF135" i="3"/>
  <c r="AI134" i="3"/>
  <c r="AH134" i="3"/>
  <c r="AG134" i="3"/>
  <c r="AF134" i="3"/>
  <c r="AI133" i="3"/>
  <c r="AH133" i="3"/>
  <c r="AG133" i="3"/>
  <c r="AF133" i="3"/>
  <c r="AI132" i="3"/>
  <c r="AH132" i="3"/>
  <c r="AG132" i="3"/>
  <c r="AF132" i="3"/>
  <c r="AI131" i="3"/>
  <c r="AH131" i="3"/>
  <c r="AG131" i="3"/>
  <c r="AF131" i="3"/>
  <c r="AI130" i="3"/>
  <c r="AH130" i="3"/>
  <c r="AG130" i="3"/>
  <c r="AF130" i="3"/>
  <c r="AI129" i="3"/>
  <c r="AH129" i="3"/>
  <c r="AG129" i="3"/>
  <c r="AF129" i="3"/>
  <c r="AI128" i="3"/>
  <c r="AH128" i="3"/>
  <c r="AG128" i="3"/>
  <c r="AF128" i="3"/>
  <c r="AI127" i="3"/>
  <c r="AH127" i="3"/>
  <c r="AG127" i="3"/>
  <c r="AF127" i="3"/>
  <c r="AI126" i="3"/>
  <c r="AH126" i="3"/>
  <c r="AG126" i="3"/>
  <c r="AF126" i="3"/>
  <c r="AI125" i="3"/>
  <c r="AH125" i="3"/>
  <c r="AG125" i="3"/>
  <c r="AF125" i="3"/>
  <c r="AI124" i="3"/>
  <c r="AH124" i="3"/>
  <c r="AG124" i="3"/>
  <c r="AF124" i="3"/>
  <c r="AI123" i="3"/>
  <c r="AH123" i="3"/>
  <c r="AG123" i="3"/>
  <c r="AF123" i="3"/>
  <c r="AI122" i="3"/>
  <c r="AH122" i="3"/>
  <c r="AG122" i="3"/>
  <c r="AF122" i="3"/>
  <c r="AI121" i="3"/>
  <c r="AH121" i="3"/>
  <c r="AG121" i="3"/>
  <c r="AF121" i="3"/>
  <c r="AI120" i="3"/>
  <c r="AH120" i="3"/>
  <c r="AG120" i="3"/>
  <c r="AF120" i="3"/>
  <c r="AI119" i="3"/>
  <c r="AH119" i="3"/>
  <c r="AG119" i="3"/>
  <c r="AF119" i="3"/>
  <c r="AI118" i="3"/>
  <c r="AH118" i="3"/>
  <c r="AG118" i="3"/>
  <c r="AF118" i="3"/>
  <c r="AI117" i="3"/>
  <c r="AH117" i="3"/>
  <c r="AG117" i="3"/>
  <c r="AF117" i="3"/>
  <c r="AI116" i="3"/>
  <c r="AH116" i="3"/>
  <c r="AG116" i="3"/>
  <c r="AF116" i="3"/>
  <c r="AI115" i="3"/>
  <c r="AH115" i="3"/>
  <c r="AG115" i="3"/>
  <c r="AF115" i="3"/>
  <c r="AI114" i="3"/>
  <c r="AH114" i="3"/>
  <c r="AG114" i="3"/>
  <c r="AF114" i="3"/>
  <c r="AI113" i="3"/>
  <c r="AH113" i="3"/>
  <c r="AG113" i="3"/>
  <c r="AF113" i="3"/>
  <c r="AI112" i="3"/>
  <c r="AH112" i="3"/>
  <c r="AG112" i="3"/>
  <c r="AF112" i="3"/>
  <c r="AI111" i="3"/>
  <c r="AH111" i="3"/>
  <c r="AG111" i="3"/>
  <c r="AF111" i="3"/>
  <c r="AI110" i="3"/>
  <c r="AH110" i="3"/>
  <c r="AG110" i="3"/>
  <c r="AF110" i="3"/>
  <c r="AI109" i="3"/>
  <c r="AH109" i="3"/>
  <c r="AG109" i="3"/>
  <c r="AF109" i="3"/>
  <c r="AI108" i="3"/>
  <c r="AH108" i="3"/>
  <c r="AG108" i="3"/>
  <c r="AF108" i="3"/>
  <c r="AI107" i="3"/>
  <c r="AH107" i="3"/>
  <c r="AG107" i="3"/>
  <c r="AF107" i="3"/>
  <c r="AI106" i="3"/>
  <c r="AH106" i="3"/>
  <c r="AG106" i="3"/>
  <c r="AF106" i="3"/>
  <c r="AI105" i="3"/>
  <c r="AH105" i="3"/>
  <c r="AG105" i="3"/>
  <c r="AF105" i="3"/>
  <c r="AI104" i="3"/>
  <c r="AH104" i="3"/>
  <c r="AG104" i="3"/>
  <c r="AF104" i="3"/>
  <c r="AI103" i="3"/>
  <c r="AH103" i="3"/>
  <c r="AG103" i="3"/>
  <c r="AF103" i="3"/>
  <c r="AI102" i="3"/>
  <c r="AH102" i="3"/>
  <c r="AG102" i="3"/>
  <c r="AF102" i="3"/>
  <c r="AI101" i="3"/>
  <c r="AH101" i="3"/>
  <c r="AG101" i="3"/>
  <c r="AF101" i="3"/>
  <c r="AI100" i="3"/>
  <c r="AH100" i="3"/>
  <c r="AG100" i="3"/>
  <c r="AF100" i="3"/>
  <c r="AI99" i="3"/>
  <c r="AH99" i="3"/>
  <c r="AG99" i="3"/>
  <c r="AF99" i="3"/>
  <c r="AI98" i="3"/>
  <c r="AH98" i="3"/>
  <c r="AG98" i="3"/>
  <c r="AF98" i="3"/>
  <c r="AI97" i="3"/>
  <c r="AH97" i="3"/>
  <c r="AG97" i="3"/>
  <c r="AF97" i="3"/>
  <c r="AI96" i="3"/>
  <c r="AH96" i="3"/>
  <c r="AG96" i="3"/>
  <c r="AF96" i="3"/>
  <c r="AI95" i="3"/>
  <c r="AH95" i="3"/>
  <c r="AG95" i="3"/>
  <c r="AF95" i="3"/>
  <c r="AI94" i="3"/>
  <c r="AH94" i="3"/>
  <c r="AG94" i="3"/>
  <c r="AF94" i="3"/>
  <c r="AI93" i="3"/>
  <c r="AH93" i="3"/>
  <c r="AG93" i="3"/>
  <c r="AF93" i="3"/>
  <c r="AI92" i="3"/>
  <c r="AH92" i="3"/>
  <c r="AG92" i="3"/>
  <c r="AF92" i="3"/>
  <c r="AI91" i="3"/>
  <c r="AH91" i="3"/>
  <c r="AG91" i="3"/>
  <c r="AF91" i="3"/>
  <c r="AI90" i="3"/>
  <c r="AH90" i="3"/>
  <c r="AG90" i="3"/>
  <c r="AF90" i="3"/>
  <c r="AI89" i="3"/>
  <c r="AH89" i="3"/>
  <c r="AG89" i="3"/>
  <c r="AF89" i="3"/>
  <c r="AI88" i="3"/>
  <c r="AH88" i="3"/>
  <c r="AG88" i="3"/>
  <c r="AF88" i="3"/>
  <c r="AI87" i="3"/>
  <c r="AH87" i="3"/>
  <c r="AG87" i="3"/>
  <c r="AF87" i="3"/>
  <c r="AI86" i="3"/>
  <c r="AH86" i="3"/>
  <c r="AG86" i="3"/>
  <c r="AF86" i="3"/>
  <c r="AI85" i="3"/>
  <c r="AH85" i="3"/>
  <c r="AG85" i="3"/>
  <c r="AF85" i="3"/>
  <c r="AI84" i="3"/>
  <c r="AH84" i="3"/>
  <c r="AG84" i="3"/>
  <c r="AF84" i="3"/>
  <c r="AI83" i="3"/>
  <c r="AH83" i="3"/>
  <c r="AG83" i="3"/>
  <c r="AF83" i="3"/>
  <c r="AI82" i="3"/>
  <c r="AH82" i="3"/>
  <c r="AG82" i="3"/>
  <c r="AF82" i="3"/>
  <c r="AI81" i="3"/>
  <c r="AH81" i="3"/>
  <c r="AG81" i="3"/>
  <c r="AF81" i="3"/>
  <c r="AI80" i="3"/>
  <c r="AH80" i="3"/>
  <c r="AG80" i="3"/>
  <c r="AF80" i="3"/>
  <c r="AI79" i="3"/>
  <c r="AH79" i="3"/>
  <c r="AG79" i="3"/>
  <c r="AF79" i="3"/>
  <c r="AI78" i="3"/>
  <c r="AH78" i="3"/>
  <c r="AG78" i="3"/>
  <c r="AF78" i="3"/>
  <c r="AI77" i="3"/>
  <c r="AH77" i="3"/>
  <c r="AG77" i="3"/>
  <c r="AF77" i="3"/>
  <c r="AI76" i="3"/>
  <c r="AH76" i="3"/>
  <c r="AG76" i="3"/>
  <c r="AF76" i="3"/>
  <c r="AI75" i="3"/>
  <c r="AH75" i="3"/>
  <c r="AG75" i="3"/>
  <c r="AF75" i="3"/>
  <c r="AI74" i="3"/>
  <c r="AH74" i="3"/>
  <c r="AG74" i="3"/>
  <c r="AF74" i="3"/>
  <c r="AI73" i="3"/>
  <c r="AH73" i="3"/>
  <c r="AG73" i="3"/>
  <c r="AF73" i="3"/>
  <c r="AI72" i="3"/>
  <c r="AH72" i="3"/>
  <c r="AG72" i="3"/>
  <c r="AF72" i="3"/>
  <c r="AI71" i="3"/>
  <c r="AH71" i="3"/>
  <c r="AG71" i="3"/>
  <c r="AF71" i="3"/>
  <c r="AI70" i="3"/>
  <c r="AH70" i="3"/>
  <c r="AG70" i="3"/>
  <c r="AF70" i="3"/>
  <c r="AI69" i="3"/>
  <c r="AH69" i="3"/>
  <c r="AG69" i="3"/>
  <c r="AF69" i="3"/>
  <c r="AI68" i="3"/>
  <c r="AH68" i="3"/>
  <c r="AG68" i="3"/>
  <c r="AF68" i="3"/>
  <c r="AI67" i="3"/>
  <c r="AH67" i="3"/>
  <c r="AG67" i="3"/>
  <c r="AF67" i="3"/>
  <c r="AI66" i="3"/>
  <c r="AH66" i="3"/>
  <c r="AG66" i="3"/>
  <c r="AF66" i="3"/>
  <c r="AI65" i="3"/>
  <c r="AH65" i="3"/>
  <c r="AG65" i="3"/>
  <c r="AF65" i="3"/>
  <c r="V64" i="3"/>
  <c r="W64" i="3"/>
  <c r="AI64" i="3"/>
  <c r="AH64" i="3"/>
  <c r="AG64" i="3"/>
  <c r="AF64" i="3"/>
  <c r="Y64" i="3"/>
  <c r="X64" i="3"/>
  <c r="AA135" i="3"/>
  <c r="E78" i="23"/>
  <c r="F78" i="23"/>
  <c r="AD207" i="3"/>
  <c r="AA134" i="3"/>
  <c r="E77" i="23"/>
  <c r="F77" i="23"/>
  <c r="AD206" i="3"/>
  <c r="AA133" i="3"/>
  <c r="E76" i="23"/>
  <c r="F76" i="23"/>
  <c r="AD205" i="3"/>
  <c r="AA132" i="3"/>
  <c r="E75" i="23"/>
  <c r="F75" i="23"/>
  <c r="AD204" i="3"/>
  <c r="AA131" i="3"/>
  <c r="E74" i="23"/>
  <c r="F74" i="23"/>
  <c r="AD203" i="3"/>
  <c r="AA130" i="3"/>
  <c r="E73" i="23"/>
  <c r="F73" i="23"/>
  <c r="AD202" i="3"/>
  <c r="AA129" i="3"/>
  <c r="E72" i="23"/>
  <c r="F72" i="23"/>
  <c r="AD201" i="3"/>
  <c r="AA128" i="3"/>
  <c r="E71" i="23"/>
  <c r="F71" i="23"/>
  <c r="AD200" i="3"/>
  <c r="AA127" i="3"/>
  <c r="E70" i="23"/>
  <c r="F70" i="23"/>
  <c r="AD199" i="3"/>
  <c r="AA126" i="3"/>
  <c r="E69" i="23"/>
  <c r="F69" i="23"/>
  <c r="AD198" i="3"/>
  <c r="AA125" i="3"/>
  <c r="E68" i="23"/>
  <c r="F68" i="23"/>
  <c r="AD197" i="3"/>
  <c r="AA124" i="3"/>
  <c r="E67" i="23"/>
  <c r="F67" i="23"/>
  <c r="AD196" i="3"/>
  <c r="AA123" i="3"/>
  <c r="E66" i="23"/>
  <c r="F66" i="23"/>
  <c r="AD195" i="3"/>
  <c r="AA122" i="3"/>
  <c r="E65" i="23"/>
  <c r="F65" i="23"/>
  <c r="AD194" i="3"/>
  <c r="AA121" i="3"/>
  <c r="E64" i="23"/>
  <c r="F64" i="23"/>
  <c r="AD193" i="3"/>
  <c r="AA120" i="3"/>
  <c r="E63" i="23"/>
  <c r="F63" i="23"/>
  <c r="AD192" i="3"/>
  <c r="AA119" i="3"/>
  <c r="E62" i="23"/>
  <c r="F62" i="23"/>
  <c r="AD191" i="3"/>
  <c r="AA118" i="3"/>
  <c r="E61" i="23"/>
  <c r="F61" i="23"/>
  <c r="AD190" i="3"/>
  <c r="AA117" i="3"/>
  <c r="E60" i="23"/>
  <c r="F60" i="23"/>
  <c r="AD189" i="3"/>
  <c r="AA116" i="3"/>
  <c r="E59" i="23"/>
  <c r="F59" i="23"/>
  <c r="AD188" i="3"/>
  <c r="AA115" i="3"/>
  <c r="E58" i="23"/>
  <c r="F58" i="23"/>
  <c r="AD187" i="3"/>
  <c r="AA114" i="3"/>
  <c r="E57" i="23"/>
  <c r="F57" i="23"/>
  <c r="AD186" i="3"/>
  <c r="AA113" i="3"/>
  <c r="E56" i="23"/>
  <c r="F56" i="23"/>
  <c r="AD185" i="3"/>
  <c r="AA112" i="3"/>
  <c r="E55" i="23"/>
  <c r="F55" i="23"/>
  <c r="AD184" i="3"/>
  <c r="AA111" i="3"/>
  <c r="E54" i="23"/>
  <c r="F54" i="23"/>
  <c r="AD183" i="3"/>
  <c r="AA110" i="3"/>
  <c r="E53" i="23"/>
  <c r="F53" i="23"/>
  <c r="AD182" i="3"/>
  <c r="AA109" i="3"/>
  <c r="E52" i="23"/>
  <c r="F52" i="23"/>
  <c r="AD181" i="3"/>
  <c r="AA108" i="3"/>
  <c r="E51" i="23"/>
  <c r="F51" i="23"/>
  <c r="AD180" i="3"/>
  <c r="AA107" i="3"/>
  <c r="E50" i="23"/>
  <c r="F50" i="23"/>
  <c r="AD179" i="3"/>
  <c r="AA106" i="3"/>
  <c r="E49" i="23"/>
  <c r="F49" i="23"/>
  <c r="AD178" i="3"/>
  <c r="AA105" i="3"/>
  <c r="E48" i="23"/>
  <c r="E120" i="23"/>
  <c r="E7" i="23"/>
  <c r="E8" i="23"/>
  <c r="E9" i="23"/>
  <c r="E10" i="23"/>
  <c r="E11" i="23"/>
  <c r="E12" i="23"/>
  <c r="E13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8" i="23"/>
  <c r="E29" i="23"/>
  <c r="E30" i="23"/>
  <c r="E31" i="23"/>
  <c r="E32" i="23"/>
  <c r="E33" i="23"/>
  <c r="E34" i="23"/>
  <c r="E35" i="23"/>
  <c r="E36" i="23"/>
  <c r="E37" i="23"/>
  <c r="E38" i="23"/>
  <c r="E39" i="23"/>
  <c r="E40" i="23"/>
  <c r="E41" i="23"/>
  <c r="E42" i="23"/>
  <c r="E43" i="23"/>
  <c r="E44" i="23"/>
  <c r="E45" i="23"/>
  <c r="E46" i="23"/>
  <c r="E47" i="23"/>
  <c r="F48" i="23"/>
  <c r="AK105" i="3"/>
  <c r="AJ105" i="3"/>
  <c r="AD177" i="3"/>
  <c r="AA104" i="3"/>
  <c r="E119" i="23"/>
  <c r="F47" i="23"/>
  <c r="AK104" i="3"/>
  <c r="AJ104" i="3"/>
  <c r="AD176" i="3"/>
  <c r="AA103" i="3"/>
  <c r="E118" i="23"/>
  <c r="F46" i="23"/>
  <c r="AK103" i="3"/>
  <c r="AJ103" i="3"/>
  <c r="AD175" i="3"/>
  <c r="AA102" i="3"/>
  <c r="E117" i="23"/>
  <c r="F45" i="23"/>
  <c r="AK102" i="3"/>
  <c r="AJ102" i="3"/>
  <c r="AD174" i="3"/>
  <c r="AA101" i="3"/>
  <c r="E116" i="23"/>
  <c r="F44" i="23"/>
  <c r="AK101" i="3"/>
  <c r="AJ101" i="3"/>
  <c r="AD173" i="3"/>
  <c r="AA100" i="3"/>
  <c r="E115" i="23"/>
  <c r="F43" i="23"/>
  <c r="AK100" i="3"/>
  <c r="AJ100" i="3"/>
  <c r="AD172" i="3"/>
  <c r="AA99" i="3"/>
  <c r="E114" i="23"/>
  <c r="F42" i="23"/>
  <c r="AK99" i="3"/>
  <c r="AJ99" i="3"/>
  <c r="AD171" i="3"/>
  <c r="AA98" i="3"/>
  <c r="E113" i="23"/>
  <c r="F41" i="23"/>
  <c r="AK98" i="3"/>
  <c r="AJ98" i="3"/>
  <c r="AD170" i="3"/>
  <c r="AA97" i="3"/>
  <c r="E112" i="23"/>
  <c r="F40" i="23"/>
  <c r="AK97" i="3"/>
  <c r="AJ97" i="3"/>
  <c r="AD169" i="3"/>
  <c r="AA96" i="3"/>
  <c r="E111" i="23"/>
  <c r="F39" i="23"/>
  <c r="AK96" i="3"/>
  <c r="AJ96" i="3"/>
  <c r="AD168" i="3"/>
  <c r="AA95" i="3"/>
  <c r="E110" i="23"/>
  <c r="F38" i="23"/>
  <c r="AK95" i="3"/>
  <c r="AJ95" i="3"/>
  <c r="AD167" i="3"/>
  <c r="AA94" i="3"/>
  <c r="E109" i="23"/>
  <c r="F37" i="23"/>
  <c r="AK94" i="3"/>
  <c r="AJ94" i="3"/>
  <c r="AD166" i="3"/>
  <c r="AA93" i="3"/>
  <c r="E108" i="23"/>
  <c r="F36" i="23"/>
  <c r="AK93" i="3"/>
  <c r="AJ93" i="3"/>
  <c r="AD165" i="3"/>
  <c r="AA92" i="3"/>
  <c r="E107" i="23"/>
  <c r="F35" i="23"/>
  <c r="AK92" i="3"/>
  <c r="AJ92" i="3"/>
  <c r="AD164" i="3"/>
  <c r="AA91" i="3"/>
  <c r="E106" i="23"/>
  <c r="F34" i="23"/>
  <c r="AK91" i="3"/>
  <c r="AJ91" i="3"/>
  <c r="AD163" i="3"/>
  <c r="AA90" i="3"/>
  <c r="E105" i="23"/>
  <c r="F33" i="23"/>
  <c r="AK90" i="3"/>
  <c r="AJ90" i="3"/>
  <c r="AD162" i="3"/>
  <c r="AA89" i="3"/>
  <c r="E104" i="23"/>
  <c r="F32" i="23"/>
  <c r="AK89" i="3"/>
  <c r="AJ89" i="3"/>
  <c r="AD161" i="3"/>
  <c r="AA88" i="3"/>
  <c r="E103" i="23"/>
  <c r="F31" i="23"/>
  <c r="AK88" i="3"/>
  <c r="AJ88" i="3"/>
  <c r="AD160" i="3"/>
  <c r="AA87" i="3"/>
  <c r="E102" i="23"/>
  <c r="F30" i="23"/>
  <c r="AK87" i="3"/>
  <c r="AJ87" i="3"/>
  <c r="AD159" i="3"/>
  <c r="AA86" i="3"/>
  <c r="E101" i="23"/>
  <c r="F29" i="23"/>
  <c r="AK86" i="3"/>
  <c r="AJ86" i="3"/>
  <c r="AD158" i="3"/>
  <c r="AA85" i="3"/>
  <c r="E100" i="23"/>
  <c r="F28" i="23"/>
  <c r="AK85" i="3"/>
  <c r="AJ85" i="3"/>
  <c r="AD157" i="3"/>
  <c r="AA84" i="3"/>
  <c r="E99" i="23"/>
  <c r="F27" i="23"/>
  <c r="AD156" i="3"/>
  <c r="AA83" i="3"/>
  <c r="E98" i="23"/>
  <c r="F26" i="23"/>
  <c r="AD155" i="3"/>
  <c r="AA82" i="3"/>
  <c r="E97" i="23"/>
  <c r="F25" i="23"/>
  <c r="AD154" i="3"/>
  <c r="AA81" i="3"/>
  <c r="E96" i="23"/>
  <c r="F24" i="23"/>
  <c r="AD153" i="3"/>
  <c r="AA80" i="3"/>
  <c r="E95" i="23"/>
  <c r="F23" i="23"/>
  <c r="AD152" i="3"/>
  <c r="AA79" i="3"/>
  <c r="E94" i="23"/>
  <c r="F22" i="23"/>
  <c r="AD151" i="3"/>
  <c r="AA78" i="3"/>
  <c r="E93" i="23"/>
  <c r="F21" i="23"/>
  <c r="AD150" i="3"/>
  <c r="AA77" i="3"/>
  <c r="E92" i="23"/>
  <c r="F20" i="23"/>
  <c r="AD149" i="3"/>
  <c r="AA76" i="3"/>
  <c r="E91" i="23"/>
  <c r="F19" i="23"/>
  <c r="AD148" i="3"/>
  <c r="AA75" i="3"/>
  <c r="E90" i="23"/>
  <c r="F18" i="23"/>
  <c r="AD147" i="3"/>
  <c r="AA74" i="3"/>
  <c r="E89" i="23"/>
  <c r="F17" i="23"/>
  <c r="AD146" i="3"/>
  <c r="AA73" i="3"/>
  <c r="E88" i="23"/>
  <c r="F16" i="23"/>
  <c r="AD145" i="3"/>
  <c r="AA72" i="3"/>
  <c r="E87" i="23"/>
  <c r="F15" i="23"/>
  <c r="AD144" i="3"/>
  <c r="AA71" i="3"/>
  <c r="E86" i="23"/>
  <c r="F14" i="23"/>
  <c r="AD143" i="3"/>
  <c r="AA70" i="3"/>
  <c r="E85" i="23"/>
  <c r="F13" i="23"/>
  <c r="AD142" i="3"/>
  <c r="AA69" i="3"/>
  <c r="E84" i="23"/>
  <c r="F12" i="23"/>
  <c r="AD141" i="3"/>
  <c r="AA68" i="3"/>
  <c r="E83" i="23"/>
  <c r="F11" i="23"/>
  <c r="AD140" i="3"/>
  <c r="AA67" i="3"/>
  <c r="E82" i="23"/>
  <c r="F10" i="23"/>
  <c r="AD139" i="3"/>
  <c r="AA66" i="3"/>
  <c r="E81" i="23"/>
  <c r="F9" i="23"/>
  <c r="AD138" i="3"/>
  <c r="AA65" i="3"/>
  <c r="E80" i="23"/>
  <c r="F8" i="23"/>
  <c r="AD137" i="3"/>
  <c r="AA64" i="3"/>
  <c r="E79" i="23"/>
  <c r="F7" i="23"/>
  <c r="AD136" i="3"/>
  <c r="AB207" i="3"/>
  <c r="AB206" i="3"/>
  <c r="AB205" i="3"/>
  <c r="AB204" i="3"/>
  <c r="AB203" i="3"/>
  <c r="AB202" i="3"/>
  <c r="AB201" i="3"/>
  <c r="AB200" i="3"/>
  <c r="AB199" i="3"/>
  <c r="AB198" i="3"/>
  <c r="AB197" i="3"/>
  <c r="AB196" i="3"/>
  <c r="AB195" i="3"/>
  <c r="AB194" i="3"/>
  <c r="AB193" i="3"/>
  <c r="AB192" i="3"/>
  <c r="AB191" i="3"/>
  <c r="AB190" i="3"/>
  <c r="AB189" i="3"/>
  <c r="AB188" i="3"/>
  <c r="AB187" i="3"/>
  <c r="AB186" i="3"/>
  <c r="AB185" i="3"/>
  <c r="AB184" i="3"/>
  <c r="AB183" i="3"/>
  <c r="AB182" i="3"/>
  <c r="AB181" i="3"/>
  <c r="AB180" i="3"/>
  <c r="AB179" i="3"/>
  <c r="AB178" i="3"/>
  <c r="AB177" i="3"/>
  <c r="AB176" i="3"/>
  <c r="AB175" i="3"/>
  <c r="AB174" i="3"/>
  <c r="AB173" i="3"/>
  <c r="AB172" i="3"/>
  <c r="AB171" i="3"/>
  <c r="AB170" i="3"/>
  <c r="AB169" i="3"/>
  <c r="AB168" i="3"/>
  <c r="AB167" i="3"/>
  <c r="AB166" i="3"/>
  <c r="AB165" i="3"/>
  <c r="AB164" i="3"/>
  <c r="AB163" i="3"/>
  <c r="AB162" i="3"/>
  <c r="AB161" i="3"/>
  <c r="AB160" i="3"/>
  <c r="AB159" i="3"/>
  <c r="AB158" i="3"/>
  <c r="AB157" i="3"/>
  <c r="AK84" i="3"/>
  <c r="AJ84" i="3"/>
  <c r="AB156" i="3"/>
  <c r="AK83" i="3"/>
  <c r="AJ83" i="3"/>
  <c r="AB155" i="3"/>
  <c r="AK82" i="3"/>
  <c r="AJ82" i="3"/>
  <c r="AB154" i="3"/>
  <c r="AK81" i="3"/>
  <c r="AJ81" i="3"/>
  <c r="AB153" i="3"/>
  <c r="AK80" i="3"/>
  <c r="AJ80" i="3"/>
  <c r="AB152" i="3"/>
  <c r="AK79" i="3"/>
  <c r="AJ79" i="3"/>
  <c r="AB151" i="3"/>
  <c r="AK78" i="3"/>
  <c r="AJ78" i="3"/>
  <c r="AB150" i="3"/>
  <c r="AK77" i="3"/>
  <c r="AJ77" i="3"/>
  <c r="AB149" i="3"/>
  <c r="AK76" i="3"/>
  <c r="AJ76" i="3"/>
  <c r="AB148" i="3"/>
  <c r="AK75" i="3"/>
  <c r="AJ75" i="3"/>
  <c r="AB147" i="3"/>
  <c r="AK74" i="3"/>
  <c r="AJ74" i="3"/>
  <c r="AB146" i="3"/>
  <c r="AK73" i="3"/>
  <c r="AJ73" i="3"/>
  <c r="AB145" i="3"/>
  <c r="AK72" i="3"/>
  <c r="AJ72" i="3"/>
  <c r="AB144" i="3"/>
  <c r="AK71" i="3"/>
  <c r="AJ71" i="3"/>
  <c r="AB143" i="3"/>
  <c r="AK70" i="3"/>
  <c r="AJ70" i="3"/>
  <c r="AB142" i="3"/>
  <c r="AK69" i="3"/>
  <c r="AJ69" i="3"/>
  <c r="AB141" i="3"/>
  <c r="AK68" i="3"/>
  <c r="AJ68" i="3"/>
  <c r="AB140" i="3"/>
  <c r="AK67" i="3"/>
  <c r="AJ67" i="3"/>
  <c r="AB139" i="3"/>
  <c r="AK66" i="3"/>
  <c r="AJ66" i="3"/>
  <c r="AB138" i="3"/>
  <c r="AK65" i="3"/>
  <c r="AJ65" i="3"/>
  <c r="AB137" i="3"/>
  <c r="AK64" i="3"/>
  <c r="AJ64" i="3"/>
  <c r="AB136" i="3"/>
  <c r="AD135" i="3"/>
  <c r="AD134" i="3"/>
  <c r="AD133" i="3"/>
  <c r="AD132" i="3"/>
  <c r="AD131" i="3"/>
  <c r="AD130" i="3"/>
  <c r="AD129" i="3"/>
  <c r="AD128" i="3"/>
  <c r="AD127" i="3"/>
  <c r="AD126" i="3"/>
  <c r="AD125" i="3"/>
  <c r="AD124" i="3"/>
  <c r="AD123" i="3"/>
  <c r="AD122" i="3"/>
  <c r="AD121" i="3"/>
  <c r="AD120" i="3"/>
  <c r="AD119" i="3"/>
  <c r="AD118" i="3"/>
  <c r="AD117" i="3"/>
  <c r="AD116" i="3"/>
  <c r="AD115" i="3"/>
  <c r="AD114" i="3"/>
  <c r="AD113" i="3"/>
  <c r="AD112" i="3"/>
  <c r="AD111" i="3"/>
  <c r="AD110" i="3"/>
  <c r="AD109" i="3"/>
  <c r="AD108" i="3"/>
  <c r="AD107" i="3"/>
  <c r="AD106" i="3"/>
  <c r="AD105" i="3"/>
  <c r="AD104" i="3"/>
  <c r="AD103" i="3"/>
  <c r="AD102" i="3"/>
  <c r="AD101" i="3"/>
  <c r="AD100" i="3"/>
  <c r="AD99" i="3"/>
  <c r="AD98" i="3"/>
  <c r="AD97" i="3"/>
  <c r="AD96" i="3"/>
  <c r="AD95" i="3"/>
  <c r="AD94" i="3"/>
  <c r="AD93" i="3"/>
  <c r="AD92" i="3"/>
  <c r="AD91" i="3"/>
  <c r="AD90" i="3"/>
  <c r="AD89" i="3"/>
  <c r="AD88" i="3"/>
  <c r="AD87" i="3"/>
  <c r="AD86" i="3"/>
  <c r="AD85" i="3"/>
  <c r="AD84" i="3"/>
  <c r="AD83" i="3"/>
  <c r="AD82" i="3"/>
  <c r="AD81" i="3"/>
  <c r="AD80" i="3"/>
  <c r="AD79" i="3"/>
  <c r="AD78" i="3"/>
  <c r="AD77" i="3"/>
  <c r="AD76" i="3"/>
  <c r="AD75" i="3"/>
  <c r="AD74" i="3"/>
  <c r="AD73" i="3"/>
  <c r="AD72" i="3"/>
  <c r="AD71" i="3"/>
  <c r="AD70" i="3"/>
  <c r="AD69" i="3"/>
  <c r="AD68" i="3"/>
  <c r="AD67" i="3"/>
  <c r="AD66" i="3"/>
  <c r="AD65" i="3"/>
  <c r="AD64" i="3"/>
  <c r="E6" i="9"/>
  <c r="G43" i="27"/>
  <c r="E26" i="9"/>
  <c r="F43" i="27"/>
  <c r="E57" i="9"/>
  <c r="E43" i="27"/>
  <c r="E71" i="9"/>
  <c r="D43" i="27"/>
  <c r="G31" i="27"/>
  <c r="F31" i="27"/>
  <c r="E31" i="27"/>
  <c r="D31" i="27"/>
  <c r="G19" i="27"/>
  <c r="F19" i="27"/>
  <c r="E19" i="27"/>
  <c r="D19" i="27"/>
  <c r="E7" i="27"/>
  <c r="D7" i="27"/>
  <c r="E10" i="9"/>
  <c r="C43" i="27"/>
  <c r="C31" i="27"/>
  <c r="C19" i="27"/>
  <c r="G7" i="27"/>
  <c r="F7" i="27"/>
  <c r="C7" i="27"/>
  <c r="E88" i="9"/>
  <c r="B4" i="27"/>
  <c r="E7" i="9"/>
  <c r="B2" i="27"/>
  <c r="E73" i="9"/>
  <c r="G9" i="25"/>
  <c r="AJ9" i="6"/>
  <c r="H9" i="25"/>
  <c r="AE9" i="6"/>
  <c r="AE33" i="6"/>
  <c r="AE57" i="6"/>
  <c r="AL94" i="3"/>
  <c r="AK106" i="3"/>
  <c r="AK107" i="3"/>
  <c r="AK108" i="3"/>
  <c r="AK109" i="3"/>
  <c r="AK110" i="3"/>
  <c r="AK111" i="3"/>
  <c r="AK112" i="3"/>
  <c r="AK113" i="3"/>
  <c r="AK114" i="3"/>
  <c r="AK115" i="3"/>
  <c r="AK116" i="3"/>
  <c r="AK117" i="3"/>
  <c r="AK118" i="3"/>
  <c r="AK119" i="3"/>
  <c r="AK120" i="3"/>
  <c r="AK121" i="3"/>
  <c r="AK122" i="3"/>
  <c r="AK123" i="3"/>
  <c r="AK124" i="3"/>
  <c r="AK125" i="3"/>
  <c r="AK126" i="3"/>
  <c r="AK127" i="3"/>
  <c r="AK128" i="3"/>
  <c r="AK129" i="3"/>
  <c r="AK130" i="3"/>
  <c r="AK131" i="3"/>
  <c r="AK132" i="3"/>
  <c r="AK133" i="3"/>
  <c r="AK134" i="3"/>
  <c r="AK135" i="3"/>
  <c r="AL95" i="3"/>
  <c r="AL96" i="3"/>
  <c r="AL97" i="3"/>
  <c r="AL98" i="3"/>
  <c r="AL99" i="3"/>
  <c r="AL100" i="3"/>
  <c r="AL101" i="3"/>
  <c r="AL102" i="3"/>
  <c r="AL103" i="3"/>
  <c r="AL104" i="3"/>
  <c r="AL105" i="3"/>
  <c r="AL106" i="3"/>
  <c r="AL107" i="3"/>
  <c r="AL108" i="3"/>
  <c r="AL109" i="3"/>
  <c r="AL110" i="3"/>
  <c r="AL111" i="3"/>
  <c r="AL112" i="3"/>
  <c r="AL113" i="3"/>
  <c r="AL114" i="3"/>
  <c r="AL115" i="3"/>
  <c r="AL116" i="3"/>
  <c r="AL117" i="3"/>
  <c r="AL118" i="3"/>
  <c r="AL119" i="3"/>
  <c r="AL120" i="3"/>
  <c r="AL121" i="3"/>
  <c r="AL122" i="3"/>
  <c r="AL123" i="3"/>
  <c r="AL124" i="3"/>
  <c r="AL125" i="3"/>
  <c r="AL126" i="3"/>
  <c r="AL127" i="3"/>
  <c r="AL128" i="3"/>
  <c r="AL129" i="3"/>
  <c r="AL130" i="3"/>
  <c r="AL131" i="3"/>
  <c r="AL132" i="3"/>
  <c r="AL133" i="3"/>
  <c r="AL134" i="3"/>
  <c r="AL135" i="3"/>
  <c r="AL64" i="3"/>
  <c r="AL65" i="3"/>
  <c r="AL66" i="3"/>
  <c r="AL67" i="3"/>
  <c r="AL68" i="3"/>
  <c r="AL69" i="3"/>
  <c r="AL70" i="3"/>
  <c r="AL71" i="3"/>
  <c r="AL72" i="3"/>
  <c r="AL73" i="3"/>
  <c r="AL74" i="3"/>
  <c r="AL75" i="3"/>
  <c r="AL76" i="3"/>
  <c r="AL77" i="3"/>
  <c r="AL78" i="3"/>
  <c r="AL79" i="3"/>
  <c r="AL80" i="3"/>
  <c r="AL81" i="3"/>
  <c r="AL82" i="3"/>
  <c r="AL83" i="3"/>
  <c r="AL84" i="3"/>
  <c r="AL85" i="3"/>
  <c r="AL86" i="3"/>
  <c r="AL87" i="3"/>
  <c r="AL88" i="3"/>
  <c r="AL89" i="3"/>
  <c r="AL90" i="3"/>
  <c r="AL91" i="3"/>
  <c r="AL92" i="3"/>
  <c r="AL93" i="3"/>
  <c r="AJ106" i="3"/>
  <c r="AJ107" i="3"/>
  <c r="AJ108" i="3"/>
  <c r="AJ109" i="3"/>
  <c r="AJ110" i="3"/>
  <c r="AJ111" i="3"/>
  <c r="AJ112" i="3"/>
  <c r="AJ113" i="3"/>
  <c r="AJ114" i="3"/>
  <c r="AJ115" i="3"/>
  <c r="AJ116" i="3"/>
  <c r="AJ117" i="3"/>
  <c r="AJ118" i="3"/>
  <c r="AJ119" i="3"/>
  <c r="AJ120" i="3"/>
  <c r="AJ121" i="3"/>
  <c r="AJ122" i="3"/>
  <c r="AJ123" i="3"/>
  <c r="AJ124" i="3"/>
  <c r="AJ125" i="3"/>
  <c r="AJ126" i="3"/>
  <c r="AJ127" i="3"/>
  <c r="AJ128" i="3"/>
  <c r="AJ129" i="3"/>
  <c r="AJ130" i="3"/>
  <c r="AJ131" i="3"/>
  <c r="AJ132" i="3"/>
  <c r="AJ133" i="3"/>
  <c r="AJ134" i="3"/>
  <c r="AJ135" i="3"/>
  <c r="H12" i="3"/>
  <c r="H11" i="3"/>
  <c r="H10" i="3"/>
  <c r="H9" i="3"/>
  <c r="H8" i="3"/>
  <c r="H7" i="3"/>
  <c r="H6" i="3"/>
  <c r="H5" i="3"/>
  <c r="H4" i="3"/>
  <c r="G12" i="3"/>
  <c r="G11" i="3"/>
  <c r="G10" i="3"/>
  <c r="G9" i="3"/>
  <c r="G8" i="3"/>
  <c r="G7" i="3"/>
  <c r="G6" i="3"/>
  <c r="G5" i="3"/>
  <c r="G4" i="3"/>
  <c r="E64" i="9"/>
  <c r="G24" i="25"/>
  <c r="I5" i="3"/>
  <c r="AW5" i="3"/>
  <c r="I4" i="3"/>
  <c r="AW4" i="3"/>
  <c r="I6" i="3"/>
  <c r="AW6" i="3"/>
  <c r="I7" i="3"/>
  <c r="AW7" i="3"/>
  <c r="I8" i="3"/>
  <c r="AW8" i="3"/>
  <c r="I9" i="3"/>
  <c r="AW9" i="3"/>
  <c r="I10" i="3"/>
  <c r="AW10" i="3"/>
  <c r="I11" i="3"/>
  <c r="AW11" i="3"/>
  <c r="I12" i="3"/>
  <c r="AW12" i="3"/>
  <c r="AX5" i="3"/>
  <c r="AX6" i="3"/>
  <c r="AX7" i="3"/>
  <c r="AX8" i="3"/>
  <c r="AX9" i="3"/>
  <c r="AX10" i="3"/>
  <c r="AX11" i="3"/>
  <c r="AX12" i="3"/>
  <c r="AX4" i="3"/>
  <c r="CI38" i="3"/>
  <c r="CH38" i="3"/>
  <c r="CG38" i="3"/>
  <c r="CF38" i="3"/>
  <c r="CE38" i="3"/>
  <c r="CD38" i="3"/>
  <c r="CC38" i="3"/>
  <c r="CB38" i="3"/>
  <c r="CJ37" i="3"/>
  <c r="CH37" i="3"/>
  <c r="CG37" i="3"/>
  <c r="CF37" i="3"/>
  <c r="CE37" i="3"/>
  <c r="CD37" i="3"/>
  <c r="CC37" i="3"/>
  <c r="CB37" i="3"/>
  <c r="CJ36" i="3"/>
  <c r="CI36" i="3"/>
  <c r="CG36" i="3"/>
  <c r="CF36" i="3"/>
  <c r="CE36" i="3"/>
  <c r="CD36" i="3"/>
  <c r="CC36" i="3"/>
  <c r="CB36" i="3"/>
  <c r="CJ35" i="3"/>
  <c r="CI35" i="3"/>
  <c r="CH35" i="3"/>
  <c r="CF35" i="3"/>
  <c r="CE35" i="3"/>
  <c r="CD35" i="3"/>
  <c r="CC35" i="3"/>
  <c r="CB35" i="3"/>
  <c r="CJ34" i="3"/>
  <c r="CI34" i="3"/>
  <c r="CH34" i="3"/>
  <c r="CG34" i="3"/>
  <c r="CE34" i="3"/>
  <c r="CD34" i="3"/>
  <c r="CC34" i="3"/>
  <c r="CB34" i="3"/>
  <c r="CJ33" i="3"/>
  <c r="CI33" i="3"/>
  <c r="CH33" i="3"/>
  <c r="CG33" i="3"/>
  <c r="CF33" i="3"/>
  <c r="CD33" i="3"/>
  <c r="CC33" i="3"/>
  <c r="CB33" i="3"/>
  <c r="CJ32" i="3"/>
  <c r="CI32" i="3"/>
  <c r="CH32" i="3"/>
  <c r="CG32" i="3"/>
  <c r="CF32" i="3"/>
  <c r="CE32" i="3"/>
  <c r="CC32" i="3"/>
  <c r="CB32" i="3"/>
  <c r="CJ31" i="3"/>
  <c r="CI31" i="3"/>
  <c r="CH31" i="3"/>
  <c r="CG31" i="3"/>
  <c r="CF31" i="3"/>
  <c r="CE31" i="3"/>
  <c r="CD31" i="3"/>
  <c r="CB31" i="3"/>
  <c r="CJ30" i="3"/>
  <c r="CI30" i="3"/>
  <c r="CH30" i="3"/>
  <c r="CG30" i="3"/>
  <c r="CF30" i="3"/>
  <c r="CE30" i="3"/>
  <c r="CD30" i="3"/>
  <c r="CC30" i="3"/>
  <c r="AM64" i="3"/>
  <c r="AM65" i="3"/>
  <c r="AM66" i="3"/>
  <c r="AM67" i="3"/>
  <c r="AM68" i="3"/>
  <c r="AM69" i="3"/>
  <c r="AM70" i="3"/>
  <c r="AM71" i="3"/>
  <c r="AM72" i="3"/>
  <c r="AM73" i="3"/>
  <c r="AM74" i="3"/>
  <c r="AM75" i="3"/>
  <c r="AM76" i="3"/>
  <c r="AM77" i="3"/>
  <c r="AM78" i="3"/>
  <c r="AM79" i="3"/>
  <c r="AM80" i="3"/>
  <c r="AM81" i="3"/>
  <c r="AM82" i="3"/>
  <c r="AM83" i="3"/>
  <c r="AM84" i="3"/>
  <c r="AM85" i="3"/>
  <c r="AM86" i="3"/>
  <c r="AM87" i="3"/>
  <c r="AM88" i="3"/>
  <c r="AM89" i="3"/>
  <c r="AM90" i="3"/>
  <c r="AM91" i="3"/>
  <c r="AM92" i="3"/>
  <c r="AM93" i="3"/>
  <c r="AM94" i="3"/>
  <c r="AM95" i="3"/>
  <c r="AM96" i="3"/>
  <c r="AM97" i="3"/>
  <c r="AM98" i="3"/>
  <c r="AM99" i="3"/>
  <c r="AM100" i="3"/>
  <c r="AM101" i="3"/>
  <c r="AM102" i="3"/>
  <c r="AM103" i="3"/>
  <c r="AM104" i="3"/>
  <c r="AM105" i="3"/>
  <c r="AM106" i="3"/>
  <c r="AM107" i="3"/>
  <c r="AM108" i="3"/>
  <c r="AM109" i="3"/>
  <c r="AM110" i="3"/>
  <c r="AM111" i="3"/>
  <c r="AM112" i="3"/>
  <c r="AM113" i="3"/>
  <c r="AM114" i="3"/>
  <c r="AM115" i="3"/>
  <c r="AM116" i="3"/>
  <c r="AM117" i="3"/>
  <c r="AM118" i="3"/>
  <c r="AM119" i="3"/>
  <c r="AM120" i="3"/>
  <c r="AM121" i="3"/>
  <c r="AM122" i="3"/>
  <c r="AM123" i="3"/>
  <c r="AM124" i="3"/>
  <c r="AM125" i="3"/>
  <c r="AM126" i="3"/>
  <c r="AM127" i="3"/>
  <c r="AM128" i="3"/>
  <c r="AM129" i="3"/>
  <c r="AM130" i="3"/>
  <c r="AM131" i="3"/>
  <c r="AM132" i="3"/>
  <c r="AM133" i="3"/>
  <c r="AM134" i="3"/>
  <c r="AM135" i="3"/>
  <c r="CB40" i="3"/>
  <c r="CC40" i="3"/>
  <c r="CD40" i="3"/>
  <c r="CE40" i="3"/>
  <c r="CF40" i="3"/>
  <c r="CG40" i="3"/>
  <c r="CH40" i="3"/>
  <c r="CI40" i="3"/>
  <c r="CJ40" i="3"/>
  <c r="CA41" i="3"/>
  <c r="CA42" i="3"/>
  <c r="CA43" i="3"/>
  <c r="CA44" i="3"/>
  <c r="CA45" i="3"/>
  <c r="CA46" i="3"/>
  <c r="CA47" i="3"/>
  <c r="CA48" i="3"/>
  <c r="CA49" i="3"/>
  <c r="E66" i="9"/>
  <c r="H29" i="25"/>
  <c r="G29" i="25"/>
  <c r="AB135" i="3"/>
  <c r="AB134" i="3"/>
  <c r="AB133" i="3"/>
  <c r="AB132" i="3"/>
  <c r="AB131" i="3"/>
  <c r="AB130" i="3"/>
  <c r="AB129" i="3"/>
  <c r="AB128" i="3"/>
  <c r="AB127" i="3"/>
  <c r="AB126" i="3"/>
  <c r="AB125" i="3"/>
  <c r="AB124" i="3"/>
  <c r="AB123" i="3"/>
  <c r="AB122" i="3"/>
  <c r="AB121" i="3"/>
  <c r="AB120" i="3"/>
  <c r="AB119" i="3"/>
  <c r="AB118" i="3"/>
  <c r="AB117" i="3"/>
  <c r="AB116" i="3"/>
  <c r="AB115" i="3"/>
  <c r="AB114" i="3"/>
  <c r="AB113" i="3"/>
  <c r="AB112" i="3"/>
  <c r="AB111" i="3"/>
  <c r="AB110" i="3"/>
  <c r="AB109" i="3"/>
  <c r="AB108" i="3"/>
  <c r="AB107" i="3"/>
  <c r="AB106" i="3"/>
  <c r="AB105" i="3"/>
  <c r="AB104" i="3"/>
  <c r="AB103" i="3"/>
  <c r="AB102" i="3"/>
  <c r="AB101" i="3"/>
  <c r="AB100" i="3"/>
  <c r="AB99" i="3"/>
  <c r="AB98" i="3"/>
  <c r="AB97" i="3"/>
  <c r="AB96" i="3"/>
  <c r="AB95" i="3"/>
  <c r="AB94" i="3"/>
  <c r="AB93" i="3"/>
  <c r="AB92" i="3"/>
  <c r="AB91" i="3"/>
  <c r="AB90" i="3"/>
  <c r="AB89" i="3"/>
  <c r="AB88" i="3"/>
  <c r="AB87" i="3"/>
  <c r="AB86" i="3"/>
  <c r="AB85" i="3"/>
  <c r="AB84" i="3"/>
  <c r="AB83" i="3"/>
  <c r="AB82" i="3"/>
  <c r="AB81" i="3"/>
  <c r="AB80" i="3"/>
  <c r="AB79" i="3"/>
  <c r="AB78" i="3"/>
  <c r="AB77" i="3"/>
  <c r="AB76" i="3"/>
  <c r="AB75" i="3"/>
  <c r="AB74" i="3"/>
  <c r="AB73" i="3"/>
  <c r="AB72" i="3"/>
  <c r="AB71" i="3"/>
  <c r="AB70" i="3"/>
  <c r="AB69" i="3"/>
  <c r="AB68" i="3"/>
  <c r="AB67" i="3"/>
  <c r="AB66" i="3"/>
  <c r="AB65" i="3"/>
  <c r="AB64" i="3"/>
  <c r="AO135" i="3"/>
  <c r="AN135" i="3"/>
  <c r="AO134" i="3"/>
  <c r="AN134" i="3"/>
  <c r="AO133" i="3"/>
  <c r="AN133" i="3"/>
  <c r="AO132" i="3"/>
  <c r="AN132" i="3"/>
  <c r="AO131" i="3"/>
  <c r="AN131" i="3"/>
  <c r="AO130" i="3"/>
  <c r="AN130" i="3"/>
  <c r="AO129" i="3"/>
  <c r="AN129" i="3"/>
  <c r="AO128" i="3"/>
  <c r="AN128" i="3"/>
  <c r="AO127" i="3"/>
  <c r="AN127" i="3"/>
  <c r="AO126" i="3"/>
  <c r="AN126" i="3"/>
  <c r="AO125" i="3"/>
  <c r="AN125" i="3"/>
  <c r="AO124" i="3"/>
  <c r="AN124" i="3"/>
  <c r="AO123" i="3"/>
  <c r="AN123" i="3"/>
  <c r="AO122" i="3"/>
  <c r="AN122" i="3"/>
  <c r="AO121" i="3"/>
  <c r="AN121" i="3"/>
  <c r="AO120" i="3"/>
  <c r="AN120" i="3"/>
  <c r="AO119" i="3"/>
  <c r="AN119" i="3"/>
  <c r="AO118" i="3"/>
  <c r="AN118" i="3"/>
  <c r="AO117" i="3"/>
  <c r="AN117" i="3"/>
  <c r="AO116" i="3"/>
  <c r="AN116" i="3"/>
  <c r="AO115" i="3"/>
  <c r="AN115" i="3"/>
  <c r="AO114" i="3"/>
  <c r="AN114" i="3"/>
  <c r="AO113" i="3"/>
  <c r="AN113" i="3"/>
  <c r="AO112" i="3"/>
  <c r="AN112" i="3"/>
  <c r="AO111" i="3"/>
  <c r="AN111" i="3"/>
  <c r="AO110" i="3"/>
  <c r="AN110" i="3"/>
  <c r="AO109" i="3"/>
  <c r="AN109" i="3"/>
  <c r="AO108" i="3"/>
  <c r="AN108" i="3"/>
  <c r="AO107" i="3"/>
  <c r="AN107" i="3"/>
  <c r="AO106" i="3"/>
  <c r="AN106" i="3"/>
  <c r="AO105" i="3"/>
  <c r="AN105" i="3"/>
  <c r="AO104" i="3"/>
  <c r="AN104" i="3"/>
  <c r="AO103" i="3"/>
  <c r="AN103" i="3"/>
  <c r="AO102" i="3"/>
  <c r="AN102" i="3"/>
  <c r="AO101" i="3"/>
  <c r="AN101" i="3"/>
  <c r="AO100" i="3"/>
  <c r="AN100" i="3"/>
  <c r="AO99" i="3"/>
  <c r="AN99" i="3"/>
  <c r="AO98" i="3"/>
  <c r="AN98" i="3"/>
  <c r="AO97" i="3"/>
  <c r="AN97" i="3"/>
  <c r="AO96" i="3"/>
  <c r="AN96" i="3"/>
  <c r="AO95" i="3"/>
  <c r="AN95" i="3"/>
  <c r="AO94" i="3"/>
  <c r="AN94" i="3"/>
  <c r="AO93" i="3"/>
  <c r="AN93" i="3"/>
  <c r="AO92" i="3"/>
  <c r="AN92" i="3"/>
  <c r="AO91" i="3"/>
  <c r="AN91" i="3"/>
  <c r="AO90" i="3"/>
  <c r="AN90" i="3"/>
  <c r="AO89" i="3"/>
  <c r="AN89" i="3"/>
  <c r="AO88" i="3"/>
  <c r="AN88" i="3"/>
  <c r="AO87" i="3"/>
  <c r="AN87" i="3"/>
  <c r="AO86" i="3"/>
  <c r="AN86" i="3"/>
  <c r="AO85" i="3"/>
  <c r="AN85" i="3"/>
  <c r="AO84" i="3"/>
  <c r="AN84" i="3"/>
  <c r="AO83" i="3"/>
  <c r="AN83" i="3"/>
  <c r="AO82" i="3"/>
  <c r="AN82" i="3"/>
  <c r="AO81" i="3"/>
  <c r="AN81" i="3"/>
  <c r="AO80" i="3"/>
  <c r="AN80" i="3"/>
  <c r="AO79" i="3"/>
  <c r="AN79" i="3"/>
  <c r="AO78" i="3"/>
  <c r="AN78" i="3"/>
  <c r="AO77" i="3"/>
  <c r="AN77" i="3"/>
  <c r="AO76" i="3"/>
  <c r="AN76" i="3"/>
  <c r="AO75" i="3"/>
  <c r="AN75" i="3"/>
  <c r="AO74" i="3"/>
  <c r="AN74" i="3"/>
  <c r="AO73" i="3"/>
  <c r="AN73" i="3"/>
  <c r="AO72" i="3"/>
  <c r="AN72" i="3"/>
  <c r="AO71" i="3"/>
  <c r="AN71" i="3"/>
  <c r="AO70" i="3"/>
  <c r="AN70" i="3"/>
  <c r="AO69" i="3"/>
  <c r="AN69" i="3"/>
  <c r="AO68" i="3"/>
  <c r="AN68" i="3"/>
  <c r="AO67" i="3"/>
  <c r="AN67" i="3"/>
  <c r="AO66" i="3"/>
  <c r="AN66" i="3"/>
  <c r="AO65" i="3"/>
  <c r="AN65" i="3"/>
  <c r="AO64" i="3"/>
  <c r="AN64" i="3"/>
  <c r="AV12" i="3"/>
  <c r="AV11" i="3"/>
  <c r="AV10" i="3"/>
  <c r="AV9" i="3"/>
  <c r="AV8" i="3"/>
  <c r="AV7" i="3"/>
  <c r="AV6" i="3"/>
  <c r="AV5" i="3"/>
  <c r="AV4" i="3"/>
  <c r="E59" i="9"/>
  <c r="AI9" i="6"/>
  <c r="E51" i="9"/>
  <c r="B1" i="25"/>
  <c r="E79" i="9"/>
  <c r="B27" i="25"/>
  <c r="E63" i="9"/>
  <c r="E65" i="9"/>
  <c r="E93" i="9"/>
  <c r="E94" i="9"/>
  <c r="E95" i="9"/>
  <c r="E109" i="9"/>
  <c r="C4" i="9"/>
  <c r="E60" i="9"/>
  <c r="E69" i="9"/>
  <c r="G19" i="25"/>
  <c r="G14" i="25"/>
  <c r="E67" i="9"/>
  <c r="E103" i="9"/>
  <c r="D33" i="25"/>
  <c r="E102" i="9"/>
  <c r="B33" i="25"/>
  <c r="B22" i="25"/>
  <c r="E76" i="9"/>
  <c r="B18" i="25"/>
  <c r="E75" i="9"/>
  <c r="B17" i="25"/>
  <c r="E68" i="9"/>
  <c r="B12" i="25"/>
  <c r="E72" i="9"/>
  <c r="B7" i="25"/>
  <c r="E111" i="9"/>
  <c r="E112" i="9"/>
  <c r="E74" i="9"/>
  <c r="E77" i="9"/>
  <c r="E78" i="9"/>
  <c r="E52" i="9"/>
  <c r="B4" i="25"/>
  <c r="I12" i="21"/>
  <c r="K12" i="21"/>
  <c r="AC12" i="21"/>
  <c r="AD12" i="21"/>
  <c r="X12" i="21"/>
  <c r="Y12" i="21"/>
  <c r="Z12" i="21"/>
  <c r="AA12" i="21"/>
  <c r="U12" i="21"/>
  <c r="I13" i="21"/>
  <c r="K13" i="21"/>
  <c r="AC13" i="21"/>
  <c r="AD13" i="21"/>
  <c r="U13" i="21"/>
  <c r="I14" i="21"/>
  <c r="K14" i="21"/>
  <c r="AC14" i="21"/>
  <c r="AD14" i="21"/>
  <c r="U14" i="21"/>
  <c r="I15" i="21"/>
  <c r="K15" i="21"/>
  <c r="AC15" i="21"/>
  <c r="AD15" i="21"/>
  <c r="U15" i="21"/>
  <c r="I16" i="21"/>
  <c r="K16" i="21"/>
  <c r="AC16" i="21"/>
  <c r="AD16" i="21"/>
  <c r="U16" i="21"/>
  <c r="I17" i="21"/>
  <c r="K17" i="21"/>
  <c r="AC17" i="21"/>
  <c r="AD17" i="21"/>
  <c r="U17" i="21"/>
  <c r="AD18" i="3"/>
  <c r="Y18" i="3"/>
  <c r="AD19" i="3"/>
  <c r="Y19" i="3"/>
  <c r="AD20" i="3"/>
  <c r="Y20" i="3"/>
  <c r="AD21" i="3"/>
  <c r="Y21" i="3"/>
  <c r="AD22" i="3"/>
  <c r="Y22" i="3"/>
  <c r="AD23" i="3"/>
  <c r="Y23" i="3"/>
  <c r="AD24" i="3"/>
  <c r="Y24" i="3"/>
  <c r="AD25" i="3"/>
  <c r="Y25" i="3"/>
  <c r="AD17" i="3"/>
  <c r="Y17" i="3"/>
  <c r="E82" i="9"/>
  <c r="B4" i="24"/>
  <c r="C15" i="24"/>
  <c r="C14" i="24"/>
  <c r="C13" i="24"/>
  <c r="C12" i="24"/>
  <c r="C11" i="24"/>
  <c r="C10" i="24"/>
  <c r="C9" i="24"/>
  <c r="C8" i="24"/>
  <c r="C7" i="24"/>
  <c r="E49" i="9"/>
  <c r="D6" i="24"/>
  <c r="C6" i="24"/>
  <c r="E9" i="9"/>
  <c r="B6" i="24"/>
  <c r="B2" i="24"/>
  <c r="BK11" i="6"/>
  <c r="BL11" i="6"/>
  <c r="BM11" i="6"/>
  <c r="BK12" i="6"/>
  <c r="BL12" i="6"/>
  <c r="BM12" i="6"/>
  <c r="BK13" i="6"/>
  <c r="BL13" i="6"/>
  <c r="BM13" i="6"/>
  <c r="BK14" i="6"/>
  <c r="BL14" i="6"/>
  <c r="BM14" i="6"/>
  <c r="BK15" i="6"/>
  <c r="BL15" i="6"/>
  <c r="BM15" i="6"/>
  <c r="BK16" i="6"/>
  <c r="BL16" i="6"/>
  <c r="BM16" i="6"/>
  <c r="BK17" i="6"/>
  <c r="BL17" i="6"/>
  <c r="BM17" i="6"/>
  <c r="BK18" i="6"/>
  <c r="BL18" i="6"/>
  <c r="BM18" i="6"/>
  <c r="BK19" i="6"/>
  <c r="BL19" i="6"/>
  <c r="BM19" i="6"/>
  <c r="BK20" i="6"/>
  <c r="BL20" i="6"/>
  <c r="BM20" i="6"/>
  <c r="BK21" i="6"/>
  <c r="BL21" i="6"/>
  <c r="BM21" i="6"/>
  <c r="BK22" i="6"/>
  <c r="BL22" i="6"/>
  <c r="BM22" i="6"/>
  <c r="BK23" i="6"/>
  <c r="BL23" i="6"/>
  <c r="BM23" i="6"/>
  <c r="BK24" i="6"/>
  <c r="BL24" i="6"/>
  <c r="BM24" i="6"/>
  <c r="BK25" i="6"/>
  <c r="BL25" i="6"/>
  <c r="BM25" i="6"/>
  <c r="BK26" i="6"/>
  <c r="BL26" i="6"/>
  <c r="BM26" i="6"/>
  <c r="BK27" i="6"/>
  <c r="BL27" i="6"/>
  <c r="BM27" i="6"/>
  <c r="BK28" i="6"/>
  <c r="BL28" i="6"/>
  <c r="BM28" i="6"/>
  <c r="BK29" i="6"/>
  <c r="BL29" i="6"/>
  <c r="BM29" i="6"/>
  <c r="BK30" i="6"/>
  <c r="BL30" i="6"/>
  <c r="BM30" i="6"/>
  <c r="BK31" i="6"/>
  <c r="BL31" i="6"/>
  <c r="BM31" i="6"/>
  <c r="BK32" i="6"/>
  <c r="BL32" i="6"/>
  <c r="BM32" i="6"/>
  <c r="BK33" i="6"/>
  <c r="BL33" i="6"/>
  <c r="BM33" i="6"/>
  <c r="BK34" i="6"/>
  <c r="BL34" i="6"/>
  <c r="BM34" i="6"/>
  <c r="BK35" i="6"/>
  <c r="BL35" i="6"/>
  <c r="BM35" i="6"/>
  <c r="BK36" i="6"/>
  <c r="BL36" i="6"/>
  <c r="BM36" i="6"/>
  <c r="BK37" i="6"/>
  <c r="BL37" i="6"/>
  <c r="BM37" i="6"/>
  <c r="BK38" i="6"/>
  <c r="BL38" i="6"/>
  <c r="BM38" i="6"/>
  <c r="BK39" i="6"/>
  <c r="BL39" i="6"/>
  <c r="BM39" i="6"/>
  <c r="BK40" i="6"/>
  <c r="BL40" i="6"/>
  <c r="BM40" i="6"/>
  <c r="BK41" i="6"/>
  <c r="BL41" i="6"/>
  <c r="BM41" i="6"/>
  <c r="BK42" i="6"/>
  <c r="BL42" i="6"/>
  <c r="BM42" i="6"/>
  <c r="BK43" i="6"/>
  <c r="BL43" i="6"/>
  <c r="BM43" i="6"/>
  <c r="BK44" i="6"/>
  <c r="BL44" i="6"/>
  <c r="BM44" i="6"/>
  <c r="BK45" i="6"/>
  <c r="BL45" i="6"/>
  <c r="BM45" i="6"/>
  <c r="BK46" i="6"/>
  <c r="BL46" i="6"/>
  <c r="BM46" i="6"/>
  <c r="BK47" i="6"/>
  <c r="BL47" i="6"/>
  <c r="BM47" i="6"/>
  <c r="BK48" i="6"/>
  <c r="BL48" i="6"/>
  <c r="BM48" i="6"/>
  <c r="BK49" i="6"/>
  <c r="BL49" i="6"/>
  <c r="BM49" i="6"/>
  <c r="BK50" i="6"/>
  <c r="BL50" i="6"/>
  <c r="BM50" i="6"/>
  <c r="BK51" i="6"/>
  <c r="BL51" i="6"/>
  <c r="BM51" i="6"/>
  <c r="BK52" i="6"/>
  <c r="BL52" i="6"/>
  <c r="BM52" i="6"/>
  <c r="BK53" i="6"/>
  <c r="BL53" i="6"/>
  <c r="BM53" i="6"/>
  <c r="BK54" i="6"/>
  <c r="BL54" i="6"/>
  <c r="BM54" i="6"/>
  <c r="BK55" i="6"/>
  <c r="BL55" i="6"/>
  <c r="BM55" i="6"/>
  <c r="BK56" i="6"/>
  <c r="BL56" i="6"/>
  <c r="BM56" i="6"/>
  <c r="BK57" i="6"/>
  <c r="BL57" i="6"/>
  <c r="BM57" i="6"/>
  <c r="BK58" i="6"/>
  <c r="BL58" i="6"/>
  <c r="BM58" i="6"/>
  <c r="BK59" i="6"/>
  <c r="BL59" i="6"/>
  <c r="BM59" i="6"/>
  <c r="BK60" i="6"/>
  <c r="BL60" i="6"/>
  <c r="BM60" i="6"/>
  <c r="BK61" i="6"/>
  <c r="BL61" i="6"/>
  <c r="BM61" i="6"/>
  <c r="BK62" i="6"/>
  <c r="BL62" i="6"/>
  <c r="BM62" i="6"/>
  <c r="BK63" i="6"/>
  <c r="BL63" i="6"/>
  <c r="BM63" i="6"/>
  <c r="BK64" i="6"/>
  <c r="BL64" i="6"/>
  <c r="BM64" i="6"/>
  <c r="BK65" i="6"/>
  <c r="BL65" i="6"/>
  <c r="BM65" i="6"/>
  <c r="BK66" i="6"/>
  <c r="BL66" i="6"/>
  <c r="BM66" i="6"/>
  <c r="BK67" i="6"/>
  <c r="BL67" i="6"/>
  <c r="BM67" i="6"/>
  <c r="BK68" i="6"/>
  <c r="BL68" i="6"/>
  <c r="BM68" i="6"/>
  <c r="BK69" i="6"/>
  <c r="BL69" i="6"/>
  <c r="BM69" i="6"/>
  <c r="BK70" i="6"/>
  <c r="BL70" i="6"/>
  <c r="BM70" i="6"/>
  <c r="BK71" i="6"/>
  <c r="BL71" i="6"/>
  <c r="BM71" i="6"/>
  <c r="BK72" i="6"/>
  <c r="BL72" i="6"/>
  <c r="BM72" i="6"/>
  <c r="BK73" i="6"/>
  <c r="BL73" i="6"/>
  <c r="BM73" i="6"/>
  <c r="BK74" i="6"/>
  <c r="BL74" i="6"/>
  <c r="BM74" i="6"/>
  <c r="BK75" i="6"/>
  <c r="BL75" i="6"/>
  <c r="BM75" i="6"/>
  <c r="BK76" i="6"/>
  <c r="BL76" i="6"/>
  <c r="BM76" i="6"/>
  <c r="BK77" i="6"/>
  <c r="BL77" i="6"/>
  <c r="BM77" i="6"/>
  <c r="BK78" i="6"/>
  <c r="BL78" i="6"/>
  <c r="BM78" i="6"/>
  <c r="BK79" i="6"/>
  <c r="BL79" i="6"/>
  <c r="BM79" i="6"/>
  <c r="BK80" i="6"/>
  <c r="BL80" i="6"/>
  <c r="BM80" i="6"/>
  <c r="BK81" i="6"/>
  <c r="BL81" i="6"/>
  <c r="BM81" i="6"/>
  <c r="BM10" i="6"/>
  <c r="BL10" i="6"/>
  <c r="BK10" i="6"/>
  <c r="E121" i="23"/>
  <c r="E122" i="23"/>
  <c r="E123" i="23"/>
  <c r="E124" i="23"/>
  <c r="E125" i="23"/>
  <c r="E126" i="23"/>
  <c r="E127" i="23"/>
  <c r="E128" i="23"/>
  <c r="E129" i="23"/>
  <c r="E130" i="23"/>
  <c r="E131" i="23"/>
  <c r="E132" i="23"/>
  <c r="E133" i="23"/>
  <c r="E134" i="23"/>
  <c r="E135" i="23"/>
  <c r="E136" i="23"/>
  <c r="E137" i="23"/>
  <c r="E138" i="23"/>
  <c r="E139" i="23"/>
  <c r="E140" i="23"/>
  <c r="E141" i="23"/>
  <c r="E142" i="23"/>
  <c r="E143" i="23"/>
  <c r="E144" i="23"/>
  <c r="E145" i="23"/>
  <c r="E146" i="23"/>
  <c r="E147" i="23"/>
  <c r="E148" i="23"/>
  <c r="E149" i="23"/>
  <c r="E150" i="23"/>
  <c r="D7" i="23"/>
  <c r="D8" i="23"/>
  <c r="D9" i="23"/>
  <c r="D10" i="23"/>
  <c r="D11" i="23"/>
  <c r="D12" i="23"/>
  <c r="D13" i="23"/>
  <c r="D14" i="23"/>
  <c r="D15" i="23"/>
  <c r="D16" i="23"/>
  <c r="D17" i="23"/>
  <c r="D18" i="23"/>
  <c r="D19" i="23"/>
  <c r="D20" i="23"/>
  <c r="D21" i="23"/>
  <c r="D22" i="23"/>
  <c r="D23" i="23"/>
  <c r="D24" i="23"/>
  <c r="D25" i="23"/>
  <c r="D26" i="23"/>
  <c r="D27" i="23"/>
  <c r="D28" i="23"/>
  <c r="D29" i="23"/>
  <c r="D30" i="23"/>
  <c r="D31" i="23"/>
  <c r="D32" i="23"/>
  <c r="D33" i="23"/>
  <c r="D34" i="23"/>
  <c r="D35" i="23"/>
  <c r="D36" i="23"/>
  <c r="D37" i="23"/>
  <c r="D38" i="23"/>
  <c r="D39" i="23"/>
  <c r="D40" i="23"/>
  <c r="D41" i="23"/>
  <c r="D42" i="23"/>
  <c r="D43" i="23"/>
  <c r="D44" i="23"/>
  <c r="D45" i="23"/>
  <c r="D46" i="23"/>
  <c r="D47" i="23"/>
  <c r="D48" i="23"/>
  <c r="D49" i="23"/>
  <c r="D50" i="23"/>
  <c r="D51" i="23"/>
  <c r="D52" i="23"/>
  <c r="D53" i="23"/>
  <c r="D54" i="23"/>
  <c r="D55" i="23"/>
  <c r="D56" i="23"/>
  <c r="D57" i="23"/>
  <c r="D58" i="23"/>
  <c r="D59" i="23"/>
  <c r="D60" i="23"/>
  <c r="D61" i="23"/>
  <c r="D62" i="23"/>
  <c r="D63" i="23"/>
  <c r="D64" i="23"/>
  <c r="D65" i="23"/>
  <c r="D66" i="23"/>
  <c r="D67" i="23"/>
  <c r="D68" i="23"/>
  <c r="D69" i="23"/>
  <c r="D70" i="23"/>
  <c r="D71" i="23"/>
  <c r="D72" i="23"/>
  <c r="D73" i="23"/>
  <c r="D74" i="23"/>
  <c r="D75" i="23"/>
  <c r="D76" i="23"/>
  <c r="D77" i="23"/>
  <c r="D78" i="23"/>
  <c r="D6" i="23"/>
  <c r="Y3" i="23"/>
  <c r="T18" i="23"/>
  <c r="U22" i="23"/>
  <c r="I7" i="23"/>
  <c r="C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0" i="6"/>
  <c r="O81" i="6"/>
  <c r="R10" i="6"/>
  <c r="O10" i="6"/>
  <c r="E56" i="9"/>
  <c r="N9" i="6"/>
  <c r="E25" i="9"/>
  <c r="Q9" i="6"/>
  <c r="E61" i="9"/>
  <c r="E62" i="9"/>
  <c r="E80" i="9"/>
  <c r="T81" i="6"/>
  <c r="T80" i="6"/>
  <c r="T79" i="6"/>
  <c r="T78" i="6"/>
  <c r="T77" i="6"/>
  <c r="T76" i="6"/>
  <c r="T75" i="6"/>
  <c r="T74" i="6"/>
  <c r="T73" i="6"/>
  <c r="T72" i="6"/>
  <c r="T71" i="6"/>
  <c r="T70" i="6"/>
  <c r="T69" i="6"/>
  <c r="T68" i="6"/>
  <c r="T67" i="6"/>
  <c r="T66" i="6"/>
  <c r="T65" i="6"/>
  <c r="T64" i="6"/>
  <c r="T63" i="6"/>
  <c r="T62" i="6"/>
  <c r="T61" i="6"/>
  <c r="T60" i="6"/>
  <c r="T59" i="6"/>
  <c r="T58" i="6"/>
  <c r="T57" i="6"/>
  <c r="T56" i="6"/>
  <c r="T55" i="6"/>
  <c r="T54" i="6"/>
  <c r="T53" i="6"/>
  <c r="T52" i="6"/>
  <c r="T51" i="6"/>
  <c r="T50" i="6"/>
  <c r="T49" i="6"/>
  <c r="T48" i="6"/>
  <c r="T47" i="6"/>
  <c r="T46" i="6"/>
  <c r="T45" i="6"/>
  <c r="T44" i="6"/>
  <c r="T43" i="6"/>
  <c r="T42" i="6"/>
  <c r="T41" i="6"/>
  <c r="T40" i="6"/>
  <c r="T39" i="6"/>
  <c r="T38" i="6"/>
  <c r="T37" i="6"/>
  <c r="T36" i="6"/>
  <c r="T35" i="6"/>
  <c r="T34" i="6"/>
  <c r="T33" i="6"/>
  <c r="T32" i="6"/>
  <c r="T31" i="6"/>
  <c r="T30" i="6"/>
  <c r="T29" i="6"/>
  <c r="T28" i="6"/>
  <c r="T27" i="6"/>
  <c r="T26" i="6"/>
  <c r="T25" i="6"/>
  <c r="T24" i="6"/>
  <c r="T23" i="6"/>
  <c r="T22" i="6"/>
  <c r="T21" i="6"/>
  <c r="T20" i="6"/>
  <c r="T19" i="6"/>
  <c r="T18" i="6"/>
  <c r="T17" i="6"/>
  <c r="T16" i="6"/>
  <c r="T15" i="6"/>
  <c r="T14" i="6"/>
  <c r="T13" i="6"/>
  <c r="T12" i="6"/>
  <c r="T11" i="6"/>
  <c r="T10" i="6"/>
  <c r="T9" i="6"/>
  <c r="Q6" i="23"/>
  <c r="AB9" i="6"/>
  <c r="AB33" i="6"/>
  <c r="AB57" i="6"/>
  <c r="AC18" i="6"/>
  <c r="AC42" i="6"/>
  <c r="AC66" i="6"/>
  <c r="AC17" i="6"/>
  <c r="AC41" i="6"/>
  <c r="AC65" i="6"/>
  <c r="AC16" i="6"/>
  <c r="AC40" i="6"/>
  <c r="AC64" i="6"/>
  <c r="AC15" i="6"/>
  <c r="AC39" i="6"/>
  <c r="AC63" i="6"/>
  <c r="AC14" i="6"/>
  <c r="AC38" i="6"/>
  <c r="AC62" i="6"/>
  <c r="AC13" i="6"/>
  <c r="AC37" i="6"/>
  <c r="AC61" i="6"/>
  <c r="AC12" i="6"/>
  <c r="AC36" i="6"/>
  <c r="AC60" i="6"/>
  <c r="AC11" i="6"/>
  <c r="AC35" i="6"/>
  <c r="AC59" i="6"/>
  <c r="AC10" i="6"/>
  <c r="AC34" i="6"/>
  <c r="AC58" i="6"/>
  <c r="Q71" i="3"/>
  <c r="F11" i="3"/>
  <c r="Q72" i="3"/>
  <c r="F12" i="3"/>
  <c r="Q64" i="3"/>
  <c r="F4" i="3"/>
  <c r="Q65" i="3"/>
  <c r="F5" i="3"/>
  <c r="Q66" i="3"/>
  <c r="F6" i="3"/>
  <c r="Q67" i="3"/>
  <c r="F7" i="3"/>
  <c r="Q68" i="3"/>
  <c r="F8" i="3"/>
  <c r="Q69" i="3"/>
  <c r="F9" i="3"/>
  <c r="Q70" i="3"/>
  <c r="F10" i="3"/>
  <c r="F13" i="3"/>
  <c r="E110" i="9"/>
  <c r="D81" i="23"/>
  <c r="D82" i="23"/>
  <c r="D83" i="23"/>
  <c r="D84" i="23"/>
  <c r="D85" i="23"/>
  <c r="D86" i="23"/>
  <c r="D87" i="23"/>
  <c r="D88" i="23"/>
  <c r="D89" i="23"/>
  <c r="D90" i="23"/>
  <c r="D91" i="23"/>
  <c r="D92" i="23"/>
  <c r="D93" i="23"/>
  <c r="D94" i="23"/>
  <c r="D95" i="23"/>
  <c r="D96" i="23"/>
  <c r="D97" i="23"/>
  <c r="D98" i="23"/>
  <c r="D99" i="23"/>
  <c r="D100" i="23"/>
  <c r="D101" i="23"/>
  <c r="D102" i="23"/>
  <c r="D103" i="23"/>
  <c r="D104" i="23"/>
  <c r="D105" i="23"/>
  <c r="D106" i="23"/>
  <c r="D107" i="23"/>
  <c r="D108" i="23"/>
  <c r="D109" i="23"/>
  <c r="D110" i="23"/>
  <c r="D111" i="23"/>
  <c r="D112" i="23"/>
  <c r="D113" i="23"/>
  <c r="D114" i="23"/>
  <c r="D115" i="23"/>
  <c r="D116" i="23"/>
  <c r="D117" i="23"/>
  <c r="D118" i="23"/>
  <c r="D119" i="23"/>
  <c r="D120" i="23"/>
  <c r="D121" i="23"/>
  <c r="D122" i="23"/>
  <c r="D123" i="23"/>
  <c r="D124" i="23"/>
  <c r="D125" i="23"/>
  <c r="D126" i="23"/>
  <c r="D127" i="23"/>
  <c r="D128" i="23"/>
  <c r="D129" i="23"/>
  <c r="D130" i="23"/>
  <c r="D131" i="23"/>
  <c r="D132" i="23"/>
  <c r="D133" i="23"/>
  <c r="D134" i="23"/>
  <c r="D135" i="23"/>
  <c r="D136" i="23"/>
  <c r="D137" i="23"/>
  <c r="D138" i="23"/>
  <c r="D139" i="23"/>
  <c r="D140" i="23"/>
  <c r="D141" i="23"/>
  <c r="D142" i="23"/>
  <c r="D143" i="23"/>
  <c r="D144" i="23"/>
  <c r="D145" i="23"/>
  <c r="D146" i="23"/>
  <c r="D147" i="23"/>
  <c r="D148" i="23"/>
  <c r="D149" i="23"/>
  <c r="D150" i="23"/>
  <c r="E30" i="9"/>
  <c r="H2" i="23"/>
  <c r="E31" i="9"/>
  <c r="B4" i="23"/>
  <c r="E32" i="9"/>
  <c r="H4" i="23"/>
  <c r="E20" i="9"/>
  <c r="N4" i="23"/>
  <c r="E41" i="9"/>
  <c r="T4" i="23"/>
  <c r="E6" i="23"/>
  <c r="E5" i="23"/>
  <c r="F5" i="23"/>
  <c r="E89" i="9"/>
  <c r="G5" i="23"/>
  <c r="E83" i="9"/>
  <c r="H5" i="23"/>
  <c r="E53" i="9"/>
  <c r="R5" i="23"/>
  <c r="A8" i="23"/>
  <c r="A10" i="23"/>
  <c r="A12" i="23"/>
  <c r="A14" i="23"/>
  <c r="A16" i="23"/>
  <c r="A18" i="23"/>
  <c r="A20" i="23"/>
  <c r="A22" i="23"/>
  <c r="A24" i="23"/>
  <c r="A6" i="23"/>
  <c r="B6" i="23"/>
  <c r="C6" i="23"/>
  <c r="E33" i="9"/>
  <c r="H6" i="23"/>
  <c r="E39" i="9"/>
  <c r="I6" i="23"/>
  <c r="E48" i="9"/>
  <c r="J6" i="23"/>
  <c r="E34" i="9"/>
  <c r="K6" i="23"/>
  <c r="N6" i="23"/>
  <c r="T6" i="23"/>
  <c r="E45" i="9"/>
  <c r="V6" i="23"/>
  <c r="B13" i="3"/>
  <c r="J7" i="23"/>
  <c r="AA7" i="23"/>
  <c r="Z7" i="23"/>
  <c r="AB7" i="23"/>
  <c r="AA8" i="23"/>
  <c r="Z8" i="23"/>
  <c r="AA9" i="23"/>
  <c r="Z9" i="23"/>
  <c r="AA10" i="23"/>
  <c r="I10" i="23"/>
  <c r="Z10" i="23"/>
  <c r="AA11" i="23"/>
  <c r="I11" i="23"/>
  <c r="Z11" i="23"/>
  <c r="AA12" i="23"/>
  <c r="Z12" i="23"/>
  <c r="AA13" i="23"/>
  <c r="I13" i="23"/>
  <c r="Z13" i="23"/>
  <c r="AA14" i="23"/>
  <c r="Z14" i="23"/>
  <c r="AA15" i="23"/>
  <c r="I15" i="23"/>
  <c r="Z15" i="23"/>
  <c r="AA16" i="23"/>
  <c r="I16" i="23"/>
  <c r="Z16" i="23"/>
  <c r="AA17" i="23"/>
  <c r="Z17" i="23"/>
  <c r="AA18" i="23"/>
  <c r="Z18" i="23"/>
  <c r="AA19" i="23"/>
  <c r="I19" i="23"/>
  <c r="Z19" i="23"/>
  <c r="AA20" i="23"/>
  <c r="Z20" i="23"/>
  <c r="AA21" i="23"/>
  <c r="Z21" i="23"/>
  <c r="AA22" i="23"/>
  <c r="I22" i="23"/>
  <c r="Z22" i="23"/>
  <c r="AA23" i="23"/>
  <c r="I23" i="23"/>
  <c r="Z23" i="23"/>
  <c r="AA24" i="23"/>
  <c r="Z24" i="23"/>
  <c r="AA25" i="23"/>
  <c r="I25" i="23"/>
  <c r="Z25" i="23"/>
  <c r="AA26" i="23"/>
  <c r="Z26" i="23"/>
  <c r="AA27" i="23"/>
  <c r="I27" i="23"/>
  <c r="Z27" i="23"/>
  <c r="AA28" i="23"/>
  <c r="Z28" i="23"/>
  <c r="AA29" i="23"/>
  <c r="Z29" i="23"/>
  <c r="AA30" i="23"/>
  <c r="Z30" i="23"/>
  <c r="AA31" i="23"/>
  <c r="I31" i="23"/>
  <c r="Z31" i="23"/>
  <c r="AA32" i="23"/>
  <c r="Z32" i="23"/>
  <c r="AA33" i="23"/>
  <c r="Z33" i="23"/>
  <c r="AA34" i="23"/>
  <c r="I34" i="23"/>
  <c r="Z34" i="23"/>
  <c r="AA35" i="23"/>
  <c r="I35" i="23"/>
  <c r="Z35" i="23"/>
  <c r="AA36" i="23"/>
  <c r="Z36" i="23"/>
  <c r="AA37" i="23"/>
  <c r="I37" i="23"/>
  <c r="Z37" i="23"/>
  <c r="AA38" i="23"/>
  <c r="Z38" i="23"/>
  <c r="AA39" i="23"/>
  <c r="I39" i="23"/>
  <c r="Z39" i="23"/>
  <c r="AA40" i="23"/>
  <c r="I40" i="23"/>
  <c r="Z40" i="23"/>
  <c r="AA41" i="23"/>
  <c r="Z41" i="23"/>
  <c r="AA42" i="23"/>
  <c r="Z42" i="23"/>
  <c r="AA43" i="23"/>
  <c r="I43" i="23"/>
  <c r="Z43" i="23"/>
  <c r="AA44" i="23"/>
  <c r="Z44" i="23"/>
  <c r="AA45" i="23"/>
  <c r="Z45" i="23"/>
  <c r="AA46" i="23"/>
  <c r="I46" i="23"/>
  <c r="Z46" i="23"/>
  <c r="AA47" i="23"/>
  <c r="I47" i="23"/>
  <c r="Z47" i="23"/>
  <c r="AA48" i="23"/>
  <c r="Z48" i="23"/>
  <c r="AA49" i="23"/>
  <c r="Z49" i="23"/>
  <c r="AA50" i="23"/>
  <c r="Z50" i="23"/>
  <c r="AA51" i="23"/>
  <c r="I51" i="23"/>
  <c r="Z51" i="23"/>
  <c r="AA52" i="23"/>
  <c r="Z52" i="23"/>
  <c r="AA53" i="23"/>
  <c r="Z53" i="23"/>
  <c r="AA54" i="23"/>
  <c r="Z54" i="23"/>
  <c r="AA55" i="23"/>
  <c r="I55" i="23"/>
  <c r="Z55" i="23"/>
  <c r="AA56" i="23"/>
  <c r="Z56" i="23"/>
  <c r="AA57" i="23"/>
  <c r="Z57" i="23"/>
  <c r="AA58" i="23"/>
  <c r="Z58" i="23"/>
  <c r="AA59" i="23"/>
  <c r="I59" i="23"/>
  <c r="Z59" i="23"/>
  <c r="AA60" i="23"/>
  <c r="Z60" i="23"/>
  <c r="AA61" i="23"/>
  <c r="Z61" i="23"/>
  <c r="AA62" i="23"/>
  <c r="Z62" i="23"/>
  <c r="AA63" i="23"/>
  <c r="I63" i="23"/>
  <c r="Z63" i="23"/>
  <c r="AA64" i="23"/>
  <c r="Z64" i="23"/>
  <c r="AA65" i="23"/>
  <c r="Z65" i="23"/>
  <c r="AA66" i="23"/>
  <c r="Z66" i="23"/>
  <c r="AA67" i="23"/>
  <c r="I67" i="23"/>
  <c r="Z67" i="23"/>
  <c r="AA68" i="23"/>
  <c r="Z68" i="23"/>
  <c r="AA69" i="23"/>
  <c r="Z69" i="23"/>
  <c r="AA70" i="23"/>
  <c r="Z70" i="23"/>
  <c r="AA71" i="23"/>
  <c r="I71" i="23"/>
  <c r="Z71" i="23"/>
  <c r="AA72" i="23"/>
  <c r="Z72" i="23"/>
  <c r="AA73" i="23"/>
  <c r="Z73" i="23"/>
  <c r="AA74" i="23"/>
  <c r="Z74" i="23"/>
  <c r="AA75" i="23"/>
  <c r="I75" i="23"/>
  <c r="Z75" i="23"/>
  <c r="AA76" i="23"/>
  <c r="Z76" i="23"/>
  <c r="AA77" i="23"/>
  <c r="Z77" i="23"/>
  <c r="AA78" i="23"/>
  <c r="Z78" i="23"/>
  <c r="AC7" i="23"/>
  <c r="J10" i="23"/>
  <c r="AB10" i="23"/>
  <c r="J11" i="23"/>
  <c r="AB11" i="23"/>
  <c r="AD7" i="23"/>
  <c r="AE7" i="23"/>
  <c r="AI7" i="23"/>
  <c r="AH7" i="23"/>
  <c r="AJ7" i="23"/>
  <c r="AI8" i="23"/>
  <c r="I8" i="23"/>
  <c r="AH8" i="23"/>
  <c r="AI9" i="23"/>
  <c r="AH9" i="23"/>
  <c r="AI10" i="23"/>
  <c r="AH10" i="23"/>
  <c r="AI11" i="23"/>
  <c r="AH11" i="23"/>
  <c r="AI12" i="23"/>
  <c r="I12" i="23"/>
  <c r="AH12" i="23"/>
  <c r="AI13" i="23"/>
  <c r="AH13" i="23"/>
  <c r="AI14" i="23"/>
  <c r="AH14" i="23"/>
  <c r="AI15" i="23"/>
  <c r="AH15" i="23"/>
  <c r="AI16" i="23"/>
  <c r="AH16" i="23"/>
  <c r="AI17" i="23"/>
  <c r="I17" i="23"/>
  <c r="AH17" i="23"/>
  <c r="AI18" i="23"/>
  <c r="I18" i="23"/>
  <c r="AH18" i="23"/>
  <c r="AI19" i="23"/>
  <c r="AH19" i="23"/>
  <c r="AI20" i="23"/>
  <c r="AH20" i="23"/>
  <c r="AI21" i="23"/>
  <c r="I21" i="23"/>
  <c r="AH21" i="23"/>
  <c r="AI22" i="23"/>
  <c r="AH22" i="23"/>
  <c r="AI23" i="23"/>
  <c r="AH23" i="23"/>
  <c r="AI24" i="23"/>
  <c r="AH24" i="23"/>
  <c r="AI25" i="23"/>
  <c r="AH25" i="23"/>
  <c r="AI26" i="23"/>
  <c r="AH26" i="23"/>
  <c r="AI27" i="23"/>
  <c r="AH27" i="23"/>
  <c r="AI28" i="23"/>
  <c r="I28" i="23"/>
  <c r="AH28" i="23"/>
  <c r="AI29" i="23"/>
  <c r="AH29" i="23"/>
  <c r="AI30" i="23"/>
  <c r="I30" i="23"/>
  <c r="AH30" i="23"/>
  <c r="AI31" i="23"/>
  <c r="AH31" i="23"/>
  <c r="AI32" i="23"/>
  <c r="I32" i="23"/>
  <c r="AH32" i="23"/>
  <c r="AI33" i="23"/>
  <c r="I33" i="23"/>
  <c r="AH33" i="23"/>
  <c r="AI34" i="23"/>
  <c r="AH34" i="23"/>
  <c r="AI35" i="23"/>
  <c r="AH35" i="23"/>
  <c r="AI36" i="23"/>
  <c r="I36" i="23"/>
  <c r="AH36" i="23"/>
  <c r="AI37" i="23"/>
  <c r="AH37" i="23"/>
  <c r="AI38" i="23"/>
  <c r="AH38" i="23"/>
  <c r="AI39" i="23"/>
  <c r="AH39" i="23"/>
  <c r="AI40" i="23"/>
  <c r="AH40" i="23"/>
  <c r="AI41" i="23"/>
  <c r="I41" i="23"/>
  <c r="AH41" i="23"/>
  <c r="AI42" i="23"/>
  <c r="I42" i="23"/>
  <c r="AH42" i="23"/>
  <c r="AI43" i="23"/>
  <c r="AH43" i="23"/>
  <c r="AI44" i="23"/>
  <c r="I44" i="23"/>
  <c r="AH44" i="23"/>
  <c r="AI45" i="23"/>
  <c r="AH45" i="23"/>
  <c r="AI46" i="23"/>
  <c r="AH46" i="23"/>
  <c r="AI47" i="23"/>
  <c r="AH47" i="23"/>
  <c r="AI48" i="23"/>
  <c r="I48" i="23"/>
  <c r="AH48" i="23"/>
  <c r="AI49" i="23"/>
  <c r="AH49" i="23"/>
  <c r="AI50" i="23"/>
  <c r="I50" i="23"/>
  <c r="AH50" i="23"/>
  <c r="AI51" i="23"/>
  <c r="AH51" i="23"/>
  <c r="AI52" i="23"/>
  <c r="AH52" i="23"/>
  <c r="AI53" i="23"/>
  <c r="I53" i="23"/>
  <c r="AH53" i="23"/>
  <c r="AI54" i="23"/>
  <c r="AH54" i="23"/>
  <c r="AI55" i="23"/>
  <c r="AH55" i="23"/>
  <c r="AI56" i="23"/>
  <c r="I56" i="23"/>
  <c r="AH56" i="23"/>
  <c r="AI57" i="23"/>
  <c r="AH57" i="23"/>
  <c r="AI58" i="23"/>
  <c r="I58" i="23"/>
  <c r="AH58" i="23"/>
  <c r="AI59" i="23"/>
  <c r="AH59" i="23"/>
  <c r="AI60" i="23"/>
  <c r="AH60" i="23"/>
  <c r="AI61" i="23"/>
  <c r="AH61" i="23"/>
  <c r="AI62" i="23"/>
  <c r="AH62" i="23"/>
  <c r="AI63" i="23"/>
  <c r="AH63" i="23"/>
  <c r="AI64" i="23"/>
  <c r="AH64" i="23"/>
  <c r="AI65" i="23"/>
  <c r="AH65" i="23"/>
  <c r="AI66" i="23"/>
  <c r="I66" i="23"/>
  <c r="AH66" i="23"/>
  <c r="AI67" i="23"/>
  <c r="AH67" i="23"/>
  <c r="AI68" i="23"/>
  <c r="AH68" i="23"/>
  <c r="AI69" i="23"/>
  <c r="I69" i="23"/>
  <c r="AH69" i="23"/>
  <c r="AI70" i="23"/>
  <c r="AH70" i="23"/>
  <c r="AI71" i="23"/>
  <c r="AH71" i="23"/>
  <c r="AI72" i="23"/>
  <c r="I72" i="23"/>
  <c r="AH72" i="23"/>
  <c r="AI73" i="23"/>
  <c r="AH73" i="23"/>
  <c r="AI74" i="23"/>
  <c r="AH74" i="23"/>
  <c r="AI75" i="23"/>
  <c r="AH75" i="23"/>
  <c r="AI76" i="23"/>
  <c r="AH76" i="23"/>
  <c r="AI77" i="23"/>
  <c r="AH77" i="23"/>
  <c r="AI78" i="23"/>
  <c r="AH78" i="23"/>
  <c r="AK7" i="23"/>
  <c r="J8" i="23"/>
  <c r="AJ8" i="23"/>
  <c r="AL7" i="23"/>
  <c r="AM7" i="23"/>
  <c r="AQ7" i="23"/>
  <c r="AP7" i="23"/>
  <c r="AR7" i="23"/>
  <c r="AQ8" i="23"/>
  <c r="AP8" i="23"/>
  <c r="AQ9" i="23"/>
  <c r="I9" i="23"/>
  <c r="AP9" i="23"/>
  <c r="AQ10" i="23"/>
  <c r="AP10" i="23"/>
  <c r="AQ11" i="23"/>
  <c r="AP11" i="23"/>
  <c r="AQ12" i="23"/>
  <c r="AP12" i="23"/>
  <c r="AQ13" i="23"/>
  <c r="AP13" i="23"/>
  <c r="AQ14" i="23"/>
  <c r="I14" i="23"/>
  <c r="AP14" i="23"/>
  <c r="AQ15" i="23"/>
  <c r="AP15" i="23"/>
  <c r="AQ16" i="23"/>
  <c r="AP16" i="23"/>
  <c r="AQ17" i="23"/>
  <c r="AP17" i="23"/>
  <c r="AQ18" i="23"/>
  <c r="AP18" i="23"/>
  <c r="AQ19" i="23"/>
  <c r="AP19" i="23"/>
  <c r="AQ20" i="23"/>
  <c r="I20" i="23"/>
  <c r="AP20" i="23"/>
  <c r="AQ21" i="23"/>
  <c r="AP21" i="23"/>
  <c r="AQ22" i="23"/>
  <c r="AP22" i="23"/>
  <c r="AQ23" i="23"/>
  <c r="AP23" i="23"/>
  <c r="AQ24" i="23"/>
  <c r="I24" i="23"/>
  <c r="AP24" i="23"/>
  <c r="AQ25" i="23"/>
  <c r="AP25" i="23"/>
  <c r="AQ26" i="23"/>
  <c r="I26" i="23"/>
  <c r="AP26" i="23"/>
  <c r="AQ27" i="23"/>
  <c r="AP27" i="23"/>
  <c r="AQ28" i="23"/>
  <c r="AP28" i="23"/>
  <c r="AQ29" i="23"/>
  <c r="I29" i="23"/>
  <c r="AP29" i="23"/>
  <c r="AQ30" i="23"/>
  <c r="AP30" i="23"/>
  <c r="AQ31" i="23"/>
  <c r="AP31" i="23"/>
  <c r="AQ32" i="23"/>
  <c r="AP32" i="23"/>
  <c r="AQ33" i="23"/>
  <c r="AP33" i="23"/>
  <c r="AQ34" i="23"/>
  <c r="AP34" i="23"/>
  <c r="AQ35" i="23"/>
  <c r="AP35" i="23"/>
  <c r="AQ36" i="23"/>
  <c r="AP36" i="23"/>
  <c r="AQ37" i="23"/>
  <c r="AP37" i="23"/>
  <c r="AQ38" i="23"/>
  <c r="AP38" i="23"/>
  <c r="AQ39" i="23"/>
  <c r="AP39" i="23"/>
  <c r="AQ40" i="23"/>
  <c r="AP40" i="23"/>
  <c r="AQ41" i="23"/>
  <c r="AP41" i="23"/>
  <c r="AQ42" i="23"/>
  <c r="AP42" i="23"/>
  <c r="AQ43" i="23"/>
  <c r="AP43" i="23"/>
  <c r="AQ44" i="23"/>
  <c r="AP44" i="23"/>
  <c r="AQ45" i="23"/>
  <c r="AP45" i="23"/>
  <c r="AQ46" i="23"/>
  <c r="AP46" i="23"/>
  <c r="AQ47" i="23"/>
  <c r="AP47" i="23"/>
  <c r="AQ48" i="23"/>
  <c r="AP48" i="23"/>
  <c r="AQ49" i="23"/>
  <c r="I49" i="23"/>
  <c r="AP49" i="23"/>
  <c r="AQ50" i="23"/>
  <c r="AP50" i="23"/>
  <c r="AQ51" i="23"/>
  <c r="AP51" i="23"/>
  <c r="AQ52" i="23"/>
  <c r="I52" i="23"/>
  <c r="AP52" i="23"/>
  <c r="AQ53" i="23"/>
  <c r="AP53" i="23"/>
  <c r="AQ54" i="23"/>
  <c r="I54" i="23"/>
  <c r="AP54" i="23"/>
  <c r="AQ55" i="23"/>
  <c r="AP55" i="23"/>
  <c r="AQ56" i="23"/>
  <c r="AP56" i="23"/>
  <c r="AQ57" i="23"/>
  <c r="AP57" i="23"/>
  <c r="AQ58" i="23"/>
  <c r="AP58" i="23"/>
  <c r="AQ59" i="23"/>
  <c r="AP59" i="23"/>
  <c r="AQ60" i="23"/>
  <c r="I60" i="23"/>
  <c r="AP60" i="23"/>
  <c r="AQ61" i="23"/>
  <c r="AP61" i="23"/>
  <c r="AQ62" i="23"/>
  <c r="I62" i="23"/>
  <c r="AP62" i="23"/>
  <c r="AQ63" i="23"/>
  <c r="AP63" i="23"/>
  <c r="AQ64" i="23"/>
  <c r="AP64" i="23"/>
  <c r="AQ65" i="23"/>
  <c r="I65" i="23"/>
  <c r="AP65" i="23"/>
  <c r="AQ66" i="23"/>
  <c r="AP66" i="23"/>
  <c r="AQ67" i="23"/>
  <c r="AP67" i="23"/>
  <c r="AQ68" i="23"/>
  <c r="I68" i="23"/>
  <c r="AP68" i="23"/>
  <c r="AQ69" i="23"/>
  <c r="AP69" i="23"/>
  <c r="AQ70" i="23"/>
  <c r="AP70" i="23"/>
  <c r="AQ71" i="23"/>
  <c r="AP71" i="23"/>
  <c r="AQ72" i="23"/>
  <c r="AP72" i="23"/>
  <c r="AQ73" i="23"/>
  <c r="AP73" i="23"/>
  <c r="AQ74" i="23"/>
  <c r="AP74" i="23"/>
  <c r="AQ75" i="23"/>
  <c r="AP75" i="23"/>
  <c r="AQ76" i="23"/>
  <c r="AP76" i="23"/>
  <c r="AQ77" i="23"/>
  <c r="AP77" i="23"/>
  <c r="AQ78" i="23"/>
  <c r="AP78" i="23"/>
  <c r="AS7" i="23"/>
  <c r="AR8" i="23"/>
  <c r="J9" i="23"/>
  <c r="AR9" i="23"/>
  <c r="AT7" i="23"/>
  <c r="AU7" i="23"/>
  <c r="AY7" i="23"/>
  <c r="AX7" i="23"/>
  <c r="AZ7" i="23"/>
  <c r="AY8" i="23"/>
  <c r="AX8" i="23"/>
  <c r="AY9" i="23"/>
  <c r="AX9" i="23"/>
  <c r="AY10" i="23"/>
  <c r="AX10" i="23"/>
  <c r="AY11" i="23"/>
  <c r="AX11" i="23"/>
  <c r="AY12" i="23"/>
  <c r="AX12" i="23"/>
  <c r="AY13" i="23"/>
  <c r="AX13" i="23"/>
  <c r="AY14" i="23"/>
  <c r="AX14" i="23"/>
  <c r="AY15" i="23"/>
  <c r="AX15" i="23"/>
  <c r="AY16" i="23"/>
  <c r="AX16" i="23"/>
  <c r="AY17" i="23"/>
  <c r="AX17" i="23"/>
  <c r="AY18" i="23"/>
  <c r="AX18" i="23"/>
  <c r="AY19" i="23"/>
  <c r="AX19" i="23"/>
  <c r="AY20" i="23"/>
  <c r="AX20" i="23"/>
  <c r="AY21" i="23"/>
  <c r="AX21" i="23"/>
  <c r="AY22" i="23"/>
  <c r="AX22" i="23"/>
  <c r="AY23" i="23"/>
  <c r="AX23" i="23"/>
  <c r="AY24" i="23"/>
  <c r="AX24" i="23"/>
  <c r="AY25" i="23"/>
  <c r="AX25" i="23"/>
  <c r="AY26" i="23"/>
  <c r="AX26" i="23"/>
  <c r="AY27" i="23"/>
  <c r="AX27" i="23"/>
  <c r="AY28" i="23"/>
  <c r="AX28" i="23"/>
  <c r="AY29" i="23"/>
  <c r="AX29" i="23"/>
  <c r="AY30" i="23"/>
  <c r="AX30" i="23"/>
  <c r="AY31" i="23"/>
  <c r="AX31" i="23"/>
  <c r="AY32" i="23"/>
  <c r="AX32" i="23"/>
  <c r="AY33" i="23"/>
  <c r="AX33" i="23"/>
  <c r="AY34" i="23"/>
  <c r="AX34" i="23"/>
  <c r="AY35" i="23"/>
  <c r="AX35" i="23"/>
  <c r="AY36" i="23"/>
  <c r="AX36" i="23"/>
  <c r="AY37" i="23"/>
  <c r="AX37" i="23"/>
  <c r="AY38" i="23"/>
  <c r="I38" i="23"/>
  <c r="AX38" i="23"/>
  <c r="AY39" i="23"/>
  <c r="AX39" i="23"/>
  <c r="AY40" i="23"/>
  <c r="AX40" i="23"/>
  <c r="AY41" i="23"/>
  <c r="AX41" i="23"/>
  <c r="AY42" i="23"/>
  <c r="AX42" i="23"/>
  <c r="AY43" i="23"/>
  <c r="AX43" i="23"/>
  <c r="AY44" i="23"/>
  <c r="AX44" i="23"/>
  <c r="AY45" i="23"/>
  <c r="I45" i="23"/>
  <c r="AX45" i="23"/>
  <c r="AY46" i="23"/>
  <c r="AX46" i="23"/>
  <c r="AY47" i="23"/>
  <c r="AX47" i="23"/>
  <c r="AY48" i="23"/>
  <c r="AX48" i="23"/>
  <c r="AY49" i="23"/>
  <c r="AX49" i="23"/>
  <c r="AY50" i="23"/>
  <c r="AX50" i="23"/>
  <c r="AY51" i="23"/>
  <c r="AX51" i="23"/>
  <c r="AY52" i="23"/>
  <c r="AX52" i="23"/>
  <c r="AY53" i="23"/>
  <c r="AX53" i="23"/>
  <c r="AY54" i="23"/>
  <c r="AX54" i="23"/>
  <c r="AY55" i="23"/>
  <c r="AX55" i="23"/>
  <c r="AY56" i="23"/>
  <c r="AX56" i="23"/>
  <c r="AY57" i="23"/>
  <c r="AX57" i="23"/>
  <c r="AY58" i="23"/>
  <c r="AX58" i="23"/>
  <c r="AY59" i="23"/>
  <c r="AX59" i="23"/>
  <c r="AY60" i="23"/>
  <c r="AX60" i="23"/>
  <c r="AY61" i="23"/>
  <c r="I61" i="23"/>
  <c r="AX61" i="23"/>
  <c r="AY62" i="23"/>
  <c r="AX62" i="23"/>
  <c r="AY63" i="23"/>
  <c r="AX63" i="23"/>
  <c r="AY64" i="23"/>
  <c r="I64" i="23"/>
  <c r="AX64" i="23"/>
  <c r="AY65" i="23"/>
  <c r="AX65" i="23"/>
  <c r="AY66" i="23"/>
  <c r="AX66" i="23"/>
  <c r="AY67" i="23"/>
  <c r="AX67" i="23"/>
  <c r="AY68" i="23"/>
  <c r="AX68" i="23"/>
  <c r="AY69" i="23"/>
  <c r="AX69" i="23"/>
  <c r="AY70" i="23"/>
  <c r="AX70" i="23"/>
  <c r="AY71" i="23"/>
  <c r="AX71" i="23"/>
  <c r="AY72" i="23"/>
  <c r="AX72" i="23"/>
  <c r="AY73" i="23"/>
  <c r="AX73" i="23"/>
  <c r="AY74" i="23"/>
  <c r="AX74" i="23"/>
  <c r="AY75" i="23"/>
  <c r="AX75" i="23"/>
  <c r="AY76" i="23"/>
  <c r="I76" i="23"/>
  <c r="AX76" i="23"/>
  <c r="AY77" i="23"/>
  <c r="AX77" i="23"/>
  <c r="AY78" i="23"/>
  <c r="AX78" i="23"/>
  <c r="BA7" i="23"/>
  <c r="AZ9" i="23"/>
  <c r="AZ10" i="23"/>
  <c r="BB7" i="23"/>
  <c r="BC7" i="23"/>
  <c r="BG7" i="23"/>
  <c r="BF7" i="23"/>
  <c r="BH7" i="23"/>
  <c r="BG8" i="23"/>
  <c r="BF8" i="23"/>
  <c r="BG9" i="23"/>
  <c r="BF9" i="23"/>
  <c r="BG10" i="23"/>
  <c r="BF10" i="23"/>
  <c r="BG11" i="23"/>
  <c r="BF11" i="23"/>
  <c r="BG12" i="23"/>
  <c r="BF12" i="23"/>
  <c r="BG13" i="23"/>
  <c r="BF13" i="23"/>
  <c r="BG14" i="23"/>
  <c r="BF14" i="23"/>
  <c r="BG15" i="23"/>
  <c r="BF15" i="23"/>
  <c r="BG16" i="23"/>
  <c r="BF16" i="23"/>
  <c r="BG17" i="23"/>
  <c r="BF17" i="23"/>
  <c r="BG18" i="23"/>
  <c r="BF18" i="23"/>
  <c r="BG19" i="23"/>
  <c r="BF19" i="23"/>
  <c r="BG20" i="23"/>
  <c r="BF20" i="23"/>
  <c r="BG21" i="23"/>
  <c r="BF21" i="23"/>
  <c r="BG22" i="23"/>
  <c r="BF22" i="23"/>
  <c r="BG23" i="23"/>
  <c r="BF23" i="23"/>
  <c r="BG24" i="23"/>
  <c r="BF24" i="23"/>
  <c r="BG25" i="23"/>
  <c r="BF25" i="23"/>
  <c r="BG26" i="23"/>
  <c r="BF26" i="23"/>
  <c r="BG27" i="23"/>
  <c r="BF27" i="23"/>
  <c r="BG28" i="23"/>
  <c r="BF28" i="23"/>
  <c r="BG29" i="23"/>
  <c r="BF29" i="23"/>
  <c r="BG30" i="23"/>
  <c r="BF30" i="23"/>
  <c r="BG31" i="23"/>
  <c r="BF31" i="23"/>
  <c r="BG32" i="23"/>
  <c r="BF32" i="23"/>
  <c r="BG33" i="23"/>
  <c r="BF33" i="23"/>
  <c r="BG34" i="23"/>
  <c r="BF34" i="23"/>
  <c r="BG35" i="23"/>
  <c r="BF35" i="23"/>
  <c r="BG36" i="23"/>
  <c r="BF36" i="23"/>
  <c r="BG37" i="23"/>
  <c r="BF37" i="23"/>
  <c r="BG38" i="23"/>
  <c r="BF38" i="23"/>
  <c r="BG39" i="23"/>
  <c r="BF39" i="23"/>
  <c r="BG40" i="23"/>
  <c r="BF40" i="23"/>
  <c r="BG41" i="23"/>
  <c r="BF41" i="23"/>
  <c r="BG42" i="23"/>
  <c r="BF42" i="23"/>
  <c r="BG43" i="23"/>
  <c r="BF43" i="23"/>
  <c r="BG44" i="23"/>
  <c r="BF44" i="23"/>
  <c r="BG45" i="23"/>
  <c r="BF45" i="23"/>
  <c r="BG46" i="23"/>
  <c r="BF46" i="23"/>
  <c r="BG47" i="23"/>
  <c r="BF47" i="23"/>
  <c r="BG48" i="23"/>
  <c r="BF48" i="23"/>
  <c r="BG49" i="23"/>
  <c r="BF49" i="23"/>
  <c r="BG50" i="23"/>
  <c r="BF50" i="23"/>
  <c r="BG51" i="23"/>
  <c r="BF51" i="23"/>
  <c r="BG52" i="23"/>
  <c r="BF52" i="23"/>
  <c r="BG53" i="23"/>
  <c r="BF53" i="23"/>
  <c r="BG54" i="23"/>
  <c r="BF54" i="23"/>
  <c r="BG55" i="23"/>
  <c r="BF55" i="23"/>
  <c r="BG56" i="23"/>
  <c r="BF56" i="23"/>
  <c r="BG57" i="23"/>
  <c r="I57" i="23"/>
  <c r="BF57" i="23"/>
  <c r="BG58" i="23"/>
  <c r="BF58" i="23"/>
  <c r="BG59" i="23"/>
  <c r="BF59" i="23"/>
  <c r="BG60" i="23"/>
  <c r="BF60" i="23"/>
  <c r="BG61" i="23"/>
  <c r="BF61" i="23"/>
  <c r="BG62" i="23"/>
  <c r="BF62" i="23"/>
  <c r="BG63" i="23"/>
  <c r="BF63" i="23"/>
  <c r="BG64" i="23"/>
  <c r="BF64" i="23"/>
  <c r="BG65" i="23"/>
  <c r="BF65" i="23"/>
  <c r="BG66" i="23"/>
  <c r="BF66" i="23"/>
  <c r="BG67" i="23"/>
  <c r="BF67" i="23"/>
  <c r="BG68" i="23"/>
  <c r="BF68" i="23"/>
  <c r="BG69" i="23"/>
  <c r="BF69" i="23"/>
  <c r="BG70" i="23"/>
  <c r="BF70" i="23"/>
  <c r="BG71" i="23"/>
  <c r="BF71" i="23"/>
  <c r="BG72" i="23"/>
  <c r="BF72" i="23"/>
  <c r="BG73" i="23"/>
  <c r="BF73" i="23"/>
  <c r="BG74" i="23"/>
  <c r="BF74" i="23"/>
  <c r="BG75" i="23"/>
  <c r="BF75" i="23"/>
  <c r="BG76" i="23"/>
  <c r="BF76" i="23"/>
  <c r="BG77" i="23"/>
  <c r="I77" i="23"/>
  <c r="BF77" i="23"/>
  <c r="BG78" i="23"/>
  <c r="BF78" i="23"/>
  <c r="BI7" i="23"/>
  <c r="BH9" i="23"/>
  <c r="BH10" i="23"/>
  <c r="BJ7" i="23"/>
  <c r="BK7" i="23"/>
  <c r="BO7" i="23"/>
  <c r="BN7" i="23"/>
  <c r="BP7" i="23"/>
  <c r="BO8" i="23"/>
  <c r="BN8" i="23"/>
  <c r="BO9" i="23"/>
  <c r="BN9" i="23"/>
  <c r="BO10" i="23"/>
  <c r="BN10" i="23"/>
  <c r="BO11" i="23"/>
  <c r="BN11" i="23"/>
  <c r="BO12" i="23"/>
  <c r="BN12" i="23"/>
  <c r="BO13" i="23"/>
  <c r="BN13" i="23"/>
  <c r="BO14" i="23"/>
  <c r="BN14" i="23"/>
  <c r="BO15" i="23"/>
  <c r="BN15" i="23"/>
  <c r="BO16" i="23"/>
  <c r="BN16" i="23"/>
  <c r="BO17" i="23"/>
  <c r="BN17" i="23"/>
  <c r="BO18" i="23"/>
  <c r="BN18" i="23"/>
  <c r="BO19" i="23"/>
  <c r="BN19" i="23"/>
  <c r="BO20" i="23"/>
  <c r="BN20" i="23"/>
  <c r="BO21" i="23"/>
  <c r="BN21" i="23"/>
  <c r="BO22" i="23"/>
  <c r="BN22" i="23"/>
  <c r="BO23" i="23"/>
  <c r="BN23" i="23"/>
  <c r="BO24" i="23"/>
  <c r="BN24" i="23"/>
  <c r="BO25" i="23"/>
  <c r="BN25" i="23"/>
  <c r="BO26" i="23"/>
  <c r="BN26" i="23"/>
  <c r="BO27" i="23"/>
  <c r="BN27" i="23"/>
  <c r="BO28" i="23"/>
  <c r="BN28" i="23"/>
  <c r="BO29" i="23"/>
  <c r="BN29" i="23"/>
  <c r="BO30" i="23"/>
  <c r="BN30" i="23"/>
  <c r="BO31" i="23"/>
  <c r="BN31" i="23"/>
  <c r="BO32" i="23"/>
  <c r="BN32" i="23"/>
  <c r="BO33" i="23"/>
  <c r="BN33" i="23"/>
  <c r="BO34" i="23"/>
  <c r="BN34" i="23"/>
  <c r="BO35" i="23"/>
  <c r="BN35" i="23"/>
  <c r="BO36" i="23"/>
  <c r="BN36" i="23"/>
  <c r="BO37" i="23"/>
  <c r="BN37" i="23"/>
  <c r="BO38" i="23"/>
  <c r="BN38" i="23"/>
  <c r="BO39" i="23"/>
  <c r="BN39" i="23"/>
  <c r="BO40" i="23"/>
  <c r="BN40" i="23"/>
  <c r="BO41" i="23"/>
  <c r="BN41" i="23"/>
  <c r="BO42" i="23"/>
  <c r="BN42" i="23"/>
  <c r="BO43" i="23"/>
  <c r="BN43" i="23"/>
  <c r="BO44" i="23"/>
  <c r="BN44" i="23"/>
  <c r="BO45" i="23"/>
  <c r="BN45" i="23"/>
  <c r="BO46" i="23"/>
  <c r="BN46" i="23"/>
  <c r="BO47" i="23"/>
  <c r="BN47" i="23"/>
  <c r="BO48" i="23"/>
  <c r="BN48" i="23"/>
  <c r="BO49" i="23"/>
  <c r="BN49" i="23"/>
  <c r="BO50" i="23"/>
  <c r="BN50" i="23"/>
  <c r="BO51" i="23"/>
  <c r="BN51" i="23"/>
  <c r="BO52" i="23"/>
  <c r="BN52" i="23"/>
  <c r="BO53" i="23"/>
  <c r="BN53" i="23"/>
  <c r="BO54" i="23"/>
  <c r="BN54" i="23"/>
  <c r="BO55" i="23"/>
  <c r="BN55" i="23"/>
  <c r="BO56" i="23"/>
  <c r="BN56" i="23"/>
  <c r="BO57" i="23"/>
  <c r="BN57" i="23"/>
  <c r="BO58" i="23"/>
  <c r="BN58" i="23"/>
  <c r="BO59" i="23"/>
  <c r="BN59" i="23"/>
  <c r="BO60" i="23"/>
  <c r="BN60" i="23"/>
  <c r="BO61" i="23"/>
  <c r="BN61" i="23"/>
  <c r="BO62" i="23"/>
  <c r="BN62" i="23"/>
  <c r="BO63" i="23"/>
  <c r="BN63" i="23"/>
  <c r="BO64" i="23"/>
  <c r="BN64" i="23"/>
  <c r="BO65" i="23"/>
  <c r="BN65" i="23"/>
  <c r="BO66" i="23"/>
  <c r="BN66" i="23"/>
  <c r="BO67" i="23"/>
  <c r="BN67" i="23"/>
  <c r="BO68" i="23"/>
  <c r="BN68" i="23"/>
  <c r="BO69" i="23"/>
  <c r="BN69" i="23"/>
  <c r="BO70" i="23"/>
  <c r="BN70" i="23"/>
  <c r="BO71" i="23"/>
  <c r="BN71" i="23"/>
  <c r="BO72" i="23"/>
  <c r="BN72" i="23"/>
  <c r="BO73" i="23"/>
  <c r="I73" i="23"/>
  <c r="BN73" i="23"/>
  <c r="BO74" i="23"/>
  <c r="BN74" i="23"/>
  <c r="BO75" i="23"/>
  <c r="BN75" i="23"/>
  <c r="BO76" i="23"/>
  <c r="BN76" i="23"/>
  <c r="BO77" i="23"/>
  <c r="BN77" i="23"/>
  <c r="BO78" i="23"/>
  <c r="I78" i="23"/>
  <c r="BN78" i="23"/>
  <c r="BQ7" i="23"/>
  <c r="BP8" i="23"/>
  <c r="BP9" i="23"/>
  <c r="BP10" i="23"/>
  <c r="BR7" i="23"/>
  <c r="BS7" i="23"/>
  <c r="BW7" i="23"/>
  <c r="BV7" i="23"/>
  <c r="BX7" i="23"/>
  <c r="BW8" i="23"/>
  <c r="BV8" i="23"/>
  <c r="BW9" i="23"/>
  <c r="BV9" i="23"/>
  <c r="BW10" i="23"/>
  <c r="BV10" i="23"/>
  <c r="BW11" i="23"/>
  <c r="BV11" i="23"/>
  <c r="BW12" i="23"/>
  <c r="BV12" i="23"/>
  <c r="BW13" i="23"/>
  <c r="BV13" i="23"/>
  <c r="BW14" i="23"/>
  <c r="BV14" i="23"/>
  <c r="BW15" i="23"/>
  <c r="BV15" i="23"/>
  <c r="BW16" i="23"/>
  <c r="BV16" i="23"/>
  <c r="BW17" i="23"/>
  <c r="BV17" i="23"/>
  <c r="BW18" i="23"/>
  <c r="BV18" i="23"/>
  <c r="BW19" i="23"/>
  <c r="BV19" i="23"/>
  <c r="BW20" i="23"/>
  <c r="BV20" i="23"/>
  <c r="BW21" i="23"/>
  <c r="BV21" i="23"/>
  <c r="BW22" i="23"/>
  <c r="BV22" i="23"/>
  <c r="BW23" i="23"/>
  <c r="BV23" i="23"/>
  <c r="BW24" i="23"/>
  <c r="BV24" i="23"/>
  <c r="BW25" i="23"/>
  <c r="BV25" i="23"/>
  <c r="BW26" i="23"/>
  <c r="BV26" i="23"/>
  <c r="BW27" i="23"/>
  <c r="BV27" i="23"/>
  <c r="BW28" i="23"/>
  <c r="BV28" i="23"/>
  <c r="BW29" i="23"/>
  <c r="BV29" i="23"/>
  <c r="BW30" i="23"/>
  <c r="BV30" i="23"/>
  <c r="BW31" i="23"/>
  <c r="BV31" i="23"/>
  <c r="BW32" i="23"/>
  <c r="BV32" i="23"/>
  <c r="BW33" i="23"/>
  <c r="BV33" i="23"/>
  <c r="BW34" i="23"/>
  <c r="BV34" i="23"/>
  <c r="BW35" i="23"/>
  <c r="BV35" i="23"/>
  <c r="BW36" i="23"/>
  <c r="BV36" i="23"/>
  <c r="BW37" i="23"/>
  <c r="BV37" i="23"/>
  <c r="BW38" i="23"/>
  <c r="BV38" i="23"/>
  <c r="BW39" i="23"/>
  <c r="BV39" i="23"/>
  <c r="BW40" i="23"/>
  <c r="BV40" i="23"/>
  <c r="BW41" i="23"/>
  <c r="BV41" i="23"/>
  <c r="BW42" i="23"/>
  <c r="BV42" i="23"/>
  <c r="BW43" i="23"/>
  <c r="BV43" i="23"/>
  <c r="BW44" i="23"/>
  <c r="BV44" i="23"/>
  <c r="BW45" i="23"/>
  <c r="BV45" i="23"/>
  <c r="BW46" i="23"/>
  <c r="BV46" i="23"/>
  <c r="BW47" i="23"/>
  <c r="BV47" i="23"/>
  <c r="BW48" i="23"/>
  <c r="BV48" i="23"/>
  <c r="BW49" i="23"/>
  <c r="BV49" i="23"/>
  <c r="BW50" i="23"/>
  <c r="BV50" i="23"/>
  <c r="BW51" i="23"/>
  <c r="BV51" i="23"/>
  <c r="BW52" i="23"/>
  <c r="BV52" i="23"/>
  <c r="BW53" i="23"/>
  <c r="BV53" i="23"/>
  <c r="BW54" i="23"/>
  <c r="BV54" i="23"/>
  <c r="BW55" i="23"/>
  <c r="BV55" i="23"/>
  <c r="BW56" i="23"/>
  <c r="BV56" i="23"/>
  <c r="BW57" i="23"/>
  <c r="BV57" i="23"/>
  <c r="BW58" i="23"/>
  <c r="BV58" i="23"/>
  <c r="BW59" i="23"/>
  <c r="BV59" i="23"/>
  <c r="BW60" i="23"/>
  <c r="BV60" i="23"/>
  <c r="BW61" i="23"/>
  <c r="BV61" i="23"/>
  <c r="BW62" i="23"/>
  <c r="BV62" i="23"/>
  <c r="BW63" i="23"/>
  <c r="BV63" i="23"/>
  <c r="BW64" i="23"/>
  <c r="BV64" i="23"/>
  <c r="BW65" i="23"/>
  <c r="BV65" i="23"/>
  <c r="BW66" i="23"/>
  <c r="BV66" i="23"/>
  <c r="BW67" i="23"/>
  <c r="BV67" i="23"/>
  <c r="BW68" i="23"/>
  <c r="BV68" i="23"/>
  <c r="BW69" i="23"/>
  <c r="BV69" i="23"/>
  <c r="BW70" i="23"/>
  <c r="BV70" i="23"/>
  <c r="BW71" i="23"/>
  <c r="BV71" i="23"/>
  <c r="BW72" i="23"/>
  <c r="BV72" i="23"/>
  <c r="BW73" i="23"/>
  <c r="BV73" i="23"/>
  <c r="BW74" i="23"/>
  <c r="I74" i="23"/>
  <c r="BV74" i="23"/>
  <c r="BW75" i="23"/>
  <c r="BV75" i="23"/>
  <c r="BW76" i="23"/>
  <c r="BV76" i="23"/>
  <c r="BW77" i="23"/>
  <c r="BV77" i="23"/>
  <c r="BW78" i="23"/>
  <c r="BV78" i="23"/>
  <c r="BY7" i="23"/>
  <c r="BX8" i="23"/>
  <c r="BX9" i="23"/>
  <c r="BZ7" i="23"/>
  <c r="CA7" i="23"/>
  <c r="CE7" i="23"/>
  <c r="CD7" i="23"/>
  <c r="CF7" i="23"/>
  <c r="CE8" i="23"/>
  <c r="CD8" i="23"/>
  <c r="CE9" i="23"/>
  <c r="CD9" i="23"/>
  <c r="CE10" i="23"/>
  <c r="CD10" i="23"/>
  <c r="CE11" i="23"/>
  <c r="CD11" i="23"/>
  <c r="CE12" i="23"/>
  <c r="CD12" i="23"/>
  <c r="CE13" i="23"/>
  <c r="CD13" i="23"/>
  <c r="CE14" i="23"/>
  <c r="CD14" i="23"/>
  <c r="CE15" i="23"/>
  <c r="CD15" i="23"/>
  <c r="CE16" i="23"/>
  <c r="CD16" i="23"/>
  <c r="CE17" i="23"/>
  <c r="CD17" i="23"/>
  <c r="CE18" i="23"/>
  <c r="CD18" i="23"/>
  <c r="CE19" i="23"/>
  <c r="CD19" i="23"/>
  <c r="CE20" i="23"/>
  <c r="CD20" i="23"/>
  <c r="CE21" i="23"/>
  <c r="CD21" i="23"/>
  <c r="CE22" i="23"/>
  <c r="CD22" i="23"/>
  <c r="CE23" i="23"/>
  <c r="CD23" i="23"/>
  <c r="CE24" i="23"/>
  <c r="CD24" i="23"/>
  <c r="CE25" i="23"/>
  <c r="CD25" i="23"/>
  <c r="CE26" i="23"/>
  <c r="CD26" i="23"/>
  <c r="CE27" i="23"/>
  <c r="CD27" i="23"/>
  <c r="CE28" i="23"/>
  <c r="CD28" i="23"/>
  <c r="CE29" i="23"/>
  <c r="CD29" i="23"/>
  <c r="CE30" i="23"/>
  <c r="CD30" i="23"/>
  <c r="CE31" i="23"/>
  <c r="CD31" i="23"/>
  <c r="CE32" i="23"/>
  <c r="CD32" i="23"/>
  <c r="CE33" i="23"/>
  <c r="CD33" i="23"/>
  <c r="CE34" i="23"/>
  <c r="CD34" i="23"/>
  <c r="CE35" i="23"/>
  <c r="CD35" i="23"/>
  <c r="CE36" i="23"/>
  <c r="CD36" i="23"/>
  <c r="CE37" i="23"/>
  <c r="CD37" i="23"/>
  <c r="CE38" i="23"/>
  <c r="CD38" i="23"/>
  <c r="CE39" i="23"/>
  <c r="CD39" i="23"/>
  <c r="CE40" i="23"/>
  <c r="CD40" i="23"/>
  <c r="CE41" i="23"/>
  <c r="CD41" i="23"/>
  <c r="CE42" i="23"/>
  <c r="CD42" i="23"/>
  <c r="CE43" i="23"/>
  <c r="CD43" i="23"/>
  <c r="CE44" i="23"/>
  <c r="CD44" i="23"/>
  <c r="CE45" i="23"/>
  <c r="CD45" i="23"/>
  <c r="CE46" i="23"/>
  <c r="CD46" i="23"/>
  <c r="CE47" i="23"/>
  <c r="CD47" i="23"/>
  <c r="CE48" i="23"/>
  <c r="CD48" i="23"/>
  <c r="CE49" i="23"/>
  <c r="CD49" i="23"/>
  <c r="CE50" i="23"/>
  <c r="CD50" i="23"/>
  <c r="CE51" i="23"/>
  <c r="CD51" i="23"/>
  <c r="CE52" i="23"/>
  <c r="CD52" i="23"/>
  <c r="CE53" i="23"/>
  <c r="CD53" i="23"/>
  <c r="CE54" i="23"/>
  <c r="CD54" i="23"/>
  <c r="CE55" i="23"/>
  <c r="CD55" i="23"/>
  <c r="CE56" i="23"/>
  <c r="CD56" i="23"/>
  <c r="CE57" i="23"/>
  <c r="CD57" i="23"/>
  <c r="CE58" i="23"/>
  <c r="CD58" i="23"/>
  <c r="CE59" i="23"/>
  <c r="CD59" i="23"/>
  <c r="CE60" i="23"/>
  <c r="CD60" i="23"/>
  <c r="CE61" i="23"/>
  <c r="CD61" i="23"/>
  <c r="CE62" i="23"/>
  <c r="CD62" i="23"/>
  <c r="CE63" i="23"/>
  <c r="CD63" i="23"/>
  <c r="CE64" i="23"/>
  <c r="CD64" i="23"/>
  <c r="CE65" i="23"/>
  <c r="CD65" i="23"/>
  <c r="CE66" i="23"/>
  <c r="CD66" i="23"/>
  <c r="CE67" i="23"/>
  <c r="CD67" i="23"/>
  <c r="CE68" i="23"/>
  <c r="CD68" i="23"/>
  <c r="CE69" i="23"/>
  <c r="CD69" i="23"/>
  <c r="CE70" i="23"/>
  <c r="I70" i="23"/>
  <c r="CD70" i="23"/>
  <c r="CE71" i="23"/>
  <c r="CD71" i="23"/>
  <c r="CE72" i="23"/>
  <c r="CD72" i="23"/>
  <c r="CE73" i="23"/>
  <c r="CD73" i="23"/>
  <c r="CE74" i="23"/>
  <c r="CD74" i="23"/>
  <c r="CE75" i="23"/>
  <c r="CD75" i="23"/>
  <c r="CE76" i="23"/>
  <c r="CD76" i="23"/>
  <c r="CE77" i="23"/>
  <c r="CD77" i="23"/>
  <c r="CE78" i="23"/>
  <c r="CD78" i="23"/>
  <c r="CG7" i="23"/>
  <c r="CF8" i="23"/>
  <c r="CH7" i="23"/>
  <c r="CI7" i="23"/>
  <c r="CM7" i="23"/>
  <c r="CL7" i="23"/>
  <c r="CN7" i="23"/>
  <c r="CM8" i="23"/>
  <c r="CL8" i="23"/>
  <c r="CM9" i="23"/>
  <c r="CL9" i="23"/>
  <c r="CM10" i="23"/>
  <c r="CL10" i="23"/>
  <c r="CM11" i="23"/>
  <c r="CL11" i="23"/>
  <c r="CM12" i="23"/>
  <c r="CL12" i="23"/>
  <c r="CM13" i="23"/>
  <c r="CL13" i="23"/>
  <c r="CM14" i="23"/>
  <c r="CL14" i="23"/>
  <c r="CM15" i="23"/>
  <c r="CL15" i="23"/>
  <c r="CM16" i="23"/>
  <c r="CL16" i="23"/>
  <c r="CM17" i="23"/>
  <c r="CL17" i="23"/>
  <c r="CM18" i="23"/>
  <c r="CL18" i="23"/>
  <c r="CM19" i="23"/>
  <c r="CL19" i="23"/>
  <c r="CM20" i="23"/>
  <c r="CL20" i="23"/>
  <c r="CM21" i="23"/>
  <c r="CL21" i="23"/>
  <c r="CM22" i="23"/>
  <c r="CL22" i="23"/>
  <c r="CM23" i="23"/>
  <c r="CL23" i="23"/>
  <c r="CM24" i="23"/>
  <c r="CL24" i="23"/>
  <c r="CM25" i="23"/>
  <c r="CL25" i="23"/>
  <c r="CM26" i="23"/>
  <c r="CL26" i="23"/>
  <c r="CM27" i="23"/>
  <c r="CL27" i="23"/>
  <c r="CM28" i="23"/>
  <c r="CL28" i="23"/>
  <c r="CM29" i="23"/>
  <c r="CL29" i="23"/>
  <c r="CM30" i="23"/>
  <c r="CL30" i="23"/>
  <c r="CM31" i="23"/>
  <c r="CL31" i="23"/>
  <c r="CM32" i="23"/>
  <c r="CL32" i="23"/>
  <c r="CM33" i="23"/>
  <c r="CL33" i="23"/>
  <c r="CM34" i="23"/>
  <c r="CL34" i="23"/>
  <c r="CM35" i="23"/>
  <c r="CL35" i="23"/>
  <c r="CM36" i="23"/>
  <c r="CL36" i="23"/>
  <c r="CM37" i="23"/>
  <c r="CL37" i="23"/>
  <c r="CM38" i="23"/>
  <c r="CL38" i="23"/>
  <c r="CM39" i="23"/>
  <c r="CL39" i="23"/>
  <c r="CM40" i="23"/>
  <c r="CL40" i="23"/>
  <c r="CM41" i="23"/>
  <c r="CL41" i="23"/>
  <c r="CM42" i="23"/>
  <c r="CL42" i="23"/>
  <c r="CM43" i="23"/>
  <c r="CL43" i="23"/>
  <c r="CM44" i="23"/>
  <c r="CL44" i="23"/>
  <c r="CM45" i="23"/>
  <c r="CL45" i="23"/>
  <c r="CM46" i="23"/>
  <c r="CL46" i="23"/>
  <c r="CM47" i="23"/>
  <c r="CL47" i="23"/>
  <c r="CM48" i="23"/>
  <c r="CL48" i="23"/>
  <c r="CM49" i="23"/>
  <c r="CL49" i="23"/>
  <c r="CM50" i="23"/>
  <c r="CL50" i="23"/>
  <c r="CM51" i="23"/>
  <c r="CL51" i="23"/>
  <c r="CM52" i="23"/>
  <c r="CL52" i="23"/>
  <c r="CM53" i="23"/>
  <c r="CL53" i="23"/>
  <c r="CM54" i="23"/>
  <c r="CL54" i="23"/>
  <c r="CM55" i="23"/>
  <c r="CL55" i="23"/>
  <c r="CM56" i="23"/>
  <c r="CL56" i="23"/>
  <c r="CM57" i="23"/>
  <c r="CL57" i="23"/>
  <c r="CM58" i="23"/>
  <c r="CL58" i="23"/>
  <c r="CM59" i="23"/>
  <c r="CL59" i="23"/>
  <c r="CM60" i="23"/>
  <c r="CL60" i="23"/>
  <c r="CM61" i="23"/>
  <c r="CL61" i="23"/>
  <c r="CM62" i="23"/>
  <c r="CL62" i="23"/>
  <c r="CM63" i="23"/>
  <c r="CL63" i="23"/>
  <c r="CM64" i="23"/>
  <c r="CL64" i="23"/>
  <c r="CM65" i="23"/>
  <c r="CL65" i="23"/>
  <c r="CM66" i="23"/>
  <c r="CL66" i="23"/>
  <c r="CM67" i="23"/>
  <c r="CL67" i="23"/>
  <c r="CM68" i="23"/>
  <c r="CL68" i="23"/>
  <c r="CM69" i="23"/>
  <c r="CL69" i="23"/>
  <c r="CM70" i="23"/>
  <c r="CL70" i="23"/>
  <c r="CM71" i="23"/>
  <c r="CL71" i="23"/>
  <c r="CM72" i="23"/>
  <c r="CL72" i="23"/>
  <c r="CM73" i="23"/>
  <c r="CL73" i="23"/>
  <c r="CM74" i="23"/>
  <c r="CL74" i="23"/>
  <c r="CM75" i="23"/>
  <c r="CL75" i="23"/>
  <c r="CM76" i="23"/>
  <c r="CL76" i="23"/>
  <c r="CM77" i="23"/>
  <c r="CL77" i="23"/>
  <c r="CM78" i="23"/>
  <c r="CL78" i="23"/>
  <c r="CO7" i="23"/>
  <c r="CP7" i="23"/>
  <c r="CQ7" i="23"/>
  <c r="E42" i="9"/>
  <c r="T8" i="23"/>
  <c r="Y8" i="23"/>
  <c r="AG8" i="23"/>
  <c r="AO8" i="23"/>
  <c r="AW8" i="23"/>
  <c r="BE8" i="23"/>
  <c r="BM8" i="23"/>
  <c r="BU8" i="23"/>
  <c r="CC8" i="23"/>
  <c r="CK8" i="23"/>
  <c r="X8" i="23"/>
  <c r="AB8" i="23"/>
  <c r="AC8" i="23"/>
  <c r="J13" i="23"/>
  <c r="AB13" i="23"/>
  <c r="J15" i="23"/>
  <c r="AB15" i="23"/>
  <c r="AD8" i="23"/>
  <c r="AE8" i="23"/>
  <c r="AK8" i="23"/>
  <c r="AJ11" i="23"/>
  <c r="AJ13" i="23"/>
  <c r="J12" i="23"/>
  <c r="AJ12" i="23"/>
  <c r="AL8" i="23"/>
  <c r="AM8" i="23"/>
  <c r="AS8" i="23"/>
  <c r="AR12" i="23"/>
  <c r="J14" i="23"/>
  <c r="AR14" i="23"/>
  <c r="AR13" i="23"/>
  <c r="AT8" i="23"/>
  <c r="AU8" i="23"/>
  <c r="AZ8" i="23"/>
  <c r="BA8" i="23"/>
  <c r="AZ12" i="23"/>
  <c r="AZ14" i="23"/>
  <c r="BB8" i="23"/>
  <c r="BC8" i="23"/>
  <c r="BH8" i="23"/>
  <c r="BI8" i="23"/>
  <c r="BH11" i="23"/>
  <c r="BH13" i="23"/>
  <c r="BH14" i="23"/>
  <c r="BJ8" i="23"/>
  <c r="BK8" i="23"/>
  <c r="BQ8" i="23"/>
  <c r="BP13" i="23"/>
  <c r="BP12" i="23"/>
  <c r="BR8" i="23"/>
  <c r="BS8" i="23"/>
  <c r="BY8" i="23"/>
  <c r="BX10" i="23"/>
  <c r="BX11" i="23"/>
  <c r="BX12" i="23"/>
  <c r="BZ8" i="23"/>
  <c r="CA8" i="23"/>
  <c r="CG8" i="23"/>
  <c r="CF12" i="23"/>
  <c r="CF15" i="23"/>
  <c r="CH8" i="23"/>
  <c r="CI8" i="23"/>
  <c r="CN8" i="23"/>
  <c r="CO8" i="23"/>
  <c r="CN11" i="23"/>
  <c r="CP8" i="23"/>
  <c r="CQ8" i="23"/>
  <c r="Y9" i="23"/>
  <c r="AG9" i="23"/>
  <c r="AO9" i="23"/>
  <c r="AW9" i="23"/>
  <c r="BE9" i="23"/>
  <c r="BM9" i="23"/>
  <c r="BU9" i="23"/>
  <c r="CC9" i="23"/>
  <c r="CK9" i="23"/>
  <c r="X9" i="23"/>
  <c r="AB9" i="23"/>
  <c r="AC9" i="23"/>
  <c r="J16" i="23"/>
  <c r="AB16" i="23"/>
  <c r="J19" i="23"/>
  <c r="AB19" i="23"/>
  <c r="AD9" i="23"/>
  <c r="AE9" i="23"/>
  <c r="AJ9" i="23"/>
  <c r="AK9" i="23"/>
  <c r="AJ15" i="23"/>
  <c r="J18" i="23"/>
  <c r="AJ18" i="23"/>
  <c r="J17" i="23"/>
  <c r="AJ17" i="23"/>
  <c r="AL9" i="23"/>
  <c r="AM9" i="23"/>
  <c r="AS9" i="23"/>
  <c r="AR15" i="23"/>
  <c r="AR18" i="23"/>
  <c r="AT9" i="23"/>
  <c r="AU9" i="23"/>
  <c r="BA9" i="23"/>
  <c r="AZ17" i="23"/>
  <c r="AZ18" i="23"/>
  <c r="BB9" i="23"/>
  <c r="BC9" i="23"/>
  <c r="BI9" i="23"/>
  <c r="BH16" i="23"/>
  <c r="BH17" i="23"/>
  <c r="BJ9" i="23"/>
  <c r="BK9" i="23"/>
  <c r="BQ9" i="23"/>
  <c r="BP17" i="23"/>
  <c r="BP15" i="23"/>
  <c r="J20" i="23"/>
  <c r="BP20" i="23"/>
  <c r="BR9" i="23"/>
  <c r="BS9" i="23"/>
  <c r="BY9" i="23"/>
  <c r="BX14" i="23"/>
  <c r="BX16" i="23"/>
  <c r="BZ9" i="23"/>
  <c r="CA9" i="23"/>
  <c r="CF9" i="23"/>
  <c r="CG9" i="23"/>
  <c r="CF17" i="23"/>
  <c r="CF20" i="23"/>
  <c r="CH9" i="23"/>
  <c r="CI9" i="23"/>
  <c r="CN9" i="23"/>
  <c r="CO9" i="23"/>
  <c r="CN16" i="23"/>
  <c r="CP9" i="23"/>
  <c r="CQ9" i="23"/>
  <c r="E43" i="9"/>
  <c r="T10" i="23"/>
  <c r="Y10" i="23"/>
  <c r="AG10" i="23"/>
  <c r="AO10" i="23"/>
  <c r="AW10" i="23"/>
  <c r="BE10" i="23"/>
  <c r="BM10" i="23"/>
  <c r="BU10" i="23"/>
  <c r="CC10" i="23"/>
  <c r="CK10" i="23"/>
  <c r="X10" i="23"/>
  <c r="AC10" i="23"/>
  <c r="J23" i="23"/>
  <c r="AB23" i="23"/>
  <c r="AD10" i="23"/>
  <c r="AE10" i="23"/>
  <c r="AJ10" i="23"/>
  <c r="AK10" i="23"/>
  <c r="J21" i="23"/>
  <c r="AJ21" i="23"/>
  <c r="J22" i="23"/>
  <c r="AJ22" i="23"/>
  <c r="AL10" i="23"/>
  <c r="AM10" i="23"/>
  <c r="AR10" i="23"/>
  <c r="AS10" i="23"/>
  <c r="AR21" i="23"/>
  <c r="AR22" i="23"/>
  <c r="AT10" i="23"/>
  <c r="AU10" i="23"/>
  <c r="BA10" i="23"/>
  <c r="AZ19" i="23"/>
  <c r="AZ20" i="23"/>
  <c r="J25" i="23"/>
  <c r="AZ25" i="23"/>
  <c r="BB10" i="23"/>
  <c r="BC10" i="23"/>
  <c r="BI10" i="23"/>
  <c r="BH19" i="23"/>
  <c r="BH21" i="23"/>
  <c r="BJ10" i="23"/>
  <c r="BK10" i="23"/>
  <c r="BQ10" i="23"/>
  <c r="BP21" i="23"/>
  <c r="BP23" i="23"/>
  <c r="BR10" i="23"/>
  <c r="BS10" i="23"/>
  <c r="BY10" i="23"/>
  <c r="BX18" i="23"/>
  <c r="BX21" i="23"/>
  <c r="BX19" i="23"/>
  <c r="BZ10" i="23"/>
  <c r="CA10" i="23"/>
  <c r="CF10" i="23"/>
  <c r="CG10" i="23"/>
  <c r="CF22" i="23"/>
  <c r="CF25" i="23"/>
  <c r="CH10" i="23"/>
  <c r="CI10" i="23"/>
  <c r="CN10" i="23"/>
  <c r="CO10" i="23"/>
  <c r="CN21" i="23"/>
  <c r="CP10" i="23"/>
  <c r="CQ10" i="23"/>
  <c r="Y11" i="23"/>
  <c r="AG11" i="23"/>
  <c r="AO11" i="23"/>
  <c r="AW11" i="23"/>
  <c r="BE11" i="23"/>
  <c r="BM11" i="23"/>
  <c r="BU11" i="23"/>
  <c r="CC11" i="23"/>
  <c r="CK11" i="23"/>
  <c r="X11" i="23"/>
  <c r="AC11" i="23"/>
  <c r="AB22" i="23"/>
  <c r="J27" i="23"/>
  <c r="AB27" i="23"/>
  <c r="AD11" i="23"/>
  <c r="AE11" i="23"/>
  <c r="AK11" i="23"/>
  <c r="AJ23" i="23"/>
  <c r="AJ25" i="23"/>
  <c r="J30" i="23"/>
  <c r="AJ30" i="23"/>
  <c r="AL11" i="23"/>
  <c r="AM11" i="23"/>
  <c r="AR11" i="23"/>
  <c r="AS11" i="23"/>
  <c r="AR20" i="23"/>
  <c r="J24" i="23"/>
  <c r="AR24" i="23"/>
  <c r="J26" i="23"/>
  <c r="AR26" i="23"/>
  <c r="AT11" i="23"/>
  <c r="AU11" i="23"/>
  <c r="AZ11" i="23"/>
  <c r="BA11" i="23"/>
  <c r="AZ23" i="23"/>
  <c r="J28" i="23"/>
  <c r="AZ28" i="23"/>
  <c r="BB11" i="23"/>
  <c r="BC11" i="23"/>
  <c r="BI11" i="23"/>
  <c r="BH20" i="23"/>
  <c r="BH24" i="23"/>
  <c r="BJ11" i="23"/>
  <c r="BK11" i="23"/>
  <c r="BP11" i="23"/>
  <c r="BQ11" i="23"/>
  <c r="BP24" i="23"/>
  <c r="BP25" i="23"/>
  <c r="BP28" i="23"/>
  <c r="BR11" i="23"/>
  <c r="BS11" i="23"/>
  <c r="BY11" i="23"/>
  <c r="BX24" i="23"/>
  <c r="BX26" i="23"/>
  <c r="BZ11" i="23"/>
  <c r="CA11" i="23"/>
  <c r="CF11" i="23"/>
  <c r="CG11" i="23"/>
  <c r="CF26" i="23"/>
  <c r="CF30" i="23"/>
  <c r="CH11" i="23"/>
  <c r="CI11" i="23"/>
  <c r="CO11" i="23"/>
  <c r="CN26" i="23"/>
  <c r="CP11" i="23"/>
  <c r="CQ11" i="23"/>
  <c r="E44" i="9"/>
  <c r="T12" i="23"/>
  <c r="E104" i="9"/>
  <c r="V12" i="23"/>
  <c r="Y12" i="23"/>
  <c r="AG12" i="23"/>
  <c r="AO12" i="23"/>
  <c r="AW12" i="23"/>
  <c r="BE12" i="23"/>
  <c r="BM12" i="23"/>
  <c r="BU12" i="23"/>
  <c r="CC12" i="23"/>
  <c r="CK12" i="23"/>
  <c r="X12" i="23"/>
  <c r="AB12" i="23"/>
  <c r="AC12" i="23"/>
  <c r="AB25" i="23"/>
  <c r="J31" i="23"/>
  <c r="AB31" i="23"/>
  <c r="AD12" i="23"/>
  <c r="AE12" i="23"/>
  <c r="AK12" i="23"/>
  <c r="AJ28" i="23"/>
  <c r="J33" i="23"/>
  <c r="AJ33" i="23"/>
  <c r="AL12" i="23"/>
  <c r="AM12" i="23"/>
  <c r="AS12" i="23"/>
  <c r="AR27" i="23"/>
  <c r="J29" i="23"/>
  <c r="AR29" i="23"/>
  <c r="AT12" i="23"/>
  <c r="AU12" i="23"/>
  <c r="BA12" i="23"/>
  <c r="AZ26" i="23"/>
  <c r="AZ31" i="23"/>
  <c r="BB12" i="23"/>
  <c r="BC12" i="23"/>
  <c r="BH12" i="23"/>
  <c r="BI12" i="23"/>
  <c r="BH27" i="23"/>
  <c r="BH29" i="23"/>
  <c r="BJ12" i="23"/>
  <c r="BK12" i="23"/>
  <c r="BQ12" i="23"/>
  <c r="BP27" i="23"/>
  <c r="BP30" i="23"/>
  <c r="BP33" i="23"/>
  <c r="BR12" i="23"/>
  <c r="BS12" i="23"/>
  <c r="BY12" i="23"/>
  <c r="BX30" i="23"/>
  <c r="BX29" i="23"/>
  <c r="BZ12" i="23"/>
  <c r="CA12" i="23"/>
  <c r="CG12" i="23"/>
  <c r="CF29" i="23"/>
  <c r="J34" i="23"/>
  <c r="CF34" i="23"/>
  <c r="CH12" i="23"/>
  <c r="CI12" i="23"/>
  <c r="CN12" i="23"/>
  <c r="CO12" i="23"/>
  <c r="CN34" i="23"/>
  <c r="CP12" i="23"/>
  <c r="CQ12" i="23"/>
  <c r="Y13" i="23"/>
  <c r="AG13" i="23"/>
  <c r="AO13" i="23"/>
  <c r="AW13" i="23"/>
  <c r="BE13" i="23"/>
  <c r="BM13" i="23"/>
  <c r="BU13" i="23"/>
  <c r="CC13" i="23"/>
  <c r="CK13" i="23"/>
  <c r="X13" i="23"/>
  <c r="AC13" i="23"/>
  <c r="J35" i="23"/>
  <c r="AB35" i="23"/>
  <c r="AD13" i="23"/>
  <c r="AE13" i="23"/>
  <c r="AK13" i="23"/>
  <c r="AJ31" i="23"/>
  <c r="J36" i="23"/>
  <c r="AJ36" i="23"/>
  <c r="AL13" i="23"/>
  <c r="AM13" i="23"/>
  <c r="AS13" i="23"/>
  <c r="J32" i="23"/>
  <c r="AR32" i="23"/>
  <c r="AT13" i="23"/>
  <c r="AU13" i="23"/>
  <c r="AZ13" i="23"/>
  <c r="BA13" i="23"/>
  <c r="AZ30" i="23"/>
  <c r="AZ33" i="23"/>
  <c r="AZ36" i="23"/>
  <c r="BB13" i="23"/>
  <c r="BC13" i="23"/>
  <c r="BI13" i="23"/>
  <c r="BH30" i="23"/>
  <c r="BH34" i="23"/>
  <c r="BH32" i="23"/>
  <c r="BJ13" i="23"/>
  <c r="BK13" i="23"/>
  <c r="BQ13" i="23"/>
  <c r="BP29" i="23"/>
  <c r="BP34" i="23"/>
  <c r="J37" i="23"/>
  <c r="BP37" i="23"/>
  <c r="BR13" i="23"/>
  <c r="BS13" i="23"/>
  <c r="BX13" i="23"/>
  <c r="BY13" i="23"/>
  <c r="BX28" i="23"/>
  <c r="BX33" i="23"/>
  <c r="J38" i="23"/>
  <c r="BX38" i="23"/>
  <c r="BZ13" i="23"/>
  <c r="CA13" i="23"/>
  <c r="CF13" i="23"/>
  <c r="CG13" i="23"/>
  <c r="CF32" i="23"/>
  <c r="CF38" i="23"/>
  <c r="CH13" i="23"/>
  <c r="CI13" i="23"/>
  <c r="CN13" i="23"/>
  <c r="CO13" i="23"/>
  <c r="CN37" i="23"/>
  <c r="CP13" i="23"/>
  <c r="CQ13" i="23"/>
  <c r="E40" i="9"/>
  <c r="T14" i="23"/>
  <c r="U14" i="23"/>
  <c r="Y14" i="23"/>
  <c r="AG14" i="23"/>
  <c r="AO14" i="23"/>
  <c r="AW14" i="23"/>
  <c r="BE14" i="23"/>
  <c r="BM14" i="23"/>
  <c r="BU14" i="23"/>
  <c r="CC14" i="23"/>
  <c r="CK14" i="23"/>
  <c r="X14" i="23"/>
  <c r="AB14" i="23"/>
  <c r="AC14" i="23"/>
  <c r="AB34" i="23"/>
  <c r="J39" i="23"/>
  <c r="AB39" i="23"/>
  <c r="AD14" i="23"/>
  <c r="AE14" i="23"/>
  <c r="AJ14" i="23"/>
  <c r="AK14" i="23"/>
  <c r="AJ32" i="23"/>
  <c r="AJ39" i="23"/>
  <c r="AL14" i="23"/>
  <c r="AM14" i="23"/>
  <c r="AS14" i="23"/>
  <c r="AR33" i="23"/>
  <c r="AR37" i="23"/>
  <c r="AR35" i="23"/>
  <c r="AT14" i="23"/>
  <c r="AU14" i="23"/>
  <c r="BA14" i="23"/>
  <c r="AZ38" i="23"/>
  <c r="J40" i="23"/>
  <c r="AZ40" i="23"/>
  <c r="BB14" i="23"/>
  <c r="BC14" i="23"/>
  <c r="BI14" i="23"/>
  <c r="BH38" i="23"/>
  <c r="J41" i="23"/>
  <c r="BH41" i="23"/>
  <c r="BJ14" i="23"/>
  <c r="BK14" i="23"/>
  <c r="BP14" i="23"/>
  <c r="BQ14" i="23"/>
  <c r="J42" i="23"/>
  <c r="BP42" i="23"/>
  <c r="BR14" i="23"/>
  <c r="BS14" i="23"/>
  <c r="BY14" i="23"/>
  <c r="BX31" i="23"/>
  <c r="BX36" i="23"/>
  <c r="BX42" i="23"/>
  <c r="BZ14" i="23"/>
  <c r="CA14" i="23"/>
  <c r="CF14" i="23"/>
  <c r="CG14" i="23"/>
  <c r="CF35" i="23"/>
  <c r="CF41" i="23"/>
  <c r="CH14" i="23"/>
  <c r="CI14" i="23"/>
  <c r="CN14" i="23"/>
  <c r="CO14" i="23"/>
  <c r="CN40" i="23"/>
  <c r="CP14" i="23"/>
  <c r="CQ14" i="23"/>
  <c r="Y15" i="23"/>
  <c r="AG15" i="23"/>
  <c r="AO15" i="23"/>
  <c r="AW15" i="23"/>
  <c r="BE15" i="23"/>
  <c r="BM15" i="23"/>
  <c r="BU15" i="23"/>
  <c r="CC15" i="23"/>
  <c r="CK15" i="23"/>
  <c r="X15" i="23"/>
  <c r="AC15" i="23"/>
  <c r="AB37" i="23"/>
  <c r="J47" i="23"/>
  <c r="AB47" i="23"/>
  <c r="AD15" i="23"/>
  <c r="AE15" i="23"/>
  <c r="AK15" i="23"/>
  <c r="AJ41" i="23"/>
  <c r="J43" i="23"/>
  <c r="AJ43" i="23"/>
  <c r="AL15" i="23"/>
  <c r="AM15" i="23"/>
  <c r="AS15" i="23"/>
  <c r="AR36" i="23"/>
  <c r="AR42" i="23"/>
  <c r="J44" i="23"/>
  <c r="AR44" i="23"/>
  <c r="AT15" i="23"/>
  <c r="AU15" i="23"/>
  <c r="AZ15" i="23"/>
  <c r="BA15" i="23"/>
  <c r="AZ42" i="23"/>
  <c r="J45" i="23"/>
  <c r="AZ45" i="23"/>
  <c r="BB15" i="23"/>
  <c r="BC15" i="23"/>
  <c r="BH15" i="23"/>
  <c r="BI15" i="23"/>
  <c r="BH35" i="23"/>
  <c r="J46" i="23"/>
  <c r="BH46" i="23"/>
  <c r="BJ15" i="23"/>
  <c r="BK15" i="23"/>
  <c r="BQ15" i="23"/>
  <c r="BP38" i="23"/>
  <c r="BP40" i="23"/>
  <c r="BP46" i="23"/>
  <c r="BR15" i="23"/>
  <c r="BS15" i="23"/>
  <c r="BX15" i="23"/>
  <c r="BY15" i="23"/>
  <c r="BX35" i="23"/>
  <c r="BX39" i="23"/>
  <c r="BX45" i="23"/>
  <c r="BZ15" i="23"/>
  <c r="CA15" i="23"/>
  <c r="CG15" i="23"/>
  <c r="CF40" i="23"/>
  <c r="CF44" i="23"/>
  <c r="CH15" i="23"/>
  <c r="CI15" i="23"/>
  <c r="CN15" i="23"/>
  <c r="CO15" i="23"/>
  <c r="CN43" i="23"/>
  <c r="CP15" i="23"/>
  <c r="CQ15" i="23"/>
  <c r="T16" i="23"/>
  <c r="Y16" i="23"/>
  <c r="AG16" i="23"/>
  <c r="AO16" i="23"/>
  <c r="AW16" i="23"/>
  <c r="BE16" i="23"/>
  <c r="BM16" i="23"/>
  <c r="BU16" i="23"/>
  <c r="CC16" i="23"/>
  <c r="CK16" i="23"/>
  <c r="X16" i="23"/>
  <c r="AC16" i="23"/>
  <c r="AB40" i="23"/>
  <c r="AB43" i="23"/>
  <c r="J51" i="23"/>
  <c r="AB51" i="23"/>
  <c r="AD16" i="23"/>
  <c r="AE16" i="23"/>
  <c r="AJ16" i="23"/>
  <c r="AK16" i="23"/>
  <c r="AJ42" i="23"/>
  <c r="AJ46" i="23"/>
  <c r="J48" i="23"/>
  <c r="AJ48" i="23"/>
  <c r="AL16" i="23"/>
  <c r="AM16" i="23"/>
  <c r="AR16" i="23"/>
  <c r="AS16" i="23"/>
  <c r="AR39" i="23"/>
  <c r="AR46" i="23"/>
  <c r="J49" i="23"/>
  <c r="AR49" i="23"/>
  <c r="AT16" i="23"/>
  <c r="AU16" i="23"/>
  <c r="AZ16" i="23"/>
  <c r="BA16" i="23"/>
  <c r="J50" i="23"/>
  <c r="AZ50" i="23"/>
  <c r="BB16" i="23"/>
  <c r="BC16" i="23"/>
  <c r="BI16" i="23"/>
  <c r="BH37" i="23"/>
  <c r="BH44" i="23"/>
  <c r="BH50" i="23"/>
  <c r="BJ16" i="23"/>
  <c r="BK16" i="23"/>
  <c r="BP16" i="23"/>
  <c r="BQ16" i="23"/>
  <c r="BP43" i="23"/>
  <c r="BP49" i="23"/>
  <c r="BR16" i="23"/>
  <c r="BS16" i="23"/>
  <c r="BY16" i="23"/>
  <c r="BX44" i="23"/>
  <c r="BX48" i="23"/>
  <c r="BZ16" i="23"/>
  <c r="CA16" i="23"/>
  <c r="CF16" i="23"/>
  <c r="CG16" i="23"/>
  <c r="CF45" i="23"/>
  <c r="CF51" i="23"/>
  <c r="CH16" i="23"/>
  <c r="CI16" i="23"/>
  <c r="CO16" i="23"/>
  <c r="CN47" i="23"/>
  <c r="CP16" i="23"/>
  <c r="CQ16" i="23"/>
  <c r="Y17" i="23"/>
  <c r="AG17" i="23"/>
  <c r="AO17" i="23"/>
  <c r="AW17" i="23"/>
  <c r="BE17" i="23"/>
  <c r="BM17" i="23"/>
  <c r="BU17" i="23"/>
  <c r="CC17" i="23"/>
  <c r="CK17" i="23"/>
  <c r="X17" i="23"/>
  <c r="AB17" i="23"/>
  <c r="AC17" i="23"/>
  <c r="J55" i="23"/>
  <c r="AB55" i="23"/>
  <c r="AD17" i="23"/>
  <c r="AE17" i="23"/>
  <c r="AK17" i="23"/>
  <c r="AJ44" i="23"/>
  <c r="AJ50" i="23"/>
  <c r="J53" i="23"/>
  <c r="AJ53" i="23"/>
  <c r="AL17" i="23"/>
  <c r="AM17" i="23"/>
  <c r="AR17" i="23"/>
  <c r="AS17" i="23"/>
  <c r="AR41" i="23"/>
  <c r="J54" i="23"/>
  <c r="AR54" i="23"/>
  <c r="AT17" i="23"/>
  <c r="AU17" i="23"/>
  <c r="BA17" i="23"/>
  <c r="AZ44" i="23"/>
  <c r="AZ48" i="23"/>
  <c r="AZ54" i="23"/>
  <c r="BB17" i="23"/>
  <c r="BC17" i="23"/>
  <c r="BI17" i="23"/>
  <c r="BH47" i="23"/>
  <c r="BH53" i="23"/>
  <c r="BJ17" i="23"/>
  <c r="BK17" i="23"/>
  <c r="BQ17" i="23"/>
  <c r="BP45" i="23"/>
  <c r="BP48" i="23"/>
  <c r="J56" i="23"/>
  <c r="BP56" i="23"/>
  <c r="BR17" i="23"/>
  <c r="BS17" i="23"/>
  <c r="BX17" i="23"/>
  <c r="BY17" i="23"/>
  <c r="BX49" i="23"/>
  <c r="J52" i="23"/>
  <c r="BX52" i="23"/>
  <c r="BZ17" i="23"/>
  <c r="CA17" i="23"/>
  <c r="CG17" i="23"/>
  <c r="CF50" i="23"/>
  <c r="CF56" i="23"/>
  <c r="CH17" i="23"/>
  <c r="CI17" i="23"/>
  <c r="CN17" i="23"/>
  <c r="CO17" i="23"/>
  <c r="CN52" i="23"/>
  <c r="CP17" i="23"/>
  <c r="CQ17" i="23"/>
  <c r="Y18" i="23"/>
  <c r="AG18" i="23"/>
  <c r="AO18" i="23"/>
  <c r="AW18" i="23"/>
  <c r="BE18" i="23"/>
  <c r="BM18" i="23"/>
  <c r="BU18" i="23"/>
  <c r="CC18" i="23"/>
  <c r="CK18" i="23"/>
  <c r="X18" i="23"/>
  <c r="AB18" i="23"/>
  <c r="AC18" i="23"/>
  <c r="AB46" i="23"/>
  <c r="J59" i="23"/>
  <c r="AB59" i="23"/>
  <c r="AD18" i="23"/>
  <c r="AE18" i="23"/>
  <c r="AK18" i="23"/>
  <c r="J58" i="23"/>
  <c r="AJ58" i="23"/>
  <c r="AL18" i="23"/>
  <c r="AM18" i="23"/>
  <c r="AS18" i="23"/>
  <c r="AR43" i="23"/>
  <c r="AR52" i="23"/>
  <c r="AR58" i="23"/>
  <c r="AT18" i="23"/>
  <c r="AU18" i="23"/>
  <c r="BA18" i="23"/>
  <c r="AZ47" i="23"/>
  <c r="AZ51" i="23"/>
  <c r="J61" i="23"/>
  <c r="AZ61" i="23"/>
  <c r="BB18" i="23"/>
  <c r="BC18" i="23"/>
  <c r="BH18" i="23"/>
  <c r="BI18" i="23"/>
  <c r="BH48" i="23"/>
  <c r="BH52" i="23"/>
  <c r="J57" i="23"/>
  <c r="BH57" i="23"/>
  <c r="BJ18" i="23"/>
  <c r="BK18" i="23"/>
  <c r="BP18" i="23"/>
  <c r="BQ18" i="23"/>
  <c r="BP53" i="23"/>
  <c r="BP59" i="23"/>
  <c r="BR18" i="23"/>
  <c r="BS18" i="23"/>
  <c r="BY18" i="23"/>
  <c r="BX47" i="23"/>
  <c r="BX54" i="23"/>
  <c r="BX55" i="23"/>
  <c r="BZ18" i="23"/>
  <c r="CA18" i="23"/>
  <c r="CF18" i="23"/>
  <c r="CG18" i="23"/>
  <c r="CF54" i="23"/>
  <c r="CF61" i="23"/>
  <c r="CH18" i="23"/>
  <c r="CI18" i="23"/>
  <c r="CN18" i="23"/>
  <c r="CO18" i="23"/>
  <c r="CN57" i="23"/>
  <c r="CP18" i="23"/>
  <c r="CQ18" i="23"/>
  <c r="C3" i="17"/>
  <c r="C4" i="17"/>
  <c r="C5" i="17"/>
  <c r="C6" i="17"/>
  <c r="C7" i="17"/>
  <c r="C8" i="17"/>
  <c r="C9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44" i="17"/>
  <c r="C45" i="17"/>
  <c r="C46" i="17"/>
  <c r="C47" i="17"/>
  <c r="C48" i="17"/>
  <c r="C49" i="17"/>
  <c r="C50" i="17"/>
  <c r="C51" i="17"/>
  <c r="C52" i="17"/>
  <c r="C53" i="17"/>
  <c r="C54" i="17"/>
  <c r="C55" i="17"/>
  <c r="C56" i="17"/>
  <c r="C57" i="17"/>
  <c r="C58" i="17"/>
  <c r="C59" i="17"/>
  <c r="C60" i="17"/>
  <c r="C61" i="17"/>
  <c r="C62" i="17"/>
  <c r="C63" i="17"/>
  <c r="C64" i="17"/>
  <c r="C65" i="17"/>
  <c r="C66" i="17"/>
  <c r="C67" i="17"/>
  <c r="C68" i="17"/>
  <c r="C69" i="17"/>
  <c r="C70" i="17"/>
  <c r="C71" i="17"/>
  <c r="C72" i="17"/>
  <c r="C73" i="17"/>
  <c r="C74" i="17"/>
  <c r="E2" i="17"/>
  <c r="Y19" i="23"/>
  <c r="AG19" i="23"/>
  <c r="AO19" i="23"/>
  <c r="AW19" i="23"/>
  <c r="BE19" i="23"/>
  <c r="BM19" i="23"/>
  <c r="BU19" i="23"/>
  <c r="CC19" i="23"/>
  <c r="CK19" i="23"/>
  <c r="X19" i="23"/>
  <c r="AC19" i="23"/>
  <c r="J63" i="23"/>
  <c r="AB63" i="23"/>
  <c r="AD19" i="23"/>
  <c r="AE19" i="23"/>
  <c r="AJ19" i="23"/>
  <c r="AK19" i="23"/>
  <c r="AJ56" i="23"/>
  <c r="J66" i="23"/>
  <c r="AJ66" i="23"/>
  <c r="AL19" i="23"/>
  <c r="AM19" i="23"/>
  <c r="AR19" i="23"/>
  <c r="AS19" i="23"/>
  <c r="AR55" i="23"/>
  <c r="J62" i="23"/>
  <c r="AR62" i="23"/>
  <c r="AT19" i="23"/>
  <c r="AU19" i="23"/>
  <c r="BA19" i="23"/>
  <c r="AZ56" i="23"/>
  <c r="J64" i="23"/>
  <c r="AZ64" i="23"/>
  <c r="BB19" i="23"/>
  <c r="BC19" i="23"/>
  <c r="BI19" i="23"/>
  <c r="J60" i="23"/>
  <c r="BH60" i="23"/>
  <c r="BJ19" i="23"/>
  <c r="BK19" i="23"/>
  <c r="BP19" i="23"/>
  <c r="BQ19" i="23"/>
  <c r="BP58" i="23"/>
  <c r="BP64" i="23"/>
  <c r="BR19" i="23"/>
  <c r="BS19" i="23"/>
  <c r="BY19" i="23"/>
  <c r="BX58" i="23"/>
  <c r="BX60" i="23"/>
  <c r="BZ19" i="23"/>
  <c r="CA19" i="23"/>
  <c r="CF19" i="23"/>
  <c r="CG19" i="23"/>
  <c r="CF57" i="23"/>
  <c r="CF66" i="23"/>
  <c r="CH19" i="23"/>
  <c r="CI19" i="23"/>
  <c r="CN19" i="23"/>
  <c r="CO19" i="23"/>
  <c r="CN62" i="23"/>
  <c r="CP19" i="23"/>
  <c r="CQ19" i="23"/>
  <c r="Y20" i="23"/>
  <c r="AG20" i="23"/>
  <c r="AO20" i="23"/>
  <c r="AW20" i="23"/>
  <c r="BE20" i="23"/>
  <c r="BM20" i="23"/>
  <c r="BU20" i="23"/>
  <c r="CC20" i="23"/>
  <c r="CK20" i="23"/>
  <c r="X20" i="23"/>
  <c r="AB20" i="23"/>
  <c r="AC20" i="23"/>
  <c r="J67" i="23"/>
  <c r="AB67" i="23"/>
  <c r="AD20" i="23"/>
  <c r="AE20" i="23"/>
  <c r="AJ20" i="23"/>
  <c r="AK20" i="23"/>
  <c r="AJ59" i="23"/>
  <c r="J69" i="23"/>
  <c r="AJ69" i="23"/>
  <c r="AL20" i="23"/>
  <c r="AM20" i="23"/>
  <c r="AS20" i="23"/>
  <c r="AR60" i="23"/>
  <c r="J65" i="23"/>
  <c r="AR65" i="23"/>
  <c r="AT20" i="23"/>
  <c r="AU20" i="23"/>
  <c r="BA20" i="23"/>
  <c r="AZ67" i="23"/>
  <c r="BB20" i="23"/>
  <c r="BC20" i="23"/>
  <c r="BI20" i="23"/>
  <c r="BH62" i="23"/>
  <c r="BH63" i="23"/>
  <c r="BJ20" i="23"/>
  <c r="BK20" i="23"/>
  <c r="BQ20" i="23"/>
  <c r="BP62" i="23"/>
  <c r="BP69" i="23"/>
  <c r="BR20" i="23"/>
  <c r="BS20" i="23"/>
  <c r="BX20" i="23"/>
  <c r="BY20" i="23"/>
  <c r="BX61" i="23"/>
  <c r="BX65" i="23"/>
  <c r="BZ20" i="23"/>
  <c r="CA20" i="23"/>
  <c r="CG20" i="23"/>
  <c r="CF60" i="23"/>
  <c r="J70" i="23"/>
  <c r="CF70" i="23"/>
  <c r="CH20" i="23"/>
  <c r="CI20" i="23"/>
  <c r="CN20" i="23"/>
  <c r="CO20" i="23"/>
  <c r="CN70" i="23"/>
  <c r="CP20" i="23"/>
  <c r="CQ20" i="23"/>
  <c r="Y21" i="23"/>
  <c r="AG21" i="23"/>
  <c r="AO21" i="23"/>
  <c r="AW21" i="23"/>
  <c r="BE21" i="23"/>
  <c r="BM21" i="23"/>
  <c r="BU21" i="23"/>
  <c r="CC21" i="23"/>
  <c r="CK21" i="23"/>
  <c r="X21" i="23"/>
  <c r="AB21" i="23"/>
  <c r="AC21" i="23"/>
  <c r="J71" i="23"/>
  <c r="AB71" i="23"/>
  <c r="AD21" i="23"/>
  <c r="AE21" i="23"/>
  <c r="AK21" i="23"/>
  <c r="J72" i="23"/>
  <c r="AJ72" i="23"/>
  <c r="AL21" i="23"/>
  <c r="AM21" i="23"/>
  <c r="AS21" i="23"/>
  <c r="J68" i="23"/>
  <c r="AR68" i="23"/>
  <c r="AT21" i="23"/>
  <c r="AU21" i="23"/>
  <c r="AZ21" i="23"/>
  <c r="BA21" i="23"/>
  <c r="AZ72" i="23"/>
  <c r="BB21" i="23"/>
  <c r="BC21" i="23"/>
  <c r="BI21" i="23"/>
  <c r="BH68" i="23"/>
  <c r="BJ21" i="23"/>
  <c r="BK21" i="23"/>
  <c r="BQ21" i="23"/>
  <c r="J73" i="23"/>
  <c r="BP73" i="23"/>
  <c r="BR21" i="23"/>
  <c r="BS21" i="23"/>
  <c r="BY21" i="23"/>
  <c r="J74" i="23"/>
  <c r="BX74" i="23"/>
  <c r="BZ21" i="23"/>
  <c r="CA21" i="23"/>
  <c r="CF21" i="23"/>
  <c r="CG21" i="23"/>
  <c r="CF74" i="23"/>
  <c r="CH21" i="23"/>
  <c r="CI21" i="23"/>
  <c r="CO21" i="23"/>
  <c r="CN73" i="23"/>
  <c r="CP21" i="23"/>
  <c r="CQ21" i="23"/>
  <c r="Y22" i="23"/>
  <c r="AG22" i="23"/>
  <c r="AO22" i="23"/>
  <c r="AW22" i="23"/>
  <c r="BE22" i="23"/>
  <c r="BM22" i="23"/>
  <c r="BU22" i="23"/>
  <c r="CC22" i="23"/>
  <c r="CK22" i="23"/>
  <c r="X22" i="23"/>
  <c r="AC22" i="23"/>
  <c r="J75" i="23"/>
  <c r="AB75" i="23"/>
  <c r="AD22" i="23"/>
  <c r="AE22" i="23"/>
  <c r="AK22" i="23"/>
  <c r="AJ75" i="23"/>
  <c r="AL22" i="23"/>
  <c r="AM22" i="23"/>
  <c r="AS22" i="23"/>
  <c r="AR71" i="23"/>
  <c r="AT22" i="23"/>
  <c r="AU22" i="23"/>
  <c r="AZ22" i="23"/>
  <c r="BA22" i="23"/>
  <c r="J76" i="23"/>
  <c r="AZ76" i="23"/>
  <c r="BB22" i="23"/>
  <c r="BC22" i="23"/>
  <c r="BH22" i="23"/>
  <c r="BI22" i="23"/>
  <c r="J77" i="23"/>
  <c r="BH77" i="23"/>
  <c r="BJ22" i="23"/>
  <c r="BK22" i="23"/>
  <c r="BP22" i="23"/>
  <c r="BQ22" i="23"/>
  <c r="J78" i="23"/>
  <c r="BP78" i="23"/>
  <c r="BR22" i="23"/>
  <c r="BS22" i="23"/>
  <c r="BX22" i="23"/>
  <c r="BY22" i="23"/>
  <c r="BX78" i="23"/>
  <c r="BZ22" i="23"/>
  <c r="CA22" i="23"/>
  <c r="CG22" i="23"/>
  <c r="CF77" i="23"/>
  <c r="CH22" i="23"/>
  <c r="CI22" i="23"/>
  <c r="CN22" i="23"/>
  <c r="CO22" i="23"/>
  <c r="CN76" i="23"/>
  <c r="CP22" i="23"/>
  <c r="CQ22" i="23"/>
  <c r="Y23" i="23"/>
  <c r="AG23" i="23"/>
  <c r="AO23" i="23"/>
  <c r="AW23" i="23"/>
  <c r="BE23" i="23"/>
  <c r="BM23" i="23"/>
  <c r="BU23" i="23"/>
  <c r="CC23" i="23"/>
  <c r="CK23" i="23"/>
  <c r="X23" i="23"/>
  <c r="AC23" i="23"/>
  <c r="AD23" i="23"/>
  <c r="AE23" i="23"/>
  <c r="AK23" i="23"/>
  <c r="AL23" i="23"/>
  <c r="AM23" i="23"/>
  <c r="AR23" i="23"/>
  <c r="AS23" i="23"/>
  <c r="AT23" i="23"/>
  <c r="AU23" i="23"/>
  <c r="BA23" i="23"/>
  <c r="BB23" i="23"/>
  <c r="BC23" i="23"/>
  <c r="BH23" i="23"/>
  <c r="BI23" i="23"/>
  <c r="BJ23" i="23"/>
  <c r="BK23" i="23"/>
  <c r="BQ23" i="23"/>
  <c r="BR23" i="23"/>
  <c r="BS23" i="23"/>
  <c r="BX23" i="23"/>
  <c r="BY23" i="23"/>
  <c r="BZ23" i="23"/>
  <c r="CA23" i="23"/>
  <c r="CF23" i="23"/>
  <c r="CG23" i="23"/>
  <c r="CH23" i="23"/>
  <c r="CI23" i="23"/>
  <c r="CN23" i="23"/>
  <c r="CO23" i="23"/>
  <c r="CP23" i="23"/>
  <c r="CQ23" i="23"/>
  <c r="Y24" i="23"/>
  <c r="AG24" i="23"/>
  <c r="AO24" i="23"/>
  <c r="AW24" i="23"/>
  <c r="BE24" i="23"/>
  <c r="BM24" i="23"/>
  <c r="BU24" i="23"/>
  <c r="CC24" i="23"/>
  <c r="CK24" i="23"/>
  <c r="X24" i="23"/>
  <c r="AB24" i="23"/>
  <c r="AC24" i="23"/>
  <c r="AD24" i="23"/>
  <c r="AE24" i="23"/>
  <c r="AJ24" i="23"/>
  <c r="AK24" i="23"/>
  <c r="AL24" i="23"/>
  <c r="AM24" i="23"/>
  <c r="AS24" i="23"/>
  <c r="AT24" i="23"/>
  <c r="AU24" i="23"/>
  <c r="AZ24" i="23"/>
  <c r="BA24" i="23"/>
  <c r="BB24" i="23"/>
  <c r="BC24" i="23"/>
  <c r="BI24" i="23"/>
  <c r="BJ24" i="23"/>
  <c r="BK24" i="23"/>
  <c r="BQ24" i="23"/>
  <c r="BR24" i="23"/>
  <c r="BS24" i="23"/>
  <c r="BY24" i="23"/>
  <c r="BZ24" i="23"/>
  <c r="CA24" i="23"/>
  <c r="CF24" i="23"/>
  <c r="CG24" i="23"/>
  <c r="CH24" i="23"/>
  <c r="CI24" i="23"/>
  <c r="CN24" i="23"/>
  <c r="CO24" i="23"/>
  <c r="CP24" i="23"/>
  <c r="CQ24" i="23"/>
  <c r="Y25" i="23"/>
  <c r="AG25" i="23"/>
  <c r="AO25" i="23"/>
  <c r="AW25" i="23"/>
  <c r="BE25" i="23"/>
  <c r="BM25" i="23"/>
  <c r="BU25" i="23"/>
  <c r="CC25" i="23"/>
  <c r="CK25" i="23"/>
  <c r="X25" i="23"/>
  <c r="AC25" i="23"/>
  <c r="AD25" i="23"/>
  <c r="AE25" i="23"/>
  <c r="AK25" i="23"/>
  <c r="AL25" i="23"/>
  <c r="AM25" i="23"/>
  <c r="AR25" i="23"/>
  <c r="AS25" i="23"/>
  <c r="AT25" i="23"/>
  <c r="AU25" i="23"/>
  <c r="BA25" i="23"/>
  <c r="BB25" i="23"/>
  <c r="BC25" i="23"/>
  <c r="BH25" i="23"/>
  <c r="BI25" i="23"/>
  <c r="BJ25" i="23"/>
  <c r="BK25" i="23"/>
  <c r="BQ25" i="23"/>
  <c r="BR25" i="23"/>
  <c r="BS25" i="23"/>
  <c r="BX25" i="23"/>
  <c r="BY25" i="23"/>
  <c r="BZ25" i="23"/>
  <c r="CA25" i="23"/>
  <c r="CG25" i="23"/>
  <c r="CH25" i="23"/>
  <c r="CI25" i="23"/>
  <c r="CN25" i="23"/>
  <c r="CO25" i="23"/>
  <c r="CP25" i="23"/>
  <c r="CQ25" i="23"/>
  <c r="Y26" i="23"/>
  <c r="AG26" i="23"/>
  <c r="AO26" i="23"/>
  <c r="AW26" i="23"/>
  <c r="BE26" i="23"/>
  <c r="BM26" i="23"/>
  <c r="BU26" i="23"/>
  <c r="CC26" i="23"/>
  <c r="CK26" i="23"/>
  <c r="X26" i="23"/>
  <c r="AB26" i="23"/>
  <c r="AC26" i="23"/>
  <c r="AD26" i="23"/>
  <c r="AE26" i="23"/>
  <c r="AJ26" i="23"/>
  <c r="AK26" i="23"/>
  <c r="AL26" i="23"/>
  <c r="AM26" i="23"/>
  <c r="AS26" i="23"/>
  <c r="AT26" i="23"/>
  <c r="AU26" i="23"/>
  <c r="BA26" i="23"/>
  <c r="BB26" i="23"/>
  <c r="BC26" i="23"/>
  <c r="BH26" i="23"/>
  <c r="BI26" i="23"/>
  <c r="BJ26" i="23"/>
  <c r="BK26" i="23"/>
  <c r="BP26" i="23"/>
  <c r="BQ26" i="23"/>
  <c r="BR26" i="23"/>
  <c r="BS26" i="23"/>
  <c r="BY26" i="23"/>
  <c r="BZ26" i="23"/>
  <c r="CA26" i="23"/>
  <c r="CG26" i="23"/>
  <c r="CH26" i="23"/>
  <c r="CI26" i="23"/>
  <c r="CO26" i="23"/>
  <c r="CP26" i="23"/>
  <c r="CQ26" i="23"/>
  <c r="E87" i="9"/>
  <c r="B27" i="23"/>
  <c r="Y27" i="23"/>
  <c r="AG27" i="23"/>
  <c r="AO27" i="23"/>
  <c r="AW27" i="23"/>
  <c r="BE27" i="23"/>
  <c r="BM27" i="23"/>
  <c r="BU27" i="23"/>
  <c r="CC27" i="23"/>
  <c r="CK27" i="23"/>
  <c r="X27" i="23"/>
  <c r="AC27" i="23"/>
  <c r="AD27" i="23"/>
  <c r="AE27" i="23"/>
  <c r="AJ27" i="23"/>
  <c r="AK27" i="23"/>
  <c r="AL27" i="23"/>
  <c r="AM27" i="23"/>
  <c r="AS27" i="23"/>
  <c r="AT27" i="23"/>
  <c r="AU27" i="23"/>
  <c r="AZ27" i="23"/>
  <c r="BA27" i="23"/>
  <c r="BB27" i="23"/>
  <c r="BC27" i="23"/>
  <c r="BI27" i="23"/>
  <c r="BJ27" i="23"/>
  <c r="BK27" i="23"/>
  <c r="BQ27" i="23"/>
  <c r="BR27" i="23"/>
  <c r="BS27" i="23"/>
  <c r="BX27" i="23"/>
  <c r="BY27" i="23"/>
  <c r="BZ27" i="23"/>
  <c r="CA27" i="23"/>
  <c r="CF27" i="23"/>
  <c r="CG27" i="23"/>
  <c r="CH27" i="23"/>
  <c r="CI27" i="23"/>
  <c r="CN27" i="23"/>
  <c r="CO27" i="23"/>
  <c r="CP27" i="23"/>
  <c r="CQ27" i="23"/>
  <c r="Y28" i="23"/>
  <c r="AG28" i="23"/>
  <c r="AO28" i="23"/>
  <c r="AW28" i="23"/>
  <c r="BE28" i="23"/>
  <c r="BM28" i="23"/>
  <c r="BU28" i="23"/>
  <c r="CC28" i="23"/>
  <c r="CK28" i="23"/>
  <c r="X28" i="23"/>
  <c r="AB28" i="23"/>
  <c r="AC28" i="23"/>
  <c r="AD28" i="23"/>
  <c r="AE28" i="23"/>
  <c r="AK28" i="23"/>
  <c r="AL28" i="23"/>
  <c r="AM28" i="23"/>
  <c r="AR28" i="23"/>
  <c r="AS28" i="23"/>
  <c r="AT28" i="23"/>
  <c r="AU28" i="23"/>
  <c r="BA28" i="23"/>
  <c r="BB28" i="23"/>
  <c r="BC28" i="23"/>
  <c r="BH28" i="23"/>
  <c r="BI28" i="23"/>
  <c r="BJ28" i="23"/>
  <c r="BK28" i="23"/>
  <c r="BQ28" i="23"/>
  <c r="BR28" i="23"/>
  <c r="BS28" i="23"/>
  <c r="BY28" i="23"/>
  <c r="BZ28" i="23"/>
  <c r="CA28" i="23"/>
  <c r="CF28" i="23"/>
  <c r="CG28" i="23"/>
  <c r="CH28" i="23"/>
  <c r="CI28" i="23"/>
  <c r="CN28" i="23"/>
  <c r="CO28" i="23"/>
  <c r="CP28" i="23"/>
  <c r="CQ28" i="23"/>
  <c r="Y29" i="23"/>
  <c r="AG29" i="23"/>
  <c r="AO29" i="23"/>
  <c r="AW29" i="23"/>
  <c r="BE29" i="23"/>
  <c r="BM29" i="23"/>
  <c r="BU29" i="23"/>
  <c r="CC29" i="23"/>
  <c r="CK29" i="23"/>
  <c r="X29" i="23"/>
  <c r="AB29" i="23"/>
  <c r="AC29" i="23"/>
  <c r="AD29" i="23"/>
  <c r="AE29" i="23"/>
  <c r="AJ29" i="23"/>
  <c r="AK29" i="23"/>
  <c r="AL29" i="23"/>
  <c r="AM29" i="23"/>
  <c r="AS29" i="23"/>
  <c r="AT29" i="23"/>
  <c r="AU29" i="23"/>
  <c r="AZ29" i="23"/>
  <c r="BA29" i="23"/>
  <c r="BB29" i="23"/>
  <c r="BC29" i="23"/>
  <c r="BI29" i="23"/>
  <c r="BJ29" i="23"/>
  <c r="BK29" i="23"/>
  <c r="BQ29" i="23"/>
  <c r="BR29" i="23"/>
  <c r="BS29" i="23"/>
  <c r="BY29" i="23"/>
  <c r="BZ29" i="23"/>
  <c r="CA29" i="23"/>
  <c r="CG29" i="23"/>
  <c r="CH29" i="23"/>
  <c r="CI29" i="23"/>
  <c r="CN29" i="23"/>
  <c r="CO29" i="23"/>
  <c r="CP29" i="23"/>
  <c r="CQ29" i="23"/>
  <c r="Y30" i="23"/>
  <c r="AG30" i="23"/>
  <c r="AO30" i="23"/>
  <c r="AW30" i="23"/>
  <c r="BE30" i="23"/>
  <c r="BM30" i="23"/>
  <c r="BU30" i="23"/>
  <c r="CC30" i="23"/>
  <c r="CK30" i="23"/>
  <c r="X30" i="23"/>
  <c r="AB30" i="23"/>
  <c r="AC30" i="23"/>
  <c r="AD30" i="23"/>
  <c r="AE30" i="23"/>
  <c r="AK30" i="23"/>
  <c r="AL30" i="23"/>
  <c r="AM30" i="23"/>
  <c r="AR30" i="23"/>
  <c r="AS30" i="23"/>
  <c r="AT30" i="23"/>
  <c r="AU30" i="23"/>
  <c r="BA30" i="23"/>
  <c r="BB30" i="23"/>
  <c r="BC30" i="23"/>
  <c r="BI30" i="23"/>
  <c r="BJ30" i="23"/>
  <c r="BK30" i="23"/>
  <c r="BQ30" i="23"/>
  <c r="BR30" i="23"/>
  <c r="BS30" i="23"/>
  <c r="BY30" i="23"/>
  <c r="BZ30" i="23"/>
  <c r="CA30" i="23"/>
  <c r="CG30" i="23"/>
  <c r="CH30" i="23"/>
  <c r="CI30" i="23"/>
  <c r="CN30" i="23"/>
  <c r="CO30" i="23"/>
  <c r="CP30" i="23"/>
  <c r="CQ30" i="23"/>
  <c r="Y31" i="23"/>
  <c r="AG31" i="23"/>
  <c r="AO31" i="23"/>
  <c r="AW31" i="23"/>
  <c r="BE31" i="23"/>
  <c r="BM31" i="23"/>
  <c r="BU31" i="23"/>
  <c r="CC31" i="23"/>
  <c r="CK31" i="23"/>
  <c r="X31" i="23"/>
  <c r="AC31" i="23"/>
  <c r="AD31" i="23"/>
  <c r="AE31" i="23"/>
  <c r="AK31" i="23"/>
  <c r="AL31" i="23"/>
  <c r="AM31" i="23"/>
  <c r="AR31" i="23"/>
  <c r="AS31" i="23"/>
  <c r="AT31" i="23"/>
  <c r="AU31" i="23"/>
  <c r="BA31" i="23"/>
  <c r="BB31" i="23"/>
  <c r="BC31" i="23"/>
  <c r="BH31" i="23"/>
  <c r="BI31" i="23"/>
  <c r="BJ31" i="23"/>
  <c r="BK31" i="23"/>
  <c r="BP31" i="23"/>
  <c r="BQ31" i="23"/>
  <c r="BR31" i="23"/>
  <c r="BS31" i="23"/>
  <c r="BY31" i="23"/>
  <c r="BZ31" i="23"/>
  <c r="CA31" i="23"/>
  <c r="CF31" i="23"/>
  <c r="CG31" i="23"/>
  <c r="CH31" i="23"/>
  <c r="CI31" i="23"/>
  <c r="CN31" i="23"/>
  <c r="CO31" i="23"/>
  <c r="CP31" i="23"/>
  <c r="CQ31" i="23"/>
  <c r="Y32" i="23"/>
  <c r="AG32" i="23"/>
  <c r="AO32" i="23"/>
  <c r="AW32" i="23"/>
  <c r="BE32" i="23"/>
  <c r="BM32" i="23"/>
  <c r="BU32" i="23"/>
  <c r="CC32" i="23"/>
  <c r="CK32" i="23"/>
  <c r="X32" i="23"/>
  <c r="AB32" i="23"/>
  <c r="AC32" i="23"/>
  <c r="AD32" i="23"/>
  <c r="AE32" i="23"/>
  <c r="AK32" i="23"/>
  <c r="AL32" i="23"/>
  <c r="AM32" i="23"/>
  <c r="AS32" i="23"/>
  <c r="AT32" i="23"/>
  <c r="AU32" i="23"/>
  <c r="AZ32" i="23"/>
  <c r="BA32" i="23"/>
  <c r="BB32" i="23"/>
  <c r="BC32" i="23"/>
  <c r="BI32" i="23"/>
  <c r="BJ32" i="23"/>
  <c r="BK32" i="23"/>
  <c r="BP32" i="23"/>
  <c r="BQ32" i="23"/>
  <c r="BR32" i="23"/>
  <c r="BS32" i="23"/>
  <c r="BX32" i="23"/>
  <c r="BY32" i="23"/>
  <c r="BZ32" i="23"/>
  <c r="CA32" i="23"/>
  <c r="CG32" i="23"/>
  <c r="CH32" i="23"/>
  <c r="CI32" i="23"/>
  <c r="CN32" i="23"/>
  <c r="CO32" i="23"/>
  <c r="CP32" i="23"/>
  <c r="CQ32" i="23"/>
  <c r="Y33" i="23"/>
  <c r="AG33" i="23"/>
  <c r="AO33" i="23"/>
  <c r="AW33" i="23"/>
  <c r="BE33" i="23"/>
  <c r="BM33" i="23"/>
  <c r="BU33" i="23"/>
  <c r="CC33" i="23"/>
  <c r="CK33" i="23"/>
  <c r="X33" i="23"/>
  <c r="AB33" i="23"/>
  <c r="AC33" i="23"/>
  <c r="AD33" i="23"/>
  <c r="AE33" i="23"/>
  <c r="AK33" i="23"/>
  <c r="AL33" i="23"/>
  <c r="AM33" i="23"/>
  <c r="AS33" i="23"/>
  <c r="AT33" i="23"/>
  <c r="AU33" i="23"/>
  <c r="BA33" i="23"/>
  <c r="BB33" i="23"/>
  <c r="BC33" i="23"/>
  <c r="BH33" i="23"/>
  <c r="BI33" i="23"/>
  <c r="BJ33" i="23"/>
  <c r="BK33" i="23"/>
  <c r="BQ33" i="23"/>
  <c r="BR33" i="23"/>
  <c r="BS33" i="23"/>
  <c r="BY33" i="23"/>
  <c r="BZ33" i="23"/>
  <c r="CA33" i="23"/>
  <c r="CF33" i="23"/>
  <c r="CG33" i="23"/>
  <c r="CH33" i="23"/>
  <c r="CI33" i="23"/>
  <c r="CN33" i="23"/>
  <c r="CO33" i="23"/>
  <c r="CP33" i="23"/>
  <c r="CQ33" i="23"/>
  <c r="Y34" i="23"/>
  <c r="AG34" i="23"/>
  <c r="AO34" i="23"/>
  <c r="AW34" i="23"/>
  <c r="BE34" i="23"/>
  <c r="BM34" i="23"/>
  <c r="BU34" i="23"/>
  <c r="CC34" i="23"/>
  <c r="CK34" i="23"/>
  <c r="X34" i="23"/>
  <c r="AC34" i="23"/>
  <c r="AD34" i="23"/>
  <c r="AE34" i="23"/>
  <c r="AJ34" i="23"/>
  <c r="AK34" i="23"/>
  <c r="AL34" i="23"/>
  <c r="AM34" i="23"/>
  <c r="AR34" i="23"/>
  <c r="AS34" i="23"/>
  <c r="AT34" i="23"/>
  <c r="AU34" i="23"/>
  <c r="AZ34" i="23"/>
  <c r="BA34" i="23"/>
  <c r="BB34" i="23"/>
  <c r="BC34" i="23"/>
  <c r="BI34" i="23"/>
  <c r="BJ34" i="23"/>
  <c r="BK34" i="23"/>
  <c r="BQ34" i="23"/>
  <c r="BR34" i="23"/>
  <c r="BS34" i="23"/>
  <c r="BX34" i="23"/>
  <c r="BY34" i="23"/>
  <c r="BZ34" i="23"/>
  <c r="CA34" i="23"/>
  <c r="CG34" i="23"/>
  <c r="CH34" i="23"/>
  <c r="CI34" i="23"/>
  <c r="CO34" i="23"/>
  <c r="CP34" i="23"/>
  <c r="CQ34" i="23"/>
  <c r="Y35" i="23"/>
  <c r="AG35" i="23"/>
  <c r="AO35" i="23"/>
  <c r="AW35" i="23"/>
  <c r="BE35" i="23"/>
  <c r="BM35" i="23"/>
  <c r="BU35" i="23"/>
  <c r="CC35" i="23"/>
  <c r="CK35" i="23"/>
  <c r="X35" i="23"/>
  <c r="AC35" i="23"/>
  <c r="AD35" i="23"/>
  <c r="AE35" i="23"/>
  <c r="AJ35" i="23"/>
  <c r="AK35" i="23"/>
  <c r="AL35" i="23"/>
  <c r="AM35" i="23"/>
  <c r="AS35" i="23"/>
  <c r="AT35" i="23"/>
  <c r="AU35" i="23"/>
  <c r="AZ35" i="23"/>
  <c r="BA35" i="23"/>
  <c r="BB35" i="23"/>
  <c r="BC35" i="23"/>
  <c r="BI35" i="23"/>
  <c r="BJ35" i="23"/>
  <c r="BK35" i="23"/>
  <c r="BP35" i="23"/>
  <c r="BQ35" i="23"/>
  <c r="BR35" i="23"/>
  <c r="BS35" i="23"/>
  <c r="BY35" i="23"/>
  <c r="BZ35" i="23"/>
  <c r="CA35" i="23"/>
  <c r="CG35" i="23"/>
  <c r="CH35" i="23"/>
  <c r="CI35" i="23"/>
  <c r="CN35" i="23"/>
  <c r="CO35" i="23"/>
  <c r="CP35" i="23"/>
  <c r="CQ35" i="23"/>
  <c r="Y36" i="23"/>
  <c r="AG36" i="23"/>
  <c r="AO36" i="23"/>
  <c r="AW36" i="23"/>
  <c r="BE36" i="23"/>
  <c r="BM36" i="23"/>
  <c r="BU36" i="23"/>
  <c r="CC36" i="23"/>
  <c r="CK36" i="23"/>
  <c r="X36" i="23"/>
  <c r="AB36" i="23"/>
  <c r="AC36" i="23"/>
  <c r="AD36" i="23"/>
  <c r="AE36" i="23"/>
  <c r="AK36" i="23"/>
  <c r="AL36" i="23"/>
  <c r="AM36" i="23"/>
  <c r="AS36" i="23"/>
  <c r="AT36" i="23"/>
  <c r="AU36" i="23"/>
  <c r="BA36" i="23"/>
  <c r="BB36" i="23"/>
  <c r="BC36" i="23"/>
  <c r="BH36" i="23"/>
  <c r="BI36" i="23"/>
  <c r="BJ36" i="23"/>
  <c r="BK36" i="23"/>
  <c r="BP36" i="23"/>
  <c r="BQ36" i="23"/>
  <c r="BR36" i="23"/>
  <c r="BS36" i="23"/>
  <c r="BY36" i="23"/>
  <c r="BZ36" i="23"/>
  <c r="CA36" i="23"/>
  <c r="CF36" i="23"/>
  <c r="CG36" i="23"/>
  <c r="CH36" i="23"/>
  <c r="CI36" i="23"/>
  <c r="CN36" i="23"/>
  <c r="CO36" i="23"/>
  <c r="CP36" i="23"/>
  <c r="CQ36" i="23"/>
  <c r="Y37" i="23"/>
  <c r="AG37" i="23"/>
  <c r="AO37" i="23"/>
  <c r="AW37" i="23"/>
  <c r="BE37" i="23"/>
  <c r="BM37" i="23"/>
  <c r="BU37" i="23"/>
  <c r="CC37" i="23"/>
  <c r="CK37" i="23"/>
  <c r="X37" i="23"/>
  <c r="AC37" i="23"/>
  <c r="AD37" i="23"/>
  <c r="AE37" i="23"/>
  <c r="AJ37" i="23"/>
  <c r="AK37" i="23"/>
  <c r="AL37" i="23"/>
  <c r="AM37" i="23"/>
  <c r="AS37" i="23"/>
  <c r="AT37" i="23"/>
  <c r="AU37" i="23"/>
  <c r="AZ37" i="23"/>
  <c r="BA37" i="23"/>
  <c r="BB37" i="23"/>
  <c r="BC37" i="23"/>
  <c r="BI37" i="23"/>
  <c r="BJ37" i="23"/>
  <c r="BK37" i="23"/>
  <c r="BQ37" i="23"/>
  <c r="BR37" i="23"/>
  <c r="BS37" i="23"/>
  <c r="BX37" i="23"/>
  <c r="BY37" i="23"/>
  <c r="BZ37" i="23"/>
  <c r="CA37" i="23"/>
  <c r="CF37" i="23"/>
  <c r="CG37" i="23"/>
  <c r="CH37" i="23"/>
  <c r="CI37" i="23"/>
  <c r="CO37" i="23"/>
  <c r="CP37" i="23"/>
  <c r="CQ37" i="23"/>
  <c r="Y38" i="23"/>
  <c r="AG38" i="23"/>
  <c r="AO38" i="23"/>
  <c r="AW38" i="23"/>
  <c r="BE38" i="23"/>
  <c r="BM38" i="23"/>
  <c r="BU38" i="23"/>
  <c r="CC38" i="23"/>
  <c r="CK38" i="23"/>
  <c r="X38" i="23"/>
  <c r="AB38" i="23"/>
  <c r="AC38" i="23"/>
  <c r="AD38" i="23"/>
  <c r="AE38" i="23"/>
  <c r="AJ38" i="23"/>
  <c r="AK38" i="23"/>
  <c r="AL38" i="23"/>
  <c r="AM38" i="23"/>
  <c r="AR38" i="23"/>
  <c r="AS38" i="23"/>
  <c r="AT38" i="23"/>
  <c r="AU38" i="23"/>
  <c r="BA38" i="23"/>
  <c r="BB38" i="23"/>
  <c r="BC38" i="23"/>
  <c r="BI38" i="23"/>
  <c r="BJ38" i="23"/>
  <c r="BK38" i="23"/>
  <c r="BQ38" i="23"/>
  <c r="BR38" i="23"/>
  <c r="BS38" i="23"/>
  <c r="BY38" i="23"/>
  <c r="BZ38" i="23"/>
  <c r="CA38" i="23"/>
  <c r="CG38" i="23"/>
  <c r="CH38" i="23"/>
  <c r="CI38" i="23"/>
  <c r="CN38" i="23"/>
  <c r="CO38" i="23"/>
  <c r="CP38" i="23"/>
  <c r="CQ38" i="23"/>
  <c r="Y39" i="23"/>
  <c r="AG39" i="23"/>
  <c r="AO39" i="23"/>
  <c r="AW39" i="23"/>
  <c r="BE39" i="23"/>
  <c r="BM39" i="23"/>
  <c r="BU39" i="23"/>
  <c r="CC39" i="23"/>
  <c r="CK39" i="23"/>
  <c r="X39" i="23"/>
  <c r="AC39" i="23"/>
  <c r="AD39" i="23"/>
  <c r="AE39" i="23"/>
  <c r="AK39" i="23"/>
  <c r="AL39" i="23"/>
  <c r="AM39" i="23"/>
  <c r="AS39" i="23"/>
  <c r="AT39" i="23"/>
  <c r="AU39" i="23"/>
  <c r="AZ39" i="23"/>
  <c r="BA39" i="23"/>
  <c r="BB39" i="23"/>
  <c r="BC39" i="23"/>
  <c r="BH39" i="23"/>
  <c r="BI39" i="23"/>
  <c r="BJ39" i="23"/>
  <c r="BK39" i="23"/>
  <c r="BP39" i="23"/>
  <c r="BQ39" i="23"/>
  <c r="BR39" i="23"/>
  <c r="BS39" i="23"/>
  <c r="BY39" i="23"/>
  <c r="BZ39" i="23"/>
  <c r="CA39" i="23"/>
  <c r="CF39" i="23"/>
  <c r="CG39" i="23"/>
  <c r="CH39" i="23"/>
  <c r="CI39" i="23"/>
  <c r="CN39" i="23"/>
  <c r="CO39" i="23"/>
  <c r="CP39" i="23"/>
  <c r="CQ39" i="23"/>
  <c r="Y40" i="23"/>
  <c r="AG40" i="23"/>
  <c r="AO40" i="23"/>
  <c r="AW40" i="23"/>
  <c r="BE40" i="23"/>
  <c r="BM40" i="23"/>
  <c r="BU40" i="23"/>
  <c r="CC40" i="23"/>
  <c r="CK40" i="23"/>
  <c r="X40" i="23"/>
  <c r="AC40" i="23"/>
  <c r="AD40" i="23"/>
  <c r="AE40" i="23"/>
  <c r="AJ40" i="23"/>
  <c r="AK40" i="23"/>
  <c r="AL40" i="23"/>
  <c r="AM40" i="23"/>
  <c r="AR40" i="23"/>
  <c r="AS40" i="23"/>
  <c r="AT40" i="23"/>
  <c r="AU40" i="23"/>
  <c r="BA40" i="23"/>
  <c r="BB40" i="23"/>
  <c r="BC40" i="23"/>
  <c r="BH40" i="23"/>
  <c r="BI40" i="23"/>
  <c r="BJ40" i="23"/>
  <c r="BK40" i="23"/>
  <c r="BQ40" i="23"/>
  <c r="BR40" i="23"/>
  <c r="BS40" i="23"/>
  <c r="BX40" i="23"/>
  <c r="BY40" i="23"/>
  <c r="BZ40" i="23"/>
  <c r="CA40" i="23"/>
  <c r="CG40" i="23"/>
  <c r="CH40" i="23"/>
  <c r="CI40" i="23"/>
  <c r="CO40" i="23"/>
  <c r="CP40" i="23"/>
  <c r="CQ40" i="23"/>
  <c r="Y41" i="23"/>
  <c r="AG41" i="23"/>
  <c r="AO41" i="23"/>
  <c r="AW41" i="23"/>
  <c r="BE41" i="23"/>
  <c r="BM41" i="23"/>
  <c r="BU41" i="23"/>
  <c r="CC41" i="23"/>
  <c r="CK41" i="23"/>
  <c r="X41" i="23"/>
  <c r="AB41" i="23"/>
  <c r="AC41" i="23"/>
  <c r="AD41" i="23"/>
  <c r="AE41" i="23"/>
  <c r="AK41" i="23"/>
  <c r="AL41" i="23"/>
  <c r="AM41" i="23"/>
  <c r="AS41" i="23"/>
  <c r="AT41" i="23"/>
  <c r="AU41" i="23"/>
  <c r="AZ41" i="23"/>
  <c r="BA41" i="23"/>
  <c r="BB41" i="23"/>
  <c r="BC41" i="23"/>
  <c r="BI41" i="23"/>
  <c r="BJ41" i="23"/>
  <c r="BK41" i="23"/>
  <c r="BP41" i="23"/>
  <c r="BQ41" i="23"/>
  <c r="BR41" i="23"/>
  <c r="BS41" i="23"/>
  <c r="BX41" i="23"/>
  <c r="BY41" i="23"/>
  <c r="BZ41" i="23"/>
  <c r="CA41" i="23"/>
  <c r="CG41" i="23"/>
  <c r="CH41" i="23"/>
  <c r="CI41" i="23"/>
  <c r="CN41" i="23"/>
  <c r="CO41" i="23"/>
  <c r="CP41" i="23"/>
  <c r="CQ41" i="23"/>
  <c r="Y42" i="23"/>
  <c r="AG42" i="23"/>
  <c r="AO42" i="23"/>
  <c r="AW42" i="23"/>
  <c r="BE42" i="23"/>
  <c r="BM42" i="23"/>
  <c r="BU42" i="23"/>
  <c r="CC42" i="23"/>
  <c r="CK42" i="23"/>
  <c r="X42" i="23"/>
  <c r="AB42" i="23"/>
  <c r="AC42" i="23"/>
  <c r="AD42" i="23"/>
  <c r="AE42" i="23"/>
  <c r="AK42" i="23"/>
  <c r="AL42" i="23"/>
  <c r="AM42" i="23"/>
  <c r="AS42" i="23"/>
  <c r="AT42" i="23"/>
  <c r="AU42" i="23"/>
  <c r="BA42" i="23"/>
  <c r="BB42" i="23"/>
  <c r="BC42" i="23"/>
  <c r="BH42" i="23"/>
  <c r="BI42" i="23"/>
  <c r="BJ42" i="23"/>
  <c r="BK42" i="23"/>
  <c r="BQ42" i="23"/>
  <c r="BR42" i="23"/>
  <c r="BS42" i="23"/>
  <c r="BY42" i="23"/>
  <c r="BZ42" i="23"/>
  <c r="CA42" i="23"/>
  <c r="CF42" i="23"/>
  <c r="CG42" i="23"/>
  <c r="CH42" i="23"/>
  <c r="CI42" i="23"/>
  <c r="CN42" i="23"/>
  <c r="CO42" i="23"/>
  <c r="CP42" i="23"/>
  <c r="CQ42" i="23"/>
  <c r="Y43" i="23"/>
  <c r="AG43" i="23"/>
  <c r="AO43" i="23"/>
  <c r="AW43" i="23"/>
  <c r="BE43" i="23"/>
  <c r="BM43" i="23"/>
  <c r="BU43" i="23"/>
  <c r="CC43" i="23"/>
  <c r="CK43" i="23"/>
  <c r="X43" i="23"/>
  <c r="AC43" i="23"/>
  <c r="AD43" i="23"/>
  <c r="AE43" i="23"/>
  <c r="AK43" i="23"/>
  <c r="AL43" i="23"/>
  <c r="AM43" i="23"/>
  <c r="AS43" i="23"/>
  <c r="AT43" i="23"/>
  <c r="AU43" i="23"/>
  <c r="AZ43" i="23"/>
  <c r="BA43" i="23"/>
  <c r="BB43" i="23"/>
  <c r="BC43" i="23"/>
  <c r="BH43" i="23"/>
  <c r="BI43" i="23"/>
  <c r="BJ43" i="23"/>
  <c r="BK43" i="23"/>
  <c r="BQ43" i="23"/>
  <c r="BR43" i="23"/>
  <c r="BS43" i="23"/>
  <c r="BX43" i="23"/>
  <c r="BY43" i="23"/>
  <c r="BZ43" i="23"/>
  <c r="CA43" i="23"/>
  <c r="CF43" i="23"/>
  <c r="CG43" i="23"/>
  <c r="CH43" i="23"/>
  <c r="CI43" i="23"/>
  <c r="CO43" i="23"/>
  <c r="CP43" i="23"/>
  <c r="CQ43" i="23"/>
  <c r="Y44" i="23"/>
  <c r="AG44" i="23"/>
  <c r="AO44" i="23"/>
  <c r="AW44" i="23"/>
  <c r="BE44" i="23"/>
  <c r="BM44" i="23"/>
  <c r="BU44" i="23"/>
  <c r="CC44" i="23"/>
  <c r="CK44" i="23"/>
  <c r="X44" i="23"/>
  <c r="AB44" i="23"/>
  <c r="AC44" i="23"/>
  <c r="AD44" i="23"/>
  <c r="AE44" i="23"/>
  <c r="AK44" i="23"/>
  <c r="AL44" i="23"/>
  <c r="AM44" i="23"/>
  <c r="AS44" i="23"/>
  <c r="AT44" i="23"/>
  <c r="AU44" i="23"/>
  <c r="BA44" i="23"/>
  <c r="BB44" i="23"/>
  <c r="BC44" i="23"/>
  <c r="BI44" i="23"/>
  <c r="BJ44" i="23"/>
  <c r="BK44" i="23"/>
  <c r="BP44" i="23"/>
  <c r="BQ44" i="23"/>
  <c r="BR44" i="23"/>
  <c r="BS44" i="23"/>
  <c r="BY44" i="23"/>
  <c r="BZ44" i="23"/>
  <c r="CA44" i="23"/>
  <c r="CG44" i="23"/>
  <c r="CH44" i="23"/>
  <c r="CI44" i="23"/>
  <c r="CN44" i="23"/>
  <c r="CO44" i="23"/>
  <c r="CP44" i="23"/>
  <c r="CQ44" i="23"/>
  <c r="Y45" i="23"/>
  <c r="AG45" i="23"/>
  <c r="AO45" i="23"/>
  <c r="AW45" i="23"/>
  <c r="BE45" i="23"/>
  <c r="BM45" i="23"/>
  <c r="BU45" i="23"/>
  <c r="CC45" i="23"/>
  <c r="CK45" i="23"/>
  <c r="X45" i="23"/>
  <c r="AB45" i="23"/>
  <c r="AC45" i="23"/>
  <c r="AD45" i="23"/>
  <c r="AE45" i="23"/>
  <c r="AJ45" i="23"/>
  <c r="AK45" i="23"/>
  <c r="AL45" i="23"/>
  <c r="AM45" i="23"/>
  <c r="AR45" i="23"/>
  <c r="AS45" i="23"/>
  <c r="AT45" i="23"/>
  <c r="AU45" i="23"/>
  <c r="BA45" i="23"/>
  <c r="BB45" i="23"/>
  <c r="BC45" i="23"/>
  <c r="BH45" i="23"/>
  <c r="BI45" i="23"/>
  <c r="BJ45" i="23"/>
  <c r="BK45" i="23"/>
  <c r="BQ45" i="23"/>
  <c r="BR45" i="23"/>
  <c r="BS45" i="23"/>
  <c r="BY45" i="23"/>
  <c r="BZ45" i="23"/>
  <c r="CA45" i="23"/>
  <c r="CG45" i="23"/>
  <c r="CH45" i="23"/>
  <c r="CI45" i="23"/>
  <c r="CN45" i="23"/>
  <c r="CO45" i="23"/>
  <c r="CP45" i="23"/>
  <c r="CQ45" i="23"/>
  <c r="Y46" i="23"/>
  <c r="AG46" i="23"/>
  <c r="AO46" i="23"/>
  <c r="AW46" i="23"/>
  <c r="BE46" i="23"/>
  <c r="BM46" i="23"/>
  <c r="BU46" i="23"/>
  <c r="CC46" i="23"/>
  <c r="CK46" i="23"/>
  <c r="X46" i="23"/>
  <c r="AC46" i="23"/>
  <c r="AD46" i="23"/>
  <c r="AE46" i="23"/>
  <c r="AK46" i="23"/>
  <c r="AL46" i="23"/>
  <c r="AM46" i="23"/>
  <c r="AS46" i="23"/>
  <c r="AT46" i="23"/>
  <c r="AU46" i="23"/>
  <c r="AZ46" i="23"/>
  <c r="BA46" i="23"/>
  <c r="BB46" i="23"/>
  <c r="BC46" i="23"/>
  <c r="BI46" i="23"/>
  <c r="BJ46" i="23"/>
  <c r="BK46" i="23"/>
  <c r="BQ46" i="23"/>
  <c r="BR46" i="23"/>
  <c r="BS46" i="23"/>
  <c r="BX46" i="23"/>
  <c r="BY46" i="23"/>
  <c r="BZ46" i="23"/>
  <c r="CA46" i="23"/>
  <c r="CF46" i="23"/>
  <c r="CG46" i="23"/>
  <c r="CH46" i="23"/>
  <c r="CI46" i="23"/>
  <c r="CN46" i="23"/>
  <c r="CO46" i="23"/>
  <c r="CP46" i="23"/>
  <c r="CQ46" i="23"/>
  <c r="Y47" i="23"/>
  <c r="AG47" i="23"/>
  <c r="AO47" i="23"/>
  <c r="AW47" i="23"/>
  <c r="BE47" i="23"/>
  <c r="BM47" i="23"/>
  <c r="BU47" i="23"/>
  <c r="CC47" i="23"/>
  <c r="CK47" i="23"/>
  <c r="X47" i="23"/>
  <c r="AC47" i="23"/>
  <c r="AD47" i="23"/>
  <c r="AE47" i="23"/>
  <c r="AJ47" i="23"/>
  <c r="AK47" i="23"/>
  <c r="AL47" i="23"/>
  <c r="AM47" i="23"/>
  <c r="AR47" i="23"/>
  <c r="AS47" i="23"/>
  <c r="AT47" i="23"/>
  <c r="AU47" i="23"/>
  <c r="BA47" i="23"/>
  <c r="BB47" i="23"/>
  <c r="BC47" i="23"/>
  <c r="BI47" i="23"/>
  <c r="BJ47" i="23"/>
  <c r="BK47" i="23"/>
  <c r="BP47" i="23"/>
  <c r="BQ47" i="23"/>
  <c r="BR47" i="23"/>
  <c r="BS47" i="23"/>
  <c r="BY47" i="23"/>
  <c r="BZ47" i="23"/>
  <c r="CA47" i="23"/>
  <c r="CF47" i="23"/>
  <c r="CG47" i="23"/>
  <c r="CH47" i="23"/>
  <c r="CI47" i="23"/>
  <c r="CO47" i="23"/>
  <c r="CP47" i="23"/>
  <c r="CQ47" i="23"/>
  <c r="Y48" i="23"/>
  <c r="AG48" i="23"/>
  <c r="AO48" i="23"/>
  <c r="AW48" i="23"/>
  <c r="BE48" i="23"/>
  <c r="BM48" i="23"/>
  <c r="BU48" i="23"/>
  <c r="CC48" i="23"/>
  <c r="CK48" i="23"/>
  <c r="X48" i="23"/>
  <c r="AB48" i="23"/>
  <c r="AC48" i="23"/>
  <c r="AD48" i="23"/>
  <c r="AE48" i="23"/>
  <c r="AK48" i="23"/>
  <c r="AL48" i="23"/>
  <c r="AM48" i="23"/>
  <c r="AR48" i="23"/>
  <c r="AS48" i="23"/>
  <c r="AT48" i="23"/>
  <c r="AU48" i="23"/>
  <c r="BA48" i="23"/>
  <c r="BB48" i="23"/>
  <c r="BC48" i="23"/>
  <c r="BI48" i="23"/>
  <c r="BJ48" i="23"/>
  <c r="BK48" i="23"/>
  <c r="BQ48" i="23"/>
  <c r="BR48" i="23"/>
  <c r="BS48" i="23"/>
  <c r="BY48" i="23"/>
  <c r="BZ48" i="23"/>
  <c r="CA48" i="23"/>
  <c r="CF48" i="23"/>
  <c r="CG48" i="23"/>
  <c r="CH48" i="23"/>
  <c r="CI48" i="23"/>
  <c r="CN48" i="23"/>
  <c r="CO48" i="23"/>
  <c r="CP48" i="23"/>
  <c r="CQ48" i="23"/>
  <c r="Y49" i="23"/>
  <c r="AG49" i="23"/>
  <c r="AO49" i="23"/>
  <c r="AW49" i="23"/>
  <c r="BE49" i="23"/>
  <c r="BM49" i="23"/>
  <c r="BU49" i="23"/>
  <c r="CC49" i="23"/>
  <c r="CK49" i="23"/>
  <c r="X49" i="23"/>
  <c r="AB49" i="23"/>
  <c r="AC49" i="23"/>
  <c r="AD49" i="23"/>
  <c r="AE49" i="23"/>
  <c r="AJ49" i="23"/>
  <c r="AK49" i="23"/>
  <c r="AL49" i="23"/>
  <c r="AM49" i="23"/>
  <c r="AS49" i="23"/>
  <c r="AT49" i="23"/>
  <c r="AU49" i="23"/>
  <c r="AZ49" i="23"/>
  <c r="BA49" i="23"/>
  <c r="BB49" i="23"/>
  <c r="BC49" i="23"/>
  <c r="BH49" i="23"/>
  <c r="BI49" i="23"/>
  <c r="BJ49" i="23"/>
  <c r="BK49" i="23"/>
  <c r="BQ49" i="23"/>
  <c r="BR49" i="23"/>
  <c r="BS49" i="23"/>
  <c r="BY49" i="23"/>
  <c r="BZ49" i="23"/>
  <c r="CA49" i="23"/>
  <c r="CF49" i="23"/>
  <c r="CG49" i="23"/>
  <c r="CH49" i="23"/>
  <c r="CI49" i="23"/>
  <c r="CN49" i="23"/>
  <c r="CO49" i="23"/>
  <c r="CP49" i="23"/>
  <c r="CQ49" i="23"/>
  <c r="Y50" i="23"/>
  <c r="AG50" i="23"/>
  <c r="AO50" i="23"/>
  <c r="AW50" i="23"/>
  <c r="BE50" i="23"/>
  <c r="BM50" i="23"/>
  <c r="BU50" i="23"/>
  <c r="CC50" i="23"/>
  <c r="CK50" i="23"/>
  <c r="X50" i="23"/>
  <c r="AB50" i="23"/>
  <c r="AC50" i="23"/>
  <c r="AD50" i="23"/>
  <c r="AE50" i="23"/>
  <c r="AK50" i="23"/>
  <c r="AL50" i="23"/>
  <c r="AM50" i="23"/>
  <c r="AR50" i="23"/>
  <c r="AS50" i="23"/>
  <c r="AT50" i="23"/>
  <c r="AU50" i="23"/>
  <c r="BA50" i="23"/>
  <c r="BB50" i="23"/>
  <c r="BC50" i="23"/>
  <c r="BI50" i="23"/>
  <c r="BJ50" i="23"/>
  <c r="BK50" i="23"/>
  <c r="BP50" i="23"/>
  <c r="BQ50" i="23"/>
  <c r="BR50" i="23"/>
  <c r="BS50" i="23"/>
  <c r="BX50" i="23"/>
  <c r="BY50" i="23"/>
  <c r="BZ50" i="23"/>
  <c r="CA50" i="23"/>
  <c r="CG50" i="23"/>
  <c r="CH50" i="23"/>
  <c r="CI50" i="23"/>
  <c r="CN50" i="23"/>
  <c r="CO50" i="23"/>
  <c r="CP50" i="23"/>
  <c r="CQ50" i="23"/>
  <c r="Y51" i="23"/>
  <c r="AG51" i="23"/>
  <c r="AO51" i="23"/>
  <c r="AW51" i="23"/>
  <c r="BE51" i="23"/>
  <c r="BM51" i="23"/>
  <c r="BU51" i="23"/>
  <c r="CC51" i="23"/>
  <c r="CK51" i="23"/>
  <c r="X51" i="23"/>
  <c r="AC51" i="23"/>
  <c r="AD51" i="23"/>
  <c r="AE51" i="23"/>
  <c r="AJ51" i="23"/>
  <c r="AK51" i="23"/>
  <c r="AL51" i="23"/>
  <c r="AM51" i="23"/>
  <c r="AR51" i="23"/>
  <c r="AS51" i="23"/>
  <c r="AT51" i="23"/>
  <c r="AU51" i="23"/>
  <c r="BA51" i="23"/>
  <c r="BB51" i="23"/>
  <c r="BC51" i="23"/>
  <c r="BH51" i="23"/>
  <c r="BI51" i="23"/>
  <c r="BJ51" i="23"/>
  <c r="BK51" i="23"/>
  <c r="BP51" i="23"/>
  <c r="BQ51" i="23"/>
  <c r="BR51" i="23"/>
  <c r="BS51" i="23"/>
  <c r="BX51" i="23"/>
  <c r="BY51" i="23"/>
  <c r="BZ51" i="23"/>
  <c r="CA51" i="23"/>
  <c r="CG51" i="23"/>
  <c r="CH51" i="23"/>
  <c r="CI51" i="23"/>
  <c r="CN51" i="23"/>
  <c r="CO51" i="23"/>
  <c r="CP51" i="23"/>
  <c r="CQ51" i="23"/>
  <c r="Y52" i="23"/>
  <c r="AG52" i="23"/>
  <c r="AO52" i="23"/>
  <c r="AW52" i="23"/>
  <c r="BE52" i="23"/>
  <c r="BM52" i="23"/>
  <c r="BU52" i="23"/>
  <c r="CC52" i="23"/>
  <c r="CK52" i="23"/>
  <c r="X52" i="23"/>
  <c r="AB52" i="23"/>
  <c r="AC52" i="23"/>
  <c r="AD52" i="23"/>
  <c r="AE52" i="23"/>
  <c r="AJ52" i="23"/>
  <c r="AK52" i="23"/>
  <c r="AL52" i="23"/>
  <c r="AM52" i="23"/>
  <c r="AS52" i="23"/>
  <c r="AT52" i="23"/>
  <c r="AU52" i="23"/>
  <c r="AZ52" i="23"/>
  <c r="BA52" i="23"/>
  <c r="BB52" i="23"/>
  <c r="BC52" i="23"/>
  <c r="BI52" i="23"/>
  <c r="BJ52" i="23"/>
  <c r="BK52" i="23"/>
  <c r="BP52" i="23"/>
  <c r="BQ52" i="23"/>
  <c r="BR52" i="23"/>
  <c r="BS52" i="23"/>
  <c r="BY52" i="23"/>
  <c r="BZ52" i="23"/>
  <c r="CA52" i="23"/>
  <c r="CF52" i="23"/>
  <c r="CG52" i="23"/>
  <c r="CH52" i="23"/>
  <c r="CI52" i="23"/>
  <c r="CO52" i="23"/>
  <c r="CP52" i="23"/>
  <c r="CQ52" i="23"/>
  <c r="Y53" i="23"/>
  <c r="AG53" i="23"/>
  <c r="AO53" i="23"/>
  <c r="AW53" i="23"/>
  <c r="BE53" i="23"/>
  <c r="BM53" i="23"/>
  <c r="BU53" i="23"/>
  <c r="CC53" i="23"/>
  <c r="CK53" i="23"/>
  <c r="X53" i="23"/>
  <c r="AB53" i="23"/>
  <c r="AC53" i="23"/>
  <c r="AD53" i="23"/>
  <c r="AE53" i="23"/>
  <c r="AK53" i="23"/>
  <c r="AL53" i="23"/>
  <c r="AM53" i="23"/>
  <c r="AR53" i="23"/>
  <c r="AS53" i="23"/>
  <c r="AT53" i="23"/>
  <c r="AU53" i="23"/>
  <c r="AZ53" i="23"/>
  <c r="BA53" i="23"/>
  <c r="BB53" i="23"/>
  <c r="BC53" i="23"/>
  <c r="BI53" i="23"/>
  <c r="BJ53" i="23"/>
  <c r="BK53" i="23"/>
  <c r="BQ53" i="23"/>
  <c r="BR53" i="23"/>
  <c r="BS53" i="23"/>
  <c r="BX53" i="23"/>
  <c r="BY53" i="23"/>
  <c r="BZ53" i="23"/>
  <c r="CA53" i="23"/>
  <c r="CF53" i="23"/>
  <c r="CG53" i="23"/>
  <c r="CH53" i="23"/>
  <c r="CI53" i="23"/>
  <c r="CN53" i="23"/>
  <c r="CO53" i="23"/>
  <c r="CP53" i="23"/>
  <c r="CQ53" i="23"/>
  <c r="Y54" i="23"/>
  <c r="AG54" i="23"/>
  <c r="AO54" i="23"/>
  <c r="AW54" i="23"/>
  <c r="BE54" i="23"/>
  <c r="BM54" i="23"/>
  <c r="BU54" i="23"/>
  <c r="CC54" i="23"/>
  <c r="CK54" i="23"/>
  <c r="X54" i="23"/>
  <c r="AB54" i="23"/>
  <c r="AC54" i="23"/>
  <c r="AD54" i="23"/>
  <c r="AE54" i="23"/>
  <c r="AJ54" i="23"/>
  <c r="AK54" i="23"/>
  <c r="AL54" i="23"/>
  <c r="AM54" i="23"/>
  <c r="AS54" i="23"/>
  <c r="AT54" i="23"/>
  <c r="AU54" i="23"/>
  <c r="BA54" i="23"/>
  <c r="BB54" i="23"/>
  <c r="BC54" i="23"/>
  <c r="BH54" i="23"/>
  <c r="BI54" i="23"/>
  <c r="BJ54" i="23"/>
  <c r="BK54" i="23"/>
  <c r="BP54" i="23"/>
  <c r="BQ54" i="23"/>
  <c r="BR54" i="23"/>
  <c r="BS54" i="23"/>
  <c r="BY54" i="23"/>
  <c r="BZ54" i="23"/>
  <c r="CA54" i="23"/>
  <c r="CG54" i="23"/>
  <c r="CH54" i="23"/>
  <c r="CI54" i="23"/>
  <c r="CN54" i="23"/>
  <c r="CO54" i="23"/>
  <c r="CP54" i="23"/>
  <c r="CQ54" i="23"/>
  <c r="Y55" i="23"/>
  <c r="AG55" i="23"/>
  <c r="AO55" i="23"/>
  <c r="AW55" i="23"/>
  <c r="BE55" i="23"/>
  <c r="BM55" i="23"/>
  <c r="BU55" i="23"/>
  <c r="CC55" i="23"/>
  <c r="CK55" i="23"/>
  <c r="X55" i="23"/>
  <c r="AC55" i="23"/>
  <c r="AD55" i="23"/>
  <c r="AE55" i="23"/>
  <c r="AJ55" i="23"/>
  <c r="AK55" i="23"/>
  <c r="AL55" i="23"/>
  <c r="AM55" i="23"/>
  <c r="AS55" i="23"/>
  <c r="AT55" i="23"/>
  <c r="AU55" i="23"/>
  <c r="AZ55" i="23"/>
  <c r="BA55" i="23"/>
  <c r="BB55" i="23"/>
  <c r="BC55" i="23"/>
  <c r="BH55" i="23"/>
  <c r="BI55" i="23"/>
  <c r="BJ55" i="23"/>
  <c r="BK55" i="23"/>
  <c r="BP55" i="23"/>
  <c r="BQ55" i="23"/>
  <c r="BR55" i="23"/>
  <c r="BS55" i="23"/>
  <c r="BY55" i="23"/>
  <c r="BZ55" i="23"/>
  <c r="CA55" i="23"/>
  <c r="CF55" i="23"/>
  <c r="CG55" i="23"/>
  <c r="CH55" i="23"/>
  <c r="CI55" i="23"/>
  <c r="CN55" i="23"/>
  <c r="CO55" i="23"/>
  <c r="CP55" i="23"/>
  <c r="CQ55" i="23"/>
  <c r="Y56" i="23"/>
  <c r="AG56" i="23"/>
  <c r="AO56" i="23"/>
  <c r="AW56" i="23"/>
  <c r="BE56" i="23"/>
  <c r="BM56" i="23"/>
  <c r="BU56" i="23"/>
  <c r="CC56" i="23"/>
  <c r="CK56" i="23"/>
  <c r="X56" i="23"/>
  <c r="AB56" i="23"/>
  <c r="AC56" i="23"/>
  <c r="AD56" i="23"/>
  <c r="AE56" i="23"/>
  <c r="AK56" i="23"/>
  <c r="AL56" i="23"/>
  <c r="AM56" i="23"/>
  <c r="AR56" i="23"/>
  <c r="AS56" i="23"/>
  <c r="AT56" i="23"/>
  <c r="AU56" i="23"/>
  <c r="BA56" i="23"/>
  <c r="BB56" i="23"/>
  <c r="BC56" i="23"/>
  <c r="BH56" i="23"/>
  <c r="BI56" i="23"/>
  <c r="BJ56" i="23"/>
  <c r="BK56" i="23"/>
  <c r="BQ56" i="23"/>
  <c r="BR56" i="23"/>
  <c r="BS56" i="23"/>
  <c r="BX56" i="23"/>
  <c r="BY56" i="23"/>
  <c r="BZ56" i="23"/>
  <c r="CA56" i="23"/>
  <c r="CG56" i="23"/>
  <c r="CH56" i="23"/>
  <c r="CI56" i="23"/>
  <c r="CN56" i="23"/>
  <c r="CO56" i="23"/>
  <c r="CP56" i="23"/>
  <c r="CQ56" i="23"/>
  <c r="Y57" i="23"/>
  <c r="AG57" i="23"/>
  <c r="AO57" i="23"/>
  <c r="AW57" i="23"/>
  <c r="BE57" i="23"/>
  <c r="BM57" i="23"/>
  <c r="BU57" i="23"/>
  <c r="CC57" i="23"/>
  <c r="CK57" i="23"/>
  <c r="X57" i="23"/>
  <c r="AB57" i="23"/>
  <c r="AC57" i="23"/>
  <c r="AD57" i="23"/>
  <c r="AE57" i="23"/>
  <c r="AJ57" i="23"/>
  <c r="AK57" i="23"/>
  <c r="AL57" i="23"/>
  <c r="AM57" i="23"/>
  <c r="AR57" i="23"/>
  <c r="AS57" i="23"/>
  <c r="AT57" i="23"/>
  <c r="AU57" i="23"/>
  <c r="AZ57" i="23"/>
  <c r="BA57" i="23"/>
  <c r="BB57" i="23"/>
  <c r="BC57" i="23"/>
  <c r="BI57" i="23"/>
  <c r="BJ57" i="23"/>
  <c r="BK57" i="23"/>
  <c r="BP57" i="23"/>
  <c r="BQ57" i="23"/>
  <c r="BR57" i="23"/>
  <c r="BS57" i="23"/>
  <c r="BX57" i="23"/>
  <c r="BY57" i="23"/>
  <c r="BZ57" i="23"/>
  <c r="CA57" i="23"/>
  <c r="CG57" i="23"/>
  <c r="CH57" i="23"/>
  <c r="CI57" i="23"/>
  <c r="CO57" i="23"/>
  <c r="CP57" i="23"/>
  <c r="CQ57" i="23"/>
  <c r="Y58" i="23"/>
  <c r="AG58" i="23"/>
  <c r="AO58" i="23"/>
  <c r="AW58" i="23"/>
  <c r="BE58" i="23"/>
  <c r="BM58" i="23"/>
  <c r="BU58" i="23"/>
  <c r="CC58" i="23"/>
  <c r="CK58" i="23"/>
  <c r="X58" i="23"/>
  <c r="AB58" i="23"/>
  <c r="AC58" i="23"/>
  <c r="AD58" i="23"/>
  <c r="AE58" i="23"/>
  <c r="AK58" i="23"/>
  <c r="AL58" i="23"/>
  <c r="AM58" i="23"/>
  <c r="AS58" i="23"/>
  <c r="AT58" i="23"/>
  <c r="AU58" i="23"/>
  <c r="AZ58" i="23"/>
  <c r="BA58" i="23"/>
  <c r="BB58" i="23"/>
  <c r="BC58" i="23"/>
  <c r="BH58" i="23"/>
  <c r="BI58" i="23"/>
  <c r="BJ58" i="23"/>
  <c r="BK58" i="23"/>
  <c r="BQ58" i="23"/>
  <c r="BR58" i="23"/>
  <c r="BS58" i="23"/>
  <c r="BY58" i="23"/>
  <c r="BZ58" i="23"/>
  <c r="CA58" i="23"/>
  <c r="CF58" i="23"/>
  <c r="CG58" i="23"/>
  <c r="CH58" i="23"/>
  <c r="CI58" i="23"/>
  <c r="CN58" i="23"/>
  <c r="CO58" i="23"/>
  <c r="CP58" i="23"/>
  <c r="CQ58" i="23"/>
  <c r="Y59" i="23"/>
  <c r="AG59" i="23"/>
  <c r="AO59" i="23"/>
  <c r="AW59" i="23"/>
  <c r="BE59" i="23"/>
  <c r="BM59" i="23"/>
  <c r="BU59" i="23"/>
  <c r="CC59" i="23"/>
  <c r="CK59" i="23"/>
  <c r="X59" i="23"/>
  <c r="AC59" i="23"/>
  <c r="AD59" i="23"/>
  <c r="AE59" i="23"/>
  <c r="AK59" i="23"/>
  <c r="AL59" i="23"/>
  <c r="AM59" i="23"/>
  <c r="AR59" i="23"/>
  <c r="AS59" i="23"/>
  <c r="AT59" i="23"/>
  <c r="AU59" i="23"/>
  <c r="AZ59" i="23"/>
  <c r="BA59" i="23"/>
  <c r="BB59" i="23"/>
  <c r="BC59" i="23"/>
  <c r="BH59" i="23"/>
  <c r="BI59" i="23"/>
  <c r="BJ59" i="23"/>
  <c r="BK59" i="23"/>
  <c r="BQ59" i="23"/>
  <c r="BR59" i="23"/>
  <c r="BS59" i="23"/>
  <c r="BX59" i="23"/>
  <c r="BY59" i="23"/>
  <c r="BZ59" i="23"/>
  <c r="CA59" i="23"/>
  <c r="CF59" i="23"/>
  <c r="CG59" i="23"/>
  <c r="CH59" i="23"/>
  <c r="CI59" i="23"/>
  <c r="CN59" i="23"/>
  <c r="CO59" i="23"/>
  <c r="CP59" i="23"/>
  <c r="CQ59" i="23"/>
  <c r="Y60" i="23"/>
  <c r="AG60" i="23"/>
  <c r="AO60" i="23"/>
  <c r="AW60" i="23"/>
  <c r="BE60" i="23"/>
  <c r="BM60" i="23"/>
  <c r="BU60" i="23"/>
  <c r="CC60" i="23"/>
  <c r="CK60" i="23"/>
  <c r="X60" i="23"/>
  <c r="AB60" i="23"/>
  <c r="AC60" i="23"/>
  <c r="AD60" i="23"/>
  <c r="AE60" i="23"/>
  <c r="AJ60" i="23"/>
  <c r="AK60" i="23"/>
  <c r="AL60" i="23"/>
  <c r="AM60" i="23"/>
  <c r="AS60" i="23"/>
  <c r="AT60" i="23"/>
  <c r="AU60" i="23"/>
  <c r="AZ60" i="23"/>
  <c r="BA60" i="23"/>
  <c r="BB60" i="23"/>
  <c r="BC60" i="23"/>
  <c r="BI60" i="23"/>
  <c r="BJ60" i="23"/>
  <c r="BK60" i="23"/>
  <c r="BP60" i="23"/>
  <c r="BQ60" i="23"/>
  <c r="BR60" i="23"/>
  <c r="BS60" i="23"/>
  <c r="BY60" i="23"/>
  <c r="BZ60" i="23"/>
  <c r="CA60" i="23"/>
  <c r="CG60" i="23"/>
  <c r="CH60" i="23"/>
  <c r="CI60" i="23"/>
  <c r="CN60" i="23"/>
  <c r="CO60" i="23"/>
  <c r="CP60" i="23"/>
  <c r="CQ60" i="23"/>
  <c r="Y61" i="23"/>
  <c r="AG61" i="23"/>
  <c r="AO61" i="23"/>
  <c r="AW61" i="23"/>
  <c r="BE61" i="23"/>
  <c r="BM61" i="23"/>
  <c r="BU61" i="23"/>
  <c r="CC61" i="23"/>
  <c r="CK61" i="23"/>
  <c r="X61" i="23"/>
  <c r="AB61" i="23"/>
  <c r="AC61" i="23"/>
  <c r="AD61" i="23"/>
  <c r="AE61" i="23"/>
  <c r="AJ61" i="23"/>
  <c r="AK61" i="23"/>
  <c r="AL61" i="23"/>
  <c r="AM61" i="23"/>
  <c r="AR61" i="23"/>
  <c r="AS61" i="23"/>
  <c r="AT61" i="23"/>
  <c r="AU61" i="23"/>
  <c r="BA61" i="23"/>
  <c r="BB61" i="23"/>
  <c r="BC61" i="23"/>
  <c r="BH61" i="23"/>
  <c r="BI61" i="23"/>
  <c r="BJ61" i="23"/>
  <c r="BK61" i="23"/>
  <c r="BP61" i="23"/>
  <c r="BQ61" i="23"/>
  <c r="BR61" i="23"/>
  <c r="BS61" i="23"/>
  <c r="BY61" i="23"/>
  <c r="BZ61" i="23"/>
  <c r="CA61" i="23"/>
  <c r="CG61" i="23"/>
  <c r="CH61" i="23"/>
  <c r="CI61" i="23"/>
  <c r="CN61" i="23"/>
  <c r="CO61" i="23"/>
  <c r="CP61" i="23"/>
  <c r="CQ61" i="23"/>
  <c r="Y62" i="23"/>
  <c r="AG62" i="23"/>
  <c r="AO62" i="23"/>
  <c r="AW62" i="23"/>
  <c r="BE62" i="23"/>
  <c r="BM62" i="23"/>
  <c r="BU62" i="23"/>
  <c r="CC62" i="23"/>
  <c r="CK62" i="23"/>
  <c r="X62" i="23"/>
  <c r="AB62" i="23"/>
  <c r="AC62" i="23"/>
  <c r="AD62" i="23"/>
  <c r="AE62" i="23"/>
  <c r="AJ62" i="23"/>
  <c r="AK62" i="23"/>
  <c r="AL62" i="23"/>
  <c r="AM62" i="23"/>
  <c r="AS62" i="23"/>
  <c r="AT62" i="23"/>
  <c r="AU62" i="23"/>
  <c r="AZ62" i="23"/>
  <c r="BA62" i="23"/>
  <c r="BB62" i="23"/>
  <c r="BC62" i="23"/>
  <c r="BI62" i="23"/>
  <c r="BJ62" i="23"/>
  <c r="BK62" i="23"/>
  <c r="BQ62" i="23"/>
  <c r="BR62" i="23"/>
  <c r="BS62" i="23"/>
  <c r="BX62" i="23"/>
  <c r="BY62" i="23"/>
  <c r="BZ62" i="23"/>
  <c r="CA62" i="23"/>
  <c r="CF62" i="23"/>
  <c r="CG62" i="23"/>
  <c r="CH62" i="23"/>
  <c r="CI62" i="23"/>
  <c r="CO62" i="23"/>
  <c r="CP62" i="23"/>
  <c r="CQ62" i="23"/>
  <c r="Y63" i="23"/>
  <c r="AG63" i="23"/>
  <c r="AO63" i="23"/>
  <c r="AW63" i="23"/>
  <c r="BE63" i="23"/>
  <c r="BM63" i="23"/>
  <c r="BU63" i="23"/>
  <c r="CC63" i="23"/>
  <c r="CK63" i="23"/>
  <c r="X63" i="23"/>
  <c r="AC63" i="23"/>
  <c r="AD63" i="23"/>
  <c r="AE63" i="23"/>
  <c r="AJ63" i="23"/>
  <c r="AK63" i="23"/>
  <c r="AL63" i="23"/>
  <c r="AM63" i="23"/>
  <c r="AR63" i="23"/>
  <c r="AS63" i="23"/>
  <c r="AT63" i="23"/>
  <c r="AU63" i="23"/>
  <c r="AZ63" i="23"/>
  <c r="BA63" i="23"/>
  <c r="BB63" i="23"/>
  <c r="BC63" i="23"/>
  <c r="BI63" i="23"/>
  <c r="BJ63" i="23"/>
  <c r="BK63" i="23"/>
  <c r="BP63" i="23"/>
  <c r="BQ63" i="23"/>
  <c r="BR63" i="23"/>
  <c r="BS63" i="23"/>
  <c r="BX63" i="23"/>
  <c r="BY63" i="23"/>
  <c r="BZ63" i="23"/>
  <c r="CA63" i="23"/>
  <c r="CF63" i="23"/>
  <c r="CG63" i="23"/>
  <c r="CH63" i="23"/>
  <c r="CI63" i="23"/>
  <c r="CN63" i="23"/>
  <c r="CO63" i="23"/>
  <c r="CP63" i="23"/>
  <c r="CQ63" i="23"/>
  <c r="Y64" i="23"/>
  <c r="AG64" i="23"/>
  <c r="AO64" i="23"/>
  <c r="AW64" i="23"/>
  <c r="BE64" i="23"/>
  <c r="BM64" i="23"/>
  <c r="BU64" i="23"/>
  <c r="CC64" i="23"/>
  <c r="CK64" i="23"/>
  <c r="X64" i="23"/>
  <c r="AB64" i="23"/>
  <c r="AC64" i="23"/>
  <c r="AD64" i="23"/>
  <c r="AE64" i="23"/>
  <c r="AJ64" i="23"/>
  <c r="AK64" i="23"/>
  <c r="AL64" i="23"/>
  <c r="AM64" i="23"/>
  <c r="AR64" i="23"/>
  <c r="AS64" i="23"/>
  <c r="AT64" i="23"/>
  <c r="AU64" i="23"/>
  <c r="BA64" i="23"/>
  <c r="BB64" i="23"/>
  <c r="BC64" i="23"/>
  <c r="BH64" i="23"/>
  <c r="BI64" i="23"/>
  <c r="BJ64" i="23"/>
  <c r="BK64" i="23"/>
  <c r="BQ64" i="23"/>
  <c r="BR64" i="23"/>
  <c r="BS64" i="23"/>
  <c r="BX64" i="23"/>
  <c r="BY64" i="23"/>
  <c r="BZ64" i="23"/>
  <c r="CA64" i="23"/>
  <c r="CF64" i="23"/>
  <c r="CG64" i="23"/>
  <c r="CH64" i="23"/>
  <c r="CI64" i="23"/>
  <c r="CN64" i="23"/>
  <c r="CO64" i="23"/>
  <c r="CP64" i="23"/>
  <c r="CQ64" i="23"/>
  <c r="Y65" i="23"/>
  <c r="AG65" i="23"/>
  <c r="AO65" i="23"/>
  <c r="AW65" i="23"/>
  <c r="BE65" i="23"/>
  <c r="BM65" i="23"/>
  <c r="BU65" i="23"/>
  <c r="CC65" i="23"/>
  <c r="CK65" i="23"/>
  <c r="X65" i="23"/>
  <c r="AB65" i="23"/>
  <c r="AC65" i="23"/>
  <c r="AD65" i="23"/>
  <c r="AE65" i="23"/>
  <c r="AJ65" i="23"/>
  <c r="AK65" i="23"/>
  <c r="AL65" i="23"/>
  <c r="AM65" i="23"/>
  <c r="AS65" i="23"/>
  <c r="AT65" i="23"/>
  <c r="AU65" i="23"/>
  <c r="AZ65" i="23"/>
  <c r="BA65" i="23"/>
  <c r="BB65" i="23"/>
  <c r="BC65" i="23"/>
  <c r="BH65" i="23"/>
  <c r="BI65" i="23"/>
  <c r="BJ65" i="23"/>
  <c r="BK65" i="23"/>
  <c r="BP65" i="23"/>
  <c r="BQ65" i="23"/>
  <c r="BR65" i="23"/>
  <c r="BS65" i="23"/>
  <c r="BY65" i="23"/>
  <c r="BZ65" i="23"/>
  <c r="CA65" i="23"/>
  <c r="CF65" i="23"/>
  <c r="CG65" i="23"/>
  <c r="CH65" i="23"/>
  <c r="CI65" i="23"/>
  <c r="CN65" i="23"/>
  <c r="CO65" i="23"/>
  <c r="CP65" i="23"/>
  <c r="CQ65" i="23"/>
  <c r="Y66" i="23"/>
  <c r="AG66" i="23"/>
  <c r="AO66" i="23"/>
  <c r="AW66" i="23"/>
  <c r="BE66" i="23"/>
  <c r="BM66" i="23"/>
  <c r="BU66" i="23"/>
  <c r="CC66" i="23"/>
  <c r="CK66" i="23"/>
  <c r="X66" i="23"/>
  <c r="AB66" i="23"/>
  <c r="AC66" i="23"/>
  <c r="AD66" i="23"/>
  <c r="AE66" i="23"/>
  <c r="AK66" i="23"/>
  <c r="AL66" i="23"/>
  <c r="AM66" i="23"/>
  <c r="AR66" i="23"/>
  <c r="AS66" i="23"/>
  <c r="AT66" i="23"/>
  <c r="AU66" i="23"/>
  <c r="AZ66" i="23"/>
  <c r="BA66" i="23"/>
  <c r="BB66" i="23"/>
  <c r="BC66" i="23"/>
  <c r="BH66" i="23"/>
  <c r="BI66" i="23"/>
  <c r="BJ66" i="23"/>
  <c r="BK66" i="23"/>
  <c r="BP66" i="23"/>
  <c r="BQ66" i="23"/>
  <c r="BR66" i="23"/>
  <c r="BS66" i="23"/>
  <c r="BX66" i="23"/>
  <c r="BY66" i="23"/>
  <c r="BZ66" i="23"/>
  <c r="CA66" i="23"/>
  <c r="CG66" i="23"/>
  <c r="CH66" i="23"/>
  <c r="CI66" i="23"/>
  <c r="CN66" i="23"/>
  <c r="CO66" i="23"/>
  <c r="CP66" i="23"/>
  <c r="CQ66" i="23"/>
  <c r="Y67" i="23"/>
  <c r="AG67" i="23"/>
  <c r="AO67" i="23"/>
  <c r="AW67" i="23"/>
  <c r="BE67" i="23"/>
  <c r="BM67" i="23"/>
  <c r="BU67" i="23"/>
  <c r="CC67" i="23"/>
  <c r="CK67" i="23"/>
  <c r="X67" i="23"/>
  <c r="AC67" i="23"/>
  <c r="AD67" i="23"/>
  <c r="AE67" i="23"/>
  <c r="AJ67" i="23"/>
  <c r="AK67" i="23"/>
  <c r="AL67" i="23"/>
  <c r="AM67" i="23"/>
  <c r="AR67" i="23"/>
  <c r="AS67" i="23"/>
  <c r="AT67" i="23"/>
  <c r="AU67" i="23"/>
  <c r="BA67" i="23"/>
  <c r="BB67" i="23"/>
  <c r="BC67" i="23"/>
  <c r="BH67" i="23"/>
  <c r="BI67" i="23"/>
  <c r="BJ67" i="23"/>
  <c r="BK67" i="23"/>
  <c r="BP67" i="23"/>
  <c r="BQ67" i="23"/>
  <c r="BR67" i="23"/>
  <c r="BS67" i="23"/>
  <c r="BX67" i="23"/>
  <c r="BY67" i="23"/>
  <c r="BZ67" i="23"/>
  <c r="CA67" i="23"/>
  <c r="CF67" i="23"/>
  <c r="CG67" i="23"/>
  <c r="CH67" i="23"/>
  <c r="CI67" i="23"/>
  <c r="CN67" i="23"/>
  <c r="CO67" i="23"/>
  <c r="CP67" i="23"/>
  <c r="CQ67" i="23"/>
  <c r="Y68" i="23"/>
  <c r="AG68" i="23"/>
  <c r="AO68" i="23"/>
  <c r="AW68" i="23"/>
  <c r="BE68" i="23"/>
  <c r="BM68" i="23"/>
  <c r="BU68" i="23"/>
  <c r="CC68" i="23"/>
  <c r="CK68" i="23"/>
  <c r="X68" i="23"/>
  <c r="AB68" i="23"/>
  <c r="AC68" i="23"/>
  <c r="AD68" i="23"/>
  <c r="AE68" i="23"/>
  <c r="AJ68" i="23"/>
  <c r="AK68" i="23"/>
  <c r="AL68" i="23"/>
  <c r="AM68" i="23"/>
  <c r="AS68" i="23"/>
  <c r="AT68" i="23"/>
  <c r="AU68" i="23"/>
  <c r="AZ68" i="23"/>
  <c r="BA68" i="23"/>
  <c r="BB68" i="23"/>
  <c r="BC68" i="23"/>
  <c r="BI68" i="23"/>
  <c r="BJ68" i="23"/>
  <c r="BK68" i="23"/>
  <c r="BP68" i="23"/>
  <c r="BQ68" i="23"/>
  <c r="BR68" i="23"/>
  <c r="BS68" i="23"/>
  <c r="BX68" i="23"/>
  <c r="BY68" i="23"/>
  <c r="BZ68" i="23"/>
  <c r="CA68" i="23"/>
  <c r="CF68" i="23"/>
  <c r="CG68" i="23"/>
  <c r="CH68" i="23"/>
  <c r="CI68" i="23"/>
  <c r="CN68" i="23"/>
  <c r="CO68" i="23"/>
  <c r="CP68" i="23"/>
  <c r="CQ68" i="23"/>
  <c r="Y69" i="23"/>
  <c r="AG69" i="23"/>
  <c r="AO69" i="23"/>
  <c r="AW69" i="23"/>
  <c r="BE69" i="23"/>
  <c r="BM69" i="23"/>
  <c r="BU69" i="23"/>
  <c r="CC69" i="23"/>
  <c r="CK69" i="23"/>
  <c r="X69" i="23"/>
  <c r="AB69" i="23"/>
  <c r="AC69" i="23"/>
  <c r="AD69" i="23"/>
  <c r="AE69" i="23"/>
  <c r="AK69" i="23"/>
  <c r="AL69" i="23"/>
  <c r="AM69" i="23"/>
  <c r="AR69" i="23"/>
  <c r="AS69" i="23"/>
  <c r="AT69" i="23"/>
  <c r="AU69" i="23"/>
  <c r="AZ69" i="23"/>
  <c r="BA69" i="23"/>
  <c r="BB69" i="23"/>
  <c r="BC69" i="23"/>
  <c r="BH69" i="23"/>
  <c r="BI69" i="23"/>
  <c r="BJ69" i="23"/>
  <c r="BK69" i="23"/>
  <c r="BQ69" i="23"/>
  <c r="BR69" i="23"/>
  <c r="BS69" i="23"/>
  <c r="BX69" i="23"/>
  <c r="BY69" i="23"/>
  <c r="BZ69" i="23"/>
  <c r="CA69" i="23"/>
  <c r="CF69" i="23"/>
  <c r="CG69" i="23"/>
  <c r="CH69" i="23"/>
  <c r="CI69" i="23"/>
  <c r="CN69" i="23"/>
  <c r="CO69" i="23"/>
  <c r="CP69" i="23"/>
  <c r="CQ69" i="23"/>
  <c r="Y70" i="23"/>
  <c r="AG70" i="23"/>
  <c r="AO70" i="23"/>
  <c r="AW70" i="23"/>
  <c r="BE70" i="23"/>
  <c r="BM70" i="23"/>
  <c r="BU70" i="23"/>
  <c r="CC70" i="23"/>
  <c r="CK70" i="23"/>
  <c r="X70" i="23"/>
  <c r="AB70" i="23"/>
  <c r="AC70" i="23"/>
  <c r="AD70" i="23"/>
  <c r="AE70" i="23"/>
  <c r="AJ70" i="23"/>
  <c r="AK70" i="23"/>
  <c r="AL70" i="23"/>
  <c r="AM70" i="23"/>
  <c r="AR70" i="23"/>
  <c r="AS70" i="23"/>
  <c r="AT70" i="23"/>
  <c r="AU70" i="23"/>
  <c r="AZ70" i="23"/>
  <c r="BA70" i="23"/>
  <c r="BB70" i="23"/>
  <c r="BC70" i="23"/>
  <c r="BH70" i="23"/>
  <c r="BI70" i="23"/>
  <c r="BJ70" i="23"/>
  <c r="BK70" i="23"/>
  <c r="BP70" i="23"/>
  <c r="BQ70" i="23"/>
  <c r="BR70" i="23"/>
  <c r="BS70" i="23"/>
  <c r="BX70" i="23"/>
  <c r="BY70" i="23"/>
  <c r="BZ70" i="23"/>
  <c r="CA70" i="23"/>
  <c r="CG70" i="23"/>
  <c r="CH70" i="23"/>
  <c r="CI70" i="23"/>
  <c r="CO70" i="23"/>
  <c r="CP70" i="23"/>
  <c r="CQ70" i="23"/>
  <c r="Y71" i="23"/>
  <c r="AG71" i="23"/>
  <c r="AO71" i="23"/>
  <c r="AW71" i="23"/>
  <c r="BE71" i="23"/>
  <c r="BM71" i="23"/>
  <c r="BU71" i="23"/>
  <c r="CC71" i="23"/>
  <c r="CK71" i="23"/>
  <c r="X71" i="23"/>
  <c r="AC71" i="23"/>
  <c r="AD71" i="23"/>
  <c r="AE71" i="23"/>
  <c r="AJ71" i="23"/>
  <c r="AK71" i="23"/>
  <c r="AL71" i="23"/>
  <c r="AM71" i="23"/>
  <c r="AS71" i="23"/>
  <c r="AT71" i="23"/>
  <c r="AU71" i="23"/>
  <c r="AZ71" i="23"/>
  <c r="BA71" i="23"/>
  <c r="BB71" i="23"/>
  <c r="BC71" i="23"/>
  <c r="BH71" i="23"/>
  <c r="BI71" i="23"/>
  <c r="BJ71" i="23"/>
  <c r="BK71" i="23"/>
  <c r="BP71" i="23"/>
  <c r="BQ71" i="23"/>
  <c r="BR71" i="23"/>
  <c r="BS71" i="23"/>
  <c r="BX71" i="23"/>
  <c r="BY71" i="23"/>
  <c r="BZ71" i="23"/>
  <c r="CA71" i="23"/>
  <c r="CF71" i="23"/>
  <c r="CG71" i="23"/>
  <c r="CH71" i="23"/>
  <c r="CI71" i="23"/>
  <c r="CN71" i="23"/>
  <c r="CO71" i="23"/>
  <c r="CP71" i="23"/>
  <c r="CQ71" i="23"/>
  <c r="Y72" i="23"/>
  <c r="AG72" i="23"/>
  <c r="AO72" i="23"/>
  <c r="AW72" i="23"/>
  <c r="BE72" i="23"/>
  <c r="BM72" i="23"/>
  <c r="BU72" i="23"/>
  <c r="CC72" i="23"/>
  <c r="CK72" i="23"/>
  <c r="X72" i="23"/>
  <c r="AB72" i="23"/>
  <c r="AC72" i="23"/>
  <c r="AD72" i="23"/>
  <c r="AE72" i="23"/>
  <c r="AK72" i="23"/>
  <c r="AL72" i="23"/>
  <c r="AM72" i="23"/>
  <c r="AR72" i="23"/>
  <c r="AS72" i="23"/>
  <c r="AT72" i="23"/>
  <c r="AU72" i="23"/>
  <c r="BA72" i="23"/>
  <c r="BB72" i="23"/>
  <c r="BC72" i="23"/>
  <c r="BH72" i="23"/>
  <c r="BI72" i="23"/>
  <c r="BJ72" i="23"/>
  <c r="BK72" i="23"/>
  <c r="BP72" i="23"/>
  <c r="BQ72" i="23"/>
  <c r="BR72" i="23"/>
  <c r="BS72" i="23"/>
  <c r="BX72" i="23"/>
  <c r="BY72" i="23"/>
  <c r="BZ72" i="23"/>
  <c r="CA72" i="23"/>
  <c r="CF72" i="23"/>
  <c r="CG72" i="23"/>
  <c r="CH72" i="23"/>
  <c r="CI72" i="23"/>
  <c r="CN72" i="23"/>
  <c r="CO72" i="23"/>
  <c r="CP72" i="23"/>
  <c r="CQ72" i="23"/>
  <c r="Y73" i="23"/>
  <c r="AG73" i="23"/>
  <c r="AO73" i="23"/>
  <c r="AW73" i="23"/>
  <c r="BE73" i="23"/>
  <c r="BM73" i="23"/>
  <c r="BU73" i="23"/>
  <c r="CC73" i="23"/>
  <c r="CK73" i="23"/>
  <c r="X73" i="23"/>
  <c r="AB73" i="23"/>
  <c r="AC73" i="23"/>
  <c r="AD73" i="23"/>
  <c r="AE73" i="23"/>
  <c r="AJ73" i="23"/>
  <c r="AK73" i="23"/>
  <c r="AL73" i="23"/>
  <c r="AM73" i="23"/>
  <c r="AR73" i="23"/>
  <c r="AS73" i="23"/>
  <c r="AT73" i="23"/>
  <c r="AU73" i="23"/>
  <c r="AZ73" i="23"/>
  <c r="BA73" i="23"/>
  <c r="BB73" i="23"/>
  <c r="BC73" i="23"/>
  <c r="BH73" i="23"/>
  <c r="BI73" i="23"/>
  <c r="BJ73" i="23"/>
  <c r="BK73" i="23"/>
  <c r="BQ73" i="23"/>
  <c r="BR73" i="23"/>
  <c r="BS73" i="23"/>
  <c r="BX73" i="23"/>
  <c r="BY73" i="23"/>
  <c r="BZ73" i="23"/>
  <c r="CA73" i="23"/>
  <c r="CF73" i="23"/>
  <c r="CG73" i="23"/>
  <c r="CH73" i="23"/>
  <c r="CI73" i="23"/>
  <c r="CO73" i="23"/>
  <c r="CP73" i="23"/>
  <c r="CQ73" i="23"/>
  <c r="Y74" i="23"/>
  <c r="AG74" i="23"/>
  <c r="AO74" i="23"/>
  <c r="AW74" i="23"/>
  <c r="BE74" i="23"/>
  <c r="BM74" i="23"/>
  <c r="BU74" i="23"/>
  <c r="CC74" i="23"/>
  <c r="CK74" i="23"/>
  <c r="X74" i="23"/>
  <c r="AB74" i="23"/>
  <c r="AC74" i="23"/>
  <c r="AD74" i="23"/>
  <c r="AE74" i="23"/>
  <c r="AJ74" i="23"/>
  <c r="AK74" i="23"/>
  <c r="AL74" i="23"/>
  <c r="AM74" i="23"/>
  <c r="AR74" i="23"/>
  <c r="AS74" i="23"/>
  <c r="AT74" i="23"/>
  <c r="AU74" i="23"/>
  <c r="AZ74" i="23"/>
  <c r="BA74" i="23"/>
  <c r="BB74" i="23"/>
  <c r="BC74" i="23"/>
  <c r="BH74" i="23"/>
  <c r="BI74" i="23"/>
  <c r="BJ74" i="23"/>
  <c r="BK74" i="23"/>
  <c r="BP74" i="23"/>
  <c r="BQ74" i="23"/>
  <c r="BR74" i="23"/>
  <c r="BS74" i="23"/>
  <c r="BY74" i="23"/>
  <c r="BZ74" i="23"/>
  <c r="CA74" i="23"/>
  <c r="CG74" i="23"/>
  <c r="CH74" i="23"/>
  <c r="CI74" i="23"/>
  <c r="CN74" i="23"/>
  <c r="CO74" i="23"/>
  <c r="CP74" i="23"/>
  <c r="CQ74" i="23"/>
  <c r="Y75" i="23"/>
  <c r="AG75" i="23"/>
  <c r="AO75" i="23"/>
  <c r="AW75" i="23"/>
  <c r="BE75" i="23"/>
  <c r="BM75" i="23"/>
  <c r="BU75" i="23"/>
  <c r="CC75" i="23"/>
  <c r="CK75" i="23"/>
  <c r="X75" i="23"/>
  <c r="AC75" i="23"/>
  <c r="AD75" i="23"/>
  <c r="AE75" i="23"/>
  <c r="AK75" i="23"/>
  <c r="AL75" i="23"/>
  <c r="AM75" i="23"/>
  <c r="AR75" i="23"/>
  <c r="AS75" i="23"/>
  <c r="AT75" i="23"/>
  <c r="AU75" i="23"/>
  <c r="AZ75" i="23"/>
  <c r="BA75" i="23"/>
  <c r="BB75" i="23"/>
  <c r="BC75" i="23"/>
  <c r="BH75" i="23"/>
  <c r="BI75" i="23"/>
  <c r="BJ75" i="23"/>
  <c r="BK75" i="23"/>
  <c r="BP75" i="23"/>
  <c r="BQ75" i="23"/>
  <c r="BR75" i="23"/>
  <c r="BS75" i="23"/>
  <c r="BX75" i="23"/>
  <c r="BY75" i="23"/>
  <c r="BZ75" i="23"/>
  <c r="CA75" i="23"/>
  <c r="CF75" i="23"/>
  <c r="CG75" i="23"/>
  <c r="CH75" i="23"/>
  <c r="CI75" i="23"/>
  <c r="CN75" i="23"/>
  <c r="CO75" i="23"/>
  <c r="CP75" i="23"/>
  <c r="CQ75" i="23"/>
  <c r="Y76" i="23"/>
  <c r="AG76" i="23"/>
  <c r="AO76" i="23"/>
  <c r="AW76" i="23"/>
  <c r="BE76" i="23"/>
  <c r="BM76" i="23"/>
  <c r="BU76" i="23"/>
  <c r="CC76" i="23"/>
  <c r="CK76" i="23"/>
  <c r="X76" i="23"/>
  <c r="AB76" i="23"/>
  <c r="AC76" i="23"/>
  <c r="AD76" i="23"/>
  <c r="AE76" i="23"/>
  <c r="AJ76" i="23"/>
  <c r="AK76" i="23"/>
  <c r="AL76" i="23"/>
  <c r="AM76" i="23"/>
  <c r="AR76" i="23"/>
  <c r="AS76" i="23"/>
  <c r="AT76" i="23"/>
  <c r="AU76" i="23"/>
  <c r="BA76" i="23"/>
  <c r="BB76" i="23"/>
  <c r="BC76" i="23"/>
  <c r="BH76" i="23"/>
  <c r="BI76" i="23"/>
  <c r="BJ76" i="23"/>
  <c r="BK76" i="23"/>
  <c r="BP76" i="23"/>
  <c r="BQ76" i="23"/>
  <c r="BR76" i="23"/>
  <c r="BS76" i="23"/>
  <c r="BX76" i="23"/>
  <c r="BY76" i="23"/>
  <c r="BZ76" i="23"/>
  <c r="CA76" i="23"/>
  <c r="CF76" i="23"/>
  <c r="CG76" i="23"/>
  <c r="CH76" i="23"/>
  <c r="CI76" i="23"/>
  <c r="CO76" i="23"/>
  <c r="CP76" i="23"/>
  <c r="CQ76" i="23"/>
  <c r="Y77" i="23"/>
  <c r="AG77" i="23"/>
  <c r="AO77" i="23"/>
  <c r="AW77" i="23"/>
  <c r="BE77" i="23"/>
  <c r="BM77" i="23"/>
  <c r="BU77" i="23"/>
  <c r="CC77" i="23"/>
  <c r="CK77" i="23"/>
  <c r="X77" i="23"/>
  <c r="AB77" i="23"/>
  <c r="AC77" i="23"/>
  <c r="AD77" i="23"/>
  <c r="AE77" i="23"/>
  <c r="AJ77" i="23"/>
  <c r="AK77" i="23"/>
  <c r="AL77" i="23"/>
  <c r="AM77" i="23"/>
  <c r="AR77" i="23"/>
  <c r="AS77" i="23"/>
  <c r="AT77" i="23"/>
  <c r="AU77" i="23"/>
  <c r="AZ77" i="23"/>
  <c r="BA77" i="23"/>
  <c r="BB77" i="23"/>
  <c r="BC77" i="23"/>
  <c r="BI77" i="23"/>
  <c r="BJ77" i="23"/>
  <c r="BK77" i="23"/>
  <c r="BP77" i="23"/>
  <c r="BQ77" i="23"/>
  <c r="BR77" i="23"/>
  <c r="BS77" i="23"/>
  <c r="BX77" i="23"/>
  <c r="BY77" i="23"/>
  <c r="BZ77" i="23"/>
  <c r="CA77" i="23"/>
  <c r="CG77" i="23"/>
  <c r="CH77" i="23"/>
  <c r="CI77" i="23"/>
  <c r="CN77" i="23"/>
  <c r="CO77" i="23"/>
  <c r="CP77" i="23"/>
  <c r="CQ77" i="23"/>
  <c r="Y78" i="23"/>
  <c r="AG78" i="23"/>
  <c r="AO78" i="23"/>
  <c r="AW78" i="23"/>
  <c r="BE78" i="23"/>
  <c r="BM78" i="23"/>
  <c r="BU78" i="23"/>
  <c r="CC78" i="23"/>
  <c r="CK78" i="23"/>
  <c r="X78" i="23"/>
  <c r="AB78" i="23"/>
  <c r="AC78" i="23"/>
  <c r="AD78" i="23"/>
  <c r="AE78" i="23"/>
  <c r="AJ78" i="23"/>
  <c r="AK78" i="23"/>
  <c r="AL78" i="23"/>
  <c r="AM78" i="23"/>
  <c r="AR78" i="23"/>
  <c r="AS78" i="23"/>
  <c r="AT78" i="23"/>
  <c r="AU78" i="23"/>
  <c r="AZ78" i="23"/>
  <c r="BA78" i="23"/>
  <c r="BB78" i="23"/>
  <c r="BC78" i="23"/>
  <c r="BH78" i="23"/>
  <c r="BI78" i="23"/>
  <c r="BJ78" i="23"/>
  <c r="BK78" i="23"/>
  <c r="BQ78" i="23"/>
  <c r="BR78" i="23"/>
  <c r="BS78" i="23"/>
  <c r="BY78" i="23"/>
  <c r="BZ78" i="23"/>
  <c r="CA78" i="23"/>
  <c r="CF78" i="23"/>
  <c r="CG78" i="23"/>
  <c r="CH78" i="23"/>
  <c r="CI78" i="23"/>
  <c r="CN78" i="23"/>
  <c r="CO78" i="23"/>
  <c r="CP78" i="23"/>
  <c r="CQ78" i="23"/>
  <c r="D79" i="23"/>
  <c r="X79" i="23"/>
  <c r="D80" i="23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AE17" i="21"/>
  <c r="X17" i="21"/>
  <c r="Y17" i="21"/>
  <c r="AA17" i="21"/>
  <c r="Z17" i="21"/>
  <c r="W17" i="21"/>
  <c r="S17" i="21"/>
  <c r="P17" i="21"/>
  <c r="M17" i="21"/>
  <c r="AE16" i="21"/>
  <c r="X16" i="21"/>
  <c r="Y16" i="21"/>
  <c r="AA16" i="21"/>
  <c r="Z16" i="21"/>
  <c r="W16" i="21"/>
  <c r="S16" i="21"/>
  <c r="P16" i="21"/>
  <c r="M16" i="21"/>
  <c r="AE15" i="21"/>
  <c r="X15" i="21"/>
  <c r="Y15" i="21"/>
  <c r="AA15" i="21"/>
  <c r="Z15" i="21"/>
  <c r="W15" i="21"/>
  <c r="S15" i="21"/>
  <c r="P15" i="21"/>
  <c r="M15" i="21"/>
  <c r="AE14" i="21"/>
  <c r="X14" i="21"/>
  <c r="Y14" i="21"/>
  <c r="AA14" i="21"/>
  <c r="Z14" i="21"/>
  <c r="W14" i="21"/>
  <c r="S14" i="21"/>
  <c r="P14" i="21"/>
  <c r="M14" i="21"/>
  <c r="AE13" i="21"/>
  <c r="X13" i="21"/>
  <c r="Y13" i="21"/>
  <c r="AA13" i="21"/>
  <c r="Z13" i="21"/>
  <c r="W13" i="21"/>
  <c r="S13" i="21"/>
  <c r="P13" i="21"/>
  <c r="M13" i="21"/>
  <c r="AE12" i="21"/>
  <c r="W12" i="21"/>
  <c r="S12" i="21"/>
  <c r="P12" i="21"/>
  <c r="M12" i="21"/>
  <c r="W11" i="21"/>
  <c r="E58" i="9"/>
  <c r="U11" i="21"/>
  <c r="R11" i="21"/>
  <c r="E55" i="9"/>
  <c r="O11" i="21"/>
  <c r="E54" i="9"/>
  <c r="L11" i="21"/>
  <c r="E14" i="9"/>
  <c r="I11" i="21"/>
  <c r="E105" i="9"/>
  <c r="F11" i="21"/>
  <c r="E11" i="21"/>
  <c r="D11" i="21"/>
  <c r="C11" i="21"/>
  <c r="E106" i="9"/>
  <c r="F10" i="21"/>
  <c r="H7" i="21"/>
  <c r="F5" i="21"/>
  <c r="F4" i="21"/>
  <c r="F3" i="21"/>
  <c r="F2" i="21"/>
  <c r="CA60" i="3"/>
  <c r="CI51" i="3"/>
  <c r="CI60" i="3"/>
  <c r="CH51" i="3"/>
  <c r="CH60" i="3"/>
  <c r="CG51" i="3"/>
  <c r="CG60" i="3"/>
  <c r="CF51" i="3"/>
  <c r="CF60" i="3"/>
  <c r="CE51" i="3"/>
  <c r="CE60" i="3"/>
  <c r="CD51" i="3"/>
  <c r="CD60" i="3"/>
  <c r="CC51" i="3"/>
  <c r="CC60" i="3"/>
  <c r="CB51" i="3"/>
  <c r="CB60" i="3"/>
  <c r="CA59" i="3"/>
  <c r="CJ51" i="3"/>
  <c r="CJ59" i="3"/>
  <c r="CH59" i="3"/>
  <c r="CG59" i="3"/>
  <c r="CF59" i="3"/>
  <c r="CE59" i="3"/>
  <c r="CD59" i="3"/>
  <c r="CC59" i="3"/>
  <c r="CB59" i="3"/>
  <c r="CA58" i="3"/>
  <c r="CJ58" i="3"/>
  <c r="CI58" i="3"/>
  <c r="CG58" i="3"/>
  <c r="CF58" i="3"/>
  <c r="CE58" i="3"/>
  <c r="CD58" i="3"/>
  <c r="CB58" i="3"/>
  <c r="CA57" i="3"/>
  <c r="CJ57" i="3"/>
  <c r="CI57" i="3"/>
  <c r="CH57" i="3"/>
  <c r="CF57" i="3"/>
  <c r="CE57" i="3"/>
  <c r="CD57" i="3"/>
  <c r="CC57" i="3"/>
  <c r="CB57" i="3"/>
  <c r="CA56" i="3"/>
  <c r="CJ56" i="3"/>
  <c r="CI56" i="3"/>
  <c r="CH56" i="3"/>
  <c r="CG56" i="3"/>
  <c r="CE56" i="3"/>
  <c r="CD56" i="3"/>
  <c r="CC56" i="3"/>
  <c r="CB56" i="3"/>
  <c r="CA55" i="3"/>
  <c r="CJ55" i="3"/>
  <c r="CI55" i="3"/>
  <c r="CH55" i="3"/>
  <c r="CG55" i="3"/>
  <c r="CF55" i="3"/>
  <c r="CD55" i="3"/>
  <c r="CC55" i="3"/>
  <c r="CB55" i="3"/>
  <c r="CA54" i="3"/>
  <c r="CJ54" i="3"/>
  <c r="CI54" i="3"/>
  <c r="CH54" i="3"/>
  <c r="CG54" i="3"/>
  <c r="CF54" i="3"/>
  <c r="CE54" i="3"/>
  <c r="CC54" i="3"/>
  <c r="CB54" i="3"/>
  <c r="CA53" i="3"/>
  <c r="CJ53" i="3"/>
  <c r="CI53" i="3"/>
  <c r="CG53" i="3"/>
  <c r="CF53" i="3"/>
  <c r="CE53" i="3"/>
  <c r="CD53" i="3"/>
  <c r="CB53" i="3"/>
  <c r="CA52" i="3"/>
  <c r="CJ52" i="3"/>
  <c r="CI52" i="3"/>
  <c r="CH52" i="3"/>
  <c r="CG52" i="3"/>
  <c r="CF52" i="3"/>
  <c r="CE52" i="3"/>
  <c r="CD52" i="3"/>
  <c r="CC52" i="3"/>
  <c r="CA37" i="3"/>
  <c r="CJ29" i="3"/>
  <c r="CA38" i="3"/>
  <c r="CI29" i="3"/>
  <c r="CJ48" i="3"/>
  <c r="CI49" i="3"/>
  <c r="CA36" i="3"/>
  <c r="CH29" i="3"/>
  <c r="CJ47" i="3"/>
  <c r="CH49" i="3"/>
  <c r="CA35" i="3"/>
  <c r="CG29" i="3"/>
  <c r="CJ46" i="3"/>
  <c r="CG49" i="3"/>
  <c r="CA34" i="3"/>
  <c r="CF29" i="3"/>
  <c r="CJ45" i="3"/>
  <c r="CF49" i="3"/>
  <c r="CA33" i="3"/>
  <c r="CE29" i="3"/>
  <c r="CJ44" i="3"/>
  <c r="CE49" i="3"/>
  <c r="CA32" i="3"/>
  <c r="CD29" i="3"/>
  <c r="CJ43" i="3"/>
  <c r="CD49" i="3"/>
  <c r="CA31" i="3"/>
  <c r="CC29" i="3"/>
  <c r="CJ42" i="3"/>
  <c r="CC49" i="3"/>
  <c r="CA30" i="3"/>
  <c r="CB29" i="3"/>
  <c r="CJ41" i="3"/>
  <c r="CB49" i="3"/>
  <c r="J25" i="3"/>
  <c r="J17" i="3"/>
  <c r="J19" i="3"/>
  <c r="J20" i="3"/>
  <c r="J21" i="3"/>
  <c r="J22" i="3"/>
  <c r="J24" i="3"/>
  <c r="C25" i="3"/>
  <c r="CI47" i="3"/>
  <c r="CH48" i="3"/>
  <c r="CI46" i="3"/>
  <c r="CG48" i="3"/>
  <c r="CI45" i="3"/>
  <c r="CF48" i="3"/>
  <c r="CI44" i="3"/>
  <c r="CE48" i="3"/>
  <c r="CI43" i="3"/>
  <c r="CD48" i="3"/>
  <c r="CI42" i="3"/>
  <c r="CC48" i="3"/>
  <c r="CI41" i="3"/>
  <c r="CB48" i="3"/>
  <c r="C24" i="3"/>
  <c r="CH46" i="3"/>
  <c r="CG47" i="3"/>
  <c r="CH45" i="3"/>
  <c r="CF47" i="3"/>
  <c r="CH44" i="3"/>
  <c r="CE47" i="3"/>
  <c r="CH43" i="3"/>
  <c r="CD47" i="3"/>
  <c r="CH41" i="3"/>
  <c r="CB47" i="3"/>
  <c r="C23" i="3"/>
  <c r="CG45" i="3"/>
  <c r="CF46" i="3"/>
  <c r="CG44" i="3"/>
  <c r="CE46" i="3"/>
  <c r="CG43" i="3"/>
  <c r="CD46" i="3"/>
  <c r="CG42" i="3"/>
  <c r="CC46" i="3"/>
  <c r="CG41" i="3"/>
  <c r="CB46" i="3"/>
  <c r="C22" i="3"/>
  <c r="CF44" i="3"/>
  <c r="CE45" i="3"/>
  <c r="CF43" i="3"/>
  <c r="CD45" i="3"/>
  <c r="CF42" i="3"/>
  <c r="CC45" i="3"/>
  <c r="CF41" i="3"/>
  <c r="CB45" i="3"/>
  <c r="C21" i="3"/>
  <c r="CE43" i="3"/>
  <c r="CD44" i="3"/>
  <c r="CE42" i="3"/>
  <c r="CC44" i="3"/>
  <c r="CE41" i="3"/>
  <c r="CB44" i="3"/>
  <c r="C20" i="3"/>
  <c r="CD42" i="3"/>
  <c r="CC43" i="3"/>
  <c r="CD41" i="3"/>
  <c r="CB43" i="3"/>
  <c r="C19" i="3"/>
  <c r="CC41" i="3"/>
  <c r="CB42" i="3"/>
  <c r="C18" i="3"/>
  <c r="C17" i="3"/>
  <c r="C38" i="3"/>
  <c r="C37" i="3"/>
  <c r="C36" i="3"/>
  <c r="C35" i="3"/>
  <c r="C34" i="3"/>
  <c r="C33" i="3"/>
  <c r="C32" i="3"/>
  <c r="C31" i="3"/>
  <c r="C30" i="3"/>
  <c r="I25" i="3"/>
  <c r="H25" i="3"/>
  <c r="I24" i="3"/>
  <c r="H24" i="3"/>
  <c r="I22" i="3"/>
  <c r="H22" i="3"/>
  <c r="I21" i="3"/>
  <c r="H21" i="3"/>
  <c r="I20" i="3"/>
  <c r="H20" i="3"/>
  <c r="I19" i="3"/>
  <c r="H19" i="3"/>
  <c r="I17" i="3"/>
  <c r="H17" i="3"/>
  <c r="AE207" i="3"/>
  <c r="AE206" i="3"/>
  <c r="AE205" i="3"/>
  <c r="AE204" i="3"/>
  <c r="AE203" i="3"/>
  <c r="AE202" i="3"/>
  <c r="AE201" i="3"/>
  <c r="AE200" i="3"/>
  <c r="AE199" i="3"/>
  <c r="AE198" i="3"/>
  <c r="AE197" i="3"/>
  <c r="AE196" i="3"/>
  <c r="AE195" i="3"/>
  <c r="AE194" i="3"/>
  <c r="AE193" i="3"/>
  <c r="AE192" i="3"/>
  <c r="AE191" i="3"/>
  <c r="AE190" i="3"/>
  <c r="AE189" i="3"/>
  <c r="AE188" i="3"/>
  <c r="AE187" i="3"/>
  <c r="AE186" i="3"/>
  <c r="AE185" i="3"/>
  <c r="AE184" i="3"/>
  <c r="AE183" i="3"/>
  <c r="AE182" i="3"/>
  <c r="AE181" i="3"/>
  <c r="AE180" i="3"/>
  <c r="AE179" i="3"/>
  <c r="AE178" i="3"/>
  <c r="AE177" i="3"/>
  <c r="AE176" i="3"/>
  <c r="AE175" i="3"/>
  <c r="AE174" i="3"/>
  <c r="AE173" i="3"/>
  <c r="AE172" i="3"/>
  <c r="AE171" i="3"/>
  <c r="AE170" i="3"/>
  <c r="AE169" i="3"/>
  <c r="AE168" i="3"/>
  <c r="AE167" i="3"/>
  <c r="AE166" i="3"/>
  <c r="AE165" i="3"/>
  <c r="AE164" i="3"/>
  <c r="AE163" i="3"/>
  <c r="AE162" i="3"/>
  <c r="AE161" i="3"/>
  <c r="AE160" i="3"/>
  <c r="AE159" i="3"/>
  <c r="AE158" i="3"/>
  <c r="AE157" i="3"/>
  <c r="AE156" i="3"/>
  <c r="AE155" i="3"/>
  <c r="AE154" i="3"/>
  <c r="AE153" i="3"/>
  <c r="AE152" i="3"/>
  <c r="AE151" i="3"/>
  <c r="AE150" i="3"/>
  <c r="AE149" i="3"/>
  <c r="AE148" i="3"/>
  <c r="AE147" i="3"/>
  <c r="AE146" i="3"/>
  <c r="AE145" i="3"/>
  <c r="AE144" i="3"/>
  <c r="AE143" i="3"/>
  <c r="AE142" i="3"/>
  <c r="AE141" i="3"/>
  <c r="AE140" i="3"/>
  <c r="AE139" i="3"/>
  <c r="AE138" i="3"/>
  <c r="AE137" i="3"/>
  <c r="AE135" i="3"/>
  <c r="AE134" i="3"/>
  <c r="AE133" i="3"/>
  <c r="AE132" i="3"/>
  <c r="AE131" i="3"/>
  <c r="AE130" i="3"/>
  <c r="AE129" i="3"/>
  <c r="AE128" i="3"/>
  <c r="AE127" i="3"/>
  <c r="AE126" i="3"/>
  <c r="AE125" i="3"/>
  <c r="AE124" i="3"/>
  <c r="AE123" i="3"/>
  <c r="AE122" i="3"/>
  <c r="AE121" i="3"/>
  <c r="AE120" i="3"/>
  <c r="AE119" i="3"/>
  <c r="AE118" i="3"/>
  <c r="AE117" i="3"/>
  <c r="AE116" i="3"/>
  <c r="AE115" i="3"/>
  <c r="AE114" i="3"/>
  <c r="AE113" i="3"/>
  <c r="AE112" i="3"/>
  <c r="AE111" i="3"/>
  <c r="AE110" i="3"/>
  <c r="AE109" i="3"/>
  <c r="AE108" i="3"/>
  <c r="AE107" i="3"/>
  <c r="AE106" i="3"/>
  <c r="AE105" i="3"/>
  <c r="AE104" i="3"/>
  <c r="AE103" i="3"/>
  <c r="AE102" i="3"/>
  <c r="AE101" i="3"/>
  <c r="AE100" i="3"/>
  <c r="AE99" i="3"/>
  <c r="AE98" i="3"/>
  <c r="AE97" i="3"/>
  <c r="AE96" i="3"/>
  <c r="AE95" i="3"/>
  <c r="AE94" i="3"/>
  <c r="AE93" i="3"/>
  <c r="AE92" i="3"/>
  <c r="AE91" i="3"/>
  <c r="AE90" i="3"/>
  <c r="AE89" i="3"/>
  <c r="AE88" i="3"/>
  <c r="AE87" i="3"/>
  <c r="AE86" i="3"/>
  <c r="AE85" i="3"/>
  <c r="AE84" i="3"/>
  <c r="AE83" i="3"/>
  <c r="AE82" i="3"/>
  <c r="AE81" i="3"/>
  <c r="AE80" i="3"/>
  <c r="AE79" i="3"/>
  <c r="AE78" i="3"/>
  <c r="AE77" i="3"/>
  <c r="AE76" i="3"/>
  <c r="AE75" i="3"/>
  <c r="AE74" i="3"/>
  <c r="AE73" i="3"/>
  <c r="AE72" i="3"/>
  <c r="AE71" i="3"/>
  <c r="AE70" i="3"/>
  <c r="AE69" i="3"/>
  <c r="AE68" i="3"/>
  <c r="AE67" i="3"/>
  <c r="AE66" i="3"/>
  <c r="AE65" i="3"/>
  <c r="AC64" i="3"/>
  <c r="Z64" i="3"/>
  <c r="AF9" i="6"/>
  <c r="H9" i="6"/>
  <c r="K9" i="6"/>
  <c r="L81" i="6"/>
  <c r="L80" i="6"/>
  <c r="L79" i="6"/>
  <c r="L78" i="6"/>
  <c r="L77" i="6"/>
  <c r="L76" i="6"/>
  <c r="L75" i="6"/>
  <c r="L74" i="6"/>
  <c r="L73" i="6"/>
  <c r="L72" i="6"/>
  <c r="L71" i="6"/>
  <c r="L70" i="6"/>
  <c r="L69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12" i="6"/>
  <c r="L11" i="6"/>
  <c r="L10" i="6"/>
  <c r="E27" i="9"/>
  <c r="AJ33" i="6"/>
  <c r="AJ57" i="6"/>
  <c r="AI33" i="6"/>
  <c r="AI57" i="6"/>
  <c r="AF33" i="6"/>
  <c r="AF57" i="6"/>
  <c r="E24" i="9"/>
  <c r="AA9" i="6"/>
  <c r="AA33" i="6"/>
  <c r="AA57" i="6"/>
  <c r="E23" i="9"/>
  <c r="Z9" i="6"/>
  <c r="Z33" i="6"/>
  <c r="Z57" i="6"/>
  <c r="E22" i="9"/>
  <c r="Y9" i="6"/>
  <c r="Y33" i="6"/>
  <c r="Y57" i="6"/>
  <c r="E21" i="9"/>
  <c r="X9" i="6"/>
  <c r="X33" i="6"/>
  <c r="X57" i="6"/>
  <c r="E99" i="9"/>
  <c r="E101" i="9"/>
  <c r="I11" i="6"/>
  <c r="I12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E100" i="9"/>
  <c r="C201" i="12"/>
  <c r="C176" i="12"/>
  <c r="C151" i="12"/>
  <c r="C126" i="12"/>
  <c r="C101" i="12"/>
  <c r="C76" i="12"/>
  <c r="C51" i="12"/>
  <c r="C26" i="12"/>
  <c r="E47" i="9"/>
  <c r="B223" i="12"/>
  <c r="F222" i="12"/>
  <c r="E222" i="12"/>
  <c r="D222" i="12"/>
  <c r="F221" i="12"/>
  <c r="E221" i="12"/>
  <c r="D221" i="12"/>
  <c r="F220" i="12"/>
  <c r="E220" i="12"/>
  <c r="D220" i="12"/>
  <c r="F219" i="12"/>
  <c r="E219" i="12"/>
  <c r="D219" i="12"/>
  <c r="F218" i="12"/>
  <c r="E218" i="12"/>
  <c r="D218" i="12"/>
  <c r="F217" i="12"/>
  <c r="E217" i="12"/>
  <c r="D217" i="12"/>
  <c r="F216" i="12"/>
  <c r="E216" i="12"/>
  <c r="D216" i="12"/>
  <c r="F215" i="12"/>
  <c r="E215" i="12"/>
  <c r="D215" i="12"/>
  <c r="F214" i="12"/>
  <c r="E214" i="12"/>
  <c r="D214" i="12"/>
  <c r="F213" i="12"/>
  <c r="E213" i="12"/>
  <c r="D213" i="12"/>
  <c r="F212" i="12"/>
  <c r="E212" i="12"/>
  <c r="D212" i="12"/>
  <c r="F211" i="12"/>
  <c r="E211" i="12"/>
  <c r="D211" i="12"/>
  <c r="F210" i="12"/>
  <c r="E210" i="12"/>
  <c r="D210" i="12"/>
  <c r="F209" i="12"/>
  <c r="E209" i="12"/>
  <c r="D209" i="12"/>
  <c r="F208" i="12"/>
  <c r="E208" i="12"/>
  <c r="D208" i="12"/>
  <c r="F207" i="12"/>
  <c r="E207" i="12"/>
  <c r="D207" i="12"/>
  <c r="E46" i="9"/>
  <c r="F206" i="12"/>
  <c r="E206" i="12"/>
  <c r="D206" i="12"/>
  <c r="C206" i="12"/>
  <c r="C205" i="12"/>
  <c r="B198" i="12"/>
  <c r="F197" i="12"/>
  <c r="E197" i="12"/>
  <c r="D197" i="12"/>
  <c r="F196" i="12"/>
  <c r="E196" i="12"/>
  <c r="D196" i="12"/>
  <c r="F195" i="12"/>
  <c r="E195" i="12"/>
  <c r="D195" i="12"/>
  <c r="F194" i="12"/>
  <c r="E194" i="12"/>
  <c r="D194" i="12"/>
  <c r="F193" i="12"/>
  <c r="E193" i="12"/>
  <c r="D193" i="12"/>
  <c r="F192" i="12"/>
  <c r="E192" i="12"/>
  <c r="D192" i="12"/>
  <c r="F191" i="12"/>
  <c r="E191" i="12"/>
  <c r="D191" i="12"/>
  <c r="F190" i="12"/>
  <c r="E190" i="12"/>
  <c r="D190" i="12"/>
  <c r="F189" i="12"/>
  <c r="E189" i="12"/>
  <c r="D189" i="12"/>
  <c r="F188" i="12"/>
  <c r="E188" i="12"/>
  <c r="D188" i="12"/>
  <c r="F187" i="12"/>
  <c r="E187" i="12"/>
  <c r="D187" i="12"/>
  <c r="F186" i="12"/>
  <c r="E186" i="12"/>
  <c r="D186" i="12"/>
  <c r="F185" i="12"/>
  <c r="E185" i="12"/>
  <c r="D185" i="12"/>
  <c r="F184" i="12"/>
  <c r="E184" i="12"/>
  <c r="D184" i="12"/>
  <c r="F183" i="12"/>
  <c r="E183" i="12"/>
  <c r="D183" i="12"/>
  <c r="F182" i="12"/>
  <c r="E182" i="12"/>
  <c r="D182" i="12"/>
  <c r="F181" i="12"/>
  <c r="E181" i="12"/>
  <c r="D181" i="12"/>
  <c r="C181" i="12"/>
  <c r="C180" i="12"/>
  <c r="B173" i="12"/>
  <c r="F172" i="12"/>
  <c r="E172" i="12"/>
  <c r="D172" i="12"/>
  <c r="F171" i="12"/>
  <c r="E171" i="12"/>
  <c r="D171" i="12"/>
  <c r="F170" i="12"/>
  <c r="E170" i="12"/>
  <c r="D170" i="12"/>
  <c r="F169" i="12"/>
  <c r="E169" i="12"/>
  <c r="D169" i="12"/>
  <c r="F168" i="12"/>
  <c r="E168" i="12"/>
  <c r="D168" i="12"/>
  <c r="F167" i="12"/>
  <c r="E167" i="12"/>
  <c r="D167" i="12"/>
  <c r="F166" i="12"/>
  <c r="E166" i="12"/>
  <c r="D166" i="12"/>
  <c r="F165" i="12"/>
  <c r="E165" i="12"/>
  <c r="D165" i="12"/>
  <c r="F164" i="12"/>
  <c r="E164" i="12"/>
  <c r="D164" i="12"/>
  <c r="F163" i="12"/>
  <c r="E163" i="12"/>
  <c r="D163" i="12"/>
  <c r="F162" i="12"/>
  <c r="E162" i="12"/>
  <c r="D162" i="12"/>
  <c r="F161" i="12"/>
  <c r="E161" i="12"/>
  <c r="D161" i="12"/>
  <c r="F160" i="12"/>
  <c r="E160" i="12"/>
  <c r="D160" i="12"/>
  <c r="F159" i="12"/>
  <c r="E159" i="12"/>
  <c r="D159" i="12"/>
  <c r="F158" i="12"/>
  <c r="E158" i="12"/>
  <c r="D158" i="12"/>
  <c r="F157" i="12"/>
  <c r="E157" i="12"/>
  <c r="D157" i="12"/>
  <c r="F156" i="12"/>
  <c r="E156" i="12"/>
  <c r="D156" i="12"/>
  <c r="C156" i="12"/>
  <c r="C155" i="12"/>
  <c r="B148" i="12"/>
  <c r="F147" i="12"/>
  <c r="E147" i="12"/>
  <c r="D147" i="12"/>
  <c r="F146" i="12"/>
  <c r="E146" i="12"/>
  <c r="D146" i="12"/>
  <c r="F145" i="12"/>
  <c r="E145" i="12"/>
  <c r="D145" i="12"/>
  <c r="F144" i="12"/>
  <c r="E144" i="12"/>
  <c r="D144" i="12"/>
  <c r="F143" i="12"/>
  <c r="E143" i="12"/>
  <c r="D143" i="12"/>
  <c r="F142" i="12"/>
  <c r="E142" i="12"/>
  <c r="D142" i="12"/>
  <c r="F141" i="12"/>
  <c r="E141" i="12"/>
  <c r="D141" i="12"/>
  <c r="F140" i="12"/>
  <c r="E140" i="12"/>
  <c r="D140" i="12"/>
  <c r="F139" i="12"/>
  <c r="E139" i="12"/>
  <c r="D139" i="12"/>
  <c r="F138" i="12"/>
  <c r="E138" i="12"/>
  <c r="D138" i="12"/>
  <c r="F137" i="12"/>
  <c r="E137" i="12"/>
  <c r="D137" i="12"/>
  <c r="F136" i="12"/>
  <c r="E136" i="12"/>
  <c r="D136" i="12"/>
  <c r="F135" i="12"/>
  <c r="E135" i="12"/>
  <c r="D135" i="12"/>
  <c r="F134" i="12"/>
  <c r="E134" i="12"/>
  <c r="D134" i="12"/>
  <c r="F133" i="12"/>
  <c r="E133" i="12"/>
  <c r="D133" i="12"/>
  <c r="F132" i="12"/>
  <c r="E132" i="12"/>
  <c r="D132" i="12"/>
  <c r="F131" i="12"/>
  <c r="E131" i="12"/>
  <c r="D131" i="12"/>
  <c r="C131" i="12"/>
  <c r="C130" i="12"/>
  <c r="B123" i="12"/>
  <c r="F122" i="12"/>
  <c r="E122" i="12"/>
  <c r="D122" i="12"/>
  <c r="F121" i="12"/>
  <c r="E121" i="12"/>
  <c r="D121" i="12"/>
  <c r="F120" i="12"/>
  <c r="E120" i="12"/>
  <c r="D120" i="12"/>
  <c r="F119" i="12"/>
  <c r="E119" i="12"/>
  <c r="D119" i="12"/>
  <c r="F118" i="12"/>
  <c r="E118" i="12"/>
  <c r="D118" i="12"/>
  <c r="F117" i="12"/>
  <c r="E117" i="12"/>
  <c r="D117" i="12"/>
  <c r="F116" i="12"/>
  <c r="E116" i="12"/>
  <c r="D116" i="12"/>
  <c r="F115" i="12"/>
  <c r="E115" i="12"/>
  <c r="D115" i="12"/>
  <c r="F114" i="12"/>
  <c r="E114" i="12"/>
  <c r="D114" i="12"/>
  <c r="F113" i="12"/>
  <c r="E113" i="12"/>
  <c r="D113" i="12"/>
  <c r="F112" i="12"/>
  <c r="E112" i="12"/>
  <c r="D112" i="12"/>
  <c r="F111" i="12"/>
  <c r="E111" i="12"/>
  <c r="D111" i="12"/>
  <c r="F110" i="12"/>
  <c r="E110" i="12"/>
  <c r="D110" i="12"/>
  <c r="F109" i="12"/>
  <c r="E109" i="12"/>
  <c r="D109" i="12"/>
  <c r="F108" i="12"/>
  <c r="E108" i="12"/>
  <c r="D108" i="12"/>
  <c r="F107" i="12"/>
  <c r="E107" i="12"/>
  <c r="D107" i="12"/>
  <c r="F106" i="12"/>
  <c r="E106" i="12"/>
  <c r="D106" i="12"/>
  <c r="C106" i="12"/>
  <c r="C105" i="12"/>
  <c r="B98" i="12"/>
  <c r="F97" i="12"/>
  <c r="E97" i="12"/>
  <c r="D97" i="12"/>
  <c r="F96" i="12"/>
  <c r="E96" i="12"/>
  <c r="D96" i="12"/>
  <c r="F95" i="12"/>
  <c r="E95" i="12"/>
  <c r="D95" i="12"/>
  <c r="F94" i="12"/>
  <c r="E94" i="12"/>
  <c r="D94" i="12"/>
  <c r="F93" i="12"/>
  <c r="E93" i="12"/>
  <c r="D93" i="12"/>
  <c r="F92" i="12"/>
  <c r="E92" i="12"/>
  <c r="D92" i="12"/>
  <c r="F91" i="12"/>
  <c r="E91" i="12"/>
  <c r="D91" i="12"/>
  <c r="F90" i="12"/>
  <c r="E90" i="12"/>
  <c r="D90" i="12"/>
  <c r="F89" i="12"/>
  <c r="E89" i="12"/>
  <c r="D89" i="12"/>
  <c r="F88" i="12"/>
  <c r="E88" i="12"/>
  <c r="D88" i="12"/>
  <c r="F87" i="12"/>
  <c r="E87" i="12"/>
  <c r="D87" i="12"/>
  <c r="F86" i="12"/>
  <c r="E86" i="12"/>
  <c r="D86" i="12"/>
  <c r="F85" i="12"/>
  <c r="E85" i="12"/>
  <c r="D85" i="12"/>
  <c r="F84" i="12"/>
  <c r="E84" i="12"/>
  <c r="D84" i="12"/>
  <c r="F83" i="12"/>
  <c r="E83" i="12"/>
  <c r="D83" i="12"/>
  <c r="F82" i="12"/>
  <c r="E82" i="12"/>
  <c r="D82" i="12"/>
  <c r="F81" i="12"/>
  <c r="E81" i="12"/>
  <c r="D81" i="12"/>
  <c r="C81" i="12"/>
  <c r="C80" i="12"/>
  <c r="B73" i="12"/>
  <c r="F72" i="12"/>
  <c r="E72" i="12"/>
  <c r="D72" i="12"/>
  <c r="F71" i="12"/>
  <c r="E71" i="12"/>
  <c r="D71" i="12"/>
  <c r="F70" i="12"/>
  <c r="E70" i="12"/>
  <c r="D70" i="12"/>
  <c r="F69" i="12"/>
  <c r="E69" i="12"/>
  <c r="D69" i="12"/>
  <c r="F68" i="12"/>
  <c r="E68" i="12"/>
  <c r="D68" i="12"/>
  <c r="F67" i="12"/>
  <c r="E67" i="12"/>
  <c r="D67" i="12"/>
  <c r="F66" i="12"/>
  <c r="E66" i="12"/>
  <c r="D66" i="12"/>
  <c r="F65" i="12"/>
  <c r="E65" i="12"/>
  <c r="D65" i="12"/>
  <c r="F64" i="12"/>
  <c r="E64" i="12"/>
  <c r="D64" i="12"/>
  <c r="F63" i="12"/>
  <c r="E63" i="12"/>
  <c r="D63" i="12"/>
  <c r="F62" i="12"/>
  <c r="E62" i="12"/>
  <c r="D62" i="12"/>
  <c r="F61" i="12"/>
  <c r="E61" i="12"/>
  <c r="D61" i="12"/>
  <c r="F60" i="12"/>
  <c r="E60" i="12"/>
  <c r="D60" i="12"/>
  <c r="F59" i="12"/>
  <c r="E59" i="12"/>
  <c r="D59" i="12"/>
  <c r="F58" i="12"/>
  <c r="E58" i="12"/>
  <c r="D58" i="12"/>
  <c r="F57" i="12"/>
  <c r="E57" i="12"/>
  <c r="D57" i="12"/>
  <c r="F56" i="12"/>
  <c r="E56" i="12"/>
  <c r="D56" i="12"/>
  <c r="C56" i="12"/>
  <c r="C55" i="12"/>
  <c r="B48" i="12"/>
  <c r="F47" i="12"/>
  <c r="E47" i="12"/>
  <c r="D47" i="12"/>
  <c r="F46" i="12"/>
  <c r="E46" i="12"/>
  <c r="D46" i="12"/>
  <c r="F45" i="12"/>
  <c r="E45" i="12"/>
  <c r="D45" i="12"/>
  <c r="F44" i="12"/>
  <c r="E44" i="12"/>
  <c r="D44" i="12"/>
  <c r="F43" i="12"/>
  <c r="E43" i="12"/>
  <c r="D43" i="12"/>
  <c r="F42" i="12"/>
  <c r="E42" i="12"/>
  <c r="D42" i="12"/>
  <c r="F41" i="12"/>
  <c r="E41" i="12"/>
  <c r="D41" i="12"/>
  <c r="F40" i="12"/>
  <c r="E40" i="12"/>
  <c r="D40" i="12"/>
  <c r="F39" i="12"/>
  <c r="E39" i="12"/>
  <c r="D39" i="12"/>
  <c r="F38" i="12"/>
  <c r="E38" i="12"/>
  <c r="D38" i="12"/>
  <c r="F37" i="12"/>
  <c r="E37" i="12"/>
  <c r="D37" i="12"/>
  <c r="F36" i="12"/>
  <c r="E36" i="12"/>
  <c r="D36" i="12"/>
  <c r="F35" i="12"/>
  <c r="E35" i="12"/>
  <c r="D35" i="12"/>
  <c r="F34" i="12"/>
  <c r="E34" i="12"/>
  <c r="D34" i="12"/>
  <c r="F33" i="12"/>
  <c r="E33" i="12"/>
  <c r="D33" i="12"/>
  <c r="F32" i="12"/>
  <c r="E32" i="12"/>
  <c r="D32" i="12"/>
  <c r="F31" i="12"/>
  <c r="E31" i="12"/>
  <c r="D31" i="12"/>
  <c r="C31" i="12"/>
  <c r="C30" i="12"/>
  <c r="B23" i="12"/>
  <c r="F22" i="12"/>
  <c r="E22" i="12"/>
  <c r="D22" i="12"/>
  <c r="F21" i="12"/>
  <c r="E21" i="12"/>
  <c r="D21" i="12"/>
  <c r="F20" i="12"/>
  <c r="E20" i="12"/>
  <c r="D20" i="12"/>
  <c r="F19" i="12"/>
  <c r="E19" i="12"/>
  <c r="D19" i="12"/>
  <c r="F18" i="12"/>
  <c r="E18" i="12"/>
  <c r="D18" i="12"/>
  <c r="F17" i="12"/>
  <c r="E17" i="12"/>
  <c r="D17" i="12"/>
  <c r="F16" i="12"/>
  <c r="E16" i="12"/>
  <c r="D16" i="12"/>
  <c r="F15" i="12"/>
  <c r="E15" i="12"/>
  <c r="D15" i="12"/>
  <c r="F14" i="12"/>
  <c r="E14" i="12"/>
  <c r="D14" i="12"/>
  <c r="F13" i="12"/>
  <c r="E13" i="12"/>
  <c r="D13" i="12"/>
  <c r="F12" i="12"/>
  <c r="E12" i="12"/>
  <c r="D12" i="12"/>
  <c r="F11" i="12"/>
  <c r="E11" i="12"/>
  <c r="D11" i="12"/>
  <c r="F10" i="12"/>
  <c r="E10" i="12"/>
  <c r="D10" i="12"/>
  <c r="F9" i="12"/>
  <c r="E9" i="12"/>
  <c r="D9" i="12"/>
  <c r="F8" i="12"/>
  <c r="E8" i="12"/>
  <c r="D8" i="12"/>
  <c r="F7" i="12"/>
  <c r="E7" i="12"/>
  <c r="D7" i="12"/>
  <c r="F6" i="12"/>
  <c r="E6" i="12"/>
  <c r="D6" i="12"/>
  <c r="C6" i="12"/>
  <c r="C5" i="12"/>
  <c r="B224" i="12"/>
  <c r="B199" i="12"/>
  <c r="B174" i="12"/>
  <c r="B149" i="12"/>
  <c r="B124" i="12"/>
  <c r="B99" i="12"/>
  <c r="B74" i="12"/>
  <c r="B49" i="12"/>
  <c r="C1" i="12"/>
  <c r="E97" i="9"/>
  <c r="E98" i="9"/>
  <c r="E92" i="9"/>
  <c r="E91" i="9"/>
  <c r="E96" i="9"/>
  <c r="E113" i="9"/>
  <c r="E19" i="9"/>
  <c r="BE37" i="13"/>
  <c r="E18" i="9"/>
  <c r="BE32" i="13"/>
  <c r="BA29" i="13"/>
  <c r="BA24" i="13"/>
  <c r="AW22" i="13"/>
  <c r="AW17" i="13"/>
  <c r="AS16" i="13"/>
  <c r="AS11" i="13"/>
  <c r="AO11" i="13"/>
  <c r="AK7" i="13"/>
  <c r="AO6" i="13"/>
  <c r="AG4" i="13"/>
  <c r="AK2" i="13"/>
  <c r="AG2" i="13"/>
  <c r="C4" i="13"/>
  <c r="C2" i="13"/>
  <c r="G2" i="13"/>
  <c r="K6" i="13"/>
  <c r="AA37" i="13"/>
  <c r="AA32" i="13"/>
  <c r="W29" i="13"/>
  <c r="W24" i="13"/>
  <c r="S22" i="13"/>
  <c r="S17" i="13"/>
  <c r="O16" i="13"/>
  <c r="O11" i="13"/>
  <c r="K11" i="13"/>
  <c r="G7" i="13"/>
  <c r="E50" i="9"/>
  <c r="A1" i="13"/>
  <c r="E13" i="9"/>
  <c r="C11" i="6"/>
  <c r="D11" i="6"/>
  <c r="C12" i="6"/>
  <c r="D12" i="6"/>
  <c r="C13" i="6"/>
  <c r="D13" i="6"/>
  <c r="C14" i="6"/>
  <c r="D14" i="6"/>
  <c r="C15" i="6"/>
  <c r="D15" i="6"/>
  <c r="C16" i="6"/>
  <c r="D16" i="6"/>
  <c r="C17" i="6"/>
  <c r="D17" i="6"/>
  <c r="C18" i="6"/>
  <c r="D18" i="6"/>
  <c r="C19" i="6"/>
  <c r="D19" i="6"/>
  <c r="C20" i="6"/>
  <c r="D20" i="6"/>
  <c r="C21" i="6"/>
  <c r="D21" i="6"/>
  <c r="C22" i="6"/>
  <c r="D22" i="6"/>
  <c r="C23" i="6"/>
  <c r="D23" i="6"/>
  <c r="C24" i="6"/>
  <c r="D24" i="6"/>
  <c r="C25" i="6"/>
  <c r="D25" i="6"/>
  <c r="C26" i="6"/>
  <c r="D26" i="6"/>
  <c r="C27" i="6"/>
  <c r="D27" i="6"/>
  <c r="C28" i="6"/>
  <c r="D28" i="6"/>
  <c r="C29" i="6"/>
  <c r="D29" i="6"/>
  <c r="C30" i="6"/>
  <c r="D30" i="6"/>
  <c r="C31" i="6"/>
  <c r="D31" i="6"/>
  <c r="C32" i="6"/>
  <c r="D32" i="6"/>
  <c r="C33" i="6"/>
  <c r="D33" i="6"/>
  <c r="C34" i="6"/>
  <c r="D34" i="6"/>
  <c r="C35" i="6"/>
  <c r="D35" i="6"/>
  <c r="C36" i="6"/>
  <c r="D36" i="6"/>
  <c r="C37" i="6"/>
  <c r="D37" i="6"/>
  <c r="C38" i="6"/>
  <c r="D38" i="6"/>
  <c r="C39" i="6"/>
  <c r="D39" i="6"/>
  <c r="C40" i="6"/>
  <c r="D40" i="6"/>
  <c r="C41" i="6"/>
  <c r="D41" i="6"/>
  <c r="C42" i="6"/>
  <c r="D42" i="6"/>
  <c r="C43" i="6"/>
  <c r="D43" i="6"/>
  <c r="C44" i="6"/>
  <c r="D44" i="6"/>
  <c r="C45" i="6"/>
  <c r="D45" i="6"/>
  <c r="C46" i="6"/>
  <c r="D46" i="6"/>
  <c r="C47" i="6"/>
  <c r="D47" i="6"/>
  <c r="C48" i="6"/>
  <c r="D48" i="6"/>
  <c r="C49" i="6"/>
  <c r="D49" i="6"/>
  <c r="C50" i="6"/>
  <c r="D50" i="6"/>
  <c r="C51" i="6"/>
  <c r="D51" i="6"/>
  <c r="C52" i="6"/>
  <c r="D52" i="6"/>
  <c r="C53" i="6"/>
  <c r="D53" i="6"/>
  <c r="C54" i="6"/>
  <c r="D54" i="6"/>
  <c r="C55" i="6"/>
  <c r="D55" i="6"/>
  <c r="C56" i="6"/>
  <c r="D56" i="6"/>
  <c r="C57" i="6"/>
  <c r="D57" i="6"/>
  <c r="C58" i="6"/>
  <c r="D58" i="6"/>
  <c r="C59" i="6"/>
  <c r="D59" i="6"/>
  <c r="C60" i="6"/>
  <c r="D60" i="6"/>
  <c r="C61" i="6"/>
  <c r="D61" i="6"/>
  <c r="C62" i="6"/>
  <c r="D62" i="6"/>
  <c r="C63" i="6"/>
  <c r="D63" i="6"/>
  <c r="C64" i="6"/>
  <c r="D64" i="6"/>
  <c r="C65" i="6"/>
  <c r="D65" i="6"/>
  <c r="C66" i="6"/>
  <c r="D66" i="6"/>
  <c r="C67" i="6"/>
  <c r="D67" i="6"/>
  <c r="C68" i="6"/>
  <c r="D68" i="6"/>
  <c r="C69" i="6"/>
  <c r="D69" i="6"/>
  <c r="C70" i="6"/>
  <c r="D70" i="6"/>
  <c r="C71" i="6"/>
  <c r="D71" i="6"/>
  <c r="C72" i="6"/>
  <c r="D72" i="6"/>
  <c r="C73" i="6"/>
  <c r="D73" i="6"/>
  <c r="C74" i="6"/>
  <c r="D74" i="6"/>
  <c r="C75" i="6"/>
  <c r="D75" i="6"/>
  <c r="C76" i="6"/>
  <c r="D76" i="6"/>
  <c r="C77" i="6"/>
  <c r="D77" i="6"/>
  <c r="C78" i="6"/>
  <c r="D78" i="6"/>
  <c r="C79" i="6"/>
  <c r="D79" i="6"/>
  <c r="C80" i="6"/>
  <c r="D80" i="6"/>
  <c r="C81" i="6"/>
  <c r="D81" i="6"/>
  <c r="D10" i="6"/>
  <c r="D9" i="6"/>
  <c r="C9" i="6"/>
  <c r="AC65" i="3"/>
  <c r="AC66" i="3"/>
  <c r="AC67" i="3"/>
  <c r="AC68" i="3"/>
  <c r="AC69" i="3"/>
  <c r="AC70" i="3"/>
  <c r="AC71" i="3"/>
  <c r="AC72" i="3"/>
  <c r="AC73" i="3"/>
  <c r="AC74" i="3"/>
  <c r="AC75" i="3"/>
  <c r="AC76" i="3"/>
  <c r="AC77" i="3"/>
  <c r="AC78" i="3"/>
  <c r="AC79" i="3"/>
  <c r="AC80" i="3"/>
  <c r="AC81" i="3"/>
  <c r="AC82" i="3"/>
  <c r="AC83" i="3"/>
  <c r="AC84" i="3"/>
  <c r="AC85" i="3"/>
  <c r="AC86" i="3"/>
  <c r="AC87" i="3"/>
  <c r="AC88" i="3"/>
  <c r="AC89" i="3"/>
  <c r="AC90" i="3"/>
  <c r="AC91" i="3"/>
  <c r="AC92" i="3"/>
  <c r="AC93" i="3"/>
  <c r="AC94" i="3"/>
  <c r="AC95" i="3"/>
  <c r="AC96" i="3"/>
  <c r="AC97" i="3"/>
  <c r="AC98" i="3"/>
  <c r="AC99" i="3"/>
  <c r="AC100" i="3"/>
  <c r="AC101" i="3"/>
  <c r="AC102" i="3"/>
  <c r="AC103" i="3"/>
  <c r="AC104" i="3"/>
  <c r="AC105" i="3"/>
  <c r="AC106" i="3"/>
  <c r="AC107" i="3"/>
  <c r="AC108" i="3"/>
  <c r="AC109" i="3"/>
  <c r="AC110" i="3"/>
  <c r="AC111" i="3"/>
  <c r="AC112" i="3"/>
  <c r="AC113" i="3"/>
  <c r="AC114" i="3"/>
  <c r="AC115" i="3"/>
  <c r="AC116" i="3"/>
  <c r="AC117" i="3"/>
  <c r="AC118" i="3"/>
  <c r="AC119" i="3"/>
  <c r="AC120" i="3"/>
  <c r="AC121" i="3"/>
  <c r="AC122" i="3"/>
  <c r="AC123" i="3"/>
  <c r="AC124" i="3"/>
  <c r="AC125" i="3"/>
  <c r="AC126" i="3"/>
  <c r="AC127" i="3"/>
  <c r="AC128" i="3"/>
  <c r="AC129" i="3"/>
  <c r="AC130" i="3"/>
  <c r="AC131" i="3"/>
  <c r="AC132" i="3"/>
  <c r="AC133" i="3"/>
  <c r="AC134" i="3"/>
  <c r="AC135" i="3"/>
  <c r="AC136" i="3"/>
  <c r="AC137" i="3"/>
  <c r="AC138" i="3"/>
  <c r="AC139" i="3"/>
  <c r="AC140" i="3"/>
  <c r="AC141" i="3"/>
  <c r="AC142" i="3"/>
  <c r="AC143" i="3"/>
  <c r="AC144" i="3"/>
  <c r="AC145" i="3"/>
  <c r="AC146" i="3"/>
  <c r="AC147" i="3"/>
  <c r="AC148" i="3"/>
  <c r="AC149" i="3"/>
  <c r="AC150" i="3"/>
  <c r="AC151" i="3"/>
  <c r="AC152" i="3"/>
  <c r="AC153" i="3"/>
  <c r="AC154" i="3"/>
  <c r="AC155" i="3"/>
  <c r="AC156" i="3"/>
  <c r="AC157" i="3"/>
  <c r="AC158" i="3"/>
  <c r="AC159" i="3"/>
  <c r="AC160" i="3"/>
  <c r="AC161" i="3"/>
  <c r="AC162" i="3"/>
  <c r="AC163" i="3"/>
  <c r="AC164" i="3"/>
  <c r="AC165" i="3"/>
  <c r="AC166" i="3"/>
  <c r="AC167" i="3"/>
  <c r="AC168" i="3"/>
  <c r="AC169" i="3"/>
  <c r="AC170" i="3"/>
  <c r="AC171" i="3"/>
  <c r="AC172" i="3"/>
  <c r="AC173" i="3"/>
  <c r="AC174" i="3"/>
  <c r="AC175" i="3"/>
  <c r="AC176" i="3"/>
  <c r="AC177" i="3"/>
  <c r="AC178" i="3"/>
  <c r="AC179" i="3"/>
  <c r="AC180" i="3"/>
  <c r="AC181" i="3"/>
  <c r="AC182" i="3"/>
  <c r="AC183" i="3"/>
  <c r="AC184" i="3"/>
  <c r="AC185" i="3"/>
  <c r="AC186" i="3"/>
  <c r="AC187" i="3"/>
  <c r="AC188" i="3"/>
  <c r="AC189" i="3"/>
  <c r="AC190" i="3"/>
  <c r="AC191" i="3"/>
  <c r="AC192" i="3"/>
  <c r="AC193" i="3"/>
  <c r="AC194" i="3"/>
  <c r="AC195" i="3"/>
  <c r="AC196" i="3"/>
  <c r="AC197" i="3"/>
  <c r="AC198" i="3"/>
  <c r="AC199" i="3"/>
  <c r="AC200" i="3"/>
  <c r="AC201" i="3"/>
  <c r="AC202" i="3"/>
  <c r="AC203" i="3"/>
  <c r="AC204" i="3"/>
  <c r="AC205" i="3"/>
  <c r="AC206" i="3"/>
  <c r="AC207" i="3"/>
  <c r="AT7" i="6"/>
  <c r="AT54" i="6"/>
  <c r="AT30" i="6"/>
  <c r="AK7" i="6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137" i="3"/>
  <c r="Z138" i="3"/>
  <c r="Z139" i="3"/>
  <c r="Z140" i="3"/>
  <c r="Z141" i="3"/>
  <c r="Z142" i="3"/>
  <c r="Z143" i="3"/>
  <c r="Z144" i="3"/>
  <c r="Z145" i="3"/>
  <c r="Z136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65" i="3"/>
  <c r="Z66" i="3"/>
  <c r="Z67" i="3"/>
  <c r="Z68" i="3"/>
  <c r="Z69" i="3"/>
  <c r="Z70" i="3"/>
  <c r="Z71" i="3"/>
  <c r="Z72" i="3"/>
  <c r="E29" i="9"/>
  <c r="AK19" i="6"/>
  <c r="AT67" i="6"/>
  <c r="AT43" i="6"/>
  <c r="AT19" i="6"/>
  <c r="E28" i="9"/>
  <c r="E86" i="9"/>
  <c r="L1" i="9"/>
  <c r="E85" i="9"/>
  <c r="E8" i="9"/>
  <c r="E38" i="9"/>
  <c r="E11" i="9"/>
  <c r="E12" i="9"/>
  <c r="E15" i="9"/>
  <c r="E16" i="9"/>
  <c r="E17" i="9"/>
  <c r="E35" i="9"/>
  <c r="E36" i="9"/>
  <c r="E37" i="9"/>
  <c r="F81" i="9"/>
  <c r="E84" i="9"/>
  <c r="C5" i="9"/>
  <c r="F1" i="9"/>
  <c r="F5" i="9"/>
  <c r="AG11" i="6"/>
  <c r="AG12" i="6"/>
  <c r="AG13" i="6"/>
  <c r="AG14" i="6"/>
  <c r="AG15" i="6"/>
  <c r="AG16" i="6"/>
  <c r="AG17" i="6"/>
  <c r="AG18" i="6"/>
  <c r="AG10" i="6"/>
  <c r="I10" i="6"/>
  <c r="AK67" i="6"/>
  <c r="AK43" i="6"/>
  <c r="AK54" i="6"/>
  <c r="AK30" i="6"/>
  <c r="E9" i="6"/>
  <c r="B9" i="6"/>
  <c r="V55" i="6"/>
  <c r="V31" i="6"/>
  <c r="V7" i="6"/>
  <c r="B7" i="6"/>
  <c r="K1" i="9"/>
  <c r="AG42" i="6"/>
  <c r="AG66" i="6"/>
  <c r="AG41" i="6"/>
  <c r="AG65" i="6"/>
  <c r="AG40" i="6"/>
  <c r="AG64" i="6"/>
  <c r="AG39" i="6"/>
  <c r="AG63" i="6"/>
  <c r="AG38" i="6"/>
  <c r="AG62" i="6"/>
  <c r="AG37" i="6"/>
  <c r="AG61" i="6"/>
  <c r="AG36" i="6"/>
  <c r="AG60" i="6"/>
  <c r="AG35" i="6"/>
  <c r="AG59" i="6"/>
  <c r="AG34" i="6"/>
  <c r="AG58" i="6"/>
  <c r="D3" i="17" a="1"/>
  <c r="D3" i="17"/>
  <c r="D4" i="17"/>
  <c r="D5" i="17"/>
  <c r="D6" i="17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44" i="17"/>
  <c r="D45" i="17"/>
  <c r="D46" i="17"/>
  <c r="D47" i="17"/>
  <c r="D48" i="17"/>
  <c r="D49" i="17"/>
  <c r="D50" i="17"/>
  <c r="D51" i="17"/>
  <c r="D52" i="17"/>
  <c r="D53" i="17"/>
  <c r="D54" i="17"/>
  <c r="D55" i="17"/>
  <c r="D56" i="17"/>
  <c r="D57" i="17"/>
  <c r="D58" i="17"/>
  <c r="D59" i="17"/>
  <c r="D60" i="17"/>
  <c r="D61" i="17"/>
  <c r="D62" i="17"/>
  <c r="D63" i="17"/>
  <c r="D64" i="17"/>
  <c r="D65" i="17"/>
  <c r="D66" i="17"/>
  <c r="D67" i="17"/>
  <c r="D68" i="17"/>
  <c r="D69" i="17"/>
  <c r="D70" i="17"/>
  <c r="D71" i="17"/>
  <c r="D72" i="17"/>
  <c r="D73" i="17"/>
  <c r="D74" i="17"/>
  <c r="E7" i="17"/>
  <c r="E5" i="17" a="1"/>
  <c r="E5" i="17"/>
  <c r="E9" i="17" a="1"/>
  <c r="E9" i="17"/>
  <c r="E6" i="17"/>
  <c r="F2" i="17" a="1"/>
  <c r="F2" i="17"/>
  <c r="G2" i="17"/>
  <c r="T20" i="23"/>
  <c r="T19" i="23"/>
  <c r="E8" i="17" a="1"/>
  <c r="E8" i="17"/>
  <c r="F9" i="17"/>
  <c r="E4" i="17"/>
  <c r="V18" i="23"/>
  <c r="F8" i="17"/>
  <c r="E3" i="17"/>
  <c r="U18" i="23"/>
  <c r="M12" i="3"/>
  <c r="M4" i="3"/>
  <c r="M5" i="3"/>
  <c r="J18" i="3"/>
  <c r="M6" i="3"/>
  <c r="M7" i="3"/>
  <c r="M8" i="3"/>
  <c r="M9" i="3"/>
  <c r="M10" i="3"/>
  <c r="J23" i="3"/>
  <c r="M11" i="3"/>
  <c r="AE64" i="3"/>
  <c r="AE136" i="3"/>
  <c r="F17" i="3"/>
  <c r="F18" i="3"/>
  <c r="H18" i="3"/>
  <c r="I18" i="3"/>
  <c r="F19" i="3"/>
  <c r="F20" i="3"/>
  <c r="F21" i="3"/>
  <c r="F22" i="3"/>
  <c r="F23" i="3"/>
  <c r="H23" i="3"/>
  <c r="I23" i="3"/>
  <c r="F24" i="3"/>
  <c r="F25" i="3"/>
  <c r="CH42" i="3"/>
  <c r="CC47" i="3"/>
  <c r="CH53" i="3"/>
  <c r="CC58" i="3"/>
  <c r="AT4" i="3"/>
  <c r="AT12" i="3"/>
  <c r="AT11" i="3"/>
  <c r="AT10" i="3"/>
  <c r="AT9" i="3"/>
  <c r="AT8" i="3"/>
  <c r="AT7" i="3"/>
  <c r="AT6" i="3"/>
  <c r="AT5" i="3"/>
  <c r="K5" i="3"/>
  <c r="K6" i="3"/>
  <c r="K7" i="3"/>
  <c r="K8" i="3"/>
  <c r="K9" i="3"/>
  <c r="K10" i="3"/>
  <c r="K11" i="3"/>
  <c r="K12" i="3"/>
  <c r="D25" i="3"/>
  <c r="D24" i="3"/>
  <c r="D23" i="3"/>
  <c r="D22" i="3"/>
  <c r="D21" i="3"/>
  <c r="D20" i="3"/>
  <c r="D19" i="3"/>
  <c r="D18" i="3"/>
  <c r="L4" i="3"/>
  <c r="J4" i="3"/>
  <c r="K17" i="3"/>
  <c r="E17" i="3"/>
  <c r="L5" i="3"/>
  <c r="J5" i="3"/>
  <c r="K18" i="3"/>
  <c r="L6" i="3"/>
  <c r="J6" i="3"/>
  <c r="K19" i="3"/>
  <c r="L7" i="3"/>
  <c r="J7" i="3"/>
  <c r="K20" i="3"/>
  <c r="L8" i="3"/>
  <c r="J8" i="3"/>
  <c r="K21" i="3"/>
  <c r="L9" i="3"/>
  <c r="J9" i="3"/>
  <c r="K22" i="3"/>
  <c r="L10" i="3"/>
  <c r="J10" i="3"/>
  <c r="K23" i="3"/>
  <c r="L11" i="3"/>
  <c r="J11" i="3"/>
  <c r="K24" i="3"/>
  <c r="L12" i="3"/>
  <c r="J12" i="3"/>
  <c r="K25" i="3"/>
  <c r="N5" i="3"/>
  <c r="N6" i="3"/>
  <c r="N7" i="3"/>
  <c r="N8" i="3"/>
  <c r="N9" i="3"/>
  <c r="N10" i="3"/>
  <c r="N11" i="3"/>
  <c r="N12" i="3"/>
  <c r="E25" i="3"/>
  <c r="E24" i="3"/>
  <c r="E23" i="3"/>
  <c r="E22" i="3"/>
  <c r="E21" i="3"/>
  <c r="E20" i="3"/>
  <c r="E19" i="3"/>
  <c r="E18" i="3"/>
  <c r="G25" i="3"/>
  <c r="G24" i="3"/>
  <c r="G23" i="3"/>
  <c r="G22" i="3"/>
  <c r="G21" i="3"/>
  <c r="G20" i="3"/>
  <c r="G19" i="3"/>
  <c r="G18" i="3"/>
  <c r="AS4" i="3"/>
  <c r="AU4" i="3"/>
  <c r="L17" i="3"/>
  <c r="AS5" i="3"/>
  <c r="AU5" i="3"/>
  <c r="L18" i="3"/>
  <c r="AS6" i="3"/>
  <c r="AU6" i="3"/>
  <c r="L19" i="3"/>
  <c r="AS7" i="3"/>
  <c r="AU7" i="3"/>
  <c r="L20" i="3"/>
  <c r="AS8" i="3"/>
  <c r="AU8" i="3"/>
  <c r="L21" i="3"/>
  <c r="AS9" i="3"/>
  <c r="AU9" i="3"/>
  <c r="L22" i="3"/>
  <c r="AS10" i="3"/>
  <c r="AU10" i="3"/>
  <c r="L23" i="3"/>
  <c r="AS11" i="3"/>
  <c r="AU11" i="3"/>
  <c r="L24" i="3"/>
  <c r="AS12" i="3"/>
  <c r="AU12" i="3"/>
  <c r="L25" i="3"/>
  <c r="M18" i="3"/>
  <c r="N18" i="3" a="1"/>
  <c r="N18" i="3"/>
  <c r="O18" i="3"/>
  <c r="M17" i="3"/>
  <c r="N17" i="3" a="1"/>
  <c r="N17" i="3"/>
  <c r="O17" i="3"/>
  <c r="E53" i="3"/>
  <c r="M19" i="3"/>
  <c r="N19" i="3" a="1"/>
  <c r="N19" i="3"/>
  <c r="O19" i="3"/>
  <c r="G53" i="3"/>
  <c r="M20" i="3"/>
  <c r="N20" i="3" a="1"/>
  <c r="N20" i="3"/>
  <c r="O20" i="3"/>
  <c r="H53" i="3"/>
  <c r="M21" i="3"/>
  <c r="N21" i="3" a="1"/>
  <c r="N21" i="3"/>
  <c r="O21" i="3"/>
  <c r="I53" i="3"/>
  <c r="M22" i="3"/>
  <c r="N22" i="3" a="1"/>
  <c r="N22" i="3"/>
  <c r="O22" i="3"/>
  <c r="J53" i="3"/>
  <c r="M23" i="3"/>
  <c r="N23" i="3" a="1"/>
  <c r="N23" i="3"/>
  <c r="O23" i="3"/>
  <c r="K53" i="3"/>
  <c r="M24" i="3"/>
  <c r="N24" i="3" a="1"/>
  <c r="N24" i="3"/>
  <c r="O24" i="3"/>
  <c r="L53" i="3"/>
  <c r="M25" i="3"/>
  <c r="N25" i="3" a="1"/>
  <c r="N25" i="3"/>
  <c r="O25" i="3"/>
  <c r="M53" i="3"/>
  <c r="P18" i="3"/>
  <c r="P17" i="3"/>
  <c r="N53" i="3"/>
  <c r="P19" i="3"/>
  <c r="P53" i="3"/>
  <c r="P20" i="3"/>
  <c r="Q53" i="3"/>
  <c r="P21" i="3"/>
  <c r="R53" i="3"/>
  <c r="P22" i="3"/>
  <c r="S53" i="3"/>
  <c r="P23" i="3"/>
  <c r="T53" i="3"/>
  <c r="P24" i="3"/>
  <c r="U53" i="3"/>
  <c r="P25" i="3"/>
  <c r="V53" i="3"/>
  <c r="Q18" i="3"/>
  <c r="Q17" i="3"/>
  <c r="W53" i="3"/>
  <c r="Q19" i="3"/>
  <c r="Y53" i="3"/>
  <c r="Q20" i="3"/>
  <c r="Z53" i="3"/>
  <c r="Q21" i="3"/>
  <c r="AA53" i="3"/>
  <c r="Q22" i="3"/>
  <c r="AB53" i="3"/>
  <c r="Q23" i="3"/>
  <c r="AC53" i="3"/>
  <c r="Q24" i="3"/>
  <c r="AD53" i="3"/>
  <c r="Q25" i="3"/>
  <c r="AE53" i="3"/>
  <c r="R18" i="3"/>
  <c r="R17" i="3"/>
  <c r="AF53" i="3"/>
  <c r="R19" i="3"/>
  <c r="AH53" i="3"/>
  <c r="R20" i="3"/>
  <c r="AI53" i="3"/>
  <c r="R21" i="3"/>
  <c r="AJ53" i="3"/>
  <c r="R22" i="3"/>
  <c r="AK53" i="3"/>
  <c r="R23" i="3"/>
  <c r="AL53" i="3"/>
  <c r="R24" i="3"/>
  <c r="AM53" i="3"/>
  <c r="R25" i="3"/>
  <c r="AN53" i="3"/>
  <c r="S18" i="3"/>
  <c r="S17" i="3"/>
  <c r="AO53" i="3"/>
  <c r="S19" i="3"/>
  <c r="AQ53" i="3"/>
  <c r="S20" i="3"/>
  <c r="AR53" i="3"/>
  <c r="S21" i="3"/>
  <c r="AS53" i="3"/>
  <c r="S22" i="3"/>
  <c r="AT53" i="3"/>
  <c r="S23" i="3"/>
  <c r="AU53" i="3"/>
  <c r="S24" i="3"/>
  <c r="AV53" i="3"/>
  <c r="S25" i="3"/>
  <c r="AW53" i="3"/>
  <c r="T18" i="3"/>
  <c r="T17" i="3"/>
  <c r="AX53" i="3"/>
  <c r="T19" i="3"/>
  <c r="AZ53" i="3"/>
  <c r="T20" i="3"/>
  <c r="BA53" i="3"/>
  <c r="T21" i="3"/>
  <c r="BB53" i="3"/>
  <c r="T22" i="3"/>
  <c r="BC53" i="3"/>
  <c r="T23" i="3"/>
  <c r="BD53" i="3"/>
  <c r="T24" i="3"/>
  <c r="BE53" i="3"/>
  <c r="T25" i="3"/>
  <c r="BF53" i="3"/>
  <c r="U18" i="3"/>
  <c r="U17" i="3"/>
  <c r="BG53" i="3"/>
  <c r="U19" i="3"/>
  <c r="BI53" i="3"/>
  <c r="U20" i="3"/>
  <c r="BJ53" i="3"/>
  <c r="U21" i="3"/>
  <c r="BK53" i="3"/>
  <c r="U22" i="3"/>
  <c r="BL53" i="3"/>
  <c r="U23" i="3"/>
  <c r="BM53" i="3"/>
  <c r="U24" i="3"/>
  <c r="BN53" i="3"/>
  <c r="U25" i="3"/>
  <c r="BO53" i="3"/>
  <c r="V18" i="3"/>
  <c r="V17" i="3"/>
  <c r="BP53" i="3"/>
  <c r="AC18" i="3"/>
  <c r="E55" i="3"/>
  <c r="F55" i="3"/>
  <c r="G55" i="3"/>
  <c r="I55" i="3"/>
  <c r="J55" i="3"/>
  <c r="K55" i="3"/>
  <c r="L55" i="3"/>
  <c r="M55" i="3"/>
  <c r="N55" i="3"/>
  <c r="O55" i="3"/>
  <c r="P55" i="3"/>
  <c r="R55" i="3"/>
  <c r="S55" i="3"/>
  <c r="T55" i="3"/>
  <c r="U55" i="3"/>
  <c r="V55" i="3"/>
  <c r="W55" i="3"/>
  <c r="X55" i="3"/>
  <c r="Y55" i="3"/>
  <c r="AA55" i="3"/>
  <c r="AB55" i="3"/>
  <c r="AC55" i="3"/>
  <c r="AD55" i="3"/>
  <c r="AE55" i="3"/>
  <c r="AF55" i="3"/>
  <c r="AG55" i="3"/>
  <c r="AH55" i="3"/>
  <c r="AJ55" i="3"/>
  <c r="AK55" i="3"/>
  <c r="AL55" i="3"/>
  <c r="AM55" i="3"/>
  <c r="AN55" i="3"/>
  <c r="AO55" i="3"/>
  <c r="AP55" i="3"/>
  <c r="AQ55" i="3"/>
  <c r="AS55" i="3"/>
  <c r="AT55" i="3"/>
  <c r="AU55" i="3"/>
  <c r="AV55" i="3"/>
  <c r="AW55" i="3"/>
  <c r="AX55" i="3"/>
  <c r="AY55" i="3"/>
  <c r="AZ55" i="3"/>
  <c r="BB55" i="3"/>
  <c r="BC55" i="3"/>
  <c r="BD55" i="3"/>
  <c r="BE55" i="3"/>
  <c r="BF55" i="3"/>
  <c r="BG55" i="3"/>
  <c r="BH55" i="3"/>
  <c r="BI55" i="3"/>
  <c r="BK55" i="3"/>
  <c r="BL55" i="3"/>
  <c r="BM55" i="3"/>
  <c r="BN55" i="3"/>
  <c r="BO55" i="3"/>
  <c r="V20" i="3"/>
  <c r="BP55" i="3"/>
  <c r="AC20" i="3"/>
  <c r="E57" i="3"/>
  <c r="F57" i="3"/>
  <c r="G57" i="3"/>
  <c r="H57" i="3"/>
  <c r="I57" i="3"/>
  <c r="K57" i="3"/>
  <c r="L57" i="3"/>
  <c r="M57" i="3"/>
  <c r="N57" i="3"/>
  <c r="O57" i="3"/>
  <c r="P57" i="3"/>
  <c r="Q57" i="3"/>
  <c r="R57" i="3"/>
  <c r="T57" i="3"/>
  <c r="U57" i="3"/>
  <c r="V57" i="3"/>
  <c r="W57" i="3"/>
  <c r="X57" i="3"/>
  <c r="Y57" i="3"/>
  <c r="Z57" i="3"/>
  <c r="AA57" i="3"/>
  <c r="AC57" i="3"/>
  <c r="AD57" i="3"/>
  <c r="AE57" i="3"/>
  <c r="AF57" i="3"/>
  <c r="AG57" i="3"/>
  <c r="AH57" i="3"/>
  <c r="AI57" i="3"/>
  <c r="AJ57" i="3"/>
  <c r="AL57" i="3"/>
  <c r="AM57" i="3"/>
  <c r="AN57" i="3"/>
  <c r="AO57" i="3"/>
  <c r="AP57" i="3"/>
  <c r="AQ57" i="3"/>
  <c r="AR57" i="3"/>
  <c r="AS57" i="3"/>
  <c r="AU57" i="3"/>
  <c r="AV57" i="3"/>
  <c r="AW57" i="3"/>
  <c r="AX57" i="3"/>
  <c r="AY57" i="3"/>
  <c r="AZ57" i="3"/>
  <c r="BA57" i="3"/>
  <c r="BB57" i="3"/>
  <c r="BD57" i="3"/>
  <c r="BE57" i="3"/>
  <c r="BF57" i="3"/>
  <c r="BG57" i="3"/>
  <c r="BH57" i="3"/>
  <c r="BI57" i="3"/>
  <c r="BJ57" i="3"/>
  <c r="BK57" i="3"/>
  <c r="BM57" i="3"/>
  <c r="BN57" i="3"/>
  <c r="BO57" i="3"/>
  <c r="V22" i="3"/>
  <c r="BP57" i="3"/>
  <c r="AC22" i="3"/>
  <c r="E58" i="3"/>
  <c r="F58" i="3"/>
  <c r="G58" i="3"/>
  <c r="H58" i="3"/>
  <c r="I58" i="3"/>
  <c r="J58" i="3"/>
  <c r="L58" i="3"/>
  <c r="M58" i="3"/>
  <c r="N58" i="3"/>
  <c r="O58" i="3"/>
  <c r="P58" i="3"/>
  <c r="Q58" i="3"/>
  <c r="R58" i="3"/>
  <c r="S58" i="3"/>
  <c r="U58" i="3"/>
  <c r="V58" i="3"/>
  <c r="W58" i="3"/>
  <c r="X58" i="3"/>
  <c r="Y58" i="3"/>
  <c r="Z58" i="3"/>
  <c r="AA58" i="3"/>
  <c r="AB58" i="3"/>
  <c r="AD58" i="3"/>
  <c r="AE58" i="3"/>
  <c r="AF58" i="3"/>
  <c r="AG58" i="3"/>
  <c r="AH58" i="3"/>
  <c r="AI58" i="3"/>
  <c r="AJ58" i="3"/>
  <c r="AK58" i="3"/>
  <c r="AM58" i="3"/>
  <c r="AN58" i="3"/>
  <c r="AO58" i="3"/>
  <c r="AP58" i="3"/>
  <c r="AQ58" i="3"/>
  <c r="AR58" i="3"/>
  <c r="AS58" i="3"/>
  <c r="AT58" i="3"/>
  <c r="AV58" i="3"/>
  <c r="AW58" i="3"/>
  <c r="AX58" i="3"/>
  <c r="AY58" i="3"/>
  <c r="AZ58" i="3"/>
  <c r="BA58" i="3"/>
  <c r="BB58" i="3"/>
  <c r="BC58" i="3"/>
  <c r="BE58" i="3"/>
  <c r="BF58" i="3"/>
  <c r="BG58" i="3"/>
  <c r="BH58" i="3"/>
  <c r="BI58" i="3"/>
  <c r="BJ58" i="3"/>
  <c r="BK58" i="3"/>
  <c r="BL58" i="3"/>
  <c r="BN58" i="3"/>
  <c r="BO58" i="3"/>
  <c r="V23" i="3"/>
  <c r="BP58" i="3"/>
  <c r="AC23" i="3"/>
  <c r="E59" i="3"/>
  <c r="F59" i="3"/>
  <c r="G59" i="3"/>
  <c r="H59" i="3"/>
  <c r="I59" i="3"/>
  <c r="J59" i="3"/>
  <c r="K59" i="3"/>
  <c r="M59" i="3"/>
  <c r="N59" i="3"/>
  <c r="O59" i="3"/>
  <c r="P59" i="3"/>
  <c r="Q59" i="3"/>
  <c r="R59" i="3"/>
  <c r="S59" i="3"/>
  <c r="T59" i="3"/>
  <c r="V59" i="3"/>
  <c r="W59" i="3"/>
  <c r="X59" i="3"/>
  <c r="Y59" i="3"/>
  <c r="Z59" i="3"/>
  <c r="AA59" i="3"/>
  <c r="AB59" i="3"/>
  <c r="AC59" i="3"/>
  <c r="AE59" i="3"/>
  <c r="AF59" i="3"/>
  <c r="AG59" i="3"/>
  <c r="AH59" i="3"/>
  <c r="AI59" i="3"/>
  <c r="AJ59" i="3"/>
  <c r="AK59" i="3"/>
  <c r="AL59" i="3"/>
  <c r="AN59" i="3"/>
  <c r="AO59" i="3"/>
  <c r="AP59" i="3"/>
  <c r="AQ59" i="3"/>
  <c r="AR59" i="3"/>
  <c r="AS59" i="3"/>
  <c r="AT59" i="3"/>
  <c r="AU59" i="3"/>
  <c r="AW59" i="3"/>
  <c r="AX59" i="3"/>
  <c r="AY59" i="3"/>
  <c r="AZ59" i="3"/>
  <c r="BA59" i="3"/>
  <c r="BB59" i="3"/>
  <c r="BC59" i="3"/>
  <c r="BD59" i="3"/>
  <c r="BF59" i="3"/>
  <c r="BG59" i="3"/>
  <c r="BH59" i="3"/>
  <c r="BI59" i="3"/>
  <c r="BJ59" i="3"/>
  <c r="BK59" i="3"/>
  <c r="BL59" i="3"/>
  <c r="BM59" i="3"/>
  <c r="BO59" i="3"/>
  <c r="V24" i="3"/>
  <c r="BP59" i="3"/>
  <c r="AC24" i="3"/>
  <c r="E60" i="3"/>
  <c r="F60" i="3"/>
  <c r="G60" i="3"/>
  <c r="H60" i="3"/>
  <c r="I60" i="3"/>
  <c r="J60" i="3"/>
  <c r="K60" i="3"/>
  <c r="L60" i="3"/>
  <c r="N60" i="3"/>
  <c r="O60" i="3"/>
  <c r="P60" i="3"/>
  <c r="Q60" i="3"/>
  <c r="R60" i="3"/>
  <c r="S60" i="3"/>
  <c r="T60" i="3"/>
  <c r="U60" i="3"/>
  <c r="W60" i="3"/>
  <c r="X60" i="3"/>
  <c r="Y60" i="3"/>
  <c r="Z60" i="3"/>
  <c r="AA60" i="3"/>
  <c r="AB60" i="3"/>
  <c r="AC60" i="3"/>
  <c r="AD60" i="3"/>
  <c r="AF60" i="3"/>
  <c r="AG60" i="3"/>
  <c r="AH60" i="3"/>
  <c r="AI60" i="3"/>
  <c r="AJ60" i="3"/>
  <c r="AK60" i="3"/>
  <c r="AL60" i="3"/>
  <c r="AM60" i="3"/>
  <c r="AO60" i="3"/>
  <c r="AP60" i="3"/>
  <c r="AQ60" i="3"/>
  <c r="AR60" i="3"/>
  <c r="AS60" i="3"/>
  <c r="AT60" i="3"/>
  <c r="AU60" i="3"/>
  <c r="AV60" i="3"/>
  <c r="AX60" i="3"/>
  <c r="AY60" i="3"/>
  <c r="AZ60" i="3"/>
  <c r="BA60" i="3"/>
  <c r="BB60" i="3"/>
  <c r="BC60" i="3"/>
  <c r="BD60" i="3"/>
  <c r="BE60" i="3"/>
  <c r="BG60" i="3"/>
  <c r="BH60" i="3"/>
  <c r="BI60" i="3"/>
  <c r="BJ60" i="3"/>
  <c r="BK60" i="3"/>
  <c r="BL60" i="3"/>
  <c r="BM60" i="3"/>
  <c r="BN60" i="3"/>
  <c r="V25" i="3"/>
  <c r="BP60" i="3"/>
  <c r="AC25" i="3"/>
  <c r="BW49" i="3"/>
  <c r="BV49" i="3"/>
  <c r="BU49" i="3"/>
  <c r="V21" i="3"/>
  <c r="BT49" i="3"/>
  <c r="BS49" i="3"/>
  <c r="V19" i="3"/>
  <c r="BR49" i="3"/>
  <c r="BQ49" i="3"/>
  <c r="BX48" i="3"/>
  <c r="BV48" i="3"/>
  <c r="BU48" i="3"/>
  <c r="BT48" i="3"/>
  <c r="BS48" i="3"/>
  <c r="BR48" i="3"/>
  <c r="BQ48" i="3"/>
  <c r="BX47" i="3"/>
  <c r="BW47" i="3"/>
  <c r="BU47" i="3"/>
  <c r="BT47" i="3"/>
  <c r="BS47" i="3"/>
  <c r="BR47" i="3"/>
  <c r="BQ47" i="3"/>
  <c r="BX46" i="3"/>
  <c r="BW46" i="3"/>
  <c r="BV46" i="3"/>
  <c r="BT46" i="3"/>
  <c r="BS46" i="3"/>
  <c r="BR46" i="3"/>
  <c r="BQ46" i="3"/>
  <c r="BX45" i="3"/>
  <c r="BW45" i="3"/>
  <c r="BV45" i="3"/>
  <c r="BU45" i="3"/>
  <c r="BS45" i="3"/>
  <c r="BR45" i="3"/>
  <c r="BQ45" i="3"/>
  <c r="BX44" i="3"/>
  <c r="BW44" i="3"/>
  <c r="BV44" i="3"/>
  <c r="BU44" i="3"/>
  <c r="BT44" i="3"/>
  <c r="BR44" i="3"/>
  <c r="BQ44" i="3"/>
  <c r="BX43" i="3"/>
  <c r="BW43" i="3"/>
  <c r="BV43" i="3"/>
  <c r="BU43" i="3"/>
  <c r="BT43" i="3"/>
  <c r="BS43" i="3"/>
  <c r="BQ43" i="3"/>
  <c r="BX42" i="3"/>
  <c r="BW42" i="3"/>
  <c r="BV42" i="3"/>
  <c r="BU42" i="3"/>
  <c r="BT42" i="3"/>
  <c r="BS42" i="3"/>
  <c r="BR42" i="3"/>
  <c r="BX41" i="3"/>
  <c r="BW41" i="3"/>
  <c r="BV41" i="3"/>
  <c r="BU41" i="3"/>
  <c r="BT41" i="3"/>
  <c r="BS41" i="3"/>
  <c r="BR41" i="3"/>
  <c r="BQ41" i="3"/>
  <c r="BW38" i="3"/>
  <c r="BV38" i="3"/>
  <c r="BU38" i="3"/>
  <c r="BT38" i="3"/>
  <c r="BS38" i="3"/>
  <c r="BR38" i="3"/>
  <c r="BQ38" i="3"/>
  <c r="BX37" i="3"/>
  <c r="BV37" i="3"/>
  <c r="BU37" i="3"/>
  <c r="BT37" i="3"/>
  <c r="BS37" i="3"/>
  <c r="BR37" i="3"/>
  <c r="BQ37" i="3"/>
  <c r="BX36" i="3"/>
  <c r="BW36" i="3"/>
  <c r="BU36" i="3"/>
  <c r="BT36" i="3"/>
  <c r="BS36" i="3"/>
  <c r="BR36" i="3"/>
  <c r="BQ36" i="3"/>
  <c r="BX35" i="3"/>
  <c r="BW35" i="3"/>
  <c r="BV35" i="3"/>
  <c r="BT35" i="3"/>
  <c r="BS35" i="3"/>
  <c r="BR35" i="3"/>
  <c r="BQ35" i="3"/>
  <c r="BX34" i="3"/>
  <c r="BW34" i="3"/>
  <c r="BV34" i="3"/>
  <c r="BU34" i="3"/>
  <c r="BS34" i="3"/>
  <c r="BR34" i="3"/>
  <c r="BQ34" i="3"/>
  <c r="BX33" i="3"/>
  <c r="BW33" i="3"/>
  <c r="BV33" i="3"/>
  <c r="BU33" i="3"/>
  <c r="BT33" i="3"/>
  <c r="BR33" i="3"/>
  <c r="BQ33" i="3"/>
  <c r="BX32" i="3"/>
  <c r="BW32" i="3"/>
  <c r="BV32" i="3"/>
  <c r="BU32" i="3"/>
  <c r="BT32" i="3"/>
  <c r="BS32" i="3"/>
  <c r="BQ32" i="3"/>
  <c r="BX31" i="3"/>
  <c r="BW31" i="3"/>
  <c r="BV31" i="3"/>
  <c r="BU31" i="3"/>
  <c r="BT31" i="3"/>
  <c r="BS31" i="3"/>
  <c r="BR31" i="3"/>
  <c r="BX30" i="3"/>
  <c r="BW30" i="3"/>
  <c r="BV30" i="3"/>
  <c r="BU30" i="3"/>
  <c r="BT30" i="3"/>
  <c r="BS30" i="3"/>
  <c r="BR30" i="3"/>
  <c r="BQ30" i="3"/>
  <c r="E31" i="3"/>
  <c r="G31" i="3"/>
  <c r="H31" i="3"/>
  <c r="I31" i="3"/>
  <c r="J31" i="3"/>
  <c r="K31" i="3"/>
  <c r="L31" i="3"/>
  <c r="M31" i="3"/>
  <c r="N31" i="3"/>
  <c r="P31" i="3"/>
  <c r="Q31" i="3"/>
  <c r="R31" i="3"/>
  <c r="S31" i="3"/>
  <c r="T31" i="3"/>
  <c r="U31" i="3"/>
  <c r="V31" i="3"/>
  <c r="W31" i="3"/>
  <c r="Y31" i="3"/>
  <c r="Z31" i="3"/>
  <c r="AA31" i="3"/>
  <c r="AB31" i="3"/>
  <c r="AC31" i="3"/>
  <c r="AD31" i="3"/>
  <c r="AE31" i="3"/>
  <c r="AF31" i="3"/>
  <c r="AH31" i="3"/>
  <c r="AI31" i="3"/>
  <c r="AJ31" i="3"/>
  <c r="AK31" i="3"/>
  <c r="AL31" i="3"/>
  <c r="AM31" i="3"/>
  <c r="AN31" i="3"/>
  <c r="AO31" i="3"/>
  <c r="AQ31" i="3"/>
  <c r="AR31" i="3"/>
  <c r="AS31" i="3"/>
  <c r="AT31" i="3"/>
  <c r="AU31" i="3"/>
  <c r="AV31" i="3"/>
  <c r="AW31" i="3"/>
  <c r="AX31" i="3"/>
  <c r="AZ31" i="3"/>
  <c r="BA31" i="3"/>
  <c r="BB31" i="3"/>
  <c r="BC31" i="3"/>
  <c r="BD31" i="3"/>
  <c r="BE31" i="3"/>
  <c r="BF31" i="3"/>
  <c r="BG31" i="3"/>
  <c r="BI31" i="3"/>
  <c r="BJ31" i="3"/>
  <c r="BK31" i="3"/>
  <c r="BL31" i="3"/>
  <c r="BM31" i="3"/>
  <c r="BN31" i="3"/>
  <c r="BO31" i="3"/>
  <c r="BP31" i="3"/>
  <c r="AA18" i="3"/>
  <c r="E42" i="3"/>
  <c r="G42" i="3"/>
  <c r="H42" i="3"/>
  <c r="I42" i="3"/>
  <c r="J42" i="3"/>
  <c r="K42" i="3"/>
  <c r="L42" i="3"/>
  <c r="M42" i="3"/>
  <c r="N42" i="3"/>
  <c r="P42" i="3"/>
  <c r="Q42" i="3"/>
  <c r="R42" i="3"/>
  <c r="S42" i="3"/>
  <c r="T42" i="3"/>
  <c r="U42" i="3"/>
  <c r="V42" i="3"/>
  <c r="W42" i="3"/>
  <c r="Y42" i="3"/>
  <c r="Z42" i="3"/>
  <c r="AA42" i="3"/>
  <c r="AB42" i="3"/>
  <c r="AC42" i="3"/>
  <c r="AD42" i="3"/>
  <c r="AE42" i="3"/>
  <c r="AF42" i="3"/>
  <c r="AH42" i="3"/>
  <c r="AI42" i="3"/>
  <c r="AJ42" i="3"/>
  <c r="AK42" i="3"/>
  <c r="AL42" i="3"/>
  <c r="AM42" i="3"/>
  <c r="AN42" i="3"/>
  <c r="AO42" i="3"/>
  <c r="AQ42" i="3"/>
  <c r="AR42" i="3"/>
  <c r="AS42" i="3"/>
  <c r="AT42" i="3"/>
  <c r="AU42" i="3"/>
  <c r="AV42" i="3"/>
  <c r="AW42" i="3"/>
  <c r="AX42" i="3"/>
  <c r="AZ42" i="3"/>
  <c r="BA42" i="3"/>
  <c r="BB42" i="3"/>
  <c r="BC42" i="3"/>
  <c r="BD42" i="3"/>
  <c r="BE42" i="3"/>
  <c r="BF42" i="3"/>
  <c r="BG42" i="3"/>
  <c r="BI42" i="3"/>
  <c r="BJ42" i="3"/>
  <c r="BK42" i="3"/>
  <c r="BL42" i="3"/>
  <c r="BM42" i="3"/>
  <c r="BN42" i="3"/>
  <c r="BO42" i="3"/>
  <c r="BP42" i="3"/>
  <c r="AB18" i="3"/>
  <c r="W18" i="3"/>
  <c r="F30" i="3"/>
  <c r="G30" i="3"/>
  <c r="H30" i="3"/>
  <c r="I30" i="3"/>
  <c r="J30" i="3"/>
  <c r="K30" i="3"/>
  <c r="L30" i="3"/>
  <c r="M30" i="3"/>
  <c r="O30" i="3"/>
  <c r="P30" i="3"/>
  <c r="Q30" i="3"/>
  <c r="R30" i="3"/>
  <c r="S30" i="3"/>
  <c r="T30" i="3"/>
  <c r="U30" i="3"/>
  <c r="V30" i="3"/>
  <c r="X30" i="3"/>
  <c r="Y30" i="3"/>
  <c r="Z30" i="3"/>
  <c r="AA30" i="3"/>
  <c r="AB30" i="3"/>
  <c r="AC30" i="3"/>
  <c r="AD30" i="3"/>
  <c r="AE30" i="3"/>
  <c r="AG30" i="3"/>
  <c r="AH30" i="3"/>
  <c r="AI30" i="3"/>
  <c r="AJ30" i="3"/>
  <c r="AK30" i="3"/>
  <c r="AL30" i="3"/>
  <c r="AM30" i="3"/>
  <c r="AN30" i="3"/>
  <c r="AP30" i="3"/>
  <c r="AQ30" i="3"/>
  <c r="AR30" i="3"/>
  <c r="AS30" i="3"/>
  <c r="AT30" i="3"/>
  <c r="AU30" i="3"/>
  <c r="AV30" i="3"/>
  <c r="AW30" i="3"/>
  <c r="AY30" i="3"/>
  <c r="AZ30" i="3"/>
  <c r="BA30" i="3"/>
  <c r="BB30" i="3"/>
  <c r="BC30" i="3"/>
  <c r="BD30" i="3"/>
  <c r="BE30" i="3"/>
  <c r="BF30" i="3"/>
  <c r="BH30" i="3"/>
  <c r="BI30" i="3"/>
  <c r="BJ30" i="3"/>
  <c r="BK30" i="3"/>
  <c r="BL30" i="3"/>
  <c r="BM30" i="3"/>
  <c r="BN30" i="3"/>
  <c r="BO30" i="3"/>
  <c r="AA17" i="3"/>
  <c r="F41" i="3"/>
  <c r="G41" i="3"/>
  <c r="H41" i="3"/>
  <c r="I41" i="3"/>
  <c r="J41" i="3"/>
  <c r="K41" i="3"/>
  <c r="L41" i="3"/>
  <c r="M41" i="3"/>
  <c r="O41" i="3"/>
  <c r="P41" i="3"/>
  <c r="Q41" i="3"/>
  <c r="R41" i="3"/>
  <c r="S41" i="3"/>
  <c r="T41" i="3"/>
  <c r="U41" i="3"/>
  <c r="V41" i="3"/>
  <c r="X41" i="3"/>
  <c r="Y41" i="3"/>
  <c r="Z41" i="3"/>
  <c r="AA41" i="3"/>
  <c r="AB41" i="3"/>
  <c r="AC41" i="3"/>
  <c r="AD41" i="3"/>
  <c r="AE41" i="3"/>
  <c r="AG41" i="3"/>
  <c r="AH41" i="3"/>
  <c r="AI41" i="3"/>
  <c r="AJ41" i="3"/>
  <c r="AK41" i="3"/>
  <c r="AL41" i="3"/>
  <c r="AM41" i="3"/>
  <c r="AN41" i="3"/>
  <c r="AP41" i="3"/>
  <c r="AQ41" i="3"/>
  <c r="AR41" i="3"/>
  <c r="AS41" i="3"/>
  <c r="AT41" i="3"/>
  <c r="AU41" i="3"/>
  <c r="AV41" i="3"/>
  <c r="AW41" i="3"/>
  <c r="AY41" i="3"/>
  <c r="AZ41" i="3"/>
  <c r="BA41" i="3"/>
  <c r="BB41" i="3"/>
  <c r="BC41" i="3"/>
  <c r="BD41" i="3"/>
  <c r="BE41" i="3"/>
  <c r="BF41" i="3"/>
  <c r="BH41" i="3"/>
  <c r="BI41" i="3"/>
  <c r="BJ41" i="3"/>
  <c r="BK41" i="3"/>
  <c r="BL41" i="3"/>
  <c r="BM41" i="3"/>
  <c r="BN41" i="3"/>
  <c r="BO41" i="3"/>
  <c r="AB17" i="3"/>
  <c r="W17" i="3"/>
  <c r="E32" i="3"/>
  <c r="F32" i="3"/>
  <c r="H32" i="3"/>
  <c r="I32" i="3"/>
  <c r="J32" i="3"/>
  <c r="K32" i="3"/>
  <c r="L32" i="3"/>
  <c r="M32" i="3"/>
  <c r="N32" i="3"/>
  <c r="O32" i="3"/>
  <c r="Q32" i="3"/>
  <c r="R32" i="3"/>
  <c r="S32" i="3"/>
  <c r="T32" i="3"/>
  <c r="U32" i="3"/>
  <c r="V32" i="3"/>
  <c r="W32" i="3"/>
  <c r="X32" i="3"/>
  <c r="Z32" i="3"/>
  <c r="AA32" i="3"/>
  <c r="AB32" i="3"/>
  <c r="AC32" i="3"/>
  <c r="AD32" i="3"/>
  <c r="AE32" i="3"/>
  <c r="AF32" i="3"/>
  <c r="AG32" i="3"/>
  <c r="AI32" i="3"/>
  <c r="AJ32" i="3"/>
  <c r="AK32" i="3"/>
  <c r="AL32" i="3"/>
  <c r="AM32" i="3"/>
  <c r="AN32" i="3"/>
  <c r="AO32" i="3"/>
  <c r="AP32" i="3"/>
  <c r="AR32" i="3"/>
  <c r="AS32" i="3"/>
  <c r="AT32" i="3"/>
  <c r="AU32" i="3"/>
  <c r="AV32" i="3"/>
  <c r="AW32" i="3"/>
  <c r="AX32" i="3"/>
  <c r="AY32" i="3"/>
  <c r="BA32" i="3"/>
  <c r="BB32" i="3"/>
  <c r="BC32" i="3"/>
  <c r="BD32" i="3"/>
  <c r="BE32" i="3"/>
  <c r="BF32" i="3"/>
  <c r="BG32" i="3"/>
  <c r="BH32" i="3"/>
  <c r="BJ32" i="3"/>
  <c r="BK32" i="3"/>
  <c r="BL32" i="3"/>
  <c r="BM32" i="3"/>
  <c r="BN32" i="3"/>
  <c r="BO32" i="3"/>
  <c r="BP32" i="3"/>
  <c r="AA19" i="3"/>
  <c r="E43" i="3"/>
  <c r="F43" i="3"/>
  <c r="H43" i="3"/>
  <c r="I43" i="3"/>
  <c r="J43" i="3"/>
  <c r="K43" i="3"/>
  <c r="L43" i="3"/>
  <c r="M43" i="3"/>
  <c r="N43" i="3"/>
  <c r="O43" i="3"/>
  <c r="Q43" i="3"/>
  <c r="R43" i="3"/>
  <c r="S43" i="3"/>
  <c r="T43" i="3"/>
  <c r="U43" i="3"/>
  <c r="V43" i="3"/>
  <c r="W43" i="3"/>
  <c r="X43" i="3"/>
  <c r="Z43" i="3"/>
  <c r="AA43" i="3"/>
  <c r="AB43" i="3"/>
  <c r="AC43" i="3"/>
  <c r="AD43" i="3"/>
  <c r="AE43" i="3"/>
  <c r="AF43" i="3"/>
  <c r="AG43" i="3"/>
  <c r="AI43" i="3"/>
  <c r="AJ43" i="3"/>
  <c r="AK43" i="3"/>
  <c r="AL43" i="3"/>
  <c r="AM43" i="3"/>
  <c r="AN43" i="3"/>
  <c r="AO43" i="3"/>
  <c r="AP43" i="3"/>
  <c r="AR43" i="3"/>
  <c r="AS43" i="3"/>
  <c r="AT43" i="3"/>
  <c r="AU43" i="3"/>
  <c r="AV43" i="3"/>
  <c r="AW43" i="3"/>
  <c r="AX43" i="3"/>
  <c r="AY43" i="3"/>
  <c r="BA43" i="3"/>
  <c r="BB43" i="3"/>
  <c r="BC43" i="3"/>
  <c r="BD43" i="3"/>
  <c r="BE43" i="3"/>
  <c r="BF43" i="3"/>
  <c r="BG43" i="3"/>
  <c r="BH43" i="3"/>
  <c r="BJ43" i="3"/>
  <c r="BK43" i="3"/>
  <c r="BL43" i="3"/>
  <c r="BM43" i="3"/>
  <c r="BN43" i="3"/>
  <c r="BO43" i="3"/>
  <c r="BP43" i="3"/>
  <c r="AB19" i="3"/>
  <c r="W19" i="3"/>
  <c r="E33" i="3"/>
  <c r="F33" i="3"/>
  <c r="G33" i="3"/>
  <c r="I33" i="3"/>
  <c r="J33" i="3"/>
  <c r="K33" i="3"/>
  <c r="L33" i="3"/>
  <c r="M33" i="3"/>
  <c r="N33" i="3"/>
  <c r="O33" i="3"/>
  <c r="P33" i="3"/>
  <c r="R33" i="3"/>
  <c r="S33" i="3"/>
  <c r="T33" i="3"/>
  <c r="U33" i="3"/>
  <c r="V33" i="3"/>
  <c r="W33" i="3"/>
  <c r="X33" i="3"/>
  <c r="Y33" i="3"/>
  <c r="AA33" i="3"/>
  <c r="AB33" i="3"/>
  <c r="AC33" i="3"/>
  <c r="AD33" i="3"/>
  <c r="AE33" i="3"/>
  <c r="AF33" i="3"/>
  <c r="AG33" i="3"/>
  <c r="AH33" i="3"/>
  <c r="AJ33" i="3"/>
  <c r="AK33" i="3"/>
  <c r="AL33" i="3"/>
  <c r="AM33" i="3"/>
  <c r="AN33" i="3"/>
  <c r="AO33" i="3"/>
  <c r="AP33" i="3"/>
  <c r="AQ33" i="3"/>
  <c r="AS33" i="3"/>
  <c r="AT33" i="3"/>
  <c r="AU33" i="3"/>
  <c r="AV33" i="3"/>
  <c r="AW33" i="3"/>
  <c r="AX33" i="3"/>
  <c r="AY33" i="3"/>
  <c r="AZ33" i="3"/>
  <c r="BB33" i="3"/>
  <c r="BC33" i="3"/>
  <c r="BD33" i="3"/>
  <c r="BE33" i="3"/>
  <c r="BF33" i="3"/>
  <c r="BG33" i="3"/>
  <c r="BH33" i="3"/>
  <c r="BI33" i="3"/>
  <c r="BK33" i="3"/>
  <c r="BL33" i="3"/>
  <c r="BM33" i="3"/>
  <c r="BN33" i="3"/>
  <c r="BO33" i="3"/>
  <c r="BP33" i="3"/>
  <c r="AA20" i="3"/>
  <c r="E44" i="3"/>
  <c r="F44" i="3"/>
  <c r="G44" i="3"/>
  <c r="I44" i="3"/>
  <c r="J44" i="3"/>
  <c r="K44" i="3"/>
  <c r="L44" i="3"/>
  <c r="M44" i="3"/>
  <c r="N44" i="3"/>
  <c r="O44" i="3"/>
  <c r="P44" i="3"/>
  <c r="R44" i="3"/>
  <c r="S44" i="3"/>
  <c r="T44" i="3"/>
  <c r="U44" i="3"/>
  <c r="V44" i="3"/>
  <c r="W44" i="3"/>
  <c r="X44" i="3"/>
  <c r="Y44" i="3"/>
  <c r="AA44" i="3"/>
  <c r="AB44" i="3"/>
  <c r="AC44" i="3"/>
  <c r="AD44" i="3"/>
  <c r="AE44" i="3"/>
  <c r="AF44" i="3"/>
  <c r="AG44" i="3"/>
  <c r="AH44" i="3"/>
  <c r="AJ44" i="3"/>
  <c r="AK44" i="3"/>
  <c r="AL44" i="3"/>
  <c r="AM44" i="3"/>
  <c r="AN44" i="3"/>
  <c r="AO44" i="3"/>
  <c r="AP44" i="3"/>
  <c r="AQ44" i="3"/>
  <c r="AS44" i="3"/>
  <c r="AT44" i="3"/>
  <c r="AU44" i="3"/>
  <c r="AV44" i="3"/>
  <c r="AW44" i="3"/>
  <c r="AX44" i="3"/>
  <c r="AY44" i="3"/>
  <c r="AZ44" i="3"/>
  <c r="BB44" i="3"/>
  <c r="BC44" i="3"/>
  <c r="BD44" i="3"/>
  <c r="BE44" i="3"/>
  <c r="BF44" i="3"/>
  <c r="BG44" i="3"/>
  <c r="BH44" i="3"/>
  <c r="BI44" i="3"/>
  <c r="BK44" i="3"/>
  <c r="BL44" i="3"/>
  <c r="BM44" i="3"/>
  <c r="BN44" i="3"/>
  <c r="BO44" i="3"/>
  <c r="BP44" i="3"/>
  <c r="AB20" i="3"/>
  <c r="W20" i="3"/>
  <c r="E34" i="3"/>
  <c r="F34" i="3"/>
  <c r="G34" i="3"/>
  <c r="H34" i="3"/>
  <c r="J34" i="3"/>
  <c r="K34" i="3"/>
  <c r="L34" i="3"/>
  <c r="M34" i="3"/>
  <c r="N34" i="3"/>
  <c r="O34" i="3"/>
  <c r="P34" i="3"/>
  <c r="Q34" i="3"/>
  <c r="S34" i="3"/>
  <c r="T34" i="3"/>
  <c r="U34" i="3"/>
  <c r="V34" i="3"/>
  <c r="W34" i="3"/>
  <c r="X34" i="3"/>
  <c r="Y34" i="3"/>
  <c r="Z34" i="3"/>
  <c r="AB34" i="3"/>
  <c r="AC34" i="3"/>
  <c r="AD34" i="3"/>
  <c r="AE34" i="3"/>
  <c r="AF34" i="3"/>
  <c r="AG34" i="3"/>
  <c r="AH34" i="3"/>
  <c r="AI34" i="3"/>
  <c r="AK34" i="3"/>
  <c r="AL34" i="3"/>
  <c r="AM34" i="3"/>
  <c r="AN34" i="3"/>
  <c r="AO34" i="3"/>
  <c r="AP34" i="3"/>
  <c r="AQ34" i="3"/>
  <c r="AR34" i="3"/>
  <c r="AT34" i="3"/>
  <c r="AU34" i="3"/>
  <c r="AV34" i="3"/>
  <c r="AW34" i="3"/>
  <c r="AX34" i="3"/>
  <c r="AY34" i="3"/>
  <c r="AZ34" i="3"/>
  <c r="BA34" i="3"/>
  <c r="BC34" i="3"/>
  <c r="BD34" i="3"/>
  <c r="BE34" i="3"/>
  <c r="BF34" i="3"/>
  <c r="BG34" i="3"/>
  <c r="BH34" i="3"/>
  <c r="BI34" i="3"/>
  <c r="BJ34" i="3"/>
  <c r="BL34" i="3"/>
  <c r="BM34" i="3"/>
  <c r="BN34" i="3"/>
  <c r="BO34" i="3"/>
  <c r="BP34" i="3"/>
  <c r="AA21" i="3"/>
  <c r="E45" i="3"/>
  <c r="F45" i="3"/>
  <c r="G45" i="3"/>
  <c r="H45" i="3"/>
  <c r="J45" i="3"/>
  <c r="K45" i="3"/>
  <c r="L45" i="3"/>
  <c r="M45" i="3"/>
  <c r="N45" i="3"/>
  <c r="O45" i="3"/>
  <c r="P45" i="3"/>
  <c r="Q45" i="3"/>
  <c r="S45" i="3"/>
  <c r="T45" i="3"/>
  <c r="U45" i="3"/>
  <c r="V45" i="3"/>
  <c r="W45" i="3"/>
  <c r="X45" i="3"/>
  <c r="Y45" i="3"/>
  <c r="Z45" i="3"/>
  <c r="AB45" i="3"/>
  <c r="AC45" i="3"/>
  <c r="AD45" i="3"/>
  <c r="AE45" i="3"/>
  <c r="AF45" i="3"/>
  <c r="AG45" i="3"/>
  <c r="AH45" i="3"/>
  <c r="AI45" i="3"/>
  <c r="AK45" i="3"/>
  <c r="AL45" i="3"/>
  <c r="AM45" i="3"/>
  <c r="AN45" i="3"/>
  <c r="AO45" i="3"/>
  <c r="AP45" i="3"/>
  <c r="AQ45" i="3"/>
  <c r="AR45" i="3"/>
  <c r="AT45" i="3"/>
  <c r="AU45" i="3"/>
  <c r="AV45" i="3"/>
  <c r="AW45" i="3"/>
  <c r="AX45" i="3"/>
  <c r="AY45" i="3"/>
  <c r="AZ45" i="3"/>
  <c r="BA45" i="3"/>
  <c r="BC45" i="3"/>
  <c r="BD45" i="3"/>
  <c r="BE45" i="3"/>
  <c r="BF45" i="3"/>
  <c r="BG45" i="3"/>
  <c r="BH45" i="3"/>
  <c r="BI45" i="3"/>
  <c r="BJ45" i="3"/>
  <c r="BL45" i="3"/>
  <c r="BM45" i="3"/>
  <c r="BN45" i="3"/>
  <c r="BO45" i="3"/>
  <c r="BP45" i="3"/>
  <c r="AB21" i="3"/>
  <c r="W21" i="3"/>
  <c r="E35" i="3"/>
  <c r="F35" i="3"/>
  <c r="G35" i="3"/>
  <c r="H35" i="3"/>
  <c r="I35" i="3"/>
  <c r="K35" i="3"/>
  <c r="L35" i="3"/>
  <c r="M35" i="3"/>
  <c r="N35" i="3"/>
  <c r="O35" i="3"/>
  <c r="P35" i="3"/>
  <c r="Q35" i="3"/>
  <c r="R35" i="3"/>
  <c r="T35" i="3"/>
  <c r="U35" i="3"/>
  <c r="V35" i="3"/>
  <c r="W35" i="3"/>
  <c r="X35" i="3"/>
  <c r="Y35" i="3"/>
  <c r="Z35" i="3"/>
  <c r="AA35" i="3"/>
  <c r="AC35" i="3"/>
  <c r="AD35" i="3"/>
  <c r="AE35" i="3"/>
  <c r="AF35" i="3"/>
  <c r="AG35" i="3"/>
  <c r="AH35" i="3"/>
  <c r="AI35" i="3"/>
  <c r="AJ35" i="3"/>
  <c r="AL35" i="3"/>
  <c r="AM35" i="3"/>
  <c r="AN35" i="3"/>
  <c r="AO35" i="3"/>
  <c r="AP35" i="3"/>
  <c r="AQ35" i="3"/>
  <c r="AR35" i="3"/>
  <c r="AS35" i="3"/>
  <c r="AU35" i="3"/>
  <c r="AV35" i="3"/>
  <c r="AW35" i="3"/>
  <c r="AX35" i="3"/>
  <c r="AY35" i="3"/>
  <c r="AZ35" i="3"/>
  <c r="BA35" i="3"/>
  <c r="BB35" i="3"/>
  <c r="BD35" i="3"/>
  <c r="BE35" i="3"/>
  <c r="BF35" i="3"/>
  <c r="BG35" i="3"/>
  <c r="BH35" i="3"/>
  <c r="BI35" i="3"/>
  <c r="BJ35" i="3"/>
  <c r="BK35" i="3"/>
  <c r="BM35" i="3"/>
  <c r="BN35" i="3"/>
  <c r="BO35" i="3"/>
  <c r="BP35" i="3"/>
  <c r="AA22" i="3"/>
  <c r="E46" i="3"/>
  <c r="F46" i="3"/>
  <c r="G46" i="3"/>
  <c r="H46" i="3"/>
  <c r="I46" i="3"/>
  <c r="K46" i="3"/>
  <c r="L46" i="3"/>
  <c r="M46" i="3"/>
  <c r="N46" i="3"/>
  <c r="O46" i="3"/>
  <c r="P46" i="3"/>
  <c r="Q46" i="3"/>
  <c r="R46" i="3"/>
  <c r="T46" i="3"/>
  <c r="U46" i="3"/>
  <c r="V46" i="3"/>
  <c r="W46" i="3"/>
  <c r="X46" i="3"/>
  <c r="Y46" i="3"/>
  <c r="Z46" i="3"/>
  <c r="AA46" i="3"/>
  <c r="AC46" i="3"/>
  <c r="AD46" i="3"/>
  <c r="AE46" i="3"/>
  <c r="AF46" i="3"/>
  <c r="AG46" i="3"/>
  <c r="AH46" i="3"/>
  <c r="AI46" i="3"/>
  <c r="AJ46" i="3"/>
  <c r="AL46" i="3"/>
  <c r="AM46" i="3"/>
  <c r="AN46" i="3"/>
  <c r="AO46" i="3"/>
  <c r="AP46" i="3"/>
  <c r="AQ46" i="3"/>
  <c r="AR46" i="3"/>
  <c r="AS46" i="3"/>
  <c r="AU46" i="3"/>
  <c r="AV46" i="3"/>
  <c r="AW46" i="3"/>
  <c r="AX46" i="3"/>
  <c r="AY46" i="3"/>
  <c r="AZ46" i="3"/>
  <c r="BA46" i="3"/>
  <c r="BB46" i="3"/>
  <c r="BD46" i="3"/>
  <c r="BE46" i="3"/>
  <c r="BF46" i="3"/>
  <c r="BG46" i="3"/>
  <c r="BH46" i="3"/>
  <c r="BI46" i="3"/>
  <c r="BJ46" i="3"/>
  <c r="BK46" i="3"/>
  <c r="BM46" i="3"/>
  <c r="BN46" i="3"/>
  <c r="BO46" i="3"/>
  <c r="BP46" i="3"/>
  <c r="AB22" i="3"/>
  <c r="W22" i="3"/>
  <c r="E36" i="3"/>
  <c r="F36" i="3"/>
  <c r="G36" i="3"/>
  <c r="H36" i="3"/>
  <c r="I36" i="3"/>
  <c r="J36" i="3"/>
  <c r="L36" i="3"/>
  <c r="M36" i="3"/>
  <c r="N36" i="3"/>
  <c r="O36" i="3"/>
  <c r="P36" i="3"/>
  <c r="Q36" i="3"/>
  <c r="R36" i="3"/>
  <c r="S36" i="3"/>
  <c r="U36" i="3"/>
  <c r="V36" i="3"/>
  <c r="W36" i="3"/>
  <c r="X36" i="3"/>
  <c r="Y36" i="3"/>
  <c r="Z36" i="3"/>
  <c r="AA36" i="3"/>
  <c r="AB36" i="3"/>
  <c r="AD36" i="3"/>
  <c r="AE36" i="3"/>
  <c r="AF36" i="3"/>
  <c r="AG36" i="3"/>
  <c r="AH36" i="3"/>
  <c r="AI36" i="3"/>
  <c r="AJ36" i="3"/>
  <c r="AK36" i="3"/>
  <c r="AM36" i="3"/>
  <c r="AN36" i="3"/>
  <c r="AO36" i="3"/>
  <c r="AP36" i="3"/>
  <c r="AQ36" i="3"/>
  <c r="AR36" i="3"/>
  <c r="AS36" i="3"/>
  <c r="AT36" i="3"/>
  <c r="AV36" i="3"/>
  <c r="AW36" i="3"/>
  <c r="AX36" i="3"/>
  <c r="AY36" i="3"/>
  <c r="AZ36" i="3"/>
  <c r="BA36" i="3"/>
  <c r="BB36" i="3"/>
  <c r="BC36" i="3"/>
  <c r="BE36" i="3"/>
  <c r="BF36" i="3"/>
  <c r="BG36" i="3"/>
  <c r="BH36" i="3"/>
  <c r="BI36" i="3"/>
  <c r="BJ36" i="3"/>
  <c r="BK36" i="3"/>
  <c r="BL36" i="3"/>
  <c r="BN36" i="3"/>
  <c r="BO36" i="3"/>
  <c r="BP36" i="3"/>
  <c r="AA23" i="3"/>
  <c r="E47" i="3"/>
  <c r="F47" i="3"/>
  <c r="G47" i="3"/>
  <c r="H47" i="3"/>
  <c r="I47" i="3"/>
  <c r="J47" i="3"/>
  <c r="L47" i="3"/>
  <c r="M47" i="3"/>
  <c r="N47" i="3"/>
  <c r="O47" i="3"/>
  <c r="P47" i="3"/>
  <c r="Q47" i="3"/>
  <c r="R47" i="3"/>
  <c r="S47" i="3"/>
  <c r="U47" i="3"/>
  <c r="V47" i="3"/>
  <c r="W47" i="3"/>
  <c r="X47" i="3"/>
  <c r="Y47" i="3"/>
  <c r="Z47" i="3"/>
  <c r="AA47" i="3"/>
  <c r="AB47" i="3"/>
  <c r="AD47" i="3"/>
  <c r="AE47" i="3"/>
  <c r="AF47" i="3"/>
  <c r="AG47" i="3"/>
  <c r="AH47" i="3"/>
  <c r="AI47" i="3"/>
  <c r="AJ47" i="3"/>
  <c r="AK47" i="3"/>
  <c r="AM47" i="3"/>
  <c r="AN47" i="3"/>
  <c r="AO47" i="3"/>
  <c r="AP47" i="3"/>
  <c r="AQ47" i="3"/>
  <c r="AR47" i="3"/>
  <c r="AS47" i="3"/>
  <c r="AT47" i="3"/>
  <c r="AV47" i="3"/>
  <c r="AW47" i="3"/>
  <c r="AX47" i="3"/>
  <c r="AY47" i="3"/>
  <c r="AZ47" i="3"/>
  <c r="BA47" i="3"/>
  <c r="BB47" i="3"/>
  <c r="BC47" i="3"/>
  <c r="BE47" i="3"/>
  <c r="BF47" i="3"/>
  <c r="BG47" i="3"/>
  <c r="BH47" i="3"/>
  <c r="BI47" i="3"/>
  <c r="BJ47" i="3"/>
  <c r="BK47" i="3"/>
  <c r="BL47" i="3"/>
  <c r="BN47" i="3"/>
  <c r="BO47" i="3"/>
  <c r="BP47" i="3"/>
  <c r="AB23" i="3"/>
  <c r="W23" i="3"/>
  <c r="E37" i="3"/>
  <c r="F37" i="3"/>
  <c r="G37" i="3"/>
  <c r="H37" i="3"/>
  <c r="I37" i="3"/>
  <c r="J37" i="3"/>
  <c r="K37" i="3"/>
  <c r="M37" i="3"/>
  <c r="N37" i="3"/>
  <c r="O37" i="3"/>
  <c r="P37" i="3"/>
  <c r="Q37" i="3"/>
  <c r="R37" i="3"/>
  <c r="S37" i="3"/>
  <c r="T37" i="3"/>
  <c r="V37" i="3"/>
  <c r="W37" i="3"/>
  <c r="X37" i="3"/>
  <c r="Y37" i="3"/>
  <c r="Z37" i="3"/>
  <c r="AA37" i="3"/>
  <c r="AB37" i="3"/>
  <c r="AC37" i="3"/>
  <c r="AE37" i="3"/>
  <c r="AF37" i="3"/>
  <c r="AG37" i="3"/>
  <c r="AH37" i="3"/>
  <c r="AI37" i="3"/>
  <c r="AJ37" i="3"/>
  <c r="AK37" i="3"/>
  <c r="AL37" i="3"/>
  <c r="AN37" i="3"/>
  <c r="AO37" i="3"/>
  <c r="AP37" i="3"/>
  <c r="AQ37" i="3"/>
  <c r="AR37" i="3"/>
  <c r="AS37" i="3"/>
  <c r="AT37" i="3"/>
  <c r="AU37" i="3"/>
  <c r="AW37" i="3"/>
  <c r="AX37" i="3"/>
  <c r="AY37" i="3"/>
  <c r="AZ37" i="3"/>
  <c r="BA37" i="3"/>
  <c r="BB37" i="3"/>
  <c r="BC37" i="3"/>
  <c r="BD37" i="3"/>
  <c r="BF37" i="3"/>
  <c r="BG37" i="3"/>
  <c r="BH37" i="3"/>
  <c r="BI37" i="3"/>
  <c r="BJ37" i="3"/>
  <c r="BK37" i="3"/>
  <c r="BL37" i="3"/>
  <c r="BM37" i="3"/>
  <c r="BO37" i="3"/>
  <c r="BP37" i="3"/>
  <c r="AA24" i="3"/>
  <c r="E48" i="3"/>
  <c r="F48" i="3"/>
  <c r="G48" i="3"/>
  <c r="H48" i="3"/>
  <c r="I48" i="3"/>
  <c r="J48" i="3"/>
  <c r="K48" i="3"/>
  <c r="M48" i="3"/>
  <c r="N48" i="3"/>
  <c r="O48" i="3"/>
  <c r="P48" i="3"/>
  <c r="Q48" i="3"/>
  <c r="R48" i="3"/>
  <c r="S48" i="3"/>
  <c r="T48" i="3"/>
  <c r="V48" i="3"/>
  <c r="W48" i="3"/>
  <c r="X48" i="3"/>
  <c r="Y48" i="3"/>
  <c r="Z48" i="3"/>
  <c r="AA48" i="3"/>
  <c r="AB48" i="3"/>
  <c r="AC48" i="3"/>
  <c r="AE48" i="3"/>
  <c r="AF48" i="3"/>
  <c r="AG48" i="3"/>
  <c r="AH48" i="3"/>
  <c r="AI48" i="3"/>
  <c r="AJ48" i="3"/>
  <c r="AK48" i="3"/>
  <c r="AL48" i="3"/>
  <c r="AN48" i="3"/>
  <c r="AO48" i="3"/>
  <c r="AP48" i="3"/>
  <c r="AQ48" i="3"/>
  <c r="AR48" i="3"/>
  <c r="AS48" i="3"/>
  <c r="AT48" i="3"/>
  <c r="AU48" i="3"/>
  <c r="AW48" i="3"/>
  <c r="AX48" i="3"/>
  <c r="AY48" i="3"/>
  <c r="AZ48" i="3"/>
  <c r="BA48" i="3"/>
  <c r="BB48" i="3"/>
  <c r="BC48" i="3"/>
  <c r="BD48" i="3"/>
  <c r="BF48" i="3"/>
  <c r="BG48" i="3"/>
  <c r="BH48" i="3"/>
  <c r="BI48" i="3"/>
  <c r="BJ48" i="3"/>
  <c r="BK48" i="3"/>
  <c r="BL48" i="3"/>
  <c r="BM48" i="3"/>
  <c r="BO48" i="3"/>
  <c r="BP48" i="3"/>
  <c r="AB24" i="3"/>
  <c r="W24" i="3"/>
  <c r="E38" i="3"/>
  <c r="F38" i="3"/>
  <c r="G38" i="3"/>
  <c r="H38" i="3"/>
  <c r="I38" i="3"/>
  <c r="J38" i="3"/>
  <c r="K38" i="3"/>
  <c r="L38" i="3"/>
  <c r="N38" i="3"/>
  <c r="O38" i="3"/>
  <c r="P38" i="3"/>
  <c r="Q38" i="3"/>
  <c r="R38" i="3"/>
  <c r="S38" i="3"/>
  <c r="T38" i="3"/>
  <c r="U38" i="3"/>
  <c r="W38" i="3"/>
  <c r="X38" i="3"/>
  <c r="Y38" i="3"/>
  <c r="Z38" i="3"/>
  <c r="AA38" i="3"/>
  <c r="AB38" i="3"/>
  <c r="AC38" i="3"/>
  <c r="AD38" i="3"/>
  <c r="AF38" i="3"/>
  <c r="AG38" i="3"/>
  <c r="AH38" i="3"/>
  <c r="AI38" i="3"/>
  <c r="AJ38" i="3"/>
  <c r="AK38" i="3"/>
  <c r="AL38" i="3"/>
  <c r="AM38" i="3"/>
  <c r="AO38" i="3"/>
  <c r="AP38" i="3"/>
  <c r="AQ38" i="3"/>
  <c r="AR38" i="3"/>
  <c r="AS38" i="3"/>
  <c r="AT38" i="3"/>
  <c r="AU38" i="3"/>
  <c r="AV38" i="3"/>
  <c r="AX38" i="3"/>
  <c r="AY38" i="3"/>
  <c r="AZ38" i="3"/>
  <c r="BA38" i="3"/>
  <c r="BB38" i="3"/>
  <c r="BC38" i="3"/>
  <c r="BD38" i="3"/>
  <c r="BE38" i="3"/>
  <c r="BG38" i="3"/>
  <c r="BH38" i="3"/>
  <c r="BI38" i="3"/>
  <c r="BJ38" i="3"/>
  <c r="BK38" i="3"/>
  <c r="BL38" i="3"/>
  <c r="BM38" i="3"/>
  <c r="BN38" i="3"/>
  <c r="BP38" i="3"/>
  <c r="AA25" i="3"/>
  <c r="E49" i="3"/>
  <c r="F49" i="3"/>
  <c r="G49" i="3"/>
  <c r="H49" i="3"/>
  <c r="I49" i="3"/>
  <c r="J49" i="3"/>
  <c r="K49" i="3"/>
  <c r="L49" i="3"/>
  <c r="N49" i="3"/>
  <c r="O49" i="3"/>
  <c r="P49" i="3"/>
  <c r="Q49" i="3"/>
  <c r="R49" i="3"/>
  <c r="S49" i="3"/>
  <c r="T49" i="3"/>
  <c r="U49" i="3"/>
  <c r="W49" i="3"/>
  <c r="X49" i="3"/>
  <c r="Y49" i="3"/>
  <c r="Z49" i="3"/>
  <c r="AA49" i="3"/>
  <c r="AB49" i="3"/>
  <c r="AC49" i="3"/>
  <c r="AD49" i="3"/>
  <c r="AF49" i="3"/>
  <c r="AG49" i="3"/>
  <c r="AH49" i="3"/>
  <c r="AI49" i="3"/>
  <c r="AJ49" i="3"/>
  <c r="AK49" i="3"/>
  <c r="AL49" i="3"/>
  <c r="AM49" i="3"/>
  <c r="AO49" i="3"/>
  <c r="AP49" i="3"/>
  <c r="AQ49" i="3"/>
  <c r="AR49" i="3"/>
  <c r="AS49" i="3"/>
  <c r="AT49" i="3"/>
  <c r="AU49" i="3"/>
  <c r="AV49" i="3"/>
  <c r="AX49" i="3"/>
  <c r="AY49" i="3"/>
  <c r="AZ49" i="3"/>
  <c r="BA49" i="3"/>
  <c r="BB49" i="3"/>
  <c r="BC49" i="3"/>
  <c r="BD49" i="3"/>
  <c r="BE49" i="3"/>
  <c r="BG49" i="3"/>
  <c r="BH49" i="3"/>
  <c r="BI49" i="3"/>
  <c r="BJ49" i="3"/>
  <c r="BK49" i="3"/>
  <c r="BL49" i="3"/>
  <c r="BM49" i="3"/>
  <c r="BN49" i="3"/>
  <c r="BP49" i="3"/>
  <c r="AB25" i="3"/>
  <c r="W25" i="3"/>
  <c r="Z18" i="3"/>
  <c r="Z25" i="3"/>
  <c r="Z24" i="3"/>
  <c r="Z22" i="3"/>
  <c r="Z23" i="3"/>
  <c r="Z20" i="3"/>
  <c r="Z17" i="3"/>
  <c r="BQ52" i="3"/>
  <c r="BR52" i="3"/>
  <c r="BS52" i="3"/>
  <c r="BT52" i="3"/>
  <c r="BU52" i="3"/>
  <c r="BV52" i="3"/>
  <c r="BW52" i="3"/>
  <c r="BX52" i="3"/>
  <c r="BR53" i="3"/>
  <c r="BS53" i="3"/>
  <c r="BT53" i="3"/>
  <c r="BU53" i="3"/>
  <c r="BV53" i="3"/>
  <c r="BW53" i="3"/>
  <c r="BX53" i="3"/>
  <c r="BQ54" i="3"/>
  <c r="BS54" i="3"/>
  <c r="BT54" i="3"/>
  <c r="BU54" i="3"/>
  <c r="BV54" i="3"/>
  <c r="BW54" i="3"/>
  <c r="BX54" i="3"/>
  <c r="BQ55" i="3"/>
  <c r="BR55" i="3"/>
  <c r="BT55" i="3"/>
  <c r="BU55" i="3"/>
  <c r="BV55" i="3"/>
  <c r="BW55" i="3"/>
  <c r="BX55" i="3"/>
  <c r="BQ56" i="3"/>
  <c r="BR56" i="3"/>
  <c r="BS56" i="3"/>
  <c r="BU56" i="3"/>
  <c r="BV56" i="3"/>
  <c r="BW56" i="3"/>
  <c r="BX56" i="3"/>
  <c r="BQ57" i="3"/>
  <c r="BR57" i="3"/>
  <c r="BS57" i="3"/>
  <c r="BT57" i="3"/>
  <c r="BV57" i="3"/>
  <c r="BW57" i="3"/>
  <c r="BX57" i="3"/>
  <c r="BQ58" i="3"/>
  <c r="BR58" i="3"/>
  <c r="BS58" i="3"/>
  <c r="BT58" i="3"/>
  <c r="BU58" i="3"/>
  <c r="BW58" i="3"/>
  <c r="BX58" i="3"/>
  <c r="BQ59" i="3"/>
  <c r="BR59" i="3"/>
  <c r="BS59" i="3"/>
  <c r="BT59" i="3"/>
  <c r="BU59" i="3"/>
  <c r="BV59" i="3"/>
  <c r="BX59" i="3"/>
  <c r="BQ60" i="3"/>
  <c r="BR60" i="3"/>
  <c r="BS60" i="3"/>
  <c r="BT60" i="3"/>
  <c r="BU60" i="3"/>
  <c r="BV60" i="3"/>
  <c r="BW60" i="3"/>
  <c r="F52" i="3"/>
  <c r="G52" i="3"/>
  <c r="H52" i="3"/>
  <c r="I52" i="3"/>
  <c r="J52" i="3"/>
  <c r="K52" i="3"/>
  <c r="L52" i="3"/>
  <c r="M52" i="3"/>
  <c r="O52" i="3"/>
  <c r="P52" i="3"/>
  <c r="Q52" i="3"/>
  <c r="R52" i="3"/>
  <c r="S52" i="3"/>
  <c r="T52" i="3"/>
  <c r="U52" i="3"/>
  <c r="V52" i="3"/>
  <c r="X52" i="3"/>
  <c r="Y52" i="3"/>
  <c r="Z52" i="3"/>
  <c r="AA52" i="3"/>
  <c r="AB52" i="3"/>
  <c r="AC52" i="3"/>
  <c r="AD52" i="3"/>
  <c r="AE52" i="3"/>
  <c r="AG52" i="3"/>
  <c r="AH52" i="3"/>
  <c r="AI52" i="3"/>
  <c r="AJ52" i="3"/>
  <c r="AK52" i="3"/>
  <c r="AL52" i="3"/>
  <c r="AM52" i="3"/>
  <c r="AN52" i="3"/>
  <c r="AP52" i="3"/>
  <c r="AQ52" i="3"/>
  <c r="AR52" i="3"/>
  <c r="AS52" i="3"/>
  <c r="AT52" i="3"/>
  <c r="AU52" i="3"/>
  <c r="AV52" i="3"/>
  <c r="AW52" i="3"/>
  <c r="AY52" i="3"/>
  <c r="AZ52" i="3"/>
  <c r="BA52" i="3"/>
  <c r="BB52" i="3"/>
  <c r="BC52" i="3"/>
  <c r="BD52" i="3"/>
  <c r="BE52" i="3"/>
  <c r="BF52" i="3"/>
  <c r="BH52" i="3"/>
  <c r="BI52" i="3"/>
  <c r="BJ52" i="3"/>
  <c r="BK52" i="3"/>
  <c r="BL52" i="3"/>
  <c r="BM52" i="3"/>
  <c r="BN52" i="3"/>
  <c r="BO52" i="3"/>
  <c r="AC17" i="3"/>
  <c r="O3" i="3"/>
  <c r="P3" i="3"/>
  <c r="Q3" i="3"/>
  <c r="R3" i="3"/>
  <c r="S3" i="3"/>
  <c r="T3" i="3"/>
  <c r="U3" i="3"/>
  <c r="V3" i="3"/>
  <c r="Q4" i="3"/>
  <c r="AG3" i="3"/>
  <c r="AG4" i="3"/>
  <c r="AI4" i="3"/>
  <c r="AG5" i="3"/>
  <c r="AI5" i="3"/>
  <c r="AG6" i="3"/>
  <c r="AI6" i="3"/>
  <c r="AG7" i="3"/>
  <c r="AI7" i="3"/>
  <c r="AG8" i="3"/>
  <c r="AI8" i="3"/>
  <c r="AG9" i="3"/>
  <c r="AI9" i="3"/>
  <c r="AG10" i="3"/>
  <c r="AI10" i="3"/>
  <c r="AG11" i="3"/>
  <c r="AI11" i="3"/>
  <c r="AG12" i="3"/>
  <c r="AI12" i="3"/>
  <c r="AJ4" i="3"/>
  <c r="AJ5" i="3"/>
  <c r="AJ6" i="3"/>
  <c r="AJ7" i="3"/>
  <c r="AJ8" i="3"/>
  <c r="AJ9" i="3"/>
  <c r="AJ10" i="3"/>
  <c r="AJ11" i="3"/>
  <c r="AJ12" i="3"/>
  <c r="AK4" i="3"/>
  <c r="AK5" i="3"/>
  <c r="AK6" i="3"/>
  <c r="AK7" i="3"/>
  <c r="AK8" i="3"/>
  <c r="AK9" i="3"/>
  <c r="AK10" i="3"/>
  <c r="AK11" i="3"/>
  <c r="AK12" i="3"/>
  <c r="AH12" i="3"/>
  <c r="AH11" i="3"/>
  <c r="AH10" i="3"/>
  <c r="AH9" i="3"/>
  <c r="AH8" i="3"/>
  <c r="AH7" i="3"/>
  <c r="AH6" i="3"/>
  <c r="AH5" i="3"/>
  <c r="AH4" i="3"/>
  <c r="O4" i="3"/>
  <c r="W3" i="3"/>
  <c r="W4" i="3"/>
  <c r="Y4" i="3"/>
  <c r="W5" i="3"/>
  <c r="Y5" i="3"/>
  <c r="W6" i="3"/>
  <c r="Z19" i="3"/>
  <c r="Y6" i="3"/>
  <c r="W7" i="3"/>
  <c r="Y7" i="3"/>
  <c r="W8" i="3"/>
  <c r="Z21" i="3"/>
  <c r="Y8" i="3"/>
  <c r="W9" i="3"/>
  <c r="Y9" i="3"/>
  <c r="W10" i="3"/>
  <c r="Y10" i="3"/>
  <c r="W11" i="3"/>
  <c r="Y11" i="3"/>
  <c r="W12" i="3"/>
  <c r="Y12" i="3"/>
  <c r="Z4" i="3"/>
  <c r="Z5" i="3"/>
  <c r="X19" i="3"/>
  <c r="X17" i="3"/>
  <c r="X18" i="3"/>
  <c r="X20" i="3"/>
  <c r="X21" i="3"/>
  <c r="X22" i="3"/>
  <c r="X23" i="3"/>
  <c r="X24" i="3"/>
  <c r="X25" i="3"/>
  <c r="E6" i="3"/>
  <c r="Z6" i="3"/>
  <c r="Z7" i="3"/>
  <c r="E8" i="3"/>
  <c r="Z8" i="3"/>
  <c r="Z9" i="3"/>
  <c r="Z10" i="3"/>
  <c r="Z11" i="3"/>
  <c r="Z12" i="3"/>
  <c r="AA4" i="3"/>
  <c r="AA5" i="3"/>
  <c r="AA6" i="3"/>
  <c r="X4" i="3"/>
  <c r="E54" i="3"/>
  <c r="F54" i="3"/>
  <c r="H54" i="3"/>
  <c r="I54" i="3"/>
  <c r="J54" i="3"/>
  <c r="K54" i="3"/>
  <c r="L54" i="3"/>
  <c r="M54" i="3"/>
  <c r="N54" i="3"/>
  <c r="O54" i="3"/>
  <c r="Q54" i="3"/>
  <c r="R54" i="3"/>
  <c r="S54" i="3"/>
  <c r="T54" i="3"/>
  <c r="U54" i="3"/>
  <c r="V54" i="3"/>
  <c r="W54" i="3"/>
  <c r="X54" i="3"/>
  <c r="Z54" i="3"/>
  <c r="AA54" i="3"/>
  <c r="AB54" i="3"/>
  <c r="AC54" i="3"/>
  <c r="AD54" i="3"/>
  <c r="AE54" i="3"/>
  <c r="AF54" i="3"/>
  <c r="AG54" i="3"/>
  <c r="AI54" i="3"/>
  <c r="AJ54" i="3"/>
  <c r="AK54" i="3"/>
  <c r="AL54" i="3"/>
  <c r="AM54" i="3"/>
  <c r="AN54" i="3"/>
  <c r="AO54" i="3"/>
  <c r="AP54" i="3"/>
  <c r="AR54" i="3"/>
  <c r="AS54" i="3"/>
  <c r="AT54" i="3"/>
  <c r="AU54" i="3"/>
  <c r="AV54" i="3"/>
  <c r="AW54" i="3"/>
  <c r="AX54" i="3"/>
  <c r="AY54" i="3"/>
  <c r="BA54" i="3"/>
  <c r="BB54" i="3"/>
  <c r="BC54" i="3"/>
  <c r="BD54" i="3"/>
  <c r="BE54" i="3"/>
  <c r="BF54" i="3"/>
  <c r="BG54" i="3"/>
  <c r="BH54" i="3"/>
  <c r="BJ54" i="3"/>
  <c r="BK54" i="3"/>
  <c r="BL54" i="3"/>
  <c r="BM54" i="3"/>
  <c r="BN54" i="3"/>
  <c r="BO54" i="3"/>
  <c r="BP54" i="3"/>
  <c r="AC19" i="3"/>
  <c r="R4" i="3"/>
  <c r="AL3" i="3"/>
  <c r="AL4" i="3"/>
  <c r="AN4" i="3"/>
  <c r="AL5" i="3"/>
  <c r="AN5" i="3"/>
  <c r="AL6" i="3"/>
  <c r="AN6" i="3"/>
  <c r="AL7" i="3"/>
  <c r="AN7" i="3"/>
  <c r="AL8" i="3"/>
  <c r="AN8" i="3"/>
  <c r="AL9" i="3"/>
  <c r="AN9" i="3"/>
  <c r="AL10" i="3"/>
  <c r="AN10" i="3"/>
  <c r="AL11" i="3"/>
  <c r="AN11" i="3"/>
  <c r="AL12" i="3"/>
  <c r="AN12" i="3"/>
  <c r="AO4" i="3"/>
  <c r="AO5" i="3"/>
  <c r="AO6" i="3"/>
  <c r="AO7" i="3"/>
  <c r="AO8" i="3"/>
  <c r="AO9" i="3"/>
  <c r="AO10" i="3"/>
  <c r="AO11" i="3"/>
  <c r="AO12" i="3"/>
  <c r="AP4" i="3"/>
  <c r="AP5" i="3"/>
  <c r="AP6" i="3"/>
  <c r="AP7" i="3"/>
  <c r="AP8" i="3"/>
  <c r="AP9" i="3"/>
  <c r="AP10" i="3"/>
  <c r="AP11" i="3"/>
  <c r="AP12" i="3"/>
  <c r="AM12" i="3"/>
  <c r="AM11" i="3"/>
  <c r="AM10" i="3"/>
  <c r="AM9" i="3"/>
  <c r="AM8" i="3"/>
  <c r="AM7" i="3"/>
  <c r="AM6" i="3"/>
  <c r="AM5" i="3"/>
  <c r="AM4" i="3"/>
  <c r="P4" i="3"/>
  <c r="AB3" i="3"/>
  <c r="AB4" i="3"/>
  <c r="AD4" i="3"/>
  <c r="AB5" i="3"/>
  <c r="AD5" i="3"/>
  <c r="AB6" i="3"/>
  <c r="AD6" i="3"/>
  <c r="AB7" i="3"/>
  <c r="AD7" i="3"/>
  <c r="AB8" i="3"/>
  <c r="AD8" i="3"/>
  <c r="AB9" i="3"/>
  <c r="AD9" i="3"/>
  <c r="AB10" i="3"/>
  <c r="AD10" i="3"/>
  <c r="AB11" i="3"/>
  <c r="AD11" i="3"/>
  <c r="AB12" i="3"/>
  <c r="AD12" i="3"/>
  <c r="AE4" i="3"/>
  <c r="AE5" i="3"/>
  <c r="AE6" i="3"/>
  <c r="AE7" i="3"/>
  <c r="AE8" i="3"/>
  <c r="AE9" i="3"/>
  <c r="AE10" i="3"/>
  <c r="AE11" i="3"/>
  <c r="AE12" i="3"/>
  <c r="AF4" i="3"/>
  <c r="AF5" i="3"/>
  <c r="AF6" i="3"/>
  <c r="AF7" i="3"/>
  <c r="AF8" i="3"/>
  <c r="AF9" i="3"/>
  <c r="AF10" i="3"/>
  <c r="AF11" i="3"/>
  <c r="AF12" i="3"/>
  <c r="AC12" i="3"/>
  <c r="AC11" i="3"/>
  <c r="AC10" i="3"/>
  <c r="AC9" i="3"/>
  <c r="AC8" i="3"/>
  <c r="AC7" i="3"/>
  <c r="AC6" i="3"/>
  <c r="AC5" i="3"/>
  <c r="AC4" i="3"/>
  <c r="AA7" i="3"/>
  <c r="AA8" i="3"/>
  <c r="AA9" i="3"/>
  <c r="AA10" i="3"/>
  <c r="AA11" i="3"/>
  <c r="AA12" i="3"/>
  <c r="X12" i="3"/>
  <c r="X11" i="3"/>
  <c r="X10" i="3"/>
  <c r="X9" i="3"/>
  <c r="X8" i="3"/>
  <c r="X7" i="3"/>
  <c r="X6" i="3"/>
  <c r="X5" i="3"/>
  <c r="E4" i="3"/>
  <c r="D4" i="3"/>
  <c r="E5" i="3"/>
  <c r="D5" i="3"/>
  <c r="D6" i="3"/>
  <c r="E7" i="3"/>
  <c r="D7" i="3"/>
  <c r="D8" i="3"/>
  <c r="E9" i="3"/>
  <c r="D9" i="3"/>
  <c r="E10" i="3"/>
  <c r="D10" i="3"/>
  <c r="E11" i="3"/>
  <c r="D11" i="3"/>
  <c r="E12" i="3"/>
  <c r="D12" i="3"/>
  <c r="C4" i="3"/>
  <c r="C5" i="3"/>
  <c r="C6" i="3"/>
  <c r="C7" i="3"/>
  <c r="C8" i="3"/>
  <c r="C9" i="3"/>
  <c r="C10" i="3"/>
  <c r="C11" i="3"/>
  <c r="C12" i="3"/>
  <c r="E56" i="3"/>
  <c r="F56" i="3"/>
  <c r="G56" i="3"/>
  <c r="H56" i="3"/>
  <c r="J56" i="3"/>
  <c r="K56" i="3"/>
  <c r="L56" i="3"/>
  <c r="M56" i="3"/>
  <c r="N56" i="3"/>
  <c r="O56" i="3"/>
  <c r="P56" i="3"/>
  <c r="Q56" i="3"/>
  <c r="S56" i="3"/>
  <c r="T56" i="3"/>
  <c r="U56" i="3"/>
  <c r="V56" i="3"/>
  <c r="W56" i="3"/>
  <c r="X56" i="3"/>
  <c r="Y56" i="3"/>
  <c r="Z56" i="3"/>
  <c r="AB56" i="3"/>
  <c r="AC56" i="3"/>
  <c r="AD56" i="3"/>
  <c r="AE56" i="3"/>
  <c r="AF56" i="3"/>
  <c r="AG56" i="3"/>
  <c r="AH56" i="3"/>
  <c r="AI56" i="3"/>
  <c r="AK56" i="3"/>
  <c r="AL56" i="3"/>
  <c r="AM56" i="3"/>
  <c r="AN56" i="3"/>
  <c r="AO56" i="3"/>
  <c r="AP56" i="3"/>
  <c r="AQ56" i="3"/>
  <c r="AR56" i="3"/>
  <c r="AT56" i="3"/>
  <c r="AU56" i="3"/>
  <c r="AV56" i="3"/>
  <c r="AW56" i="3"/>
  <c r="AX56" i="3"/>
  <c r="AY56" i="3"/>
  <c r="AZ56" i="3"/>
  <c r="BA56" i="3"/>
  <c r="BC56" i="3"/>
  <c r="BD56" i="3"/>
  <c r="BE56" i="3"/>
  <c r="BF56" i="3"/>
  <c r="BG56" i="3"/>
  <c r="BH56" i="3"/>
  <c r="BI56" i="3"/>
  <c r="BJ56" i="3"/>
  <c r="BL56" i="3"/>
  <c r="BM56" i="3"/>
  <c r="BN56" i="3"/>
  <c r="BO56" i="3"/>
  <c r="BP56" i="3"/>
  <c r="AC21" i="3"/>
  <c r="K4" i="3"/>
  <c r="D17" i="3"/>
  <c r="K13" i="3"/>
  <c r="V10" i="6"/>
  <c r="V34" i="6"/>
  <c r="V58" i="6"/>
  <c r="V9" i="6"/>
  <c r="V33" i="6"/>
  <c r="V57" i="6"/>
  <c r="N4" i="3"/>
  <c r="G17" i="3"/>
  <c r="C40" i="27"/>
  <c r="G40" i="27"/>
  <c r="F40" i="27"/>
  <c r="E40" i="27"/>
  <c r="D40" i="27"/>
  <c r="C39" i="27"/>
  <c r="G39" i="27"/>
  <c r="F39" i="27"/>
  <c r="E39" i="27"/>
  <c r="D39" i="27"/>
  <c r="C38" i="27"/>
  <c r="G38" i="27"/>
  <c r="F38" i="27"/>
  <c r="E38" i="27"/>
  <c r="D38" i="27"/>
  <c r="C37" i="27"/>
  <c r="G37" i="27"/>
  <c r="F37" i="27"/>
  <c r="E37" i="27"/>
  <c r="D37" i="27"/>
  <c r="C36" i="27"/>
  <c r="G36" i="27"/>
  <c r="F36" i="27"/>
  <c r="E36" i="27"/>
  <c r="D36" i="27"/>
  <c r="C35" i="27"/>
  <c r="G35" i="27"/>
  <c r="F35" i="27"/>
  <c r="E35" i="27"/>
  <c r="D35" i="27"/>
  <c r="C34" i="27"/>
  <c r="G34" i="27"/>
  <c r="F34" i="27"/>
  <c r="E34" i="27"/>
  <c r="D34" i="27"/>
  <c r="C33" i="27"/>
  <c r="G33" i="27"/>
  <c r="F33" i="27"/>
  <c r="E33" i="27"/>
  <c r="D33" i="27"/>
  <c r="C32" i="27"/>
  <c r="G32" i="27"/>
  <c r="F32" i="27"/>
  <c r="E32" i="27"/>
  <c r="D32" i="27"/>
  <c r="C8" i="27"/>
  <c r="F8" i="27"/>
  <c r="E8" i="27"/>
  <c r="C52" i="27"/>
  <c r="C51" i="27"/>
  <c r="X43" i="27"/>
  <c r="X52" i="27"/>
  <c r="C50" i="27"/>
  <c r="W43" i="27"/>
  <c r="W52" i="27"/>
  <c r="C49" i="27"/>
  <c r="V43" i="27"/>
  <c r="V52" i="27"/>
  <c r="C48" i="27"/>
  <c r="U43" i="27"/>
  <c r="U52" i="27"/>
  <c r="C47" i="27"/>
  <c r="T43" i="27"/>
  <c r="T52" i="27"/>
  <c r="C46" i="27"/>
  <c r="S43" i="27"/>
  <c r="S52" i="27"/>
  <c r="C45" i="27"/>
  <c r="R43" i="27"/>
  <c r="R52" i="27"/>
  <c r="C44" i="27"/>
  <c r="Q43" i="27"/>
  <c r="Q52" i="27"/>
  <c r="O43" i="27"/>
  <c r="O52" i="27"/>
  <c r="N43" i="27"/>
  <c r="N52" i="27"/>
  <c r="M43" i="27"/>
  <c r="M52" i="27"/>
  <c r="L43" i="27"/>
  <c r="L52" i="27"/>
  <c r="K43" i="27"/>
  <c r="K52" i="27"/>
  <c r="J43" i="27"/>
  <c r="J52" i="27"/>
  <c r="I43" i="27"/>
  <c r="I52" i="27"/>
  <c r="H43" i="27"/>
  <c r="H52" i="27"/>
  <c r="Y43" i="27"/>
  <c r="Y51" i="27"/>
  <c r="W51" i="27"/>
  <c r="V51" i="27"/>
  <c r="U51" i="27"/>
  <c r="T51" i="27"/>
  <c r="S51" i="27"/>
  <c r="R51" i="27"/>
  <c r="Q51" i="27"/>
  <c r="P43" i="27"/>
  <c r="P51" i="27"/>
  <c r="N51" i="27"/>
  <c r="M51" i="27"/>
  <c r="L51" i="27"/>
  <c r="K51" i="27"/>
  <c r="J51" i="27"/>
  <c r="I51" i="27"/>
  <c r="H51" i="27"/>
  <c r="Y50" i="27"/>
  <c r="X50" i="27"/>
  <c r="V50" i="27"/>
  <c r="U50" i="27"/>
  <c r="T50" i="27"/>
  <c r="S50" i="27"/>
  <c r="R50" i="27"/>
  <c r="Q50" i="27"/>
  <c r="P50" i="27"/>
  <c r="O50" i="27"/>
  <c r="M50" i="27"/>
  <c r="L50" i="27"/>
  <c r="K50" i="27"/>
  <c r="J50" i="27"/>
  <c r="I50" i="27"/>
  <c r="H50" i="27"/>
  <c r="Y49" i="27"/>
  <c r="X49" i="27"/>
  <c r="W49" i="27"/>
  <c r="U49" i="27"/>
  <c r="T49" i="27"/>
  <c r="S49" i="27"/>
  <c r="R49" i="27"/>
  <c r="Q49" i="27"/>
  <c r="P49" i="27"/>
  <c r="O49" i="27"/>
  <c r="N49" i="27"/>
  <c r="L49" i="27"/>
  <c r="K49" i="27"/>
  <c r="J49" i="27"/>
  <c r="I49" i="27"/>
  <c r="H49" i="27"/>
  <c r="Y48" i="27"/>
  <c r="X48" i="27"/>
  <c r="W48" i="27"/>
  <c r="V48" i="27"/>
  <c r="T48" i="27"/>
  <c r="S48" i="27"/>
  <c r="R48" i="27"/>
  <c r="Q48" i="27"/>
  <c r="P48" i="27"/>
  <c r="O48" i="27"/>
  <c r="N48" i="27"/>
  <c r="M48" i="27"/>
  <c r="K48" i="27"/>
  <c r="J48" i="27"/>
  <c r="I48" i="27"/>
  <c r="H48" i="27"/>
  <c r="Y47" i="27"/>
  <c r="X47" i="27"/>
  <c r="W47" i="27"/>
  <c r="V47" i="27"/>
  <c r="U47" i="27"/>
  <c r="S47" i="27"/>
  <c r="R47" i="27"/>
  <c r="Q47" i="27"/>
  <c r="P47" i="27"/>
  <c r="O47" i="27"/>
  <c r="N47" i="27"/>
  <c r="M47" i="27"/>
  <c r="L47" i="27"/>
  <c r="J47" i="27"/>
  <c r="I47" i="27"/>
  <c r="H47" i="27"/>
  <c r="Y46" i="27"/>
  <c r="X46" i="27"/>
  <c r="W46" i="27"/>
  <c r="V46" i="27"/>
  <c r="U46" i="27"/>
  <c r="T46" i="27"/>
  <c r="R46" i="27"/>
  <c r="Q46" i="27"/>
  <c r="P46" i="27"/>
  <c r="O46" i="27"/>
  <c r="N46" i="27"/>
  <c r="M46" i="27"/>
  <c r="L46" i="27"/>
  <c r="K46" i="27"/>
  <c r="I46" i="27"/>
  <c r="H46" i="27"/>
  <c r="Y45" i="27"/>
  <c r="X45" i="27"/>
  <c r="W45" i="27"/>
  <c r="V45" i="27"/>
  <c r="U45" i="27"/>
  <c r="T45" i="27"/>
  <c r="S45" i="27"/>
  <c r="Q45" i="27"/>
  <c r="P45" i="27"/>
  <c r="O45" i="27"/>
  <c r="N45" i="27"/>
  <c r="M45" i="27"/>
  <c r="L45" i="27"/>
  <c r="K45" i="27"/>
  <c r="J45" i="27"/>
  <c r="H45" i="27"/>
  <c r="Y44" i="27"/>
  <c r="X44" i="27"/>
  <c r="W44" i="27"/>
  <c r="V44" i="27"/>
  <c r="U44" i="27"/>
  <c r="T44" i="27"/>
  <c r="S44" i="27"/>
  <c r="R44" i="27"/>
  <c r="P44" i="27"/>
  <c r="O44" i="27"/>
  <c r="N44" i="27"/>
  <c r="M44" i="27"/>
  <c r="L44" i="27"/>
  <c r="K44" i="27"/>
  <c r="J44" i="27"/>
  <c r="I44" i="27"/>
  <c r="X31" i="27"/>
  <c r="X40" i="27"/>
  <c r="W31" i="27"/>
  <c r="W40" i="27"/>
  <c r="V31" i="27"/>
  <c r="V40" i="27"/>
  <c r="U31" i="27"/>
  <c r="U40" i="27"/>
  <c r="T31" i="27"/>
  <c r="T40" i="27"/>
  <c r="S31" i="27"/>
  <c r="S40" i="27"/>
  <c r="R31" i="27"/>
  <c r="R40" i="27"/>
  <c r="Q31" i="27"/>
  <c r="Q40" i="27"/>
  <c r="O31" i="27"/>
  <c r="O40" i="27"/>
  <c r="N31" i="27"/>
  <c r="N40" i="27"/>
  <c r="M31" i="27"/>
  <c r="M40" i="27"/>
  <c r="L31" i="27"/>
  <c r="L40" i="27"/>
  <c r="K31" i="27"/>
  <c r="K40" i="27"/>
  <c r="J31" i="27"/>
  <c r="J40" i="27"/>
  <c r="I31" i="27"/>
  <c r="I40" i="27"/>
  <c r="H31" i="27"/>
  <c r="H40" i="27"/>
  <c r="Y31" i="27"/>
  <c r="Y39" i="27"/>
  <c r="W39" i="27"/>
  <c r="V39" i="27"/>
  <c r="U39" i="27"/>
  <c r="T39" i="27"/>
  <c r="S39" i="27"/>
  <c r="R39" i="27"/>
  <c r="Q39" i="27"/>
  <c r="P31" i="27"/>
  <c r="P39" i="27"/>
  <c r="N39" i="27"/>
  <c r="M39" i="27"/>
  <c r="L39" i="27"/>
  <c r="K39" i="27"/>
  <c r="J39" i="27"/>
  <c r="I39" i="27"/>
  <c r="H39" i="27"/>
  <c r="Y38" i="27"/>
  <c r="X38" i="27"/>
  <c r="V38" i="27"/>
  <c r="U38" i="27"/>
  <c r="T38" i="27"/>
  <c r="S38" i="27"/>
  <c r="R38" i="27"/>
  <c r="Q38" i="27"/>
  <c r="P38" i="27"/>
  <c r="O38" i="27"/>
  <c r="M38" i="27"/>
  <c r="L38" i="27"/>
  <c r="K38" i="27"/>
  <c r="J38" i="27"/>
  <c r="I38" i="27"/>
  <c r="H38" i="27"/>
  <c r="Y37" i="27"/>
  <c r="X37" i="27"/>
  <c r="W37" i="27"/>
  <c r="U37" i="27"/>
  <c r="T37" i="27"/>
  <c r="S37" i="27"/>
  <c r="R37" i="27"/>
  <c r="Q37" i="27"/>
  <c r="P37" i="27"/>
  <c r="O37" i="27"/>
  <c r="N37" i="27"/>
  <c r="L37" i="27"/>
  <c r="K37" i="27"/>
  <c r="J37" i="27"/>
  <c r="I37" i="27"/>
  <c r="H37" i="27"/>
  <c r="Y36" i="27"/>
  <c r="X36" i="27"/>
  <c r="W36" i="27"/>
  <c r="V36" i="27"/>
  <c r="T36" i="27"/>
  <c r="S36" i="27"/>
  <c r="R36" i="27"/>
  <c r="Q36" i="27"/>
  <c r="P36" i="27"/>
  <c r="O36" i="27"/>
  <c r="N36" i="27"/>
  <c r="M36" i="27"/>
  <c r="K36" i="27"/>
  <c r="J36" i="27"/>
  <c r="I36" i="27"/>
  <c r="H36" i="27"/>
  <c r="Y35" i="27"/>
  <c r="X35" i="27"/>
  <c r="W35" i="27"/>
  <c r="V35" i="27"/>
  <c r="U35" i="27"/>
  <c r="S35" i="27"/>
  <c r="R35" i="27"/>
  <c r="Q35" i="27"/>
  <c r="P35" i="27"/>
  <c r="O35" i="27"/>
  <c r="N35" i="27"/>
  <c r="M35" i="27"/>
  <c r="L35" i="27"/>
  <c r="J35" i="27"/>
  <c r="I35" i="27"/>
  <c r="H35" i="27"/>
  <c r="Y34" i="27"/>
  <c r="X34" i="27"/>
  <c r="W34" i="27"/>
  <c r="V34" i="27"/>
  <c r="U34" i="27"/>
  <c r="T34" i="27"/>
  <c r="R34" i="27"/>
  <c r="Q34" i="27"/>
  <c r="P34" i="27"/>
  <c r="O34" i="27"/>
  <c r="N34" i="27"/>
  <c r="M34" i="27"/>
  <c r="L34" i="27"/>
  <c r="K34" i="27"/>
  <c r="I34" i="27"/>
  <c r="H34" i="27"/>
  <c r="Y33" i="27"/>
  <c r="X33" i="27"/>
  <c r="W33" i="27"/>
  <c r="V33" i="27"/>
  <c r="U33" i="27"/>
  <c r="T33" i="27"/>
  <c r="S33" i="27"/>
  <c r="Q33" i="27"/>
  <c r="P33" i="27"/>
  <c r="O33" i="27"/>
  <c r="N33" i="27"/>
  <c r="M33" i="27"/>
  <c r="L33" i="27"/>
  <c r="K33" i="27"/>
  <c r="J33" i="27"/>
  <c r="H33" i="27"/>
  <c r="Y32" i="27"/>
  <c r="X32" i="27"/>
  <c r="W32" i="27"/>
  <c r="V32" i="27"/>
  <c r="U32" i="27"/>
  <c r="T32" i="27"/>
  <c r="S32" i="27"/>
  <c r="R32" i="27"/>
  <c r="P32" i="27"/>
  <c r="O32" i="27"/>
  <c r="N32" i="27"/>
  <c r="M32" i="27"/>
  <c r="L32" i="27"/>
  <c r="K32" i="27"/>
  <c r="J32" i="27"/>
  <c r="I32" i="27"/>
  <c r="C28" i="27"/>
  <c r="C27" i="27"/>
  <c r="X19" i="27"/>
  <c r="X28" i="27"/>
  <c r="C26" i="27"/>
  <c r="W19" i="27"/>
  <c r="W28" i="27"/>
  <c r="C25" i="27"/>
  <c r="V19" i="27"/>
  <c r="V28" i="27"/>
  <c r="C24" i="27"/>
  <c r="U19" i="27"/>
  <c r="U28" i="27"/>
  <c r="C23" i="27"/>
  <c r="T19" i="27"/>
  <c r="T28" i="27"/>
  <c r="C22" i="27"/>
  <c r="S19" i="27"/>
  <c r="S28" i="27"/>
  <c r="C21" i="27"/>
  <c r="R19" i="27"/>
  <c r="R28" i="27"/>
  <c r="C20" i="27"/>
  <c r="Q19" i="27"/>
  <c r="Q28" i="27"/>
  <c r="O19" i="27"/>
  <c r="O28" i="27"/>
  <c r="N19" i="27"/>
  <c r="N28" i="27"/>
  <c r="M19" i="27"/>
  <c r="M28" i="27"/>
  <c r="L19" i="27"/>
  <c r="L28" i="27"/>
  <c r="K19" i="27"/>
  <c r="K28" i="27"/>
  <c r="J19" i="27"/>
  <c r="J28" i="27"/>
  <c r="I19" i="27"/>
  <c r="I28" i="27"/>
  <c r="H19" i="27"/>
  <c r="H28" i="27"/>
  <c r="Y19" i="27"/>
  <c r="Y27" i="27"/>
  <c r="W27" i="27"/>
  <c r="V27" i="27"/>
  <c r="U27" i="27"/>
  <c r="T27" i="27"/>
  <c r="S27" i="27"/>
  <c r="R27" i="27"/>
  <c r="Q27" i="27"/>
  <c r="P19" i="27"/>
  <c r="P27" i="27"/>
  <c r="N27" i="27"/>
  <c r="M27" i="27"/>
  <c r="L27" i="27"/>
  <c r="K27" i="27"/>
  <c r="J27" i="27"/>
  <c r="I27" i="27"/>
  <c r="H27" i="27"/>
  <c r="Y26" i="27"/>
  <c r="X26" i="27"/>
  <c r="V26" i="27"/>
  <c r="U26" i="27"/>
  <c r="T26" i="27"/>
  <c r="S26" i="27"/>
  <c r="R26" i="27"/>
  <c r="Q26" i="27"/>
  <c r="P26" i="27"/>
  <c r="O26" i="27"/>
  <c r="M26" i="27"/>
  <c r="L26" i="27"/>
  <c r="K26" i="27"/>
  <c r="J26" i="27"/>
  <c r="I26" i="27"/>
  <c r="H26" i="27"/>
  <c r="Y25" i="27"/>
  <c r="X25" i="27"/>
  <c r="W25" i="27"/>
  <c r="U25" i="27"/>
  <c r="T25" i="27"/>
  <c r="S25" i="27"/>
  <c r="R25" i="27"/>
  <c r="Q25" i="27"/>
  <c r="P25" i="27"/>
  <c r="O25" i="27"/>
  <c r="N25" i="27"/>
  <c r="L25" i="27"/>
  <c r="K25" i="27"/>
  <c r="J25" i="27"/>
  <c r="I25" i="27"/>
  <c r="H25" i="27"/>
  <c r="Y24" i="27"/>
  <c r="X24" i="27"/>
  <c r="W24" i="27"/>
  <c r="V24" i="27"/>
  <c r="T24" i="27"/>
  <c r="S24" i="27"/>
  <c r="R24" i="27"/>
  <c r="Q24" i="27"/>
  <c r="P24" i="27"/>
  <c r="O24" i="27"/>
  <c r="N24" i="27"/>
  <c r="M24" i="27"/>
  <c r="K24" i="27"/>
  <c r="J24" i="27"/>
  <c r="I24" i="27"/>
  <c r="H24" i="27"/>
  <c r="Y23" i="27"/>
  <c r="X23" i="27"/>
  <c r="W23" i="27"/>
  <c r="V23" i="27"/>
  <c r="U23" i="27"/>
  <c r="S23" i="27"/>
  <c r="R23" i="27"/>
  <c r="Q23" i="27"/>
  <c r="P23" i="27"/>
  <c r="O23" i="27"/>
  <c r="N23" i="27"/>
  <c r="M23" i="27"/>
  <c r="L23" i="27"/>
  <c r="J23" i="27"/>
  <c r="I23" i="27"/>
  <c r="H23" i="27"/>
  <c r="Y22" i="27"/>
  <c r="X22" i="27"/>
  <c r="W22" i="27"/>
  <c r="V22" i="27"/>
  <c r="U22" i="27"/>
  <c r="T22" i="27"/>
  <c r="R22" i="27"/>
  <c r="Q22" i="27"/>
  <c r="P22" i="27"/>
  <c r="O22" i="27"/>
  <c r="N22" i="27"/>
  <c r="M22" i="27"/>
  <c r="L22" i="27"/>
  <c r="K22" i="27"/>
  <c r="I22" i="27"/>
  <c r="H22" i="27"/>
  <c r="Y21" i="27"/>
  <c r="X21" i="27"/>
  <c r="W21" i="27"/>
  <c r="V21" i="27"/>
  <c r="U21" i="27"/>
  <c r="T21" i="27"/>
  <c r="S21" i="27"/>
  <c r="Q21" i="27"/>
  <c r="P21" i="27"/>
  <c r="O21" i="27"/>
  <c r="N21" i="27"/>
  <c r="M21" i="27"/>
  <c r="L21" i="27"/>
  <c r="K21" i="27"/>
  <c r="J21" i="27"/>
  <c r="H21" i="27"/>
  <c r="Y20" i="27"/>
  <c r="X20" i="27"/>
  <c r="W20" i="27"/>
  <c r="V20" i="27"/>
  <c r="U20" i="27"/>
  <c r="T20" i="27"/>
  <c r="S20" i="27"/>
  <c r="R20" i="27"/>
  <c r="P20" i="27"/>
  <c r="O20" i="27"/>
  <c r="N20" i="27"/>
  <c r="M20" i="27"/>
  <c r="L20" i="27"/>
  <c r="K20" i="27"/>
  <c r="J20" i="27"/>
  <c r="I20" i="27"/>
  <c r="C16" i="27"/>
  <c r="C15" i="27"/>
  <c r="X7" i="27"/>
  <c r="X16" i="27"/>
  <c r="C14" i="27"/>
  <c r="W7" i="27"/>
  <c r="W16" i="27"/>
  <c r="C13" i="27"/>
  <c r="V7" i="27"/>
  <c r="V16" i="27"/>
  <c r="C12" i="27"/>
  <c r="U7" i="27"/>
  <c r="U16" i="27"/>
  <c r="C11" i="27"/>
  <c r="T7" i="27"/>
  <c r="T16" i="27"/>
  <c r="C10" i="27"/>
  <c r="S7" i="27"/>
  <c r="S16" i="27"/>
  <c r="C9" i="27"/>
  <c r="R7" i="27"/>
  <c r="R16" i="27"/>
  <c r="Q7" i="27"/>
  <c r="Q16" i="27"/>
  <c r="O7" i="27"/>
  <c r="O16" i="27"/>
  <c r="N7" i="27"/>
  <c r="N16" i="27"/>
  <c r="M7" i="27"/>
  <c r="M16" i="27"/>
  <c r="L7" i="27"/>
  <c r="L16" i="27"/>
  <c r="K7" i="27"/>
  <c r="K16" i="27"/>
  <c r="J7" i="27"/>
  <c r="J16" i="27"/>
  <c r="I7" i="27"/>
  <c r="I16" i="27"/>
  <c r="H7" i="27"/>
  <c r="H16" i="27"/>
  <c r="G16" i="27"/>
  <c r="F16" i="27"/>
  <c r="D16" i="27"/>
  <c r="Y7" i="27"/>
  <c r="Y15" i="27"/>
  <c r="W15" i="27"/>
  <c r="V15" i="27"/>
  <c r="U15" i="27"/>
  <c r="T15" i="27"/>
  <c r="S15" i="27"/>
  <c r="R15" i="27"/>
  <c r="Q15" i="27"/>
  <c r="P7" i="27"/>
  <c r="P15" i="27"/>
  <c r="N15" i="27"/>
  <c r="M15" i="27"/>
  <c r="L15" i="27"/>
  <c r="K15" i="27"/>
  <c r="J15" i="27"/>
  <c r="I15" i="27"/>
  <c r="H15" i="27"/>
  <c r="G15" i="27"/>
  <c r="F15" i="27"/>
  <c r="D15" i="27"/>
  <c r="Y14" i="27"/>
  <c r="X14" i="27"/>
  <c r="V14" i="27"/>
  <c r="U14" i="27"/>
  <c r="T14" i="27"/>
  <c r="S14" i="27"/>
  <c r="R14" i="27"/>
  <c r="Q14" i="27"/>
  <c r="P14" i="27"/>
  <c r="O14" i="27"/>
  <c r="M14" i="27"/>
  <c r="L14" i="27"/>
  <c r="K14" i="27"/>
  <c r="J14" i="27"/>
  <c r="I14" i="27"/>
  <c r="H14" i="27"/>
  <c r="G14" i="27"/>
  <c r="F14" i="27"/>
  <c r="D14" i="27"/>
  <c r="Y13" i="27"/>
  <c r="X13" i="27"/>
  <c r="W13" i="27"/>
  <c r="U13" i="27"/>
  <c r="T13" i="27"/>
  <c r="S13" i="27"/>
  <c r="R13" i="27"/>
  <c r="Q13" i="27"/>
  <c r="P13" i="27"/>
  <c r="O13" i="27"/>
  <c r="N13" i="27"/>
  <c r="L13" i="27"/>
  <c r="K13" i="27"/>
  <c r="J13" i="27"/>
  <c r="I13" i="27"/>
  <c r="H13" i="27"/>
  <c r="G13" i="27"/>
  <c r="F13" i="27"/>
  <c r="D13" i="27"/>
  <c r="Y12" i="27"/>
  <c r="X12" i="27"/>
  <c r="W12" i="27"/>
  <c r="V12" i="27"/>
  <c r="T12" i="27"/>
  <c r="S12" i="27"/>
  <c r="R12" i="27"/>
  <c r="Q12" i="27"/>
  <c r="P12" i="27"/>
  <c r="O12" i="27"/>
  <c r="N12" i="27"/>
  <c r="M12" i="27"/>
  <c r="K12" i="27"/>
  <c r="J12" i="27"/>
  <c r="I12" i="27"/>
  <c r="H12" i="27"/>
  <c r="G12" i="27"/>
  <c r="F12" i="27"/>
  <c r="D12" i="27"/>
  <c r="Y11" i="27"/>
  <c r="X11" i="27"/>
  <c r="W11" i="27"/>
  <c r="V11" i="27"/>
  <c r="U11" i="27"/>
  <c r="S11" i="27"/>
  <c r="R11" i="27"/>
  <c r="Q11" i="27"/>
  <c r="P11" i="27"/>
  <c r="O11" i="27"/>
  <c r="N11" i="27"/>
  <c r="M11" i="27"/>
  <c r="L11" i="27"/>
  <c r="J11" i="27"/>
  <c r="I11" i="27"/>
  <c r="H11" i="27"/>
  <c r="G11" i="27"/>
  <c r="F11" i="27"/>
  <c r="D11" i="27"/>
  <c r="Y10" i="27"/>
  <c r="X10" i="27"/>
  <c r="W10" i="27"/>
  <c r="V10" i="27"/>
  <c r="U10" i="27"/>
  <c r="T10" i="27"/>
  <c r="R10" i="27"/>
  <c r="Q10" i="27"/>
  <c r="P10" i="27"/>
  <c r="O10" i="27"/>
  <c r="N10" i="27"/>
  <c r="M10" i="27"/>
  <c r="L10" i="27"/>
  <c r="K10" i="27"/>
  <c r="I10" i="27"/>
  <c r="H10" i="27"/>
  <c r="G10" i="27"/>
  <c r="F10" i="27"/>
  <c r="D10" i="27"/>
  <c r="Y9" i="27"/>
  <c r="X9" i="27"/>
  <c r="W9" i="27"/>
  <c r="V9" i="27"/>
  <c r="U9" i="27"/>
  <c r="T9" i="27"/>
  <c r="S9" i="27"/>
  <c r="Q9" i="27"/>
  <c r="P9" i="27"/>
  <c r="O9" i="27"/>
  <c r="N9" i="27"/>
  <c r="M9" i="27"/>
  <c r="L9" i="27"/>
  <c r="K9" i="27"/>
  <c r="J9" i="27"/>
  <c r="H9" i="27"/>
  <c r="G9" i="27"/>
  <c r="D9" i="27"/>
  <c r="Y8" i="27"/>
  <c r="X8" i="27"/>
  <c r="W8" i="27"/>
  <c r="V8" i="27"/>
  <c r="U8" i="27"/>
  <c r="T8" i="27"/>
  <c r="S8" i="27"/>
  <c r="R8" i="27"/>
  <c r="P8" i="27"/>
  <c r="O8" i="27"/>
  <c r="N8" i="27"/>
  <c r="M8" i="27"/>
  <c r="L8" i="27"/>
  <c r="K8" i="27"/>
  <c r="J8" i="27"/>
  <c r="I8" i="27"/>
  <c r="G8" i="27"/>
  <c r="D8" i="27"/>
  <c r="AB18" i="6"/>
  <c r="AD18" i="6"/>
  <c r="AE18" i="6"/>
  <c r="AE42" i="6"/>
  <c r="AE66" i="6"/>
  <c r="AB17" i="6"/>
  <c r="AD17" i="6"/>
  <c r="AE17" i="6"/>
  <c r="AE41" i="6"/>
  <c r="AE65" i="6"/>
  <c r="AB16" i="6"/>
  <c r="AD16" i="6"/>
  <c r="AE16" i="6"/>
  <c r="AE40" i="6"/>
  <c r="AE64" i="6"/>
  <c r="AB15" i="6"/>
  <c r="AD15" i="6"/>
  <c r="AE15" i="6"/>
  <c r="AE39" i="6"/>
  <c r="AE63" i="6"/>
  <c r="AB14" i="6"/>
  <c r="AD14" i="6"/>
  <c r="AE14" i="6"/>
  <c r="AE38" i="6"/>
  <c r="AE62" i="6"/>
  <c r="AB13" i="6"/>
  <c r="AD13" i="6"/>
  <c r="AE13" i="6"/>
  <c r="AE37" i="6"/>
  <c r="AE61" i="6"/>
  <c r="AB12" i="6"/>
  <c r="AD12" i="6"/>
  <c r="AE12" i="6"/>
  <c r="AE36" i="6"/>
  <c r="AE60" i="6"/>
  <c r="AB11" i="6"/>
  <c r="AD11" i="6"/>
  <c r="AE11" i="6"/>
  <c r="AE35" i="6"/>
  <c r="AE59" i="6"/>
  <c r="AD42" i="6"/>
  <c r="AD66" i="6"/>
  <c r="AB42" i="6"/>
  <c r="AB66" i="6"/>
  <c r="AD41" i="6"/>
  <c r="AD65" i="6"/>
  <c r="AB41" i="6"/>
  <c r="AB65" i="6"/>
  <c r="AD40" i="6"/>
  <c r="AD64" i="6"/>
  <c r="AB40" i="6"/>
  <c r="AB64" i="6"/>
  <c r="AD39" i="6"/>
  <c r="AD63" i="6"/>
  <c r="AB39" i="6"/>
  <c r="AB63" i="6"/>
  <c r="AD38" i="6"/>
  <c r="AD62" i="6"/>
  <c r="AB38" i="6"/>
  <c r="AB62" i="6"/>
  <c r="AD37" i="6"/>
  <c r="AD61" i="6"/>
  <c r="AB37" i="6"/>
  <c r="AB61" i="6"/>
  <c r="AD36" i="6"/>
  <c r="AD60" i="6"/>
  <c r="AB36" i="6"/>
  <c r="AB60" i="6"/>
  <c r="AD35" i="6"/>
  <c r="AD59" i="6"/>
  <c r="AB35" i="6"/>
  <c r="AB59" i="6"/>
  <c r="AD10" i="6"/>
  <c r="AD34" i="6"/>
  <c r="AD58" i="6"/>
  <c r="AB10" i="6"/>
  <c r="AB34" i="6"/>
  <c r="AB58" i="6"/>
  <c r="W11" i="6"/>
  <c r="BC11" i="6"/>
  <c r="BC59" i="6"/>
  <c r="W12" i="6"/>
  <c r="BC12" i="6"/>
  <c r="BC60" i="6"/>
  <c r="W13" i="6"/>
  <c r="BC13" i="6"/>
  <c r="BC61" i="6"/>
  <c r="W14" i="6"/>
  <c r="BC14" i="6"/>
  <c r="BC62" i="6"/>
  <c r="W15" i="6"/>
  <c r="BC15" i="6"/>
  <c r="BC63" i="6"/>
  <c r="W16" i="6"/>
  <c r="BC16" i="6"/>
  <c r="BC64" i="6"/>
  <c r="W17" i="6"/>
  <c r="BC17" i="6"/>
  <c r="BC65" i="6"/>
  <c r="W18" i="6"/>
  <c r="BC18" i="6"/>
  <c r="BC66" i="6"/>
  <c r="W10" i="6"/>
  <c r="BC10" i="6"/>
  <c r="BC58" i="6"/>
  <c r="BC35" i="6"/>
  <c r="BC36" i="6"/>
  <c r="BC37" i="6"/>
  <c r="BC38" i="6"/>
  <c r="BC39" i="6"/>
  <c r="BC40" i="6"/>
  <c r="BC41" i="6"/>
  <c r="BC42" i="6"/>
  <c r="BC34" i="6"/>
  <c r="AL8" i="6"/>
  <c r="AL56" i="6"/>
  <c r="AM8" i="6"/>
  <c r="AM56" i="6"/>
  <c r="AN8" i="6"/>
  <c r="AN56" i="6"/>
  <c r="AO8" i="6"/>
  <c r="AO56" i="6"/>
  <c r="AP8" i="6"/>
  <c r="AP56" i="6"/>
  <c r="AQ8" i="6"/>
  <c r="AQ56" i="6"/>
  <c r="AR8" i="6"/>
  <c r="AR56" i="6"/>
  <c r="AS8" i="6"/>
  <c r="AS56" i="6"/>
  <c r="AK8" i="6"/>
  <c r="AT8" i="6"/>
  <c r="AT56" i="6"/>
  <c r="AU8" i="6"/>
  <c r="AU56" i="6"/>
  <c r="AV8" i="6"/>
  <c r="AV56" i="6"/>
  <c r="AW8" i="6"/>
  <c r="AW56" i="6"/>
  <c r="AX8" i="6"/>
  <c r="AX56" i="6"/>
  <c r="AY8" i="6"/>
  <c r="AY56" i="6"/>
  <c r="AZ8" i="6"/>
  <c r="AZ56" i="6"/>
  <c r="BA8" i="6"/>
  <c r="BA56" i="6"/>
  <c r="BB8" i="6"/>
  <c r="BB56" i="6"/>
  <c r="AK56" i="6"/>
  <c r="AT32" i="6"/>
  <c r="AU32" i="6"/>
  <c r="AV32" i="6"/>
  <c r="AW32" i="6"/>
  <c r="AX32" i="6"/>
  <c r="AY32" i="6"/>
  <c r="AZ32" i="6"/>
  <c r="BA32" i="6"/>
  <c r="BB32" i="6"/>
  <c r="AL32" i="6"/>
  <c r="AM32" i="6"/>
  <c r="AN32" i="6"/>
  <c r="AO32" i="6"/>
  <c r="AP32" i="6"/>
  <c r="AQ32" i="6"/>
  <c r="AR32" i="6"/>
  <c r="AS32" i="6"/>
  <c r="AK32" i="6"/>
  <c r="AU9" i="6"/>
  <c r="AU57" i="6"/>
  <c r="AV9" i="6"/>
  <c r="AV57" i="6"/>
  <c r="AW9" i="6"/>
  <c r="AW57" i="6"/>
  <c r="AX9" i="6"/>
  <c r="AX57" i="6"/>
  <c r="AY9" i="6"/>
  <c r="AY57" i="6"/>
  <c r="AZ9" i="6"/>
  <c r="AZ57" i="6"/>
  <c r="BA9" i="6"/>
  <c r="BA57" i="6"/>
  <c r="BB9" i="6"/>
  <c r="BB57" i="6"/>
  <c r="AL9" i="6"/>
  <c r="AL57" i="6"/>
  <c r="AM9" i="6"/>
  <c r="AM57" i="6"/>
  <c r="AN9" i="6"/>
  <c r="AN57" i="6"/>
  <c r="AO9" i="6"/>
  <c r="AO57" i="6"/>
  <c r="AP9" i="6"/>
  <c r="AP57" i="6"/>
  <c r="AQ9" i="6"/>
  <c r="AQ57" i="6"/>
  <c r="AR9" i="6"/>
  <c r="AR57" i="6"/>
  <c r="AS9" i="6"/>
  <c r="AS57" i="6"/>
  <c r="AK9" i="6"/>
  <c r="AK57" i="6"/>
  <c r="AT9" i="6"/>
  <c r="AT57" i="6"/>
  <c r="AU33" i="6"/>
  <c r="AV33" i="6"/>
  <c r="AW33" i="6"/>
  <c r="AX33" i="6"/>
  <c r="AY33" i="6"/>
  <c r="AZ33" i="6"/>
  <c r="BA33" i="6"/>
  <c r="BB33" i="6"/>
  <c r="AT33" i="6"/>
  <c r="AL33" i="6"/>
  <c r="AM33" i="6"/>
  <c r="AN33" i="6"/>
  <c r="AO33" i="6"/>
  <c r="AP33" i="6"/>
  <c r="AQ33" i="6"/>
  <c r="AR33" i="6"/>
  <c r="AS33" i="6"/>
  <c r="AK33" i="6"/>
  <c r="BA18" i="6"/>
  <c r="BA42" i="6"/>
  <c r="BA66" i="6"/>
  <c r="AZ18" i="6"/>
  <c r="AZ42" i="6"/>
  <c r="AZ66" i="6"/>
  <c r="AY18" i="6"/>
  <c r="AY42" i="6"/>
  <c r="AY66" i="6"/>
  <c r="AX18" i="6"/>
  <c r="AX42" i="6"/>
  <c r="AX66" i="6"/>
  <c r="AW18" i="6"/>
  <c r="AW42" i="6"/>
  <c r="AW66" i="6"/>
  <c r="AV18" i="6"/>
  <c r="AV42" i="6"/>
  <c r="AV66" i="6"/>
  <c r="AU18" i="6"/>
  <c r="AU42" i="6"/>
  <c r="AU66" i="6"/>
  <c r="AT18" i="6"/>
  <c r="AT42" i="6"/>
  <c r="AT66" i="6"/>
  <c r="BB17" i="6"/>
  <c r="BB41" i="6"/>
  <c r="BB65" i="6"/>
  <c r="AZ17" i="6"/>
  <c r="AZ41" i="6"/>
  <c r="AZ65" i="6"/>
  <c r="AY17" i="6"/>
  <c r="AY41" i="6"/>
  <c r="AY65" i="6"/>
  <c r="AX17" i="6"/>
  <c r="AX41" i="6"/>
  <c r="AX65" i="6"/>
  <c r="AW17" i="6"/>
  <c r="AW41" i="6"/>
  <c r="AW65" i="6"/>
  <c r="AV17" i="6"/>
  <c r="AV41" i="6"/>
  <c r="AV65" i="6"/>
  <c r="AU17" i="6"/>
  <c r="AU41" i="6"/>
  <c r="AU65" i="6"/>
  <c r="AT17" i="6"/>
  <c r="AT41" i="6"/>
  <c r="AT65" i="6"/>
  <c r="BB16" i="6"/>
  <c r="BB40" i="6"/>
  <c r="BB64" i="6"/>
  <c r="BA16" i="6"/>
  <c r="BA40" i="6"/>
  <c r="BA64" i="6"/>
  <c r="AY16" i="6"/>
  <c r="AY40" i="6"/>
  <c r="AY64" i="6"/>
  <c r="AX16" i="6"/>
  <c r="AX40" i="6"/>
  <c r="AX64" i="6"/>
  <c r="AW16" i="6"/>
  <c r="AW40" i="6"/>
  <c r="AW64" i="6"/>
  <c r="AV16" i="6"/>
  <c r="AV40" i="6"/>
  <c r="AV64" i="6"/>
  <c r="AU16" i="6"/>
  <c r="AU40" i="6"/>
  <c r="AU64" i="6"/>
  <c r="AT16" i="6"/>
  <c r="AT40" i="6"/>
  <c r="AT64" i="6"/>
  <c r="BB15" i="6"/>
  <c r="BB39" i="6"/>
  <c r="BB63" i="6"/>
  <c r="BA15" i="6"/>
  <c r="BA39" i="6"/>
  <c r="BA63" i="6"/>
  <c r="AZ15" i="6"/>
  <c r="AZ39" i="6"/>
  <c r="AZ63" i="6"/>
  <c r="AX15" i="6"/>
  <c r="AX39" i="6"/>
  <c r="AX63" i="6"/>
  <c r="AW15" i="6"/>
  <c r="AW39" i="6"/>
  <c r="AW63" i="6"/>
  <c r="AV15" i="6"/>
  <c r="AV39" i="6"/>
  <c r="AV63" i="6"/>
  <c r="AU15" i="6"/>
  <c r="AU39" i="6"/>
  <c r="AU63" i="6"/>
  <c r="AT15" i="6"/>
  <c r="AT39" i="6"/>
  <c r="AT63" i="6"/>
  <c r="BB14" i="6"/>
  <c r="BB38" i="6"/>
  <c r="BB62" i="6"/>
  <c r="BA14" i="6"/>
  <c r="BA38" i="6"/>
  <c r="BA62" i="6"/>
  <c r="AZ14" i="6"/>
  <c r="AZ38" i="6"/>
  <c r="AZ62" i="6"/>
  <c r="AY14" i="6"/>
  <c r="AY38" i="6"/>
  <c r="AY62" i="6"/>
  <c r="AW14" i="6"/>
  <c r="AW38" i="6"/>
  <c r="AW62" i="6"/>
  <c r="AV14" i="6"/>
  <c r="AV38" i="6"/>
  <c r="AV62" i="6"/>
  <c r="AU14" i="6"/>
  <c r="AU38" i="6"/>
  <c r="AU62" i="6"/>
  <c r="AT14" i="6"/>
  <c r="AT38" i="6"/>
  <c r="AT62" i="6"/>
  <c r="BB13" i="6"/>
  <c r="BB37" i="6"/>
  <c r="BB61" i="6"/>
  <c r="BA13" i="6"/>
  <c r="BA37" i="6"/>
  <c r="BA61" i="6"/>
  <c r="AZ13" i="6"/>
  <c r="AZ37" i="6"/>
  <c r="AZ61" i="6"/>
  <c r="AY13" i="6"/>
  <c r="AY37" i="6"/>
  <c r="AY61" i="6"/>
  <c r="AX13" i="6"/>
  <c r="AX37" i="6"/>
  <c r="AX61" i="6"/>
  <c r="AV13" i="6"/>
  <c r="AV37" i="6"/>
  <c r="AV61" i="6"/>
  <c r="AU13" i="6"/>
  <c r="AU37" i="6"/>
  <c r="AU61" i="6"/>
  <c r="AT13" i="6"/>
  <c r="AT37" i="6"/>
  <c r="AT61" i="6"/>
  <c r="BB12" i="6"/>
  <c r="BB36" i="6"/>
  <c r="BB60" i="6"/>
  <c r="BA12" i="6"/>
  <c r="BA36" i="6"/>
  <c r="BA60" i="6"/>
  <c r="AZ12" i="6"/>
  <c r="AZ36" i="6"/>
  <c r="AZ60" i="6"/>
  <c r="AY12" i="6"/>
  <c r="AY36" i="6"/>
  <c r="AY60" i="6"/>
  <c r="AX12" i="6"/>
  <c r="AX36" i="6"/>
  <c r="AX60" i="6"/>
  <c r="AW12" i="6"/>
  <c r="AW36" i="6"/>
  <c r="AW60" i="6"/>
  <c r="AU12" i="6"/>
  <c r="AU36" i="6"/>
  <c r="AU60" i="6"/>
  <c r="AT12" i="6"/>
  <c r="AT36" i="6"/>
  <c r="AT60" i="6"/>
  <c r="BB11" i="6"/>
  <c r="BB35" i="6"/>
  <c r="BB59" i="6"/>
  <c r="BA11" i="6"/>
  <c r="BA35" i="6"/>
  <c r="BA59" i="6"/>
  <c r="AZ11" i="6"/>
  <c r="AZ35" i="6"/>
  <c r="AZ59" i="6"/>
  <c r="AY11" i="6"/>
  <c r="AY35" i="6"/>
  <c r="AY59" i="6"/>
  <c r="AX11" i="6"/>
  <c r="AX35" i="6"/>
  <c r="AX59" i="6"/>
  <c r="AW11" i="6"/>
  <c r="AW35" i="6"/>
  <c r="AW59" i="6"/>
  <c r="AV11" i="6"/>
  <c r="AV35" i="6"/>
  <c r="AV59" i="6"/>
  <c r="AT11" i="6"/>
  <c r="AT35" i="6"/>
  <c r="AT59" i="6"/>
  <c r="BB10" i="6"/>
  <c r="BB34" i="6"/>
  <c r="BB58" i="6"/>
  <c r="BA10" i="6"/>
  <c r="BA34" i="6"/>
  <c r="BA58" i="6"/>
  <c r="AZ10" i="6"/>
  <c r="AZ34" i="6"/>
  <c r="AZ58" i="6"/>
  <c r="AY10" i="6"/>
  <c r="AY34" i="6"/>
  <c r="AY58" i="6"/>
  <c r="AX10" i="6"/>
  <c r="AX34" i="6"/>
  <c r="AX58" i="6"/>
  <c r="AW10" i="6"/>
  <c r="AW34" i="6"/>
  <c r="AW58" i="6"/>
  <c r="AV10" i="6"/>
  <c r="AV34" i="6"/>
  <c r="AV58" i="6"/>
  <c r="AU10" i="6"/>
  <c r="AU34" i="6"/>
  <c r="AU58" i="6"/>
  <c r="AJ18" i="6"/>
  <c r="AJ42" i="6"/>
  <c r="AJ66" i="6"/>
  <c r="AI18" i="6"/>
  <c r="AI42" i="6"/>
  <c r="AI66" i="6"/>
  <c r="AH18" i="6"/>
  <c r="AH42" i="6"/>
  <c r="AH66" i="6"/>
  <c r="AF18" i="6"/>
  <c r="AF42" i="6"/>
  <c r="AF66" i="6"/>
  <c r="AA18" i="6"/>
  <c r="AA42" i="6"/>
  <c r="AA66" i="6"/>
  <c r="Z18" i="6"/>
  <c r="Z42" i="6"/>
  <c r="Z66" i="6"/>
  <c r="Y18" i="6"/>
  <c r="Y42" i="6"/>
  <c r="Y66" i="6"/>
  <c r="X18" i="6"/>
  <c r="X42" i="6"/>
  <c r="X66" i="6"/>
  <c r="AR18" i="6"/>
  <c r="AR42" i="6"/>
  <c r="AR66" i="6"/>
  <c r="AQ18" i="6"/>
  <c r="AQ42" i="6"/>
  <c r="AQ66" i="6"/>
  <c r="AP18" i="6"/>
  <c r="AP42" i="6"/>
  <c r="AP66" i="6"/>
  <c r="AO18" i="6"/>
  <c r="AO42" i="6"/>
  <c r="AO66" i="6"/>
  <c r="AN18" i="6"/>
  <c r="AN42" i="6"/>
  <c r="AN66" i="6"/>
  <c r="AM18" i="6"/>
  <c r="AM42" i="6"/>
  <c r="AM66" i="6"/>
  <c r="AL18" i="6"/>
  <c r="AL42" i="6"/>
  <c r="AL66" i="6"/>
  <c r="AK18" i="6"/>
  <c r="AK42" i="6"/>
  <c r="AK66" i="6"/>
  <c r="V11" i="6"/>
  <c r="V12" i="6"/>
  <c r="V13" i="6"/>
  <c r="V14" i="6"/>
  <c r="V15" i="6"/>
  <c r="V16" i="6"/>
  <c r="V17" i="6"/>
  <c r="V18" i="6"/>
  <c r="V42" i="6"/>
  <c r="V66" i="6"/>
  <c r="AJ17" i="6"/>
  <c r="AJ41" i="6"/>
  <c r="AJ65" i="6"/>
  <c r="AI17" i="6"/>
  <c r="AI41" i="6"/>
  <c r="AI65" i="6"/>
  <c r="AH17" i="6"/>
  <c r="AH41" i="6"/>
  <c r="AH65" i="6"/>
  <c r="AF17" i="6"/>
  <c r="AF41" i="6"/>
  <c r="AF65" i="6"/>
  <c r="AA17" i="6"/>
  <c r="AA41" i="6"/>
  <c r="AA65" i="6"/>
  <c r="Z17" i="6"/>
  <c r="Z41" i="6"/>
  <c r="Z65" i="6"/>
  <c r="Y17" i="6"/>
  <c r="Y41" i="6"/>
  <c r="Y65" i="6"/>
  <c r="X17" i="6"/>
  <c r="X41" i="6"/>
  <c r="X65" i="6"/>
  <c r="AS17" i="6"/>
  <c r="AS41" i="6"/>
  <c r="AS65" i="6"/>
  <c r="AQ17" i="6"/>
  <c r="AQ41" i="6"/>
  <c r="AQ65" i="6"/>
  <c r="AP17" i="6"/>
  <c r="AP41" i="6"/>
  <c r="AP65" i="6"/>
  <c r="AO17" i="6"/>
  <c r="AO41" i="6"/>
  <c r="AO65" i="6"/>
  <c r="AN17" i="6"/>
  <c r="AN41" i="6"/>
  <c r="AN65" i="6"/>
  <c r="AM17" i="6"/>
  <c r="AM41" i="6"/>
  <c r="AM65" i="6"/>
  <c r="AL17" i="6"/>
  <c r="AL41" i="6"/>
  <c r="AL65" i="6"/>
  <c r="AK17" i="6"/>
  <c r="AK41" i="6"/>
  <c r="AK65" i="6"/>
  <c r="V41" i="6"/>
  <c r="V65" i="6"/>
  <c r="AJ16" i="6"/>
  <c r="AJ40" i="6"/>
  <c r="AJ64" i="6"/>
  <c r="AI16" i="6"/>
  <c r="AI40" i="6"/>
  <c r="AI64" i="6"/>
  <c r="AH16" i="6"/>
  <c r="AH40" i="6"/>
  <c r="AH64" i="6"/>
  <c r="AF16" i="6"/>
  <c r="AF40" i="6"/>
  <c r="AF64" i="6"/>
  <c r="AA16" i="6"/>
  <c r="AA40" i="6"/>
  <c r="AA64" i="6"/>
  <c r="Z16" i="6"/>
  <c r="Z40" i="6"/>
  <c r="Z64" i="6"/>
  <c r="Y16" i="6"/>
  <c r="Y40" i="6"/>
  <c r="Y64" i="6"/>
  <c r="X16" i="6"/>
  <c r="X40" i="6"/>
  <c r="X64" i="6"/>
  <c r="AS16" i="6"/>
  <c r="AS40" i="6"/>
  <c r="AS64" i="6"/>
  <c r="AR16" i="6"/>
  <c r="AR40" i="6"/>
  <c r="AR64" i="6"/>
  <c r="AP16" i="6"/>
  <c r="AP40" i="6"/>
  <c r="AP64" i="6"/>
  <c r="AO16" i="6"/>
  <c r="AO40" i="6"/>
  <c r="AO64" i="6"/>
  <c r="AN16" i="6"/>
  <c r="AN40" i="6"/>
  <c r="AN64" i="6"/>
  <c r="AM16" i="6"/>
  <c r="AM40" i="6"/>
  <c r="AM64" i="6"/>
  <c r="AL16" i="6"/>
  <c r="AL40" i="6"/>
  <c r="AL64" i="6"/>
  <c r="AK16" i="6"/>
  <c r="AK40" i="6"/>
  <c r="AK64" i="6"/>
  <c r="V40" i="6"/>
  <c r="V64" i="6"/>
  <c r="AJ15" i="6"/>
  <c r="AJ39" i="6"/>
  <c r="AJ63" i="6"/>
  <c r="AI15" i="6"/>
  <c r="AI39" i="6"/>
  <c r="AI63" i="6"/>
  <c r="AH15" i="6"/>
  <c r="AH39" i="6"/>
  <c r="AH63" i="6"/>
  <c r="AF15" i="6"/>
  <c r="AF39" i="6"/>
  <c r="AF63" i="6"/>
  <c r="AA15" i="6"/>
  <c r="AA39" i="6"/>
  <c r="AA63" i="6"/>
  <c r="Z15" i="6"/>
  <c r="Z39" i="6"/>
  <c r="Z63" i="6"/>
  <c r="Y15" i="6"/>
  <c r="Y39" i="6"/>
  <c r="Y63" i="6"/>
  <c r="X15" i="6"/>
  <c r="X39" i="6"/>
  <c r="X63" i="6"/>
  <c r="AS15" i="6"/>
  <c r="AS39" i="6"/>
  <c r="AS63" i="6"/>
  <c r="AR15" i="6"/>
  <c r="AR39" i="6"/>
  <c r="AR63" i="6"/>
  <c r="AQ15" i="6"/>
  <c r="AQ39" i="6"/>
  <c r="AQ63" i="6"/>
  <c r="AO15" i="6"/>
  <c r="AO39" i="6"/>
  <c r="AO63" i="6"/>
  <c r="AN15" i="6"/>
  <c r="AN39" i="6"/>
  <c r="AN63" i="6"/>
  <c r="AM15" i="6"/>
  <c r="AM39" i="6"/>
  <c r="AM63" i="6"/>
  <c r="AL15" i="6"/>
  <c r="AL39" i="6"/>
  <c r="AL63" i="6"/>
  <c r="AK15" i="6"/>
  <c r="AK39" i="6"/>
  <c r="AK63" i="6"/>
  <c r="V39" i="6"/>
  <c r="V63" i="6"/>
  <c r="AJ14" i="6"/>
  <c r="AJ38" i="6"/>
  <c r="AJ62" i="6"/>
  <c r="AI14" i="6"/>
  <c r="AI38" i="6"/>
  <c r="AI62" i="6"/>
  <c r="AH14" i="6"/>
  <c r="AH38" i="6"/>
  <c r="AH62" i="6"/>
  <c r="AF14" i="6"/>
  <c r="AF38" i="6"/>
  <c r="AF62" i="6"/>
  <c r="AA14" i="6"/>
  <c r="AA38" i="6"/>
  <c r="AA62" i="6"/>
  <c r="Z14" i="6"/>
  <c r="Z38" i="6"/>
  <c r="Z62" i="6"/>
  <c r="Y14" i="6"/>
  <c r="Y38" i="6"/>
  <c r="Y62" i="6"/>
  <c r="X14" i="6"/>
  <c r="X38" i="6"/>
  <c r="X62" i="6"/>
  <c r="AS14" i="6"/>
  <c r="AS38" i="6"/>
  <c r="AS62" i="6"/>
  <c r="AR14" i="6"/>
  <c r="AR38" i="6"/>
  <c r="AR62" i="6"/>
  <c r="AQ14" i="6"/>
  <c r="AQ38" i="6"/>
  <c r="AQ62" i="6"/>
  <c r="AP14" i="6"/>
  <c r="AP38" i="6"/>
  <c r="AP62" i="6"/>
  <c r="AN14" i="6"/>
  <c r="AN38" i="6"/>
  <c r="AN62" i="6"/>
  <c r="AM14" i="6"/>
  <c r="AM38" i="6"/>
  <c r="AM62" i="6"/>
  <c r="AL14" i="6"/>
  <c r="AL38" i="6"/>
  <c r="AL62" i="6"/>
  <c r="AK14" i="6"/>
  <c r="AK38" i="6"/>
  <c r="AK62" i="6"/>
  <c r="V38" i="6"/>
  <c r="V62" i="6"/>
  <c r="AJ13" i="6"/>
  <c r="AJ37" i="6"/>
  <c r="AJ61" i="6"/>
  <c r="AI13" i="6"/>
  <c r="AI37" i="6"/>
  <c r="AI61" i="6"/>
  <c r="AH13" i="6"/>
  <c r="AH37" i="6"/>
  <c r="AH61" i="6"/>
  <c r="AF13" i="6"/>
  <c r="AF37" i="6"/>
  <c r="AF61" i="6"/>
  <c r="AA13" i="6"/>
  <c r="AA37" i="6"/>
  <c r="AA61" i="6"/>
  <c r="Z13" i="6"/>
  <c r="Z37" i="6"/>
  <c r="Z61" i="6"/>
  <c r="Y13" i="6"/>
  <c r="Y37" i="6"/>
  <c r="Y61" i="6"/>
  <c r="X13" i="6"/>
  <c r="X37" i="6"/>
  <c r="X61" i="6"/>
  <c r="AS13" i="6"/>
  <c r="AS37" i="6"/>
  <c r="AS61" i="6"/>
  <c r="AR13" i="6"/>
  <c r="AR37" i="6"/>
  <c r="AR61" i="6"/>
  <c r="AQ13" i="6"/>
  <c r="AQ37" i="6"/>
  <c r="AQ61" i="6"/>
  <c r="AP13" i="6"/>
  <c r="AP37" i="6"/>
  <c r="AP61" i="6"/>
  <c r="AO13" i="6"/>
  <c r="AO37" i="6"/>
  <c r="AO61" i="6"/>
  <c r="AM13" i="6"/>
  <c r="AM37" i="6"/>
  <c r="AM61" i="6"/>
  <c r="AL13" i="6"/>
  <c r="AL37" i="6"/>
  <c r="AL61" i="6"/>
  <c r="AK13" i="6"/>
  <c r="AK37" i="6"/>
  <c r="AK61" i="6"/>
  <c r="V37" i="6"/>
  <c r="V61" i="6"/>
  <c r="AJ12" i="6"/>
  <c r="AJ36" i="6"/>
  <c r="AJ60" i="6"/>
  <c r="AI12" i="6"/>
  <c r="AI36" i="6"/>
  <c r="AI60" i="6"/>
  <c r="AH12" i="6"/>
  <c r="AH36" i="6"/>
  <c r="AH60" i="6"/>
  <c r="AF12" i="6"/>
  <c r="AF36" i="6"/>
  <c r="AF60" i="6"/>
  <c r="AA12" i="6"/>
  <c r="AA36" i="6"/>
  <c r="AA60" i="6"/>
  <c r="Z12" i="6"/>
  <c r="Z36" i="6"/>
  <c r="Z60" i="6"/>
  <c r="Y12" i="6"/>
  <c r="Y36" i="6"/>
  <c r="Y60" i="6"/>
  <c r="X12" i="6"/>
  <c r="X36" i="6"/>
  <c r="X60" i="6"/>
  <c r="AS12" i="6"/>
  <c r="AS36" i="6"/>
  <c r="AS60" i="6"/>
  <c r="AR12" i="6"/>
  <c r="AR36" i="6"/>
  <c r="AR60" i="6"/>
  <c r="AQ12" i="6"/>
  <c r="AQ36" i="6"/>
  <c r="AQ60" i="6"/>
  <c r="AP12" i="6"/>
  <c r="AP36" i="6"/>
  <c r="AP60" i="6"/>
  <c r="AO12" i="6"/>
  <c r="AO36" i="6"/>
  <c r="AO60" i="6"/>
  <c r="AN12" i="6"/>
  <c r="AN36" i="6"/>
  <c r="AN60" i="6"/>
  <c r="AL12" i="6"/>
  <c r="AL36" i="6"/>
  <c r="AL60" i="6"/>
  <c r="AK12" i="6"/>
  <c r="AK36" i="6"/>
  <c r="AK60" i="6"/>
  <c r="V36" i="6"/>
  <c r="V60" i="6"/>
  <c r="AJ11" i="6"/>
  <c r="AJ35" i="6"/>
  <c r="AJ59" i="6"/>
  <c r="AI11" i="6"/>
  <c r="AI35" i="6"/>
  <c r="AI59" i="6"/>
  <c r="AH11" i="6"/>
  <c r="AH35" i="6"/>
  <c r="AH59" i="6"/>
  <c r="AF11" i="6"/>
  <c r="AF35" i="6"/>
  <c r="AF59" i="6"/>
  <c r="AA11" i="6"/>
  <c r="AA35" i="6"/>
  <c r="AA59" i="6"/>
  <c r="Z11" i="6"/>
  <c r="Z35" i="6"/>
  <c r="Z59" i="6"/>
  <c r="Y11" i="6"/>
  <c r="Y35" i="6"/>
  <c r="Y59" i="6"/>
  <c r="X11" i="6"/>
  <c r="X35" i="6"/>
  <c r="X59" i="6"/>
  <c r="AS11" i="6"/>
  <c r="AS35" i="6"/>
  <c r="AS59" i="6"/>
  <c r="AR11" i="6"/>
  <c r="AR35" i="6"/>
  <c r="AR59" i="6"/>
  <c r="AQ11" i="6"/>
  <c r="AQ35" i="6"/>
  <c r="AQ59" i="6"/>
  <c r="AP11" i="6"/>
  <c r="AP35" i="6"/>
  <c r="AP59" i="6"/>
  <c r="AO11" i="6"/>
  <c r="AO35" i="6"/>
  <c r="AO59" i="6"/>
  <c r="AN11" i="6"/>
  <c r="AN35" i="6"/>
  <c r="AN59" i="6"/>
  <c r="AM11" i="6"/>
  <c r="AM35" i="6"/>
  <c r="AM59" i="6"/>
  <c r="AK11" i="6"/>
  <c r="AK35" i="6"/>
  <c r="AK59" i="6"/>
  <c r="V35" i="6"/>
  <c r="V59" i="6"/>
  <c r="AJ10" i="6"/>
  <c r="AJ34" i="6"/>
  <c r="AJ58" i="6"/>
  <c r="AI10" i="6"/>
  <c r="AI34" i="6"/>
  <c r="AI58" i="6"/>
  <c r="AH10" i="6"/>
  <c r="AH34" i="6"/>
  <c r="AH58" i="6"/>
  <c r="AF10" i="6"/>
  <c r="AF34" i="6"/>
  <c r="AF58" i="6"/>
  <c r="AA10" i="6"/>
  <c r="AA34" i="6"/>
  <c r="AA58" i="6"/>
  <c r="Z10" i="6"/>
  <c r="Z34" i="6"/>
  <c r="Z58" i="6"/>
  <c r="Y10" i="6"/>
  <c r="Y34" i="6"/>
  <c r="Y58" i="6"/>
  <c r="X10" i="6"/>
  <c r="X34" i="6"/>
  <c r="X58" i="6"/>
  <c r="AS10" i="6"/>
  <c r="AS34" i="6"/>
  <c r="AS58" i="6"/>
  <c r="AR10" i="6"/>
  <c r="AR34" i="6"/>
  <c r="AR58" i="6"/>
  <c r="AQ10" i="6"/>
  <c r="AQ34" i="6"/>
  <c r="AQ58" i="6"/>
  <c r="AP10" i="6"/>
  <c r="AP34" i="6"/>
  <c r="AP58" i="6"/>
  <c r="AO10" i="6"/>
  <c r="AO34" i="6"/>
  <c r="AO58" i="6"/>
  <c r="AN10" i="6"/>
  <c r="AN34" i="6"/>
  <c r="AN58" i="6"/>
  <c r="AM10" i="6"/>
  <c r="AM34" i="6"/>
  <c r="AM58" i="6"/>
  <c r="AL10" i="6"/>
  <c r="AL34" i="6"/>
  <c r="AL58" i="6"/>
  <c r="W42" i="6"/>
  <c r="W66" i="6"/>
  <c r="W41" i="6"/>
  <c r="W65" i="6"/>
  <c r="W40" i="6"/>
  <c r="W64" i="6"/>
  <c r="W39" i="6"/>
  <c r="W63" i="6"/>
  <c r="W38" i="6"/>
  <c r="W62" i="6"/>
  <c r="W37" i="6"/>
  <c r="W61" i="6"/>
  <c r="W36" i="6"/>
  <c r="W60" i="6"/>
  <c r="W35" i="6"/>
  <c r="W59" i="6"/>
  <c r="W34" i="6"/>
  <c r="W58" i="6"/>
  <c r="AE10" i="6"/>
  <c r="AE34" i="6"/>
  <c r="AE58" i="6"/>
  <c r="Z8" i="27"/>
  <c r="Z9" i="27"/>
  <c r="Z10" i="27"/>
  <c r="Z11" i="27"/>
  <c r="Z12" i="27"/>
  <c r="Z13" i="27"/>
  <c r="Z14" i="27"/>
  <c r="Z15" i="27"/>
  <c r="Z16" i="27"/>
  <c r="Z20" i="27"/>
  <c r="Z21" i="27"/>
  <c r="Z22" i="27"/>
  <c r="Z23" i="27"/>
  <c r="Z24" i="27"/>
  <c r="Z25" i="27"/>
  <c r="Z26" i="27"/>
  <c r="Z27" i="27"/>
  <c r="Z28" i="27"/>
  <c r="Z32" i="27"/>
  <c r="Z33" i="27"/>
  <c r="Z34" i="27"/>
  <c r="Z35" i="27"/>
  <c r="Z36" i="27"/>
  <c r="Z37" i="27"/>
  <c r="Z38" i="27"/>
  <c r="Z39" i="27"/>
  <c r="Z40" i="27"/>
  <c r="Z44" i="27"/>
  <c r="Z45" i="27"/>
  <c r="Z46" i="27"/>
  <c r="Z47" i="27"/>
  <c r="Z48" i="27"/>
  <c r="Z49" i="27"/>
  <c r="Z50" i="27"/>
  <c r="Z51" i="27"/>
  <c r="Z52" i="27"/>
  <c r="B8" i="27"/>
  <c r="B9" i="27"/>
  <c r="B10" i="27"/>
  <c r="B11" i="27"/>
  <c r="B12" i="27"/>
  <c r="B13" i="27"/>
  <c r="B14" i="27"/>
  <c r="B15" i="27"/>
  <c r="B16" i="27"/>
  <c r="B20" i="27"/>
  <c r="B21" i="27"/>
  <c r="B22" i="27"/>
  <c r="B23" i="27"/>
  <c r="B24" i="27"/>
  <c r="B25" i="27"/>
  <c r="B26" i="27"/>
  <c r="B27" i="27"/>
  <c r="B28" i="27"/>
  <c r="B32" i="27"/>
  <c r="B33" i="27"/>
  <c r="B34" i="27"/>
  <c r="B35" i="27"/>
  <c r="B36" i="27"/>
  <c r="B37" i="27"/>
  <c r="B38" i="27"/>
  <c r="B39" i="27"/>
  <c r="B40" i="27"/>
  <c r="B44" i="27"/>
  <c r="B45" i="27"/>
  <c r="B46" i="27"/>
  <c r="B47" i="27"/>
  <c r="B48" i="27"/>
  <c r="B49" i="27"/>
  <c r="B50" i="27"/>
  <c r="B51" i="27"/>
  <c r="B52" i="27"/>
  <c r="F9" i="27"/>
  <c r="E9" i="27"/>
  <c r="E10" i="27"/>
  <c r="E11" i="27"/>
  <c r="E12" i="27"/>
  <c r="E13" i="27"/>
  <c r="E14" i="27"/>
  <c r="E15" i="27"/>
  <c r="E16" i="27"/>
  <c r="D20" i="27"/>
  <c r="E20" i="27"/>
  <c r="F20" i="27"/>
  <c r="G20" i="27"/>
  <c r="D21" i="27"/>
  <c r="E21" i="27"/>
  <c r="F21" i="27"/>
  <c r="G21" i="27"/>
  <c r="D22" i="27"/>
  <c r="E22" i="27"/>
  <c r="F22" i="27"/>
  <c r="G22" i="27"/>
  <c r="D23" i="27"/>
  <c r="E23" i="27"/>
  <c r="F23" i="27"/>
  <c r="G23" i="27"/>
  <c r="D24" i="27"/>
  <c r="E24" i="27"/>
  <c r="F24" i="27"/>
  <c r="G24" i="27"/>
  <c r="D25" i="27"/>
  <c r="E25" i="27"/>
  <c r="F25" i="27"/>
  <c r="G25" i="27"/>
  <c r="D26" i="27"/>
  <c r="E26" i="27"/>
  <c r="F26" i="27"/>
  <c r="G26" i="27"/>
  <c r="D27" i="27"/>
  <c r="E27" i="27"/>
  <c r="F27" i="27"/>
  <c r="G27" i="27"/>
  <c r="D28" i="27"/>
  <c r="E28" i="27"/>
  <c r="F28" i="27"/>
  <c r="G28" i="27"/>
  <c r="D44" i="27"/>
  <c r="E44" i="27"/>
  <c r="F44" i="27"/>
  <c r="G44" i="27"/>
  <c r="D45" i="27"/>
  <c r="E45" i="27"/>
  <c r="F45" i="27"/>
  <c r="G45" i="27"/>
  <c r="D46" i="27"/>
  <c r="E46" i="27"/>
  <c r="F46" i="27"/>
  <c r="G46" i="27"/>
  <c r="D47" i="27"/>
  <c r="E47" i="27"/>
  <c r="F47" i="27"/>
  <c r="G47" i="27"/>
  <c r="D48" i="27"/>
  <c r="E48" i="27"/>
  <c r="F48" i="27"/>
  <c r="G48" i="27"/>
  <c r="D49" i="27"/>
  <c r="E49" i="27"/>
  <c r="F49" i="27"/>
  <c r="G49" i="27"/>
  <c r="D50" i="27"/>
  <c r="E50" i="27"/>
  <c r="F50" i="27"/>
  <c r="G50" i="27"/>
  <c r="D51" i="27"/>
  <c r="E51" i="27"/>
  <c r="F51" i="27"/>
  <c r="G51" i="27"/>
  <c r="D52" i="27"/>
  <c r="E52" i="27"/>
  <c r="F52" i="27"/>
  <c r="G52" i="27"/>
  <c r="H6" i="27"/>
  <c r="Q6" i="27"/>
  <c r="I6" i="27"/>
  <c r="R6" i="27"/>
  <c r="J6" i="27"/>
  <c r="S6" i="27"/>
  <c r="K6" i="27"/>
  <c r="T6" i="27"/>
  <c r="L6" i="27"/>
  <c r="U6" i="27"/>
  <c r="M6" i="27"/>
  <c r="V6" i="27"/>
  <c r="N6" i="27"/>
  <c r="W6" i="27"/>
  <c r="O6" i="27"/>
  <c r="X6" i="27"/>
  <c r="P6" i="27"/>
  <c r="Y6" i="27"/>
  <c r="H18" i="27"/>
  <c r="Q18" i="27"/>
  <c r="I18" i="27"/>
  <c r="R18" i="27"/>
  <c r="J18" i="27"/>
  <c r="S18" i="27"/>
  <c r="K18" i="27"/>
  <c r="T18" i="27"/>
  <c r="L18" i="27"/>
  <c r="U18" i="27"/>
  <c r="M18" i="27"/>
  <c r="V18" i="27"/>
  <c r="N18" i="27"/>
  <c r="W18" i="27"/>
  <c r="O18" i="27"/>
  <c r="X18" i="27"/>
  <c r="P18" i="27"/>
  <c r="Y18" i="27"/>
  <c r="H30" i="27"/>
  <c r="Q30" i="27"/>
  <c r="I30" i="27"/>
  <c r="R30" i="27"/>
  <c r="J30" i="27"/>
  <c r="S30" i="27"/>
  <c r="K30" i="27"/>
  <c r="T30" i="27"/>
  <c r="L30" i="27"/>
  <c r="U30" i="27"/>
  <c r="M30" i="27"/>
  <c r="V30" i="27"/>
  <c r="N30" i="27"/>
  <c r="W30" i="27"/>
  <c r="O30" i="27"/>
  <c r="X30" i="27"/>
  <c r="P30" i="27"/>
  <c r="Y30" i="27"/>
  <c r="H42" i="27"/>
  <c r="Q42" i="27"/>
  <c r="I42" i="27"/>
  <c r="R42" i="27"/>
  <c r="J42" i="27"/>
  <c r="S42" i="27"/>
  <c r="K42" i="27"/>
  <c r="T42" i="27"/>
  <c r="L42" i="27"/>
  <c r="U42" i="27"/>
  <c r="M42" i="27"/>
  <c r="V42" i="27"/>
  <c r="N42" i="27"/>
  <c r="W42" i="27"/>
  <c r="O42" i="27"/>
  <c r="X42" i="27"/>
  <c r="P42" i="27"/>
  <c r="Y42" i="27"/>
</calcChain>
</file>

<file path=xl/sharedStrings.xml><?xml version="1.0" encoding="utf-8"?>
<sst xmlns="http://schemas.openxmlformats.org/spreadsheetml/2006/main" count="917" uniqueCount="342">
  <si>
    <t>Nr.</t>
  </si>
  <si>
    <t>Spielpaarung</t>
  </si>
  <si>
    <t>Ergebnis</t>
  </si>
  <si>
    <t>Diff.</t>
  </si>
  <si>
    <t>-</t>
  </si>
  <si>
    <t>Sort</t>
  </si>
  <si>
    <t>1.</t>
  </si>
  <si>
    <t>2.</t>
  </si>
  <si>
    <t>3.</t>
  </si>
  <si>
    <t>4.</t>
  </si>
  <si>
    <t>5.</t>
  </si>
  <si>
    <t>6.</t>
  </si>
  <si>
    <t>Direkte Vergleiche</t>
  </si>
  <si>
    <t>Tabelle</t>
  </si>
  <si>
    <t>Pos.</t>
  </si>
  <si>
    <t>valid</t>
  </si>
  <si>
    <t>7.</t>
  </si>
  <si>
    <t>8.</t>
  </si>
  <si>
    <t>9.</t>
  </si>
  <si>
    <t>Teilnehmer und Ablaufplan</t>
  </si>
  <si>
    <t>Teilnehmer</t>
  </si>
  <si>
    <t>Teilnehmer bzw. Mannschaft</t>
  </si>
  <si>
    <t>Ergebnisse</t>
  </si>
  <si>
    <t>Ablaufplan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</si>
  <si>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</si>
  <si>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</si>
  <si>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</si>
  <si>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</si>
  <si>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</si>
  <si>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</si>
  <si>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</si>
  <si>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</si>
  <si>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</si>
  <si>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</si>
  <si>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</si>
  <si>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</si>
  <si>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</si>
  <si>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</si>
  <si>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</si>
  <si>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</si>
  <si>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</si>
  <si>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</si>
  <si>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</si>
  <si>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</si>
  <si>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</si>
  <si>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</si>
  <si>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</si>
  <si>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</si>
  <si>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</si>
  <si>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</si>
  <si>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</si>
  <si>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Spiel-Nr.</t>
  </si>
  <si>
    <t>Tabelle (Kopie)</t>
  </si>
  <si>
    <t>Paarungen</t>
  </si>
  <si>
    <t>Doppelte Namen führen zu
falschen Tabellenwerten</t>
  </si>
  <si>
    <t>Doppelte Spielpaarungen und Spiele gegen sich selbst
führen in der Gesamttabelle zu falschen Werten!</t>
  </si>
  <si>
    <t>mail@hermann-baum.de</t>
  </si>
  <si>
    <t>Bei Unstimmigkeiten bin ich für eine entsprechende Benachrichtigung sehr dankbar!</t>
  </si>
  <si>
    <t>Bonus</t>
  </si>
  <si>
    <t>Sind zwei oder mehr Mannschaften nicht unterscheidbar und wird eine Fairplay- oder Losentscheidung getroffen, genügt es, für die bevorzugte Mannschaft einen Bonuspunkt einzutragen.</t>
  </si>
  <si>
    <t>Mit Rückspielen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</si>
  <si>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</si>
  <si>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</si>
  <si>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</si>
  <si>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</si>
  <si>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</si>
  <si>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</si>
  <si>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</si>
  <si>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</si>
  <si>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</si>
  <si>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</si>
  <si>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</si>
  <si>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</si>
  <si>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</si>
  <si>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</si>
  <si>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</si>
  <si>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</si>
  <si>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</si>
  <si>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</si>
  <si>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</si>
  <si>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</si>
  <si>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</si>
  <si>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</si>
  <si>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</si>
  <si>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</si>
  <si>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</si>
  <si>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</si>
  <si>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</si>
  <si>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</si>
  <si>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</si>
  <si>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</si>
  <si>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</si>
  <si>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</si>
  <si>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</si>
  <si>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</si>
  <si>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</si>
  <si>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</si>
  <si>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Goals</t>
  </si>
  <si>
    <t>Count</t>
  </si>
  <si>
    <t>Team</t>
  </si>
  <si>
    <t>Dir. Comparisons</t>
  </si>
  <si>
    <t>Direct Comparisons</t>
  </si>
  <si>
    <t>Goal difference</t>
  </si>
  <si>
    <t>Difference</t>
  </si>
  <si>
    <t>Pld</t>
  </si>
  <si>
    <t>W</t>
  </si>
  <si>
    <t>D</t>
  </si>
  <si>
    <t>L</t>
  </si>
  <si>
    <t>GF</t>
  </si>
  <si>
    <t>GA</t>
  </si>
  <si>
    <t>GD</t>
  </si>
  <si>
    <t>Pts</t>
  </si>
  <si>
    <t>Choose language</t>
  </si>
  <si>
    <t>my language</t>
  </si>
  <si>
    <t>english</t>
  </si>
  <si>
    <t>Direct comparisons</t>
  </si>
  <si>
    <t>Captions</t>
  </si>
  <si>
    <t>bonus</t>
  </si>
  <si>
    <t xml:space="preserve"> - </t>
  </si>
  <si>
    <t xml:space="preserve"> : </t>
  </si>
  <si>
    <t>If two or more teams cannot be distinguished and fair play or lot decides, it is sufficient to enter a bonus point for the preferred team.</t>
  </si>
  <si>
    <t>No.</t>
  </si>
  <si>
    <t>Participant or team</t>
  </si>
  <si>
    <t>Results</t>
  </si>
  <si>
    <t>Total table</t>
  </si>
  <si>
    <t>Total table (copy)</t>
  </si>
  <si>
    <t>Änderung der Spielpaarungen nur auf dem Blatt 'Planung'!   Hier nur die Ergebnisse eintragen!</t>
  </si>
  <si>
    <t>Change of the fixtures only on the sheet 'Planning'! Just enter the results here!</t>
  </si>
  <si>
    <t>Match pairing</t>
  </si>
  <si>
    <t>Result</t>
  </si>
  <si>
    <t>Vollständig</t>
  </si>
  <si>
    <t>Noch unvollständig</t>
  </si>
  <si>
    <t>Still incomplete</t>
  </si>
  <si>
    <t>Complete</t>
  </si>
  <si>
    <t>SP</t>
  </si>
  <si>
    <t>G</t>
  </si>
  <si>
    <t>U</t>
  </si>
  <si>
    <t>V</t>
  </si>
  <si>
    <t>Pkt</t>
  </si>
  <si>
    <t>TABELLE UNGÜLTIG</t>
  </si>
  <si>
    <t>INVALID TABLE</t>
  </si>
  <si>
    <t>Participants and schedule</t>
  </si>
  <si>
    <t>Participants</t>
  </si>
  <si>
    <t>Schedule</t>
  </si>
  <si>
    <t>Game no.</t>
  </si>
  <si>
    <t>Pairings</t>
  </si>
  <si>
    <t>If there are any discrepancies, I am very grateful for notification!</t>
  </si>
  <si>
    <t>Überschriften</t>
  </si>
  <si>
    <t>Messages</t>
  </si>
  <si>
    <t>Meldungen</t>
  </si>
  <si>
    <t>Sprache wählen</t>
  </si>
  <si>
    <t>Dein Datum</t>
  </si>
  <si>
    <t>Your date</t>
  </si>
  <si>
    <t>Kann gelöscht werden   →</t>
  </si>
  <si>
    <t>Deine Überschriften</t>
  </si>
  <si>
    <t>Your captions</t>
  </si>
  <si>
    <t>Hint may be deleted   →</t>
  </si>
  <si>
    <t>deutsch</t>
  </si>
  <si>
    <t>Hier klicken und Sprache wählen</t>
  </si>
  <si>
    <t>Click here and choose language</t>
  </si>
  <si>
    <t>Display direct comparisons</t>
  </si>
  <si>
    <t>erz. Tore</t>
  </si>
  <si>
    <t>Double match pairings and matches against oneself
lead to incorrect values in the overall table!</t>
  </si>
  <si>
    <t>return</t>
  </si>
  <si>
    <t>first leg</t>
  </si>
  <si>
    <t>second leg</t>
  </si>
  <si>
    <t>Hinspiele</t>
  </si>
  <si>
    <t>Rückspiele</t>
  </si>
  <si>
    <t>First legs</t>
  </si>
  <si>
    <t>Second legs</t>
  </si>
  <si>
    <t>pairing first</t>
  </si>
  <si>
    <t>pairing second</t>
  </si>
  <si>
    <t>Beginn</t>
  </si>
  <si>
    <t>Start</t>
  </si>
  <si>
    <t>Ende</t>
  </si>
  <si>
    <t>End</t>
  </si>
  <si>
    <t>Duplicate names lead to
incorrect table values</t>
  </si>
  <si>
    <t>min</t>
  </si>
  <si>
    <t>Uhr</t>
  </si>
  <si>
    <t>Spielzeit pro Spiel</t>
  </si>
  <si>
    <t>Wechselzeit</t>
  </si>
  <si>
    <t>Playing time per match</t>
  </si>
  <si>
    <t>Change time</t>
  </si>
  <si>
    <t xml:space="preserve"> </t>
  </si>
  <si>
    <t>Zeitkonflikt</t>
  </si>
  <si>
    <t>Time conflict</t>
  </si>
  <si>
    <t>Spiel gegen</t>
  </si>
  <si>
    <t>Match against</t>
  </si>
  <si>
    <t>Note</t>
  </si>
  <si>
    <t>Anmerkung</t>
  </si>
  <si>
    <t>Spielzeiten</t>
  </si>
  <si>
    <t>Playing times</t>
  </si>
  <si>
    <t>final</t>
  </si>
  <si>
    <t>Factors</t>
  </si>
  <si>
    <t>n = 4</t>
  </si>
  <si>
    <t>n = 5</t>
  </si>
  <si>
    <t>n = 6</t>
  </si>
  <si>
    <t>n = 7</t>
  </si>
  <si>
    <t>n = 8</t>
  </si>
  <si>
    <t>n = 9</t>
  </si>
  <si>
    <t>Matchups</t>
  </si>
  <si>
    <t>Spielpaarungen</t>
  </si>
  <si>
    <t>Weitere Spielpaarungen:</t>
  </si>
  <si>
    <t>https://hermann-baum.de/excel/Liga/de/#generateMatchups</t>
  </si>
  <si>
    <t>Einstellungen</t>
  </si>
  <si>
    <t>Settings</t>
  </si>
  <si>
    <t>Anzahl der Punkte für einen Sieg:</t>
  </si>
  <si>
    <t>Number of points for a win:</t>
  </si>
  <si>
    <t>n = 3</t>
  </si>
  <si>
    <t>With second legs</t>
  </si>
  <si>
    <t>Anzahl der Spielfelder</t>
  </si>
  <si>
    <t>Number of fields</t>
  </si>
  <si>
    <t>Field</t>
  </si>
  <si>
    <t>Feld</t>
  </si>
  <si>
    <t>Erste Position des doppelten Elements</t>
  </si>
  <si>
    <t>Zweite Position des doppelten Elements</t>
  </si>
  <si>
    <t>Doppeltes Element finden</t>
  </si>
  <si>
    <t xml:space="preserve">in matches </t>
  </si>
  <si>
    <t xml:space="preserve">in den Spielen </t>
  </si>
  <si>
    <t xml:space="preserve"> and </t>
  </si>
  <si>
    <t xml:space="preserve"> und </t>
  </si>
  <si>
    <t xml:space="preserve">ZEITKONFLIKT für </t>
  </si>
  <si>
    <t xml:space="preserve">TIME CONFLICT for </t>
  </si>
  <si>
    <t>&lt;-- Ausblenden, wenn WAHR</t>
  </si>
  <si>
    <t xml:space="preserve">Due to time conflicts, you can only play on a maximum of </t>
  </si>
  <si>
    <t xml:space="preserve">Wegen zeitlicher Konflikte kann nur auf maximal </t>
  </si>
  <si>
    <t xml:space="preserve"> pitches at the same time.</t>
  </si>
  <si>
    <t xml:space="preserve"> Spielplätzen gleichzeitig gespielt werden.</t>
  </si>
  <si>
    <t>Addit. Pause (min)</t>
  </si>
  <si>
    <t>Zusätzl. Pause (min)</t>
  </si>
  <si>
    <t>Abbreviations of the team names:</t>
  </si>
  <si>
    <t>Abkürzungen der Mannschaftsnamen:</t>
  </si>
  <si>
    <t>letters</t>
  </si>
  <si>
    <t>Buchstaben</t>
  </si>
  <si>
    <t>sum</t>
  </si>
  <si>
    <t>conflict</t>
  </si>
  <si>
    <t>against</t>
  </si>
  <si>
    <t>place</t>
  </si>
  <si>
    <t>time</t>
  </si>
  <si>
    <t>(max. 4)</t>
  </si>
  <si>
    <t>number of matches</t>
  </si>
  <si>
    <t>number of matches / 2</t>
  </si>
  <si>
    <t>1. FC Riedwald</t>
  </si>
  <si>
    <t>FC Barcelona</t>
  </si>
  <si>
    <t>Eintracht Frankfurt</t>
  </si>
  <si>
    <t>Maibach 1822 eV</t>
  </si>
  <si>
    <t>VFB Essenheim</t>
  </si>
  <si>
    <t>Inter Mailand</t>
  </si>
  <si>
    <t>SSV Wildbach</t>
  </si>
  <si>
    <t xml:space="preserve"> Spielplatz gespielt werden.</t>
  </si>
  <si>
    <t xml:space="preserve"> pitch.</t>
  </si>
  <si>
    <t>1st set</t>
  </si>
  <si>
    <t>1. Satz</t>
  </si>
  <si>
    <t>2nd set</t>
  </si>
  <si>
    <t>2. Satz</t>
  </si>
  <si>
    <t>balls</t>
  </si>
  <si>
    <t>Bälle</t>
  </si>
  <si>
    <t>3rd set</t>
  </si>
  <si>
    <t>3. Satz</t>
  </si>
  <si>
    <t>Pts+ GD</t>
  </si>
  <si>
    <t>invalid 1</t>
  </si>
  <si>
    <t>invalid 2</t>
  </si>
  <si>
    <t>invalid 3</t>
  </si>
  <si>
    <t>dummy</t>
  </si>
  <si>
    <t>Tie-Break</t>
  </si>
  <si>
    <t>Tie break</t>
  </si>
  <si>
    <t>Winner</t>
  </si>
  <si>
    <t>Sieger</t>
  </si>
  <si>
    <t>z.B.  2 - 4</t>
  </si>
  <si>
    <t>e.g.  2 - 4</t>
  </si>
  <si>
    <t>Team numbers</t>
  </si>
  <si>
    <t>Teamnummern</t>
  </si>
  <si>
    <t>Red font means that the ranking is not clear even with the direct comparison. A playoff match or drawing of lots must decide here.</t>
  </si>
  <si>
    <t>Rote Schrift bedeutet, dass die Rangfolge auch mit dem direkten Vergleich nicht geklärt ist. Ein Entscheidungsspiel oder Los muss hier entscheiden.</t>
  </si>
  <si>
    <t>Balldifferenz</t>
  </si>
  <si>
    <t>Ballquotient</t>
  </si>
  <si>
    <t>Ball difference</t>
  </si>
  <si>
    <t>Ball quotient</t>
  </si>
  <si>
    <t>Diff./Quot.</t>
  </si>
  <si>
    <t>Quot.</t>
  </si>
  <si>
    <t>GD/Quot</t>
  </si>
  <si>
    <t>max quot.</t>
  </si>
  <si>
    <t>Nr of dec places</t>
  </si>
  <si>
    <t>Display in the crosstabs of the preliminary round:</t>
  </si>
  <si>
    <t>Anzeige in den Kreuztabellen der Vorrunde:</t>
  </si>
  <si>
    <t>Ball points</t>
  </si>
  <si>
    <t>Ballpunkte</t>
  </si>
  <si>
    <t>Set points</t>
  </si>
  <si>
    <t>Satzpunkte</t>
  </si>
  <si>
    <t>first legs</t>
  </si>
  <si>
    <t>second legs</t>
  </si>
  <si>
    <t>sets</t>
  </si>
  <si>
    <t>Sätze</t>
  </si>
  <si>
    <t>Diff/Quot</t>
  </si>
  <si>
    <t>Sets lost</t>
  </si>
  <si>
    <t>Schiedsrichter</t>
  </si>
  <si>
    <t>Referee</t>
  </si>
  <si>
    <t>playoffs</t>
  </si>
  <si>
    <t>Anzahl der (Sieg-)Punkte</t>
  </si>
  <si>
    <t>Ja</t>
  </si>
  <si>
    <t>Nein</t>
  </si>
  <si>
    <t>Set difference as the second criterion?</t>
  </si>
  <si>
    <t>Satzdifferenz als zweites Kriterium?</t>
  </si>
  <si>
    <t>Yes</t>
  </si>
  <si>
    <t>No</t>
  </si>
  <si>
    <t>Setpts.</t>
  </si>
  <si>
    <t>Satzpkt.</t>
  </si>
  <si>
    <t>First criterion for the ranking:</t>
  </si>
  <si>
    <t>Erstes Kriterium für die Rangliste:</t>
  </si>
  <si>
    <t>Number of (victory) points</t>
  </si>
  <si>
    <t>Number of sets won</t>
  </si>
  <si>
    <t>Anzahl der gewonnenen Sätze</t>
  </si>
  <si>
    <t>Sets won as the third criterion?</t>
  </si>
  <si>
    <t>Anzahl der gewonnenen Sätze als drittes Kriterium?</t>
  </si>
  <si>
    <t>Only makes sense if the number of (victory) points is the first criterion</t>
  </si>
  <si>
    <t>Nur sinnvoll, wenn die Anzahl der (Sieg-)Punkte 1. Kriterium ist</t>
  </si>
  <si>
    <t>pts</t>
  </si>
  <si>
    <t>Dzero</t>
  </si>
  <si>
    <t>pts/sets</t>
  </si>
  <si>
    <t>Diff</t>
  </si>
  <si>
    <t>sets won</t>
  </si>
  <si>
    <t>goals</t>
  </si>
  <si>
    <t>Sets</t>
  </si>
  <si>
    <t>Sets won</t>
  </si>
  <si>
    <t>Sets diff</t>
  </si>
  <si>
    <t>Rounded</t>
  </si>
  <si>
    <t>rank</t>
  </si>
  <si>
    <t>Pts/Sets won</t>
  </si>
  <si>
    <t>TieBr+PO</t>
  </si>
  <si>
    <t>DirC + TieBr/PO</t>
  </si>
  <si>
    <t>Ball difference or ball quotient:</t>
  </si>
  <si>
    <t>Balldifferenz oder Ballquotient:</t>
  </si>
  <si>
    <t>A draw results in 0.5 set points per team.</t>
  </si>
  <si>
    <t>Bei Unentschieden bekommt jedes Team 0,5 Satzpunkte.</t>
  </si>
  <si>
    <t>No draw in a set:</t>
  </si>
  <si>
    <t>Unentschieden bei einzelnen Sätzen möglich?</t>
  </si>
  <si>
    <t>Is a draw possible in individual sets?</t>
  </si>
  <si>
    <t>Version 2.1
27.01.2026</t>
  </si>
  <si>
    <t>International tournament U10 on Jan. 27th, 2026</t>
  </si>
  <si>
    <t>Organizer:  1. FC Riedwald</t>
  </si>
  <si>
    <t>Sports hall Wiesengrund, Wendiger Str. 51, 65432 Riedwald</t>
  </si>
  <si>
    <t>Start:  9:00 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</si>
</sst>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&quot;.&quot;"/>
    <numFmt numFmtId="165" formatCode=";;;"/>
    <numFmt numFmtId="166" formatCode="0.0"/>
    <numFmt numFmtId="167" formatCode="h:mm;@"/>
    <numFmt numFmtId="168" formatCode="0.000000"/>
  </numFmts>
  <fonts count="78" x14ac:knownFonts="1">
    <font>
      <sz val="10"/>
      <name val="Arial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4"/>
      <name val="Calibri"/>
      <family val="2"/>
    </font>
    <font>
      <sz val="2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rgb="FFFA7D00"/>
      <name val="Calibri"/>
      <family val="2"/>
      <scheme val="minor"/>
    </font>
    <font>
      <b/>
      <sz val="9"/>
      <color rgb="FFC00000"/>
      <name val="Arial"/>
      <family val="2"/>
    </font>
    <font>
      <b/>
      <sz val="9"/>
      <color rgb="FF0070C0"/>
      <name val="Arial"/>
      <family val="2"/>
    </font>
    <font>
      <b/>
      <sz val="8"/>
      <color indexed="8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4"/>
      <color rgb="FF0070C0"/>
      <name val="Calibri"/>
      <family val="2"/>
    </font>
    <font>
      <b/>
      <sz val="14"/>
      <name val="Calibri"/>
      <family val="2"/>
    </font>
    <font>
      <b/>
      <sz val="28"/>
      <name val="Calibri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3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26"/>
      <name val="Calibri"/>
      <family val="2"/>
      <scheme val="minor"/>
    </font>
    <font>
      <sz val="18"/>
      <name val="Calibri"/>
      <family val="2"/>
    </font>
    <font>
      <b/>
      <sz val="14"/>
      <color rgb="FFDA0000"/>
      <name val="Calibri"/>
      <family val="2"/>
      <scheme val="minor"/>
    </font>
    <font>
      <sz val="10"/>
      <color theme="2" tint="-0.249977111117893"/>
      <name val="Calibri"/>
      <family val="2"/>
      <scheme val="minor"/>
    </font>
    <font>
      <sz val="13"/>
      <name val="Calibri"/>
      <family val="2"/>
    </font>
    <font>
      <sz val="11"/>
      <color rgb="FFDA0000"/>
      <name val="Calibri"/>
      <family val="2"/>
      <scheme val="minor"/>
    </font>
    <font>
      <u/>
      <sz val="10"/>
      <color theme="10"/>
      <name val="Arial"/>
      <family val="2"/>
    </font>
    <font>
      <b/>
      <sz val="12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20"/>
      <color rgb="FF00B050"/>
      <name val="Calibri"/>
      <family val="2"/>
      <scheme val="minor"/>
    </font>
    <font>
      <b/>
      <sz val="20"/>
      <color rgb="FFDA0000"/>
      <name val="Calibri"/>
      <family val="2"/>
    </font>
    <font>
      <sz val="11"/>
      <color rgb="FF8C1737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2" tint="-0.249977111117893"/>
      <name val="Calibri"/>
      <family val="2"/>
    </font>
    <font>
      <b/>
      <sz val="10"/>
      <name val="Arial"/>
      <family val="2"/>
    </font>
    <font>
      <b/>
      <sz val="26"/>
      <name val="Calibri"/>
      <family val="2"/>
    </font>
    <font>
      <b/>
      <sz val="14"/>
      <name val="Calibri"/>
      <family val="2"/>
      <scheme val="minor"/>
    </font>
    <font>
      <sz val="20"/>
      <color theme="0" tint="-0.14999847407452621"/>
      <name val="Calibri"/>
      <family val="2"/>
    </font>
    <font>
      <sz val="8"/>
      <color indexed="8"/>
      <name val="Arial"/>
      <family val="2"/>
    </font>
    <font>
      <u/>
      <sz val="12"/>
      <color theme="10"/>
      <name val="Arial"/>
      <family val="2"/>
    </font>
    <font>
      <sz val="12"/>
      <color indexed="8"/>
      <name val="Calibri"/>
      <family val="2"/>
    </font>
    <font>
      <b/>
      <sz val="12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20"/>
      <name val="Calibri"/>
      <family val="2"/>
      <scheme val="minor"/>
    </font>
    <font>
      <sz val="8"/>
      <color theme="2" tint="-0.499984740745262"/>
      <name val="Calibri"/>
      <family val="2"/>
      <scheme val="minor"/>
    </font>
    <font>
      <sz val="11"/>
      <color rgb="FF0070C0"/>
      <name val="Calibri"/>
      <family val="2"/>
    </font>
    <font>
      <b/>
      <sz val="20"/>
      <color rgb="FF0070C0"/>
      <name val="Calibri"/>
      <family val="2"/>
      <scheme val="minor"/>
    </font>
    <font>
      <sz val="12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12"/>
      <color theme="2" tint="-0.499984740745262"/>
      <name val="Calibri"/>
      <family val="2"/>
    </font>
    <font>
      <sz val="8"/>
      <color theme="5"/>
      <name val="Arial"/>
      <family val="2"/>
    </font>
    <font>
      <b/>
      <sz val="24"/>
      <color theme="4"/>
      <name val="Arial"/>
      <family val="2"/>
    </font>
    <font>
      <b/>
      <sz val="20"/>
      <name val="Arial"/>
      <family val="2"/>
    </font>
    <font>
      <sz val="8"/>
      <color rgb="FF000000"/>
      <name val="Segoe UI"/>
      <family val="2"/>
    </font>
    <font>
      <sz val="11"/>
      <name val="Calibri"/>
      <family val="2"/>
      <scheme val="minor"/>
    </font>
    <font>
      <sz val="12"/>
      <name val="Arial"/>
      <family val="2"/>
    </font>
    <font>
      <sz val="12"/>
      <color rgb="FFDA0000"/>
      <name val="Calibri"/>
      <family val="2"/>
      <scheme val="minor"/>
    </font>
    <font>
      <b/>
      <sz val="12"/>
      <color rgb="FFDA0000"/>
      <name val="Calibri"/>
      <family val="2"/>
      <scheme val="minor"/>
    </font>
    <font>
      <sz val="10"/>
      <color theme="2" tint="-0.249977111117893"/>
      <name val="Calibri"/>
      <family val="2"/>
    </font>
    <font>
      <b/>
      <sz val="28"/>
      <name val="Calibri"/>
      <family val="2"/>
      <scheme val="minor"/>
    </font>
    <font>
      <sz val="18"/>
      <name val="Calibri"/>
      <family val="2"/>
      <scheme val="minor"/>
    </font>
    <font>
      <b/>
      <sz val="48"/>
      <color theme="7" tint="0.79998168889431442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5"/>
      <name val="Arial"/>
      <family val="2"/>
    </font>
    <font>
      <sz val="10"/>
      <color theme="5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2F2F2"/>
      </patternFill>
    </fill>
    <fill>
      <patternFill patternType="solid">
        <fgColor rgb="FFFEFBC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DECE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E0"/>
        <bgColor indexed="64"/>
      </patternFill>
    </fill>
    <fill>
      <patternFill patternType="solid">
        <fgColor theme="4" tint="0.79998168889431442"/>
        <bgColor indexed="64"/>
      </patternFill>
    </fill>
  </fills>
  <borders count="25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n">
        <color indexed="64"/>
      </right>
      <top style="thick">
        <color rgb="FF0070C0"/>
      </top>
      <bottom/>
      <diagonal/>
    </border>
    <border>
      <left style="thin">
        <color indexed="64"/>
      </left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/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 style="thin">
        <color indexed="64"/>
      </left>
      <right/>
      <top/>
      <bottom style="thick">
        <color rgb="FF0070C0"/>
      </bottom>
      <diagonal/>
    </border>
    <border>
      <left style="thick">
        <color rgb="FF9ACA02"/>
      </left>
      <right style="thick">
        <color rgb="FF9ACA02"/>
      </right>
      <top style="thick">
        <color rgb="FF9ACA02"/>
      </top>
      <bottom/>
      <diagonal/>
    </border>
    <border>
      <left style="thick">
        <color rgb="FF9ACA02"/>
      </left>
      <right style="thick">
        <color rgb="FF9ACA02"/>
      </right>
      <top/>
      <bottom/>
      <diagonal/>
    </border>
    <border>
      <left style="thick">
        <color rgb="FF9ACA02"/>
      </left>
      <right style="thick">
        <color rgb="FF9ACA02"/>
      </right>
      <top/>
      <bottom style="thick">
        <color rgb="FF9ACA02"/>
      </bottom>
      <diagonal/>
    </border>
    <border>
      <left/>
      <right/>
      <top/>
      <bottom style="medium">
        <color theme="1" tint="0.49998474074526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rgb="FFA50021"/>
      </left>
      <right style="thin">
        <color rgb="FFA50021"/>
      </right>
      <top style="thick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ck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thin">
        <color rgb="FFA50021"/>
      </left>
      <right/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ck">
        <color theme="2" tint="-0.499984740745262"/>
      </bottom>
      <diagonal/>
    </border>
    <border>
      <left/>
      <right style="thin">
        <color rgb="FFA50021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thick">
        <color theme="2" tint="-0.499984740745262"/>
      </left>
      <right/>
      <top style="thick">
        <color theme="2" tint="-0.499984740745262"/>
      </top>
      <bottom/>
      <diagonal/>
    </border>
    <border>
      <left/>
      <right/>
      <top style="thick">
        <color theme="2" tint="-0.499984740745262"/>
      </top>
      <bottom/>
      <diagonal/>
    </border>
    <border>
      <left/>
      <right style="thick">
        <color theme="2" tint="-0.499984740745262"/>
      </right>
      <top style="thick">
        <color theme="2" tint="-0.499984740745262"/>
      </top>
      <bottom/>
      <diagonal/>
    </border>
    <border>
      <left style="thick">
        <color theme="2" tint="-0.499984740745262"/>
      </left>
      <right/>
      <top/>
      <bottom/>
      <diagonal/>
    </border>
    <border>
      <left/>
      <right style="thick">
        <color theme="2" tint="-0.499984740745262"/>
      </right>
      <top/>
      <bottom/>
      <diagonal/>
    </border>
    <border>
      <left style="thick">
        <color theme="2" tint="-0.499984740745262"/>
      </left>
      <right/>
      <top/>
      <bottom style="thick">
        <color theme="2" tint="-0.499984740745262"/>
      </bottom>
      <diagonal/>
    </border>
    <border>
      <left/>
      <right style="thick">
        <color theme="2" tint="-0.499984740745262"/>
      </right>
      <top/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ck">
        <color theme="2" tint="-0.49998474074526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ck">
        <color theme="2" tint="-0.499984740745262"/>
      </left>
      <right style="thin">
        <color theme="2" tint="-9.9948118533890809E-2"/>
      </right>
      <top style="thin">
        <color theme="2" tint="-9.9948118533890809E-2"/>
      </top>
      <bottom style="thick">
        <color theme="2" tint="-0.499984740745262"/>
      </bottom>
      <diagonal/>
    </border>
    <border>
      <left style="thin">
        <color theme="2" tint="-9.9948118533890809E-2"/>
      </left>
      <right style="thick">
        <color theme="2" tint="-0.499984740745262"/>
      </right>
      <top style="thin">
        <color theme="2" tint="-9.9948118533890809E-2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/>
      <diagonal/>
    </border>
    <border>
      <left/>
      <right style="thin">
        <color theme="2" tint="-0.24994659260841701"/>
      </right>
      <top style="thick">
        <color theme="2" tint="-0.499984740745262"/>
      </top>
      <bottom/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749961851863155"/>
      </top>
      <bottom/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/>
      <diagonal/>
    </border>
    <border>
      <left style="thick">
        <color theme="2" tint="-0.499984740745262"/>
      </left>
      <right style="thin">
        <color theme="2" tint="-0.24994659260841701"/>
      </right>
      <top/>
      <bottom style="thin">
        <color theme="2" tint="-0.749961851863155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749961851863155"/>
      </top>
      <bottom/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/>
      <diagonal/>
    </border>
    <border>
      <left style="thin">
        <color theme="2" tint="-0.24994659260841701"/>
      </left>
      <right style="thick">
        <color theme="2" tint="-0.499984740745262"/>
      </right>
      <top/>
      <bottom style="thin">
        <color theme="2" tint="-0.749961851863155"/>
      </bottom>
      <diagonal/>
    </border>
    <border>
      <left style="thick">
        <color theme="2" tint="-0.499984740745262"/>
      </left>
      <right style="thin">
        <color theme="2" tint="-0.24994659260841701"/>
      </right>
      <top/>
      <bottom style="thick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/>
      <bottom style="thick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/>
      <diagonal/>
    </border>
    <border>
      <left/>
      <right/>
      <top/>
      <bottom style="thick">
        <color theme="2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/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/>
      <right style="thick">
        <color theme="2" tint="-0.499984740745262"/>
      </right>
      <top style="thin">
        <color theme="2" tint="-0.24994659260841701"/>
      </top>
      <bottom/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/>
      <right/>
      <top/>
      <bottom style="thick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 style="thick">
        <color theme="4"/>
      </right>
      <top/>
      <bottom/>
      <diagonal/>
    </border>
    <border>
      <left style="thick">
        <color theme="4"/>
      </left>
      <right/>
      <top style="thick">
        <color theme="4"/>
      </top>
      <bottom/>
      <diagonal/>
    </border>
    <border>
      <left/>
      <right/>
      <top style="thick">
        <color theme="4"/>
      </top>
      <bottom/>
      <diagonal/>
    </border>
    <border>
      <left style="medium">
        <color theme="0" tint="-0.14996795556505021"/>
      </left>
      <right style="thick">
        <color theme="4"/>
      </right>
      <top style="thick">
        <color theme="4"/>
      </top>
      <bottom/>
      <diagonal/>
    </border>
    <border>
      <left style="thick">
        <color theme="4"/>
      </left>
      <right/>
      <top/>
      <bottom/>
      <diagonal/>
    </border>
    <border>
      <left style="medium">
        <color theme="0" tint="-0.14996795556505021"/>
      </left>
      <right style="thick">
        <color theme="4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ck">
        <color theme="4"/>
      </right>
      <top style="thick">
        <color theme="4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n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 style="medium">
        <color theme="2" tint="-0.499984740745262"/>
      </left>
      <right/>
      <top/>
      <bottom/>
      <diagonal/>
    </border>
    <border>
      <left/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/>
      <top/>
      <bottom style="medium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/>
      <right style="medium">
        <color theme="2" tint="-0.499984740745262"/>
      </right>
      <top/>
      <bottom style="medium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499984740745262"/>
      </left>
      <right style="medium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/>
      <bottom style="thin">
        <color theme="2" tint="-0.24994659260841701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medium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medium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medium">
        <color theme="2" tint="-0.499984740745262"/>
      </left>
      <right style="thin">
        <color theme="2" tint="-0.24994659260841701"/>
      </right>
      <top style="medium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medium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 style="medium">
        <color theme="2" tint="-0.499984740745262"/>
      </right>
      <top style="medium">
        <color theme="2" tint="-0.499984740745262"/>
      </top>
      <bottom style="thick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medium">
        <color theme="2" tint="-0.499984740745262"/>
      </top>
      <bottom style="thick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/>
      <right style="medium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9.9948118533890809E-2"/>
      </right>
      <top style="medium">
        <color theme="2" tint="-0.49998474074526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ck">
        <color theme="2" tint="-0.499984740745262"/>
      </right>
      <top style="medium">
        <color theme="2" tint="-0.499984740745262"/>
      </top>
      <bottom style="thin">
        <color theme="2" tint="-9.9948118533890809E-2"/>
      </bottom>
      <diagonal/>
    </border>
    <border>
      <left/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medium">
        <color theme="2" tint="-0.499984740745262"/>
      </top>
      <bottom style="thin">
        <color theme="2" tint="-0.24994659260841701"/>
      </bottom>
      <diagonal/>
    </border>
    <border>
      <left/>
      <right/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/>
      <top style="thick">
        <color theme="2" tint="-0.499984740745262"/>
      </top>
      <bottom style="thin">
        <color theme="2" tint="-0.24994659260841701"/>
      </bottom>
      <diagonal/>
    </border>
    <border>
      <left/>
      <right/>
      <top style="thick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/>
      <diagonal/>
    </border>
    <border>
      <left style="thick">
        <color theme="2" tint="-0.499984740745262"/>
      </left>
      <right/>
      <top style="medium">
        <color theme="2" tint="-0.499984740745262"/>
      </top>
      <bottom/>
      <diagonal/>
    </border>
    <border>
      <left/>
      <right/>
      <top style="medium">
        <color theme="2" tint="-0.499984740745262"/>
      </top>
      <bottom/>
      <diagonal/>
    </border>
    <border>
      <left/>
      <right style="thick">
        <color theme="2" tint="-0.499984740745262"/>
      </right>
      <top style="medium">
        <color theme="2" tint="-0.499984740745262"/>
      </top>
      <bottom/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/>
      <bottom style="medium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medium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/>
      <bottom style="medium">
        <color theme="2" tint="-0.499984740745262"/>
      </bottom>
      <diagonal/>
    </border>
    <border>
      <left style="thick">
        <color theme="2" tint="-0.499984740745262"/>
      </left>
      <right/>
      <top style="thick">
        <color theme="2" tint="-0.499984740745262"/>
      </top>
      <bottom style="medium">
        <color theme="2" tint="-0.499984740745262"/>
      </bottom>
      <diagonal/>
    </border>
    <border>
      <left/>
      <right/>
      <top style="thick">
        <color theme="2" tint="-0.499984740745262"/>
      </top>
      <bottom style="medium">
        <color theme="2" tint="-0.499984740745262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medium">
        <color theme="2" tint="-0.499984740745262"/>
      </bottom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/>
      <right style="thick">
        <color theme="2" tint="-0.499984740745262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/>
      <top/>
      <bottom style="medium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ck">
        <color theme="4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ck">
        <color theme="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2" tint="-0.24994659260841701"/>
      </left>
      <right/>
      <top/>
      <bottom style="thick">
        <color theme="2" tint="-0.499984740745262"/>
      </bottom>
      <diagonal/>
    </border>
    <border>
      <left/>
      <right/>
      <top style="medium">
        <color indexed="64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ck">
        <color theme="4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  <border>
      <left style="thick">
        <color theme="4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ck">
        <color theme="4"/>
      </bottom>
      <diagonal/>
    </border>
    <border>
      <left/>
      <right style="thick">
        <color theme="4"/>
      </right>
      <top style="thin">
        <color theme="0" tint="-0.14993743705557422"/>
      </top>
      <bottom style="thin">
        <color theme="0" tint="-0.14993743705557422"/>
      </bottom>
      <diagonal/>
    </border>
    <border>
      <left style="thick">
        <color theme="4"/>
      </left>
      <right/>
      <top style="thin">
        <color theme="0" tint="-0.14993743705557422"/>
      </top>
      <bottom style="thick">
        <color theme="4"/>
      </bottom>
      <diagonal/>
    </border>
    <border>
      <left/>
      <right style="thick">
        <color theme="4"/>
      </right>
      <top style="thin">
        <color theme="0" tint="-0.14993743705557422"/>
      </top>
      <bottom style="thick">
        <color theme="4"/>
      </bottom>
      <diagonal/>
    </border>
    <border>
      <left style="thick">
        <color theme="4"/>
      </left>
      <right/>
      <top style="thin">
        <color theme="0" tint="-0.14993743705557422"/>
      </top>
      <bottom/>
      <diagonal/>
    </border>
    <border>
      <left/>
      <right/>
      <top style="thin">
        <color theme="0" tint="-0.14993743705557422"/>
      </top>
      <bottom/>
      <diagonal/>
    </border>
    <border>
      <left/>
      <right style="thick">
        <color theme="4"/>
      </right>
      <top style="thin">
        <color theme="0" tint="-0.14993743705557422"/>
      </top>
      <bottom/>
      <diagonal/>
    </border>
    <border>
      <left style="thick">
        <color theme="7"/>
      </left>
      <right style="thick">
        <color theme="7"/>
      </right>
      <top style="thick">
        <color theme="7"/>
      </top>
      <bottom style="thick">
        <color theme="7"/>
      </bottom>
      <diagonal/>
    </border>
    <border>
      <left style="medium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499984740745262"/>
      </top>
      <bottom style="thick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thick">
        <color theme="7"/>
      </left>
      <right/>
      <top style="thick">
        <color theme="7"/>
      </top>
      <bottom style="thin">
        <color theme="7"/>
      </bottom>
      <diagonal/>
    </border>
    <border>
      <left/>
      <right/>
      <top style="thick">
        <color theme="7"/>
      </top>
      <bottom style="thin">
        <color theme="7"/>
      </bottom>
      <diagonal/>
    </border>
    <border>
      <left/>
      <right style="thick">
        <color theme="7"/>
      </right>
      <top style="thick">
        <color theme="7"/>
      </top>
      <bottom style="thin">
        <color theme="7"/>
      </bottom>
      <diagonal/>
    </border>
    <border>
      <left style="thick">
        <color theme="7"/>
      </left>
      <right/>
      <top style="thin">
        <color theme="7"/>
      </top>
      <bottom style="thin">
        <color theme="7"/>
      </bottom>
      <diagonal/>
    </border>
    <border>
      <left/>
      <right/>
      <top style="thin">
        <color theme="7"/>
      </top>
      <bottom style="thin">
        <color theme="7"/>
      </bottom>
      <diagonal/>
    </border>
    <border>
      <left/>
      <right style="thick">
        <color theme="7"/>
      </right>
      <top style="thin">
        <color theme="7"/>
      </top>
      <bottom style="thin">
        <color theme="7"/>
      </bottom>
      <diagonal/>
    </border>
    <border>
      <left style="thick">
        <color theme="7"/>
      </left>
      <right/>
      <top style="thin">
        <color theme="7"/>
      </top>
      <bottom style="thick">
        <color theme="7"/>
      </bottom>
      <diagonal/>
    </border>
    <border>
      <left/>
      <right/>
      <top style="thin">
        <color theme="7"/>
      </top>
      <bottom style="thick">
        <color theme="7"/>
      </bottom>
      <diagonal/>
    </border>
    <border>
      <left/>
      <right style="thick">
        <color theme="7"/>
      </right>
      <top style="thin">
        <color theme="7"/>
      </top>
      <bottom style="thick">
        <color theme="7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thick">
        <color theme="7"/>
      </left>
      <right/>
      <top/>
      <bottom/>
      <diagonal/>
    </border>
    <border>
      <left style="thick">
        <color theme="2" tint="-0.499984740745262"/>
      </left>
      <right style="thick">
        <color theme="2" tint="-0.499984740745262"/>
      </right>
      <top style="thick">
        <color theme="2" tint="-0.499984740745262"/>
      </top>
      <bottom/>
      <diagonal/>
    </border>
    <border>
      <left style="thick">
        <color theme="2" tint="-0.499984740745262"/>
      </left>
      <right style="thick">
        <color theme="2" tint="-0.499984740745262"/>
      </right>
      <top/>
      <bottom/>
      <diagonal/>
    </border>
    <border>
      <left style="thick">
        <color theme="2" tint="-0.499984740745262"/>
      </left>
      <right style="thick">
        <color theme="2" tint="-0.499984740745262"/>
      </right>
      <top/>
      <bottom style="thick">
        <color theme="2" tint="-0.499984740745262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thin">
        <color theme="2" tint="-0.499984740745262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 style="thin">
        <color auto="1"/>
      </right>
      <top/>
      <bottom style="thick">
        <color rgb="FF0070C0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medium">
        <color theme="2" tint="-0.499984740745262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medium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medium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ck">
        <color theme="2" tint="-0.499984740745262"/>
      </bottom>
      <diagonal/>
    </border>
    <border>
      <left/>
      <right style="thick">
        <color theme="7"/>
      </right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</borders>
  <cellStyleXfs count="5">
    <xf numFmtId="0" fontId="0" fillId="0" borderId="0"/>
    <xf numFmtId="0" fontId="4" fillId="2" borderId="0"/>
    <xf numFmtId="0" fontId="10" fillId="6" borderId="3" applyNumberFormat="0" applyAlignment="0" applyProtection="0"/>
    <xf numFmtId="0" fontId="32" fillId="0" borderId="0" applyNumberFormat="0" applyFill="0" applyBorder="0" applyAlignment="0" applyProtection="0"/>
    <xf numFmtId="0" fontId="4" fillId="0" borderId="0"/>
  </cellStyleXfs>
  <cellXfs count="723">
    <xf numFmtId="0" fontId="0" fillId="0" borderId="0" xfId="0"/>
    <xf numFmtId="0" fontId="8" fillId="0" borderId="0" xfId="0" applyNumberFormat="1" applyFont="1" applyFill="1" applyAlignment="1" applyProtection="1">
      <alignment horizontal="center" vertical="center"/>
      <protection hidden="1"/>
    </xf>
    <xf numFmtId="0" fontId="8" fillId="0" borderId="0" xfId="0" applyNumberFormat="1" applyFont="1" applyFill="1" applyAlignment="1" applyProtection="1">
      <alignment vertical="center"/>
      <protection hidden="1"/>
    </xf>
    <xf numFmtId="0" fontId="8" fillId="0" borderId="0" xfId="0" applyNumberFormat="1" applyFont="1" applyFill="1" applyBorder="1" applyAlignment="1" applyProtection="1">
      <alignment vertical="center"/>
      <protection hidden="1"/>
    </xf>
    <xf numFmtId="0" fontId="9" fillId="0" borderId="0" xfId="0" applyNumberFormat="1" applyFont="1" applyFill="1" applyAlignment="1" applyProtection="1">
      <alignment vertical="center"/>
      <protection hidden="1"/>
    </xf>
    <xf numFmtId="0" fontId="8" fillId="0" borderId="1" xfId="0" applyNumberFormat="1" applyFont="1" applyFill="1" applyBorder="1" applyAlignment="1" applyProtection="1">
      <alignment vertical="center"/>
      <protection hidden="1"/>
    </xf>
    <xf numFmtId="0" fontId="8" fillId="3" borderId="2" xfId="0" applyNumberFormat="1" applyFont="1" applyFill="1" applyBorder="1" applyAlignment="1" applyProtection="1">
      <alignment vertical="center"/>
      <protection hidden="1"/>
    </xf>
    <xf numFmtId="0" fontId="8" fillId="4" borderId="2" xfId="0" applyNumberFormat="1" applyFont="1" applyFill="1" applyBorder="1" applyAlignment="1" applyProtection="1">
      <alignment horizontal="center" vertical="center"/>
      <protection hidden="1"/>
    </xf>
    <xf numFmtId="0" fontId="8" fillId="5" borderId="2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NumberFormat="1" applyFont="1"/>
    <xf numFmtId="0" fontId="10" fillId="6" borderId="3" xfId="2" applyNumberFormat="1" applyAlignment="1" applyProtection="1">
      <alignment horizontal="center" vertical="center" readingOrder="1"/>
    </xf>
    <xf numFmtId="11" fontId="8" fillId="0" borderId="0" xfId="0" applyNumberFormat="1" applyFont="1" applyFill="1" applyAlignment="1" applyProtection="1">
      <alignment vertical="center"/>
      <protection hidden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8" fillId="7" borderId="2" xfId="0" applyNumberFormat="1" applyFont="1" applyFill="1" applyBorder="1" applyAlignment="1" applyProtection="1">
      <alignment horizontal="center" vertical="center"/>
      <protection hidden="1"/>
    </xf>
    <xf numFmtId="0" fontId="8" fillId="0" borderId="9" xfId="0" applyNumberFormat="1" applyFont="1" applyFill="1" applyBorder="1" applyAlignment="1" applyProtection="1">
      <alignment vertical="center"/>
      <protection hidden="1"/>
    </xf>
    <xf numFmtId="0" fontId="8" fillId="0" borderId="10" xfId="0" applyNumberFormat="1" applyFont="1" applyFill="1" applyBorder="1" applyAlignment="1" applyProtection="1">
      <alignment vertical="center"/>
      <protection hidden="1"/>
    </xf>
    <xf numFmtId="0" fontId="8" fillId="0" borderId="11" xfId="0" applyNumberFormat="1" applyFont="1" applyFill="1" applyBorder="1" applyAlignment="1" applyProtection="1">
      <alignment vertical="center"/>
      <protection hidden="1"/>
    </xf>
    <xf numFmtId="0" fontId="8" fillId="0" borderId="12" xfId="0" applyNumberFormat="1" applyFont="1" applyFill="1" applyBorder="1" applyAlignment="1" applyProtection="1">
      <alignment vertical="center"/>
      <protection hidden="1"/>
    </xf>
    <xf numFmtId="0" fontId="11" fillId="0" borderId="13" xfId="0" applyNumberFormat="1" applyFont="1" applyFill="1" applyBorder="1" applyAlignment="1" applyProtection="1">
      <alignment horizontal="center" vertical="center"/>
      <protection hidden="1"/>
    </xf>
    <xf numFmtId="0" fontId="11" fillId="0" borderId="14" xfId="0" applyNumberFormat="1" applyFont="1" applyFill="1" applyBorder="1" applyAlignment="1" applyProtection="1">
      <alignment horizontal="center" vertical="center"/>
      <protection hidden="1"/>
    </xf>
    <xf numFmtId="0" fontId="11" fillId="0" borderId="15" xfId="0" applyNumberFormat="1" applyFont="1" applyFill="1" applyBorder="1" applyAlignment="1" applyProtection="1">
      <alignment horizontal="center" vertical="center"/>
      <protection hidden="1"/>
    </xf>
    <xf numFmtId="3" fontId="8" fillId="0" borderId="0" xfId="0" applyNumberFormat="1" applyFont="1" applyFill="1" applyAlignment="1" applyProtection="1">
      <alignment vertical="center"/>
      <protection hidden="1"/>
    </xf>
    <xf numFmtId="3" fontId="8" fillId="0" borderId="0" xfId="0" applyNumberFormat="1" applyFont="1" applyFill="1" applyAlignment="1" applyProtection="1">
      <alignment horizontal="right" vertical="center"/>
      <protection hidden="1"/>
    </xf>
    <xf numFmtId="0" fontId="13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NumberFormat="1" applyFont="1" applyFill="1" applyAlignment="1" applyProtection="1">
      <alignment horizontal="center" vertical="center"/>
      <protection hidden="1"/>
    </xf>
    <xf numFmtId="0" fontId="8" fillId="0" borderId="16" xfId="0" applyNumberFormat="1" applyFont="1" applyFill="1" applyBorder="1" applyAlignment="1" applyProtection="1">
      <alignment horizontal="center" vertical="center"/>
      <protection hidden="1"/>
    </xf>
    <xf numFmtId="3" fontId="12" fillId="0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NumberFormat="1" applyFont="1" applyAlignment="1">
      <alignment horizontal="center" vertical="center"/>
    </xf>
    <xf numFmtId="0" fontId="8" fillId="0" borderId="17" xfId="0" applyNumberFormat="1" applyFont="1" applyFill="1" applyBorder="1" applyAlignment="1" applyProtection="1">
      <alignment vertical="center"/>
      <protection hidden="1"/>
    </xf>
    <xf numFmtId="0" fontId="8" fillId="0" borderId="18" xfId="0" applyNumberFormat="1" applyFont="1" applyFill="1" applyBorder="1" applyAlignment="1" applyProtection="1">
      <alignment horizontal="center" vertical="center"/>
      <protection hidden="1"/>
    </xf>
    <xf numFmtId="0" fontId="8" fillId="0" borderId="19" xfId="0" applyNumberFormat="1" applyFont="1" applyFill="1" applyBorder="1" applyAlignment="1" applyProtection="1">
      <alignment horizontal="center" vertical="center"/>
      <protection hidden="1"/>
    </xf>
    <xf numFmtId="0" fontId="8" fillId="0" borderId="20" xfId="0" applyNumberFormat="1" applyFont="1" applyFill="1" applyBorder="1" applyAlignment="1" applyProtection="1">
      <alignment vertical="center"/>
      <protection hidden="1"/>
    </xf>
    <xf numFmtId="0" fontId="8" fillId="0" borderId="21" xfId="0" applyNumberFormat="1" applyFont="1" applyFill="1" applyBorder="1" applyAlignment="1" applyProtection="1">
      <alignment horizontal="center" vertical="center"/>
      <protection hidden="1"/>
    </xf>
    <xf numFmtId="0" fontId="8" fillId="0" borderId="22" xfId="0" applyNumberFormat="1" applyFont="1" applyFill="1" applyBorder="1" applyAlignment="1" applyProtection="1">
      <alignment vertical="center"/>
      <protection hidden="1"/>
    </xf>
    <xf numFmtId="0" fontId="8" fillId="0" borderId="23" xfId="0" applyNumberFormat="1" applyFont="1" applyFill="1" applyBorder="1" applyAlignment="1" applyProtection="1">
      <alignment horizontal="center" vertical="center"/>
      <protection hidden="1"/>
    </xf>
    <xf numFmtId="0" fontId="8" fillId="0" borderId="24" xfId="0" applyNumberFormat="1" applyFont="1" applyFill="1" applyBorder="1" applyAlignment="1" applyProtection="1">
      <alignment horizontal="center" vertical="center"/>
      <protection hidden="1"/>
    </xf>
    <xf numFmtId="0" fontId="8" fillId="0" borderId="17" xfId="0" applyNumberFormat="1" applyFont="1" applyFill="1" applyBorder="1" applyAlignment="1" applyProtection="1">
      <alignment horizontal="center" vertical="center"/>
      <protection hidden="1"/>
    </xf>
    <xf numFmtId="0" fontId="8" fillId="0" borderId="20" xfId="0" applyNumberFormat="1" applyFont="1" applyFill="1" applyBorder="1" applyAlignment="1" applyProtection="1">
      <alignment horizontal="center" vertical="center"/>
      <protection hidden="1"/>
    </xf>
    <xf numFmtId="0" fontId="8" fillId="0" borderId="22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/>
    <xf numFmtId="0" fontId="16" fillId="0" borderId="0" xfId="0" applyFont="1"/>
    <xf numFmtId="0" fontId="8" fillId="0" borderId="37" xfId="0" applyNumberFormat="1" applyFont="1" applyFill="1" applyBorder="1" applyAlignment="1" applyProtection="1">
      <alignment horizontal="right" vertical="center" indent="1"/>
      <protection hidden="1"/>
    </xf>
    <xf numFmtId="0" fontId="8" fillId="0" borderId="40" xfId="0" applyNumberFormat="1" applyFont="1" applyFill="1" applyBorder="1" applyAlignment="1" applyProtection="1">
      <alignment horizontal="right" vertical="center" indent="1"/>
      <protection hidden="1"/>
    </xf>
    <xf numFmtId="0" fontId="8" fillId="0" borderId="42" xfId="0" applyNumberFormat="1" applyFont="1" applyFill="1" applyBorder="1" applyAlignment="1" applyProtection="1">
      <alignment horizontal="right" vertical="center" indent="1"/>
      <protection hidden="1"/>
    </xf>
    <xf numFmtId="0" fontId="19" fillId="0" borderId="0" xfId="0" applyFont="1"/>
    <xf numFmtId="0" fontId="22" fillId="0" borderId="60" xfId="0" applyFont="1" applyBorder="1" applyAlignment="1">
      <alignment horizontal="center" vertical="center"/>
    </xf>
    <xf numFmtId="0" fontId="22" fillId="0" borderId="74" xfId="0" applyFont="1" applyBorder="1" applyAlignment="1">
      <alignment horizontal="left" vertical="center"/>
    </xf>
    <xf numFmtId="0" fontId="22" fillId="0" borderId="55" xfId="0" applyFont="1" applyBorder="1" applyAlignment="1">
      <alignment horizontal="right" vertical="center"/>
    </xf>
    <xf numFmtId="0" fontId="17" fillId="0" borderId="0" xfId="0" applyFont="1" applyAlignment="1"/>
    <xf numFmtId="0" fontId="8" fillId="0" borderId="0" xfId="0" quotePrefix="1" applyNumberFormat="1" applyFont="1" applyFill="1" applyBorder="1" applyAlignment="1" applyProtection="1">
      <alignment vertical="center"/>
      <protection hidden="1"/>
    </xf>
    <xf numFmtId="0" fontId="8" fillId="0" borderId="77" xfId="0" applyNumberFormat="1" applyFont="1" applyFill="1" applyBorder="1" applyAlignment="1" applyProtection="1">
      <alignment vertical="center"/>
      <protection hidden="1"/>
    </xf>
    <xf numFmtId="0" fontId="8" fillId="0" borderId="78" xfId="0" applyNumberFormat="1" applyFont="1" applyFill="1" applyBorder="1" applyAlignment="1" applyProtection="1">
      <alignment vertical="center"/>
      <protection hidden="1"/>
    </xf>
    <xf numFmtId="0" fontId="8" fillId="0" borderId="79" xfId="0" applyNumberFormat="1" applyFont="1" applyFill="1" applyBorder="1" applyAlignment="1" applyProtection="1">
      <alignment vertical="center"/>
      <protection hidden="1"/>
    </xf>
    <xf numFmtId="0" fontId="8" fillId="0" borderId="80" xfId="0" applyNumberFormat="1" applyFont="1" applyFill="1" applyBorder="1" applyAlignment="1" applyProtection="1">
      <alignment vertical="center"/>
      <protection hidden="1"/>
    </xf>
    <xf numFmtId="0" fontId="8" fillId="0" borderId="81" xfId="0" applyNumberFormat="1" applyFont="1" applyFill="1" applyBorder="1" applyAlignment="1" applyProtection="1">
      <alignment vertical="center"/>
      <protection hidden="1"/>
    </xf>
    <xf numFmtId="0" fontId="8" fillId="0" borderId="82" xfId="0" applyNumberFormat="1" applyFont="1" applyFill="1" applyBorder="1" applyAlignment="1" applyProtection="1">
      <alignment vertical="center"/>
      <protection hidden="1"/>
    </xf>
    <xf numFmtId="0" fontId="8" fillId="0" borderId="83" xfId="0" applyNumberFormat="1" applyFont="1" applyFill="1" applyBorder="1" applyAlignment="1" applyProtection="1">
      <alignment vertical="center"/>
      <protection hidden="1"/>
    </xf>
    <xf numFmtId="0" fontId="5" fillId="0" borderId="0" xfId="0" applyFont="1" applyProtection="1"/>
    <xf numFmtId="0" fontId="8" fillId="0" borderId="39" xfId="0" applyNumberFormat="1" applyFont="1" applyFill="1" applyBorder="1" applyAlignment="1" applyProtection="1">
      <alignment horizontal="left" vertical="center"/>
      <protection hidden="1"/>
    </xf>
    <xf numFmtId="0" fontId="8" fillId="0" borderId="41" xfId="0" applyNumberFormat="1" applyFont="1" applyFill="1" applyBorder="1" applyAlignment="1" applyProtection="1">
      <alignment horizontal="left" vertical="center"/>
      <protection hidden="1"/>
    </xf>
    <xf numFmtId="0" fontId="8" fillId="0" borderId="43" xfId="0" applyNumberFormat="1" applyFont="1" applyFill="1" applyBorder="1" applyAlignment="1" applyProtection="1">
      <alignment horizontal="left" vertical="center"/>
      <protection hidden="1"/>
    </xf>
    <xf numFmtId="3" fontId="12" fillId="0" borderId="0" xfId="0" applyNumberFormat="1" applyFont="1" applyAlignment="1">
      <alignment horizontal="center"/>
    </xf>
    <xf numFmtId="0" fontId="15" fillId="9" borderId="34" xfId="0" applyFont="1" applyFill="1" applyBorder="1" applyAlignment="1">
      <alignment horizontal="center" vertical="center"/>
    </xf>
    <xf numFmtId="0" fontId="7" fillId="0" borderId="0" xfId="0" applyFont="1" applyAlignment="1" applyProtection="1">
      <alignment vertical="top"/>
    </xf>
    <xf numFmtId="0" fontId="19" fillId="0" borderId="0" xfId="0" applyNumberFormat="1" applyFont="1" applyAlignment="1">
      <alignment horizontal="center"/>
    </xf>
    <xf numFmtId="0" fontId="16" fillId="0" borderId="0" xfId="0" applyFont="1" applyAlignment="1">
      <alignment vertical="top"/>
    </xf>
    <xf numFmtId="0" fontId="8" fillId="0" borderId="90" xfId="0" applyNumberFormat="1" applyFont="1" applyFill="1" applyBorder="1" applyAlignment="1" applyProtection="1">
      <alignment horizontal="right" vertical="center" indent="1"/>
      <protection hidden="1"/>
    </xf>
    <xf numFmtId="0" fontId="8" fillId="0" borderId="91" xfId="0" applyNumberFormat="1" applyFont="1" applyFill="1" applyBorder="1" applyAlignment="1" applyProtection="1">
      <alignment horizontal="right" vertical="center" indent="1"/>
      <protection hidden="1"/>
    </xf>
    <xf numFmtId="0" fontId="8" fillId="0" borderId="92" xfId="0" applyNumberFormat="1" applyFont="1" applyFill="1" applyBorder="1" applyAlignment="1" applyProtection="1">
      <alignment horizontal="right" vertical="center" indent="1"/>
      <protection hidden="1"/>
    </xf>
    <xf numFmtId="165" fontId="19" fillId="0" borderId="0" xfId="0" applyNumberFormat="1" applyFont="1" applyAlignment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/>
      <protection hidden="1"/>
    </xf>
    <xf numFmtId="0" fontId="0" fillId="0" borderId="0" xfId="0" applyProtection="1"/>
    <xf numFmtId="0" fontId="39" fillId="0" borderId="0" xfId="0" applyFont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indent="1"/>
    </xf>
    <xf numFmtId="0" fontId="0" fillId="12" borderId="105" xfId="0" applyFill="1" applyBorder="1" applyAlignment="1" applyProtection="1">
      <alignment horizontal="left" indent="1"/>
      <protection locked="0"/>
    </xf>
    <xf numFmtId="0" fontId="0" fillId="13" borderId="106" xfId="0" applyFill="1" applyBorder="1" applyAlignment="1" applyProtection="1">
      <alignment horizontal="left" indent="1"/>
      <protection locked="0"/>
    </xf>
    <xf numFmtId="0" fontId="0" fillId="14" borderId="107" xfId="0" applyFill="1" applyBorder="1" applyAlignment="1" applyProtection="1">
      <alignment horizontal="left" indent="1"/>
      <protection locked="0"/>
    </xf>
    <xf numFmtId="0" fontId="41" fillId="0" borderId="100" xfId="0" applyFont="1" applyFill="1" applyBorder="1" applyAlignment="1">
      <alignment horizontal="left" indent="1"/>
    </xf>
    <xf numFmtId="0" fontId="0" fillId="0" borderId="101" xfId="0" applyBorder="1" applyAlignment="1">
      <alignment horizontal="left" indent="1"/>
    </xf>
    <xf numFmtId="0" fontId="0" fillId="0" borderId="108" xfId="0" applyBorder="1" applyAlignment="1">
      <alignment horizontal="left" indent="1"/>
    </xf>
    <xf numFmtId="0" fontId="41" fillId="0" borderId="103" xfId="0" applyFont="1" applyFill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99" xfId="0" applyBorder="1" applyAlignment="1">
      <alignment horizontal="left" indent="1"/>
    </xf>
    <xf numFmtId="0" fontId="38" fillId="0" borderId="0" xfId="0" applyFont="1" applyFill="1" applyBorder="1"/>
    <xf numFmtId="0" fontId="42" fillId="0" borderId="0" xfId="0" applyFont="1" applyFill="1" applyBorder="1"/>
    <xf numFmtId="0" fontId="0" fillId="0" borderId="0" xfId="0" applyFill="1" applyAlignment="1">
      <alignment vertical="center"/>
    </xf>
    <xf numFmtId="0" fontId="0" fillId="14" borderId="107" xfId="0" applyFill="1" applyBorder="1" applyAlignment="1" applyProtection="1">
      <alignment horizontal="left" vertical="top" wrapText="1" indent="1"/>
      <protection locked="0"/>
    </xf>
    <xf numFmtId="0" fontId="0" fillId="12" borderId="105" xfId="0" applyFill="1" applyBorder="1" applyAlignment="1" applyProtection="1">
      <alignment horizontal="left" vertical="top" wrapText="1" indent="1"/>
      <protection locked="0"/>
    </xf>
    <xf numFmtId="0" fontId="0" fillId="13" borderId="106" xfId="0" applyFill="1" applyBorder="1" applyAlignment="1" applyProtection="1">
      <alignment horizontal="left" vertical="top" wrapText="1" indent="1"/>
      <protection locked="0"/>
    </xf>
    <xf numFmtId="0" fontId="0" fillId="13" borderId="110" xfId="0" applyFill="1" applyBorder="1" applyAlignment="1" applyProtection="1">
      <alignment horizontal="left" vertical="top" wrapText="1" indent="1"/>
      <protection locked="0"/>
    </xf>
    <xf numFmtId="0" fontId="0" fillId="13" borderId="104" xfId="0" applyFill="1" applyBorder="1" applyAlignment="1" applyProtection="1">
      <alignment horizontal="left" vertical="top" indent="1"/>
      <protection locked="0"/>
    </xf>
    <xf numFmtId="0" fontId="4" fillId="12" borderId="105" xfId="0" applyFont="1" applyFill="1" applyBorder="1" applyAlignment="1" applyProtection="1">
      <alignment horizontal="left" vertical="center" indent="1"/>
      <protection locked="0"/>
    </xf>
    <xf numFmtId="0" fontId="4" fillId="14" borderId="107" xfId="0" applyFont="1" applyFill="1" applyBorder="1" applyAlignment="1" applyProtection="1">
      <alignment horizontal="left" vertical="center" indent="1"/>
      <protection locked="0"/>
    </xf>
    <xf numFmtId="0" fontId="4" fillId="14" borderId="107" xfId="0" applyFont="1" applyFill="1" applyBorder="1" applyAlignment="1" applyProtection="1">
      <alignment horizontal="left" vertical="top" wrapText="1" indent="1"/>
      <protection locked="0"/>
    </xf>
    <xf numFmtId="0" fontId="4" fillId="12" borderId="105" xfId="0" applyFont="1" applyFill="1" applyBorder="1" applyAlignment="1" applyProtection="1">
      <alignment horizontal="left" indent="1"/>
      <protection locked="0"/>
    </xf>
    <xf numFmtId="0" fontId="4" fillId="14" borderId="107" xfId="0" applyFont="1" applyFill="1" applyBorder="1" applyAlignment="1" applyProtection="1">
      <alignment horizontal="left" indent="1"/>
      <protection locked="0"/>
    </xf>
    <xf numFmtId="0" fontId="4" fillId="14" borderId="107" xfId="0" applyFont="1" applyFill="1" applyBorder="1" applyAlignment="1">
      <alignment horizontal="left" indent="1"/>
    </xf>
    <xf numFmtId="0" fontId="4" fillId="13" borderId="106" xfId="0" applyFont="1" applyFill="1" applyBorder="1" applyAlignment="1" applyProtection="1">
      <alignment horizontal="left" indent="1"/>
      <protection locked="0"/>
    </xf>
    <xf numFmtId="0" fontId="4" fillId="12" borderId="109" xfId="0" applyFont="1" applyFill="1" applyBorder="1" applyAlignment="1" applyProtection="1">
      <alignment horizontal="left" vertical="top" indent="1"/>
      <protection locked="0"/>
    </xf>
    <xf numFmtId="0" fontId="4" fillId="14" borderId="107" xfId="0" applyFont="1" applyFill="1" applyBorder="1" applyAlignment="1" applyProtection="1">
      <alignment horizontal="left" vertical="top" indent="1"/>
      <protection locked="0"/>
    </xf>
    <xf numFmtId="0" fontId="4" fillId="0" borderId="0" xfId="0" applyFont="1"/>
    <xf numFmtId="0" fontId="37" fillId="0" borderId="0" xfId="0" applyFont="1" applyBorder="1" applyAlignment="1">
      <alignment horizontal="left" vertical="center" wrapText="1"/>
    </xf>
    <xf numFmtId="0" fontId="4" fillId="12" borderId="111" xfId="0" applyFont="1" applyFill="1" applyBorder="1" applyAlignment="1" applyProtection="1">
      <alignment horizontal="left" vertical="top" indent="1"/>
      <protection locked="0"/>
    </xf>
    <xf numFmtId="0" fontId="1" fillId="13" borderId="98" xfId="0" applyFont="1" applyFill="1" applyBorder="1" applyAlignment="1" applyProtection="1">
      <alignment horizontal="center" vertical="center"/>
      <protection locked="0"/>
    </xf>
    <xf numFmtId="0" fontId="4" fillId="14" borderId="103" xfId="0" applyFont="1" applyFill="1" applyBorder="1" applyAlignment="1" applyProtection="1">
      <alignment horizontal="left" vertical="top" indent="1"/>
      <protection locked="0"/>
    </xf>
    <xf numFmtId="0" fontId="8" fillId="0" borderId="31" xfId="0" applyNumberFormat="1" applyFont="1" applyFill="1" applyBorder="1" applyAlignment="1" applyProtection="1">
      <alignment horizontal="center" vertical="center"/>
      <protection hidden="1"/>
    </xf>
    <xf numFmtId="0" fontId="8" fillId="0" borderId="26" xfId="0" applyNumberFormat="1" applyFont="1" applyFill="1" applyBorder="1" applyAlignment="1" applyProtection="1">
      <alignment horizontal="center" vertical="center"/>
      <protection hidden="1"/>
    </xf>
    <xf numFmtId="3" fontId="8" fillId="0" borderId="31" xfId="0" applyNumberFormat="1" applyFont="1" applyFill="1" applyBorder="1" applyAlignment="1" applyProtection="1">
      <alignment horizontal="center" vertical="center"/>
      <protection hidden="1"/>
    </xf>
    <xf numFmtId="0" fontId="21" fillId="0" borderId="0" xfId="0" applyFont="1" applyBorder="1" applyAlignment="1">
      <alignment horizontal="center" vertical="center"/>
    </xf>
    <xf numFmtId="0" fontId="19" fillId="0" borderId="0" xfId="0" applyNumberFormat="1" applyFont="1" applyAlignment="1">
      <alignment horizontal="center" vertical="center"/>
    </xf>
    <xf numFmtId="0" fontId="33" fillId="12" borderId="0" xfId="0" applyNumberFormat="1" applyFont="1" applyFill="1" applyAlignment="1">
      <alignment horizontal="center"/>
    </xf>
    <xf numFmtId="0" fontId="19" fillId="0" borderId="144" xfId="0" applyNumberFormat="1" applyFont="1" applyBorder="1" applyAlignment="1">
      <alignment horizontal="center" vertical="center"/>
    </xf>
    <xf numFmtId="0" fontId="4" fillId="12" borderId="105" xfId="0" applyFont="1" applyFill="1" applyBorder="1" applyAlignment="1" applyProtection="1">
      <alignment horizontal="left" vertical="top" wrapText="1" indent="1"/>
      <protection locked="0"/>
    </xf>
    <xf numFmtId="0" fontId="8" fillId="0" borderId="38" xfId="0" applyNumberFormat="1" applyFont="1" applyFill="1" applyBorder="1" applyAlignment="1" applyProtection="1">
      <alignment horizontal="center" vertical="center"/>
      <protection hidden="1"/>
    </xf>
    <xf numFmtId="0" fontId="8" fillId="0" borderId="39" xfId="0" applyNumberFormat="1" applyFont="1" applyFill="1" applyBorder="1" applyAlignment="1" applyProtection="1">
      <alignment horizontal="center" vertical="center"/>
      <protection hidden="1"/>
    </xf>
    <xf numFmtId="0" fontId="8" fillId="0" borderId="41" xfId="0" applyNumberFormat="1" applyFont="1" applyFill="1" applyBorder="1" applyAlignment="1" applyProtection="1">
      <alignment horizontal="center" vertical="center"/>
      <protection hidden="1"/>
    </xf>
    <xf numFmtId="0" fontId="8" fillId="0" borderId="76" xfId="0" applyNumberFormat="1" applyFont="1" applyFill="1" applyBorder="1" applyAlignment="1" applyProtection="1">
      <alignment horizontal="center" vertical="center"/>
      <protection hidden="1"/>
    </xf>
    <xf numFmtId="0" fontId="8" fillId="0" borderId="43" xfId="0" applyNumberFormat="1" applyFont="1" applyFill="1" applyBorder="1" applyAlignment="1" applyProtection="1">
      <alignment horizontal="center" vertical="center"/>
      <protection hidden="1"/>
    </xf>
    <xf numFmtId="0" fontId="8" fillId="0" borderId="76" xfId="0" applyNumberFormat="1" applyFont="1" applyFill="1" applyBorder="1" applyAlignment="1" applyProtection="1">
      <alignment vertical="center"/>
      <protection hidden="1"/>
    </xf>
    <xf numFmtId="0" fontId="8" fillId="0" borderId="37" xfId="0" applyNumberFormat="1" applyFont="1" applyFill="1" applyBorder="1" applyAlignment="1" applyProtection="1">
      <alignment horizontal="center" vertical="center"/>
      <protection hidden="1"/>
    </xf>
    <xf numFmtId="0" fontId="8" fillId="0" borderId="40" xfId="0" applyNumberFormat="1" applyFont="1" applyFill="1" applyBorder="1" applyAlignment="1" applyProtection="1">
      <alignment horizontal="center" vertical="center"/>
      <protection hidden="1"/>
    </xf>
    <xf numFmtId="0" fontId="8" fillId="0" borderId="42" xfId="0" applyNumberFormat="1" applyFont="1" applyFill="1" applyBorder="1" applyAlignment="1" applyProtection="1">
      <alignment horizontal="center" vertical="center"/>
      <protection hidden="1"/>
    </xf>
    <xf numFmtId="14" fontId="29" fillId="0" borderId="0" xfId="0" applyNumberFormat="1" applyFont="1" applyAlignment="1">
      <alignment horizontal="left" vertical="top"/>
    </xf>
    <xf numFmtId="0" fontId="29" fillId="0" borderId="0" xfId="0" applyFont="1" applyAlignment="1">
      <alignment vertical="center"/>
    </xf>
    <xf numFmtId="0" fontId="48" fillId="0" borderId="0" xfId="0" applyNumberFormat="1" applyFont="1" applyFill="1" applyAlignment="1" applyProtection="1">
      <alignment horizontal="center" vertical="center"/>
      <protection hidden="1"/>
    </xf>
    <xf numFmtId="0" fontId="48" fillId="0" borderId="76" xfId="0" applyNumberFormat="1" applyFont="1" applyFill="1" applyBorder="1" applyAlignment="1" applyProtection="1">
      <alignment horizontal="center" vertical="center"/>
      <protection hidden="1"/>
    </xf>
    <xf numFmtId="0" fontId="4" fillId="12" borderId="111" xfId="0" applyFont="1" applyFill="1" applyBorder="1" applyAlignment="1" applyProtection="1">
      <alignment horizontal="left" vertical="top" wrapText="1" indent="1"/>
      <protection locked="0"/>
    </xf>
    <xf numFmtId="0" fontId="4" fillId="14" borderId="103" xfId="0" applyFont="1" applyFill="1" applyBorder="1" applyAlignment="1" applyProtection="1">
      <alignment horizontal="left" vertical="top" wrapText="1" indent="1"/>
      <protection locked="0"/>
    </xf>
    <xf numFmtId="0" fontId="0" fillId="0" borderId="0" xfId="0" applyAlignment="1">
      <alignment horizontal="center"/>
    </xf>
    <xf numFmtId="0" fontId="22" fillId="0" borderId="0" xfId="0" applyFont="1"/>
    <xf numFmtId="0" fontId="50" fillId="0" borderId="0" xfId="0" applyNumberFormat="1" applyFont="1" applyFill="1" applyBorder="1" applyAlignment="1" applyProtection="1">
      <alignment horizontal="right" vertical="center"/>
      <protection hidden="1"/>
    </xf>
    <xf numFmtId="0" fontId="14" fillId="0" borderId="0" xfId="0" applyFont="1" applyFill="1" applyBorder="1" applyAlignment="1" applyProtection="1">
      <alignment vertical="center"/>
    </xf>
    <xf numFmtId="164" fontId="24" fillId="0" borderId="48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164" fontId="24" fillId="0" borderId="51" xfId="0" applyNumberFormat="1" applyFont="1" applyBorder="1" applyAlignment="1">
      <alignment horizontal="center" vertical="center"/>
    </xf>
    <xf numFmtId="165" fontId="51" fillId="0" borderId="0" xfId="0" applyNumberFormat="1" applyFont="1" applyAlignment="1">
      <alignment horizontal="right" vertical="center" indent="1"/>
    </xf>
    <xf numFmtId="165" fontId="52" fillId="0" borderId="0" xfId="0" applyNumberFormat="1" applyFont="1"/>
    <xf numFmtId="0" fontId="21" fillId="0" borderId="0" xfId="0" applyFont="1"/>
    <xf numFmtId="0" fontId="21" fillId="0" borderId="48" xfId="0" applyFont="1" applyBorder="1" applyAlignment="1">
      <alignment horizontal="center" vertical="center"/>
    </xf>
    <xf numFmtId="167" fontId="21" fillId="0" borderId="49" xfId="0" applyNumberFormat="1" applyFont="1" applyBorder="1" applyAlignment="1">
      <alignment horizontal="center" vertical="center"/>
    </xf>
    <xf numFmtId="0" fontId="21" fillId="0" borderId="50" xfId="0" applyFont="1" applyBorder="1" applyAlignment="1">
      <alignment horizontal="left" vertical="center" indent="1"/>
    </xf>
    <xf numFmtId="0" fontId="21" fillId="0" borderId="51" xfId="0" applyFont="1" applyBorder="1" applyAlignment="1">
      <alignment horizontal="center" vertical="center"/>
    </xf>
    <xf numFmtId="167" fontId="21" fillId="0" borderId="52" xfId="0" applyNumberFormat="1" applyFont="1" applyBorder="1" applyAlignment="1">
      <alignment horizontal="center" vertical="center"/>
    </xf>
    <xf numFmtId="0" fontId="21" fillId="0" borderId="53" xfId="0" applyFont="1" applyBorder="1" applyAlignment="1">
      <alignment horizontal="left" vertical="center" indent="1"/>
    </xf>
    <xf numFmtId="0" fontId="21" fillId="0" borderId="62" xfId="0" applyFont="1" applyBorder="1" applyAlignment="1">
      <alignment horizontal="center" vertical="center"/>
    </xf>
    <xf numFmtId="167" fontId="21" fillId="0" borderId="168" xfId="0" applyNumberFormat="1" applyFont="1" applyBorder="1" applyAlignment="1">
      <alignment horizontal="center" vertical="center"/>
    </xf>
    <xf numFmtId="0" fontId="33" fillId="13" borderId="169" xfId="0" applyFont="1" applyFill="1" applyBorder="1" applyAlignment="1">
      <alignment horizontal="center" vertical="center"/>
    </xf>
    <xf numFmtId="0" fontId="33" fillId="13" borderId="170" xfId="0" applyFont="1" applyFill="1" applyBorder="1" applyAlignment="1">
      <alignment horizontal="center" vertical="center"/>
    </xf>
    <xf numFmtId="0" fontId="33" fillId="13" borderId="171" xfId="0" applyFont="1" applyFill="1" applyBorder="1" applyAlignment="1">
      <alignment horizontal="left" vertical="center" indent="1"/>
    </xf>
    <xf numFmtId="0" fontId="54" fillId="0" borderId="0" xfId="0" applyFont="1"/>
    <xf numFmtId="0" fontId="19" fillId="0" borderId="0" xfId="0" applyFont="1" applyProtection="1"/>
    <xf numFmtId="0" fontId="22" fillId="0" borderId="0" xfId="0" applyFont="1" applyProtection="1"/>
    <xf numFmtId="0" fontId="22" fillId="0" borderId="0" xfId="0" applyFont="1" applyFill="1" applyBorder="1" applyProtection="1"/>
    <xf numFmtId="0" fontId="22" fillId="0" borderId="0" xfId="0" applyFont="1" applyFill="1" applyBorder="1" applyAlignment="1" applyProtection="1">
      <alignment vertical="center"/>
    </xf>
    <xf numFmtId="0" fontId="49" fillId="0" borderId="0" xfId="3" applyFont="1" applyFill="1" applyBorder="1" applyAlignment="1" applyProtection="1">
      <alignment vertical="center"/>
    </xf>
    <xf numFmtId="0" fontId="58" fillId="0" borderId="0" xfId="0" applyFont="1" applyBorder="1" applyAlignment="1">
      <alignment horizontal="left" vertical="center" wrapText="1"/>
    </xf>
    <xf numFmtId="0" fontId="59" fillId="0" borderId="0" xfId="0" applyFont="1" applyAlignment="1">
      <alignment horizontal="right" indent="1"/>
    </xf>
    <xf numFmtId="167" fontId="24" fillId="0" borderId="49" xfId="0" applyNumberFormat="1" applyFont="1" applyBorder="1" applyAlignment="1">
      <alignment horizontal="center" vertical="center"/>
    </xf>
    <xf numFmtId="0" fontId="24" fillId="0" borderId="119" xfId="0" applyNumberFormat="1" applyFont="1" applyBorder="1" applyAlignment="1">
      <alignment horizontal="center" vertical="center"/>
    </xf>
    <xf numFmtId="0" fontId="24" fillId="0" borderId="49" xfId="0" applyNumberFormat="1" applyFont="1" applyBorder="1" applyAlignment="1">
      <alignment horizontal="center" vertical="center"/>
    </xf>
    <xf numFmtId="167" fontId="24" fillId="0" borderId="52" xfId="0" applyNumberFormat="1" applyFont="1" applyBorder="1" applyAlignment="1">
      <alignment horizontal="center" vertical="center"/>
    </xf>
    <xf numFmtId="0" fontId="22" fillId="0" borderId="61" xfId="0" applyFont="1" applyBorder="1" applyAlignment="1">
      <alignment horizontal="center" vertical="center"/>
    </xf>
    <xf numFmtId="164" fontId="24" fillId="0" borderId="62" xfId="0" applyNumberFormat="1" applyFont="1" applyBorder="1" applyAlignment="1">
      <alignment horizontal="center" vertical="center"/>
    </xf>
    <xf numFmtId="0" fontId="22" fillId="0" borderId="175" xfId="0" applyFont="1" applyBorder="1" applyAlignment="1">
      <alignment horizontal="right" vertical="center"/>
    </xf>
    <xf numFmtId="0" fontId="22" fillId="0" borderId="176" xfId="0" applyFont="1" applyBorder="1" applyAlignment="1">
      <alignment horizontal="center" vertical="center"/>
    </xf>
    <xf numFmtId="0" fontId="22" fillId="0" borderId="178" xfId="0" applyFont="1" applyBorder="1" applyAlignment="1">
      <alignment horizontal="left" vertical="center"/>
    </xf>
    <xf numFmtId="0" fontId="20" fillId="9" borderId="179" xfId="0" applyFont="1" applyFill="1" applyBorder="1" applyAlignment="1">
      <alignment horizontal="center"/>
    </xf>
    <xf numFmtId="0" fontId="20" fillId="9" borderId="122" xfId="0" applyFont="1" applyFill="1" applyBorder="1" applyAlignment="1">
      <alignment horizontal="center"/>
    </xf>
    <xf numFmtId="167" fontId="24" fillId="0" borderId="119" xfId="0" applyNumberFormat="1" applyFont="1" applyBorder="1" applyAlignment="1">
      <alignment horizontal="center" vertical="center"/>
    </xf>
    <xf numFmtId="0" fontId="15" fillId="9" borderId="84" xfId="0" applyFont="1" applyFill="1" applyBorder="1" applyAlignment="1">
      <alignment horizontal="center" vertical="center"/>
    </xf>
    <xf numFmtId="0" fontId="33" fillId="13" borderId="181" xfId="0" applyFont="1" applyFill="1" applyBorder="1" applyAlignment="1">
      <alignment horizontal="center" vertical="center"/>
    </xf>
    <xf numFmtId="0" fontId="21" fillId="0" borderId="157" xfId="0" applyFont="1" applyBorder="1" applyAlignment="1">
      <alignment horizontal="left" vertical="center" indent="1"/>
    </xf>
    <xf numFmtId="0" fontId="21" fillId="0" borderId="175" xfId="0" applyFont="1" applyBorder="1" applyAlignment="1">
      <alignment horizontal="center" vertical="center"/>
    </xf>
    <xf numFmtId="0" fontId="21" fillId="0" borderId="55" xfId="0" applyFont="1" applyBorder="1" applyAlignment="1">
      <alignment horizontal="center" vertical="center"/>
    </xf>
    <xf numFmtId="0" fontId="21" fillId="0" borderId="57" xfId="0" applyFont="1" applyBorder="1" applyAlignment="1">
      <alignment horizontal="center" vertical="center"/>
    </xf>
    <xf numFmtId="0" fontId="21" fillId="0" borderId="0" xfId="0" applyFont="1" applyProtection="1">
      <protection locked="0"/>
    </xf>
    <xf numFmtId="0" fontId="61" fillId="0" borderId="0" xfId="0" applyNumberFormat="1" applyFont="1" applyAlignment="1">
      <alignment horizontal="center" vertical="center"/>
    </xf>
    <xf numFmtId="0" fontId="8" fillId="0" borderId="186" xfId="0" applyNumberFormat="1" applyFont="1" applyFill="1" applyBorder="1" applyAlignment="1" applyProtection="1">
      <alignment vertical="center"/>
      <protection hidden="1"/>
    </xf>
    <xf numFmtId="0" fontId="6" fillId="0" borderId="49" xfId="0" applyFont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30" fillId="0" borderId="138" xfId="0" applyFont="1" applyBorder="1" applyAlignment="1">
      <alignment horizontal="center" vertical="center" shrinkToFit="1"/>
    </xf>
    <xf numFmtId="0" fontId="30" fillId="0" borderId="139" xfId="0" applyFont="1" applyBorder="1" applyAlignment="1">
      <alignment horizontal="center" vertical="center" shrinkToFit="1"/>
    </xf>
    <xf numFmtId="0" fontId="30" fillId="0" borderId="140" xfId="0" applyFont="1" applyBorder="1" applyAlignment="1">
      <alignment horizontal="center" vertical="center" shrinkToFit="1"/>
    </xf>
    <xf numFmtId="0" fontId="30" fillId="0" borderId="141" xfId="0" applyFont="1" applyBorder="1" applyAlignment="1">
      <alignment horizontal="center" vertical="center" shrinkToFit="1"/>
    </xf>
    <xf numFmtId="0" fontId="5" fillId="0" borderId="0" xfId="0" applyFont="1" applyAlignment="1">
      <alignment shrinkToFit="1"/>
    </xf>
    <xf numFmtId="0" fontId="15" fillId="9" borderId="66" xfId="0" applyFont="1" applyFill="1" applyBorder="1" applyAlignment="1">
      <alignment horizontal="center" vertical="center" shrinkToFit="1"/>
    </xf>
    <xf numFmtId="0" fontId="15" fillId="9" borderId="75" xfId="0" applyFont="1" applyFill="1" applyBorder="1" applyAlignment="1">
      <alignment horizontal="center" vertical="center" shrinkToFit="1"/>
    </xf>
    <xf numFmtId="0" fontId="15" fillId="9" borderId="58" xfId="0" applyFont="1" applyFill="1" applyBorder="1" applyAlignment="1">
      <alignment horizontal="center" vertical="center" shrinkToFit="1"/>
    </xf>
    <xf numFmtId="0" fontId="15" fillId="9" borderId="70" xfId="0" applyFont="1" applyFill="1" applyBorder="1" applyAlignment="1">
      <alignment horizontal="center" vertical="center" shrinkToFit="1"/>
    </xf>
    <xf numFmtId="165" fontId="15" fillId="9" borderId="66" xfId="0" applyNumberFormat="1" applyFont="1" applyFill="1" applyBorder="1" applyAlignment="1">
      <alignment vertical="center" shrinkToFit="1"/>
    </xf>
    <xf numFmtId="165" fontId="15" fillId="9" borderId="75" xfId="0" applyNumberFormat="1" applyFont="1" applyFill="1" applyBorder="1" applyAlignment="1">
      <alignment vertical="center" shrinkToFit="1"/>
    </xf>
    <xf numFmtId="165" fontId="15" fillId="9" borderId="70" xfId="0" applyNumberFormat="1" applyFont="1" applyFill="1" applyBorder="1" applyAlignment="1">
      <alignment vertical="center" shrinkToFit="1"/>
    </xf>
    <xf numFmtId="164" fontId="6" fillId="0" borderId="151" xfId="0" applyNumberFormat="1" applyFont="1" applyBorder="1" applyAlignment="1">
      <alignment vertical="center" shrinkToFit="1"/>
    </xf>
    <xf numFmtId="0" fontId="6" fillId="0" borderId="152" xfId="0" applyFont="1" applyBorder="1" applyAlignment="1">
      <alignment horizontal="left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6" fillId="0" borderId="155" xfId="0" applyFont="1" applyBorder="1" applyAlignment="1">
      <alignment horizontal="center" vertical="center" shrinkToFit="1"/>
    </xf>
    <xf numFmtId="0" fontId="17" fillId="0" borderId="157" xfId="0" applyFont="1" applyBorder="1" applyAlignment="1">
      <alignment horizontal="center" vertical="center" shrinkToFit="1"/>
    </xf>
    <xf numFmtId="0" fontId="6" fillId="0" borderId="142" xfId="0" applyFont="1" applyBorder="1" applyAlignment="1">
      <alignment horizontal="left" vertical="center" shrinkToFit="1"/>
    </xf>
    <xf numFmtId="164" fontId="6" fillId="0" borderId="44" xfId="0" applyNumberFormat="1" applyFont="1" applyBorder="1" applyAlignment="1">
      <alignment vertical="center" shrinkToFit="1"/>
    </xf>
    <xf numFmtId="0" fontId="6" fillId="0" borderId="45" xfId="0" applyFont="1" applyBorder="1" applyAlignment="1">
      <alignment horizontal="left" vertical="center" shrinkToFit="1"/>
    </xf>
    <xf numFmtId="0" fontId="6" fillId="0" borderId="54" xfId="0" applyFont="1" applyBorder="1" applyAlignment="1">
      <alignment horizontal="center" vertical="center" shrinkToFit="1"/>
    </xf>
    <xf numFmtId="0" fontId="6" fillId="0" borderId="55" xfId="0" applyFont="1" applyBorder="1" applyAlignment="1">
      <alignment horizontal="center" vertical="center" shrinkToFit="1"/>
    </xf>
    <xf numFmtId="0" fontId="17" fillId="0" borderId="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left" vertical="center" shrinkToFit="1"/>
    </xf>
    <xf numFmtId="164" fontId="6" fillId="0" borderId="46" xfId="0" applyNumberFormat="1" applyFont="1" applyBorder="1" applyAlignment="1">
      <alignment vertical="center" shrinkToFit="1"/>
    </xf>
    <xf numFmtId="0" fontId="6" fillId="0" borderId="47" xfId="0" applyFont="1" applyBorder="1" applyAlignment="1">
      <alignment horizontal="left" vertical="center" shrinkToFit="1"/>
    </xf>
    <xf numFmtId="0" fontId="6" fillId="0" borderId="56" xfId="0" applyFont="1" applyBorder="1" applyAlignment="1">
      <alignment horizontal="center" vertical="center" shrinkToFit="1"/>
    </xf>
    <xf numFmtId="0" fontId="6" fillId="0" borderId="52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17" fillId="0" borderId="53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left" vertical="center" shrinkToFit="1"/>
    </xf>
    <xf numFmtId="0" fontId="30" fillId="0" borderId="138" xfId="0" applyFont="1" applyBorder="1" applyAlignment="1">
      <alignment vertical="center" shrinkToFit="1"/>
    </xf>
    <xf numFmtId="0" fontId="30" fillId="0" borderId="139" xfId="0" applyFont="1" applyBorder="1" applyAlignment="1">
      <alignment vertical="center" shrinkToFit="1"/>
    </xf>
    <xf numFmtId="0" fontId="30" fillId="0" borderId="140" xfId="0" applyFont="1" applyBorder="1" applyAlignment="1">
      <alignment vertical="center" shrinkToFit="1"/>
    </xf>
    <xf numFmtId="0" fontId="30" fillId="0" borderId="141" xfId="0" applyFont="1" applyBorder="1" applyAlignment="1">
      <alignment vertical="center" shrinkToFit="1"/>
    </xf>
    <xf numFmtId="0" fontId="6" fillId="0" borderId="35" xfId="0" applyFont="1" applyBorder="1" applyAlignment="1">
      <alignment horizontal="center" vertical="center" shrinkToFit="1"/>
    </xf>
    <xf numFmtId="167" fontId="60" fillId="0" borderId="180" xfId="0" applyNumberFormat="1" applyFont="1" applyBorder="1" applyAlignment="1">
      <alignment horizontal="center" vertical="center" shrinkToFit="1"/>
    </xf>
    <xf numFmtId="0" fontId="60" fillId="0" borderId="180" xfId="0" applyFont="1" applyBorder="1" applyAlignment="1">
      <alignment horizontal="center" vertical="center" shrinkToFit="1"/>
    </xf>
    <xf numFmtId="0" fontId="6" fillId="0" borderId="26" xfId="0" applyFont="1" applyBorder="1" applyAlignment="1">
      <alignment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10" borderId="31" xfId="0" applyFont="1" applyFill="1" applyBorder="1" applyAlignment="1" applyProtection="1">
      <alignment horizontal="right" vertical="center" shrinkToFit="1"/>
      <protection locked="0"/>
    </xf>
    <xf numFmtId="0" fontId="6" fillId="0" borderId="36" xfId="0" applyFont="1" applyBorder="1" applyAlignment="1">
      <alignment horizontal="center" vertical="center" shrinkToFit="1"/>
    </xf>
    <xf numFmtId="167" fontId="60" fillId="0" borderId="85" xfId="0" applyNumberFormat="1" applyFont="1" applyBorder="1" applyAlignment="1">
      <alignment horizontal="center" vertical="center" shrinkToFit="1"/>
    </xf>
    <xf numFmtId="0" fontId="60" fillId="0" borderId="85" xfId="0" applyFont="1" applyBorder="1" applyAlignment="1">
      <alignment horizontal="center" vertical="center" shrinkToFit="1"/>
    </xf>
    <xf numFmtId="0" fontId="6" fillId="0" borderId="28" xfId="0" applyFont="1" applyBorder="1" applyAlignment="1">
      <alignment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10" borderId="32" xfId="0" applyFont="1" applyFill="1" applyBorder="1" applyAlignment="1" applyProtection="1">
      <alignment horizontal="right" vertical="center" shrinkToFit="1"/>
      <protection locked="0"/>
    </xf>
    <xf numFmtId="0" fontId="26" fillId="0" borderId="0" xfId="0" applyFont="1" applyAlignment="1"/>
    <xf numFmtId="0" fontId="44" fillId="14" borderId="0" xfId="0" applyFont="1" applyFill="1" applyAlignment="1">
      <alignment horizontal="center"/>
    </xf>
    <xf numFmtId="0" fontId="0" fillId="13" borderId="99" xfId="0" applyFill="1" applyBorder="1" applyAlignment="1" applyProtection="1">
      <alignment horizontal="left" indent="1"/>
      <protection locked="0"/>
    </xf>
    <xf numFmtId="0" fontId="32" fillId="0" borderId="0" xfId="3"/>
    <xf numFmtId="0" fontId="33" fillId="15" borderId="0" xfId="0" applyNumberFormat="1" applyFont="1" applyFill="1" applyAlignment="1">
      <alignment horizontal="center"/>
    </xf>
    <xf numFmtId="0" fontId="19" fillId="0" borderId="0" xfId="0" applyFont="1" applyAlignment="1">
      <alignment horizontal="center"/>
    </xf>
    <xf numFmtId="0" fontId="8" fillId="0" borderId="0" xfId="0" quotePrefix="1" applyNumberFormat="1" applyFont="1" applyFill="1" applyAlignment="1" applyProtection="1">
      <alignment vertical="center"/>
      <protection hidden="1"/>
    </xf>
    <xf numFmtId="0" fontId="22" fillId="0" borderId="190" xfId="0" applyFont="1" applyBorder="1" applyAlignment="1">
      <alignment horizontal="right" vertical="center"/>
    </xf>
    <xf numFmtId="0" fontId="22" fillId="0" borderId="43" xfId="0" applyFont="1" applyBorder="1" applyAlignment="1">
      <alignment horizontal="left" vertical="center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>
      <alignment vertical="center" textRotation="90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0" xfId="0" applyNumberFormat="1" applyFont="1" applyProtection="1"/>
    <xf numFmtId="0" fontId="8" fillId="13" borderId="192" xfId="0" applyNumberFormat="1" applyFont="1" applyFill="1" applyBorder="1" applyAlignment="1" applyProtection="1">
      <alignment horizontal="center" vertical="center"/>
      <protection hidden="1"/>
    </xf>
    <xf numFmtId="0" fontId="4" fillId="14" borderId="193" xfId="0" applyFont="1" applyFill="1" applyBorder="1" applyAlignment="1" applyProtection="1">
      <alignment horizontal="left" vertical="top" wrapText="1" indent="1"/>
      <protection locked="0"/>
    </xf>
    <xf numFmtId="0" fontId="4" fillId="12" borderId="194" xfId="0" applyFont="1" applyFill="1" applyBorder="1" applyAlignment="1" applyProtection="1">
      <alignment horizontal="left" vertical="top" wrapText="1" indent="1"/>
      <protection locked="0"/>
    </xf>
    <xf numFmtId="0" fontId="4" fillId="14" borderId="195" xfId="0" applyFont="1" applyFill="1" applyBorder="1" applyAlignment="1" applyProtection="1">
      <alignment horizontal="left" vertical="top" wrapText="1" indent="1"/>
      <protection locked="0"/>
    </xf>
    <xf numFmtId="0" fontId="4" fillId="12" borderId="196" xfId="0" applyFont="1" applyFill="1" applyBorder="1" applyAlignment="1" applyProtection="1">
      <alignment horizontal="left" vertical="top" wrapText="1" indent="1"/>
      <protection locked="0"/>
    </xf>
    <xf numFmtId="0" fontId="0" fillId="13" borderId="197" xfId="0" applyFill="1" applyBorder="1" applyAlignment="1" applyProtection="1">
      <alignment horizontal="left" vertical="top" wrapText="1" indent="1"/>
      <protection locked="0"/>
    </xf>
    <xf numFmtId="0" fontId="0" fillId="14" borderId="195" xfId="0" applyFill="1" applyBorder="1" applyAlignment="1" applyProtection="1">
      <alignment horizontal="left" vertical="top" indent="1"/>
      <protection locked="0"/>
    </xf>
    <xf numFmtId="0" fontId="0" fillId="12" borderId="200" xfId="0" applyFill="1" applyBorder="1" applyAlignment="1" applyProtection="1">
      <alignment horizontal="left" vertical="top" indent="1"/>
      <protection locked="0"/>
    </xf>
    <xf numFmtId="0" fontId="0" fillId="13" borderId="201" xfId="0" applyFill="1" applyBorder="1" applyAlignment="1" applyProtection="1">
      <alignment horizontal="left" vertical="top" wrapText="1" indent="1"/>
      <protection locked="0"/>
    </xf>
    <xf numFmtId="0" fontId="0" fillId="14" borderId="202" xfId="0" applyFill="1" applyBorder="1" applyAlignment="1" applyProtection="1">
      <alignment horizontal="left" vertical="top" indent="1"/>
      <protection locked="0"/>
    </xf>
    <xf numFmtId="0" fontId="0" fillId="13" borderId="203" xfId="0" applyFill="1" applyBorder="1" applyAlignment="1" applyProtection="1">
      <alignment horizontal="left" vertical="top" wrapText="1" indent="1"/>
      <protection locked="0"/>
    </xf>
    <xf numFmtId="0" fontId="0" fillId="14" borderId="195" xfId="0" applyFill="1" applyBorder="1" applyAlignment="1" applyProtection="1">
      <alignment horizontal="left" vertical="top" wrapText="1" indent="1"/>
      <protection locked="0"/>
    </xf>
    <xf numFmtId="0" fontId="0" fillId="12" borderId="199" xfId="0" applyFill="1" applyBorder="1" applyAlignment="1" applyProtection="1">
      <alignment horizontal="left" vertical="top" wrapText="1" indent="1"/>
      <protection locked="0"/>
    </xf>
    <xf numFmtId="0" fontId="0" fillId="14" borderId="204" xfId="0" applyFill="1" applyBorder="1" applyAlignment="1" applyProtection="1">
      <alignment horizontal="left" vertical="top" wrapText="1" indent="1"/>
      <protection locked="0"/>
    </xf>
    <xf numFmtId="0" fontId="0" fillId="12" borderId="205" xfId="0" applyFill="1" applyBorder="1" applyAlignment="1" applyProtection="1">
      <alignment horizontal="left" vertical="top" wrapText="1" indent="1"/>
      <protection locked="0"/>
    </xf>
    <xf numFmtId="0" fontId="0" fillId="13" borderId="206" xfId="0" applyFill="1" applyBorder="1" applyAlignment="1" applyProtection="1">
      <alignment horizontal="left" vertical="top" wrapText="1" indent="1"/>
      <protection locked="0"/>
    </xf>
    <xf numFmtId="0" fontId="4" fillId="12" borderId="198" xfId="0" applyFont="1" applyFill="1" applyBorder="1" applyAlignment="1" applyProtection="1">
      <alignment horizontal="left" vertical="top" indent="1"/>
      <protection locked="0"/>
    </xf>
    <xf numFmtId="0" fontId="26" fillId="0" borderId="0" xfId="0" applyFont="1" applyAlignment="1">
      <alignment horizontal="center"/>
    </xf>
    <xf numFmtId="0" fontId="35" fillId="0" borderId="0" xfId="0" applyNumberFormat="1" applyFont="1" applyAlignment="1">
      <alignment horizontal="center"/>
    </xf>
    <xf numFmtId="0" fontId="4" fillId="0" borderId="0" xfId="4"/>
    <xf numFmtId="0" fontId="4" fillId="0" borderId="0" xfId="4" applyAlignment="1">
      <alignment horizontal="center" vertical="center"/>
    </xf>
    <xf numFmtId="0" fontId="21" fillId="0" borderId="207" xfId="4" applyFont="1" applyBorder="1" applyAlignment="1">
      <alignment horizontal="center" vertical="center"/>
    </xf>
    <xf numFmtId="0" fontId="4" fillId="0" borderId="0" xfId="4" applyAlignment="1">
      <alignment horizontal="center"/>
    </xf>
    <xf numFmtId="0" fontId="4" fillId="0" borderId="0" xfId="4" applyAlignment="1">
      <alignment horizontal="left"/>
    </xf>
    <xf numFmtId="0" fontId="4" fillId="0" borderId="0" xfId="4" applyFill="1" applyBorder="1" applyAlignment="1">
      <alignment horizontal="left"/>
    </xf>
    <xf numFmtId="0" fontId="4" fillId="0" borderId="208" xfId="4" applyFont="1" applyBorder="1" applyAlignment="1">
      <alignment horizontal="center" vertical="center"/>
    </xf>
    <xf numFmtId="0" fontId="4" fillId="0" borderId="144" xfId="4" applyBorder="1"/>
    <xf numFmtId="0" fontId="4" fillId="0" borderId="144" xfId="4" applyBorder="1" applyAlignment="1">
      <alignment horizontal="center"/>
    </xf>
    <xf numFmtId="0" fontId="4" fillId="0" borderId="0" xfId="4" applyBorder="1"/>
    <xf numFmtId="0" fontId="4" fillId="0" borderId="0" xfId="4" applyBorder="1" applyAlignment="1">
      <alignment horizontal="center"/>
    </xf>
    <xf numFmtId="0" fontId="24" fillId="0" borderId="209" xfId="0" applyNumberFormat="1" applyFont="1" applyBorder="1" applyAlignment="1">
      <alignment horizontal="center" vertical="center"/>
    </xf>
    <xf numFmtId="165" fontId="22" fillId="0" borderId="0" xfId="0" applyNumberFormat="1" applyFont="1" applyAlignment="1" applyProtection="1">
      <alignment horizontal="center"/>
    </xf>
    <xf numFmtId="0" fontId="22" fillId="0" borderId="0" xfId="0" applyFont="1" applyBorder="1" applyAlignment="1">
      <alignment horizontal="left" vertical="center"/>
    </xf>
    <xf numFmtId="0" fontId="22" fillId="10" borderId="143" xfId="0" applyFont="1" applyFill="1" applyBorder="1" applyAlignment="1" applyProtection="1">
      <alignment horizontal="center" vertical="center"/>
      <protection locked="0"/>
    </xf>
    <xf numFmtId="0" fontId="22" fillId="10" borderId="210" xfId="0" applyFont="1" applyFill="1" applyBorder="1" applyAlignment="1" applyProtection="1">
      <alignment horizontal="center" vertical="center"/>
      <protection locked="0"/>
    </xf>
    <xf numFmtId="14" fontId="29" fillId="0" borderId="0" xfId="0" applyNumberFormat="1" applyFont="1" applyBorder="1" applyAlignment="1">
      <alignment horizontal="left" vertical="top"/>
    </xf>
    <xf numFmtId="0" fontId="5" fillId="0" borderId="0" xfId="0" applyFont="1" applyBorder="1"/>
    <xf numFmtId="0" fontId="27" fillId="0" borderId="0" xfId="0" applyFont="1" applyFill="1" applyBorder="1" applyAlignment="1" applyProtection="1">
      <alignment vertical="center"/>
    </xf>
    <xf numFmtId="0" fontId="5" fillId="0" borderId="0" xfId="0" applyFont="1" applyBorder="1" applyProtection="1"/>
    <xf numFmtId="0" fontId="45" fillId="0" borderId="0" xfId="0" applyFont="1" applyFill="1" applyBorder="1" applyAlignment="1" applyProtection="1">
      <alignment vertical="top"/>
    </xf>
    <xf numFmtId="14" fontId="29" fillId="0" borderId="0" xfId="0" applyNumberFormat="1" applyFont="1" applyAlignment="1">
      <alignment vertical="top"/>
    </xf>
    <xf numFmtId="0" fontId="33" fillId="14" borderId="82" xfId="0" applyFont="1" applyFill="1" applyBorder="1" applyAlignment="1">
      <alignment horizontal="center" vertical="center"/>
    </xf>
    <xf numFmtId="0" fontId="19" fillId="0" borderId="82" xfId="0" applyFont="1" applyBorder="1" applyAlignment="1">
      <alignment horizontal="center" vertical="center"/>
    </xf>
    <xf numFmtId="0" fontId="4" fillId="0" borderId="82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0" fontId="19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9" fillId="0" borderId="8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81" xfId="0" applyFont="1" applyBorder="1" applyAlignment="1">
      <alignment horizontal="center" vertical="center"/>
    </xf>
    <xf numFmtId="0" fontId="19" fillId="0" borderId="82" xfId="0" applyNumberFormat="1" applyFont="1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19" fillId="0" borderId="83" xfId="0" applyFont="1" applyBorder="1" applyAlignment="1">
      <alignment horizontal="center" vertical="center"/>
    </xf>
    <xf numFmtId="0" fontId="33" fillId="0" borderId="22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0" xfId="0" applyNumberFormat="1" applyFont="1" applyAlignment="1" applyProtection="1">
      <alignment horizontal="left"/>
    </xf>
    <xf numFmtId="0" fontId="6" fillId="10" borderId="26" xfId="0" applyFont="1" applyFill="1" applyBorder="1" applyAlignment="1">
      <alignment horizontal="center" vertical="center"/>
    </xf>
    <xf numFmtId="0" fontId="6" fillId="10" borderId="28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8" fillId="0" borderId="184" xfId="1" applyNumberFormat="1" applyFont="1" applyFill="1" applyBorder="1" applyAlignment="1" applyProtection="1">
      <alignment vertical="center"/>
      <protection hidden="1"/>
    </xf>
    <xf numFmtId="0" fontId="8" fillId="0" borderId="166" xfId="1" applyNumberFormat="1" applyFont="1" applyFill="1" applyBorder="1" applyAlignment="1" applyProtection="1">
      <alignment vertical="center"/>
      <protection hidden="1"/>
    </xf>
    <xf numFmtId="0" fontId="8" fillId="0" borderId="166" xfId="1" applyNumberFormat="1" applyFont="1" applyFill="1" applyBorder="1" applyAlignment="1" applyProtection="1">
      <alignment horizontal="center" vertical="center"/>
      <protection hidden="1"/>
    </xf>
    <xf numFmtId="0" fontId="8" fillId="0" borderId="0" xfId="1" applyNumberFormat="1" applyFont="1" applyFill="1" applyBorder="1" applyAlignment="1" applyProtection="1">
      <alignment horizontal="center" vertical="center"/>
      <protection hidden="1"/>
    </xf>
    <xf numFmtId="0" fontId="8" fillId="0" borderId="185" xfId="1" applyNumberFormat="1" applyFont="1" applyFill="1" applyBorder="1" applyAlignment="1" applyProtection="1">
      <alignment horizontal="center" vertical="center"/>
      <protection hidden="1"/>
    </xf>
    <xf numFmtId="0" fontId="8" fillId="0" borderId="114" xfId="1" applyNumberFormat="1" applyFont="1" applyFill="1" applyBorder="1" applyAlignment="1" applyProtection="1">
      <alignment vertical="center"/>
      <protection hidden="1"/>
    </xf>
    <xf numFmtId="0" fontId="8" fillId="0" borderId="0" xfId="1" applyNumberFormat="1" applyFont="1" applyFill="1" applyBorder="1" applyAlignment="1" applyProtection="1">
      <alignment vertical="center"/>
      <protection hidden="1"/>
    </xf>
    <xf numFmtId="166" fontId="8" fillId="0" borderId="0" xfId="1" applyNumberFormat="1" applyFont="1" applyFill="1" applyBorder="1" applyAlignment="1" applyProtection="1">
      <alignment horizontal="center" vertical="center"/>
      <protection hidden="1"/>
    </xf>
    <xf numFmtId="0" fontId="8" fillId="0" borderId="115" xfId="1" applyNumberFormat="1" applyFont="1" applyFill="1" applyBorder="1" applyAlignment="1" applyProtection="1">
      <alignment horizontal="center" vertical="center"/>
      <protection hidden="1"/>
    </xf>
    <xf numFmtId="0" fontId="8" fillId="0" borderId="116" xfId="1" applyNumberFormat="1" applyFont="1" applyFill="1" applyBorder="1" applyAlignment="1" applyProtection="1">
      <alignment vertical="center"/>
      <protection hidden="1"/>
    </xf>
    <xf numFmtId="0" fontId="8" fillId="0" borderId="117" xfId="1" applyNumberFormat="1" applyFont="1" applyFill="1" applyBorder="1" applyAlignment="1" applyProtection="1">
      <alignment vertical="center"/>
      <protection hidden="1"/>
    </xf>
    <xf numFmtId="0" fontId="8" fillId="0" borderId="117" xfId="1" applyNumberFormat="1" applyFont="1" applyFill="1" applyBorder="1" applyAlignment="1" applyProtection="1">
      <alignment horizontal="center" vertical="center"/>
      <protection hidden="1"/>
    </xf>
    <xf numFmtId="0" fontId="8" fillId="0" borderId="118" xfId="1" applyNumberFormat="1" applyFont="1" applyFill="1" applyBorder="1" applyAlignment="1" applyProtection="1">
      <alignment horizontal="center" vertical="center"/>
      <protection hidden="1"/>
    </xf>
    <xf numFmtId="166" fontId="8" fillId="0" borderId="117" xfId="1" applyNumberFormat="1" applyFont="1" applyFill="1" applyBorder="1" applyAlignment="1" applyProtection="1">
      <alignment horizontal="center" vertical="center"/>
      <protection hidden="1"/>
    </xf>
    <xf numFmtId="0" fontId="43" fillId="0" borderId="0" xfId="0" applyFont="1" applyBorder="1" applyAlignment="1">
      <alignment horizontal="center"/>
    </xf>
    <xf numFmtId="0" fontId="55" fillId="0" borderId="76" xfId="0" applyFont="1" applyBorder="1" applyAlignment="1" applyProtection="1"/>
    <xf numFmtId="0" fontId="43" fillId="0" borderId="0" xfId="0" applyFont="1" applyAlignment="1" applyProtection="1">
      <alignment horizontal="center" vertical="center" wrapText="1"/>
    </xf>
    <xf numFmtId="0" fontId="55" fillId="0" borderId="0" xfId="0" applyFont="1" applyBorder="1" applyAlignment="1" applyProtection="1">
      <alignment horizontal="center"/>
    </xf>
    <xf numFmtId="0" fontId="6" fillId="10" borderId="221" xfId="0" applyFont="1" applyFill="1" applyBorder="1" applyAlignment="1" applyProtection="1">
      <alignment horizontal="left" vertical="center" shrinkToFit="1"/>
      <protection locked="0"/>
    </xf>
    <xf numFmtId="0" fontId="6" fillId="10" borderId="222" xfId="0" applyFont="1" applyFill="1" applyBorder="1" applyAlignment="1" applyProtection="1">
      <alignment horizontal="left" vertical="center" shrinkToFit="1"/>
      <protection locked="0"/>
    </xf>
    <xf numFmtId="0" fontId="18" fillId="0" borderId="223" xfId="0" applyFont="1" applyFill="1" applyBorder="1" applyAlignment="1" applyProtection="1">
      <alignment vertical="center"/>
    </xf>
    <xf numFmtId="0" fontId="18" fillId="0" borderId="0" xfId="0" applyFont="1" applyFill="1" applyBorder="1" applyAlignment="1" applyProtection="1">
      <alignment vertical="center"/>
    </xf>
    <xf numFmtId="0" fontId="27" fillId="0" borderId="223" xfId="0" applyFont="1" applyFill="1" applyBorder="1" applyAlignment="1" applyProtection="1">
      <alignment vertical="center"/>
    </xf>
    <xf numFmtId="0" fontId="13" fillId="0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224" xfId="0" applyNumberFormat="1" applyFont="1" applyFill="1" applyBorder="1" applyAlignment="1" applyProtection="1">
      <alignment horizontal="center" vertical="center"/>
      <protection hidden="1"/>
    </xf>
    <xf numFmtId="0" fontId="8" fillId="0" borderId="225" xfId="0" applyNumberFormat="1" applyFont="1" applyFill="1" applyBorder="1" applyAlignment="1" applyProtection="1">
      <alignment horizontal="center" vertical="center"/>
      <protection hidden="1"/>
    </xf>
    <xf numFmtId="0" fontId="8" fillId="0" borderId="226" xfId="0" applyNumberFormat="1" applyFont="1" applyFill="1" applyBorder="1" applyAlignment="1" applyProtection="1">
      <alignment horizontal="center" vertical="center"/>
      <protection hidden="1"/>
    </xf>
    <xf numFmtId="0" fontId="8" fillId="0" borderId="38" xfId="0" applyNumberFormat="1" applyFont="1" applyFill="1" applyBorder="1" applyAlignment="1" applyProtection="1">
      <alignment vertical="center"/>
      <protection hidden="1"/>
    </xf>
    <xf numFmtId="0" fontId="8" fillId="0" borderId="0" xfId="0" applyNumberFormat="1" applyFont="1" applyBorder="1"/>
    <xf numFmtId="0" fontId="8" fillId="0" borderId="76" xfId="0" applyNumberFormat="1" applyFont="1" applyBorder="1"/>
    <xf numFmtId="0" fontId="8" fillId="0" borderId="41" xfId="0" applyNumberFormat="1" applyFont="1" applyBorder="1" applyAlignment="1">
      <alignment horizontal="center"/>
    </xf>
    <xf numFmtId="0" fontId="8" fillId="0" borderId="43" xfId="0" applyNumberFormat="1" applyFont="1" applyBorder="1" applyAlignment="1">
      <alignment horizontal="center"/>
    </xf>
    <xf numFmtId="0" fontId="14" fillId="0" borderId="154" xfId="0" applyFont="1" applyBorder="1" applyAlignment="1">
      <alignment horizontal="center" vertical="center" shrinkToFit="1"/>
    </xf>
    <xf numFmtId="0" fontId="14" fillId="8" borderId="158" xfId="0" applyFont="1" applyFill="1" applyBorder="1" applyAlignment="1">
      <alignment horizontal="center" vertical="center" shrinkToFit="1"/>
    </xf>
    <xf numFmtId="0" fontId="14" fillId="0" borderId="157" xfId="0" applyFont="1" applyBorder="1" applyAlignment="1">
      <alignment horizontal="center" vertical="center" shrinkToFit="1"/>
    </xf>
    <xf numFmtId="0" fontId="14" fillId="0" borderId="48" xfId="0" applyFont="1" applyBorder="1" applyAlignment="1">
      <alignment horizontal="center" vertical="center" shrinkToFit="1"/>
    </xf>
    <xf numFmtId="0" fontId="14" fillId="8" borderId="49" xfId="0" applyFont="1" applyFill="1" applyBorder="1" applyAlignment="1">
      <alignment horizontal="center" vertical="center" shrinkToFit="1"/>
    </xf>
    <xf numFmtId="0" fontId="14" fillId="0" borderId="49" xfId="0" applyFont="1" applyBorder="1" applyAlignment="1">
      <alignment horizontal="center" vertical="center" shrinkToFit="1"/>
    </xf>
    <xf numFmtId="0" fontId="14" fillId="0" borderId="50" xfId="0" applyFont="1" applyBorder="1" applyAlignment="1">
      <alignment horizontal="center" vertical="center" shrinkToFit="1"/>
    </xf>
    <xf numFmtId="0" fontId="14" fillId="0" borderId="51" xfId="0" applyFont="1" applyBorder="1" applyAlignment="1">
      <alignment horizontal="center" vertical="center" shrinkToFit="1"/>
    </xf>
    <xf numFmtId="0" fontId="14" fillId="0" borderId="52" xfId="0" applyFont="1" applyBorder="1" applyAlignment="1">
      <alignment horizontal="center" vertical="center" shrinkToFit="1"/>
    </xf>
    <xf numFmtId="0" fontId="14" fillId="8" borderId="53" xfId="0" applyFont="1" applyFill="1" applyBorder="1" applyAlignment="1">
      <alignment horizontal="center" vertical="center" shrinkToFit="1"/>
    </xf>
    <xf numFmtId="0" fontId="19" fillId="0" borderId="0" xfId="4" applyFont="1"/>
    <xf numFmtId="0" fontId="19" fillId="0" borderId="0" xfId="4" applyFont="1" applyFill="1"/>
    <xf numFmtId="165" fontId="31" fillId="0" borderId="76" xfId="4" applyNumberFormat="1" applyFont="1" applyBorder="1" applyAlignment="1">
      <alignment wrapText="1"/>
    </xf>
    <xf numFmtId="165" fontId="31" fillId="0" borderId="0" xfId="4" applyNumberFormat="1" applyFont="1" applyBorder="1" applyAlignment="1">
      <alignment wrapText="1"/>
    </xf>
    <xf numFmtId="0" fontId="19" fillId="0" borderId="0" xfId="4" applyFont="1" applyAlignment="1">
      <alignment vertical="center" wrapText="1"/>
    </xf>
    <xf numFmtId="0" fontId="19" fillId="0" borderId="0" xfId="4" applyFont="1" applyFill="1" applyAlignment="1">
      <alignment horizontal="center" vertical="center" wrapText="1"/>
    </xf>
    <xf numFmtId="0" fontId="19" fillId="0" borderId="0" xfId="4" applyFont="1" applyAlignment="1">
      <alignment horizontal="center" vertical="center" wrapText="1"/>
    </xf>
    <xf numFmtId="0" fontId="6" fillId="0" borderId="0" xfId="4" applyFont="1" applyFill="1" applyBorder="1" applyAlignment="1">
      <alignment vertical="center" shrinkToFit="1"/>
    </xf>
    <xf numFmtId="0" fontId="33" fillId="9" borderId="179" xfId="4" applyFont="1" applyFill="1" applyBorder="1" applyAlignment="1">
      <alignment horizontal="center" vertical="center"/>
    </xf>
    <xf numFmtId="0" fontId="33" fillId="9" borderId="229" xfId="4" applyFont="1" applyFill="1" applyBorder="1" applyAlignment="1">
      <alignment horizontal="center" vertical="center"/>
    </xf>
    <xf numFmtId="0" fontId="73" fillId="0" borderId="0" xfId="4" applyFont="1" applyAlignment="1">
      <alignment horizontal="center"/>
    </xf>
    <xf numFmtId="0" fontId="74" fillId="0" borderId="41" xfId="4" applyNumberFormat="1" applyFont="1" applyBorder="1" applyAlignment="1">
      <alignment horizontal="center" vertical="center"/>
    </xf>
    <xf numFmtId="0" fontId="24" fillId="0" borderId="230" xfId="4" applyNumberFormat="1" applyFont="1" applyBorder="1" applyAlignment="1">
      <alignment horizontal="center" vertical="center"/>
    </xf>
    <xf numFmtId="20" fontId="21" fillId="10" borderId="175" xfId="4" applyNumberFormat="1" applyFont="1" applyFill="1" applyBorder="1" applyAlignment="1" applyProtection="1">
      <alignment horizontal="center" vertical="center"/>
      <protection locked="0"/>
    </xf>
    <xf numFmtId="0" fontId="21" fillId="10" borderId="175" xfId="4" applyFont="1" applyFill="1" applyBorder="1" applyAlignment="1" applyProtection="1">
      <alignment horizontal="center" vertical="center"/>
      <protection locked="0"/>
    </xf>
    <xf numFmtId="0" fontId="21" fillId="10" borderId="55" xfId="4" applyFont="1" applyFill="1" applyBorder="1" applyAlignment="1" applyProtection="1">
      <alignment horizontal="right" vertical="center"/>
      <protection locked="0"/>
    </xf>
    <xf numFmtId="0" fontId="21" fillId="10" borderId="60" xfId="4" applyFont="1" applyFill="1" applyBorder="1" applyAlignment="1" applyProtection="1">
      <alignment horizontal="center" vertical="center"/>
    </xf>
    <xf numFmtId="0" fontId="21" fillId="10" borderId="54" xfId="4" applyFont="1" applyFill="1" applyBorder="1" applyAlignment="1" applyProtection="1">
      <alignment horizontal="left" vertical="center"/>
      <protection locked="0"/>
    </xf>
    <xf numFmtId="0" fontId="21" fillId="0" borderId="231" xfId="4" applyFont="1" applyBorder="1" applyAlignment="1">
      <alignment horizontal="left" vertical="center" shrinkToFit="1"/>
    </xf>
    <xf numFmtId="0" fontId="21" fillId="0" borderId="133" xfId="4" applyFont="1" applyBorder="1" applyAlignment="1">
      <alignment horizontal="center" vertical="center" shrinkToFit="1"/>
    </xf>
    <xf numFmtId="0" fontId="21" fillId="0" borderId="123" xfId="4" applyFont="1" applyBorder="1" applyAlignment="1">
      <alignment horizontal="left" vertical="center" shrinkToFit="1"/>
    </xf>
    <xf numFmtId="0" fontId="21" fillId="10" borderId="175" xfId="4" applyFont="1" applyFill="1" applyBorder="1" applyAlignment="1" applyProtection="1">
      <alignment horizontal="right" vertical="center"/>
      <protection locked="0"/>
    </xf>
    <xf numFmtId="0" fontId="21" fillId="10" borderId="133" xfId="4" applyFont="1" applyFill="1" applyBorder="1" applyAlignment="1">
      <alignment horizontal="center" vertical="center"/>
    </xf>
    <xf numFmtId="0" fontId="21" fillId="10" borderId="177" xfId="4" applyFont="1" applyFill="1" applyBorder="1" applyAlignment="1" applyProtection="1">
      <alignment horizontal="left" vertical="center"/>
      <protection locked="0"/>
    </xf>
    <xf numFmtId="0" fontId="21" fillId="10" borderId="231" xfId="4" applyFont="1" applyFill="1" applyBorder="1" applyAlignment="1" applyProtection="1">
      <alignment horizontal="right" vertical="center"/>
      <protection locked="0"/>
    </xf>
    <xf numFmtId="0" fontId="21" fillId="10" borderId="232" xfId="4" applyFont="1" applyFill="1" applyBorder="1" applyAlignment="1" applyProtection="1">
      <alignment horizontal="left" vertical="center"/>
      <protection locked="0"/>
    </xf>
    <xf numFmtId="0" fontId="21" fillId="0" borderId="233" xfId="4" applyFont="1" applyBorder="1" applyAlignment="1">
      <alignment horizontal="center" vertical="center" shrinkToFit="1"/>
    </xf>
    <xf numFmtId="0" fontId="65" fillId="0" borderId="0" xfId="4" applyFont="1" applyAlignment="1">
      <alignment horizontal="left" vertical="center"/>
    </xf>
    <xf numFmtId="0" fontId="19" fillId="0" borderId="0" xfId="4" applyFont="1" applyAlignment="1">
      <alignment horizontal="center" vertical="center"/>
    </xf>
    <xf numFmtId="0" fontId="75" fillId="0" borderId="0" xfId="4" applyFont="1" applyAlignment="1">
      <alignment horizontal="center" vertical="center"/>
    </xf>
    <xf numFmtId="0" fontId="24" fillId="0" borderId="48" xfId="4" applyNumberFormat="1" applyFont="1" applyBorder="1" applyAlignment="1">
      <alignment horizontal="center" vertical="center"/>
    </xf>
    <xf numFmtId="0" fontId="21" fillId="10" borderId="55" xfId="4" applyFont="1" applyFill="1" applyBorder="1" applyAlignment="1" applyProtection="1">
      <alignment horizontal="center" vertical="center"/>
      <protection locked="0"/>
    </xf>
    <xf numFmtId="0" fontId="21" fillId="0" borderId="55" xfId="4" applyFont="1" applyBorder="1" applyAlignment="1">
      <alignment horizontal="left" vertical="center" shrinkToFit="1"/>
    </xf>
    <xf numFmtId="0" fontId="21" fillId="0" borderId="60" xfId="4" applyFont="1" applyBorder="1" applyAlignment="1">
      <alignment horizontal="center" vertical="center" shrinkToFit="1"/>
    </xf>
    <xf numFmtId="0" fontId="21" fillId="0" borderId="54" xfId="4" applyFont="1" applyBorder="1" applyAlignment="1">
      <alignment horizontal="left" vertical="center" shrinkToFit="1"/>
    </xf>
    <xf numFmtId="0" fontId="21" fillId="10" borderId="60" xfId="4" applyFont="1" applyFill="1" applyBorder="1" applyAlignment="1">
      <alignment horizontal="center" vertical="center"/>
    </xf>
    <xf numFmtId="0" fontId="21" fillId="10" borderId="74" xfId="4" applyFont="1" applyFill="1" applyBorder="1" applyAlignment="1" applyProtection="1">
      <alignment horizontal="left" vertical="center"/>
      <protection locked="0"/>
    </xf>
    <xf numFmtId="0" fontId="21" fillId="0" borderId="234" xfId="4" applyFont="1" applyBorder="1" applyAlignment="1">
      <alignment horizontal="center" vertical="center" shrinkToFit="1"/>
    </xf>
    <xf numFmtId="0" fontId="24" fillId="0" borderId="51" xfId="4" applyNumberFormat="1" applyFont="1" applyBorder="1" applyAlignment="1">
      <alignment horizontal="center" vertical="center"/>
    </xf>
    <xf numFmtId="0" fontId="21" fillId="10" borderId="57" xfId="4" applyFont="1" applyFill="1" applyBorder="1" applyAlignment="1" applyProtection="1">
      <alignment horizontal="center" vertical="center"/>
      <protection locked="0"/>
    </xf>
    <xf numFmtId="0" fontId="21" fillId="10" borderId="57" xfId="4" applyFont="1" applyFill="1" applyBorder="1" applyAlignment="1" applyProtection="1">
      <alignment horizontal="right" vertical="center"/>
      <protection locked="0"/>
    </xf>
    <xf numFmtId="0" fontId="21" fillId="10" borderId="61" xfId="4" applyFont="1" applyFill="1" applyBorder="1" applyAlignment="1" applyProtection="1">
      <alignment horizontal="center" vertical="center"/>
    </xf>
    <xf numFmtId="0" fontId="21" fillId="10" borderId="56" xfId="4" applyFont="1" applyFill="1" applyBorder="1" applyAlignment="1" applyProtection="1">
      <alignment horizontal="left" vertical="center"/>
      <protection locked="0"/>
    </xf>
    <xf numFmtId="0" fontId="21" fillId="0" borderId="57" xfId="4" applyFont="1" applyBorder="1" applyAlignment="1">
      <alignment horizontal="left" vertical="center" shrinkToFit="1"/>
    </xf>
    <xf numFmtId="0" fontId="21" fillId="0" borderId="61" xfId="4" applyFont="1" applyBorder="1" applyAlignment="1">
      <alignment horizontal="center" vertical="center" shrinkToFit="1"/>
    </xf>
    <xf numFmtId="0" fontId="21" fillId="0" borderId="56" xfId="4" applyFont="1" applyBorder="1" applyAlignment="1">
      <alignment horizontal="left" vertical="center" shrinkToFit="1"/>
    </xf>
    <xf numFmtId="0" fontId="21" fillId="10" borderId="61" xfId="4" applyFont="1" applyFill="1" applyBorder="1" applyAlignment="1">
      <alignment horizontal="center" vertical="center"/>
    </xf>
    <xf numFmtId="0" fontId="21" fillId="10" borderId="235" xfId="4" applyFont="1" applyFill="1" applyBorder="1" applyAlignment="1" applyProtection="1">
      <alignment horizontal="left" vertical="center"/>
      <protection locked="0"/>
    </xf>
    <xf numFmtId="0" fontId="21" fillId="0" borderId="236" xfId="4" applyFont="1" applyBorder="1" applyAlignment="1">
      <alignment horizontal="center" vertical="center" shrinkToFit="1"/>
    </xf>
    <xf numFmtId="0" fontId="19" fillId="0" borderId="0" xfId="4" applyFont="1" applyAlignment="1">
      <alignment horizontal="center"/>
    </xf>
    <xf numFmtId="164" fontId="24" fillId="0" borderId="0" xfId="4" applyNumberFormat="1" applyFont="1" applyFill="1" applyBorder="1" applyAlignment="1" applyProtection="1">
      <alignment horizontal="center" vertical="center"/>
    </xf>
    <xf numFmtId="167" fontId="24" fillId="0" borderId="0" xfId="4" applyNumberFormat="1" applyFont="1" applyFill="1" applyBorder="1" applyAlignment="1" applyProtection="1">
      <alignment horizontal="center" vertical="center"/>
    </xf>
    <xf numFmtId="0" fontId="24" fillId="0" borderId="0" xfId="4" applyNumberFormat="1" applyFont="1" applyFill="1" applyBorder="1" applyAlignment="1" applyProtection="1">
      <alignment horizontal="center" vertical="center"/>
    </xf>
    <xf numFmtId="0" fontId="22" fillId="0" borderId="0" xfId="4" applyFont="1" applyFill="1" applyBorder="1" applyAlignment="1" applyProtection="1">
      <alignment horizontal="right" vertical="center"/>
    </xf>
    <xf numFmtId="0" fontId="22" fillId="0" borderId="0" xfId="4" applyFont="1" applyFill="1" applyBorder="1" applyAlignment="1" applyProtection="1">
      <alignment horizontal="center" vertical="center"/>
    </xf>
    <xf numFmtId="0" fontId="22" fillId="0" borderId="0" xfId="4" applyFont="1" applyFill="1" applyBorder="1" applyAlignment="1" applyProtection="1">
      <alignment horizontal="left" vertical="center"/>
    </xf>
    <xf numFmtId="165" fontId="21" fillId="0" borderId="0" xfId="4" applyNumberFormat="1" applyFont="1" applyFill="1" applyBorder="1" applyAlignment="1" applyProtection="1">
      <alignment horizontal="left" vertical="center" shrinkToFit="1"/>
    </xf>
    <xf numFmtId="0" fontId="21" fillId="0" borderId="0" xfId="4" applyFont="1" applyFill="1" applyBorder="1" applyAlignment="1" applyProtection="1">
      <alignment horizontal="center" vertical="center" shrinkToFit="1"/>
    </xf>
    <xf numFmtId="0" fontId="21" fillId="0" borderId="0" xfId="4" applyFont="1" applyFill="1" applyBorder="1" applyAlignment="1" applyProtection="1">
      <alignment horizontal="right" vertical="center"/>
    </xf>
    <xf numFmtId="0" fontId="21" fillId="0" borderId="0" xfId="4" applyFont="1" applyFill="1" applyBorder="1" applyAlignment="1" applyProtection="1">
      <alignment horizontal="center" vertical="center"/>
    </xf>
    <xf numFmtId="0" fontId="21" fillId="0" borderId="0" xfId="4" applyFont="1" applyFill="1" applyBorder="1" applyAlignment="1" applyProtection="1">
      <alignment horizontal="left" vertical="center"/>
    </xf>
    <xf numFmtId="0" fontId="22" fillId="0" borderId="0" xfId="4" applyFont="1" applyFill="1" applyBorder="1" applyAlignment="1" applyProtection="1">
      <alignment horizontal="center"/>
    </xf>
    <xf numFmtId="0" fontId="33" fillId="9" borderId="122" xfId="4" applyFont="1" applyFill="1" applyBorder="1" applyAlignment="1">
      <alignment horizontal="center" vertical="center"/>
    </xf>
    <xf numFmtId="0" fontId="8" fillId="0" borderId="237" xfId="0" applyNumberFormat="1" applyFont="1" applyFill="1" applyBorder="1" applyAlignment="1" applyProtection="1">
      <alignment vertical="center"/>
      <protection hidden="1"/>
    </xf>
    <xf numFmtId="0" fontId="8" fillId="0" borderId="9" xfId="0" applyNumberFormat="1" applyFont="1" applyFill="1" applyBorder="1" applyAlignment="1" applyProtection="1">
      <alignment horizontal="center" vertical="center"/>
      <protection hidden="1"/>
    </xf>
    <xf numFmtId="0" fontId="23" fillId="18" borderId="175" xfId="0" applyFont="1" applyFill="1" applyBorder="1" applyAlignment="1" applyProtection="1">
      <alignment vertical="center"/>
    </xf>
    <xf numFmtId="0" fontId="23" fillId="18" borderId="176" xfId="0" applyFont="1" applyFill="1" applyBorder="1" applyAlignment="1" applyProtection="1">
      <alignment horizontal="center" vertical="center"/>
    </xf>
    <xf numFmtId="0" fontId="23" fillId="18" borderId="177" xfId="0" applyFont="1" applyFill="1" applyBorder="1" applyAlignment="1" applyProtection="1">
      <alignment horizontal="left" vertical="center"/>
    </xf>
    <xf numFmtId="0" fontId="23" fillId="18" borderId="55" xfId="0" applyFont="1" applyFill="1" applyBorder="1" applyAlignment="1" applyProtection="1">
      <alignment vertical="center"/>
    </xf>
    <xf numFmtId="0" fontId="23" fillId="18" borderId="60" xfId="0" applyFont="1" applyFill="1" applyBorder="1" applyAlignment="1" applyProtection="1">
      <alignment horizontal="center" vertical="center"/>
    </xf>
    <xf numFmtId="0" fontId="23" fillId="18" borderId="54" xfId="0" applyFont="1" applyFill="1" applyBorder="1" applyAlignment="1" applyProtection="1">
      <alignment horizontal="left" vertical="center"/>
    </xf>
    <xf numFmtId="0" fontId="23" fillId="18" borderId="57" xfId="0" applyFont="1" applyFill="1" applyBorder="1" applyAlignment="1" applyProtection="1">
      <alignment vertical="center"/>
    </xf>
    <xf numFmtId="0" fontId="23" fillId="18" borderId="61" xfId="0" applyFont="1" applyFill="1" applyBorder="1" applyAlignment="1" applyProtection="1">
      <alignment horizontal="center" vertical="center"/>
    </xf>
    <xf numFmtId="0" fontId="23" fillId="18" borderId="56" xfId="0" applyFont="1" applyFill="1" applyBorder="1" applyAlignment="1" applyProtection="1">
      <alignment horizontal="left" vertical="center"/>
    </xf>
    <xf numFmtId="0" fontId="26" fillId="0" borderId="0" xfId="0" applyFont="1" applyAlignment="1">
      <alignment horizontal="center"/>
    </xf>
    <xf numFmtId="0" fontId="35" fillId="0" borderId="0" xfId="0" applyNumberFormat="1" applyFont="1" applyAlignment="1">
      <alignment horizontal="center"/>
    </xf>
    <xf numFmtId="165" fontId="31" fillId="0" borderId="0" xfId="0" applyNumberFormat="1" applyFont="1" applyBorder="1" applyAlignment="1">
      <alignment horizontal="center" wrapText="1"/>
    </xf>
    <xf numFmtId="0" fontId="22" fillId="10" borderId="147" xfId="0" applyFont="1" applyFill="1" applyBorder="1" applyAlignment="1" applyProtection="1">
      <alignment horizontal="center" vertical="center"/>
      <protection locked="0"/>
    </xf>
    <xf numFmtId="0" fontId="22" fillId="10" borderId="136" xfId="0" applyFont="1" applyFill="1" applyBorder="1" applyAlignment="1" applyProtection="1">
      <alignment horizontal="center" vertical="center"/>
      <protection locked="0"/>
    </xf>
    <xf numFmtId="0" fontId="22" fillId="10" borderId="148" xfId="0" applyFont="1" applyFill="1" applyBorder="1" applyAlignment="1" applyProtection="1">
      <alignment horizontal="center" vertical="center"/>
      <protection locked="0"/>
    </xf>
    <xf numFmtId="0" fontId="20" fillId="9" borderId="240" xfId="0" applyFont="1" applyFill="1" applyBorder="1" applyAlignment="1">
      <alignment horizontal="center"/>
    </xf>
    <xf numFmtId="0" fontId="22" fillId="10" borderId="241" xfId="0" applyFont="1" applyFill="1" applyBorder="1" applyAlignment="1" applyProtection="1">
      <alignment horizontal="center" vertical="center"/>
      <protection locked="0"/>
    </xf>
    <xf numFmtId="0" fontId="33" fillId="9" borderId="240" xfId="0" applyFont="1" applyFill="1" applyBorder="1" applyAlignment="1">
      <alignment horizontal="center" vertical="center"/>
    </xf>
    <xf numFmtId="0" fontId="69" fillId="0" borderId="0" xfId="0" applyFont="1" applyAlignment="1" applyProtection="1">
      <alignment vertical="top" wrapText="1"/>
    </xf>
    <xf numFmtId="0" fontId="14" fillId="0" borderId="242" xfId="0" applyFont="1" applyBorder="1" applyAlignment="1">
      <alignment horizontal="center" vertical="center"/>
    </xf>
    <xf numFmtId="0" fontId="14" fillId="0" borderId="143" xfId="0" applyFont="1" applyBorder="1" applyAlignment="1">
      <alignment horizontal="center" vertical="center"/>
    </xf>
    <xf numFmtId="0" fontId="14" fillId="0" borderId="210" xfId="0" applyFont="1" applyBorder="1" applyAlignment="1">
      <alignment horizontal="center" vertical="center"/>
    </xf>
    <xf numFmtId="0" fontId="43" fillId="0" borderId="0" xfId="0" applyFont="1" applyBorder="1" applyAlignment="1">
      <alignment horizontal="center"/>
    </xf>
    <xf numFmtId="0" fontId="6" fillId="10" borderId="26" xfId="0" applyFont="1" applyFill="1" applyBorder="1" applyAlignment="1" applyProtection="1">
      <alignment horizontal="center" vertical="center"/>
    </xf>
    <xf numFmtId="0" fontId="6" fillId="10" borderId="28" xfId="0" applyFont="1" applyFill="1" applyBorder="1" applyAlignment="1" applyProtection="1">
      <alignment horizontal="center" vertical="center"/>
    </xf>
    <xf numFmtId="0" fontId="6" fillId="0" borderId="94" xfId="0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left" vertical="center" shrinkToFit="1"/>
    </xf>
    <xf numFmtId="0" fontId="6" fillId="0" borderId="29" xfId="0" applyFont="1" applyFill="1" applyBorder="1" applyAlignment="1" applyProtection="1">
      <alignment horizontal="left" vertical="center" shrinkToFit="1"/>
    </xf>
    <xf numFmtId="0" fontId="6" fillId="10" borderId="94" xfId="0" applyFont="1" applyFill="1" applyBorder="1" applyAlignment="1" applyProtection="1">
      <alignment horizontal="center" vertical="center"/>
    </xf>
    <xf numFmtId="0" fontId="6" fillId="10" borderId="245" xfId="0" applyFont="1" applyFill="1" applyBorder="1" applyAlignment="1" applyProtection="1">
      <alignment horizontal="left" vertical="center" shrinkToFit="1"/>
      <protection locked="0"/>
    </xf>
    <xf numFmtId="0" fontId="6" fillId="0" borderId="246" xfId="0" applyFont="1" applyFill="1" applyBorder="1" applyAlignment="1" applyProtection="1">
      <alignment horizontal="right" vertical="center" shrinkToFit="1"/>
    </xf>
    <xf numFmtId="0" fontId="6" fillId="10" borderId="247" xfId="0" applyFont="1" applyFill="1" applyBorder="1" applyAlignment="1" applyProtection="1">
      <alignment horizontal="left" vertical="center" shrinkToFit="1"/>
      <protection locked="0"/>
    </xf>
    <xf numFmtId="0" fontId="6" fillId="0" borderId="248" xfId="0" applyFont="1" applyFill="1" applyBorder="1" applyAlignment="1" applyProtection="1">
      <alignment horizontal="right" vertical="center" shrinkToFit="1"/>
    </xf>
    <xf numFmtId="0" fontId="18" fillId="0" borderId="249" xfId="0" applyFont="1" applyFill="1" applyBorder="1" applyAlignment="1" applyProtection="1">
      <alignment vertical="center"/>
    </xf>
    <xf numFmtId="0" fontId="27" fillId="0" borderId="249" xfId="0" applyFont="1" applyFill="1" applyBorder="1" applyAlignment="1" applyProtection="1">
      <alignment vertical="center"/>
    </xf>
    <xf numFmtId="0" fontId="5" fillId="0" borderId="0" xfId="0" applyFont="1" applyAlignment="1">
      <alignment horizontal="center" vertical="center"/>
    </xf>
    <xf numFmtId="0" fontId="6" fillId="0" borderId="28" xfId="0" applyFont="1" applyFill="1" applyBorder="1" applyAlignment="1" applyProtection="1">
      <alignment horizontal="center" vertical="center"/>
    </xf>
    <xf numFmtId="0" fontId="33" fillId="19" borderId="179" xfId="4" applyFont="1" applyFill="1" applyBorder="1" applyAlignment="1">
      <alignment horizontal="center" vertical="center"/>
    </xf>
    <xf numFmtId="0" fontId="33" fillId="19" borderId="120" xfId="4" applyFont="1" applyFill="1" applyBorder="1" applyAlignment="1">
      <alignment horizontal="left" vertical="center" indent="1"/>
    </xf>
    <xf numFmtId="0" fontId="33" fillId="19" borderId="149" xfId="4" applyFont="1" applyFill="1" applyBorder="1" applyAlignment="1">
      <alignment horizontal="center" vertical="center"/>
    </xf>
    <xf numFmtId="0" fontId="22" fillId="0" borderId="230" xfId="4" applyFont="1" applyBorder="1" applyAlignment="1">
      <alignment horizontal="center" vertical="center"/>
    </xf>
    <xf numFmtId="0" fontId="21" fillId="0" borderId="119" xfId="4" applyFont="1" applyBorder="1" applyAlignment="1">
      <alignment horizontal="left" vertical="center" indent="1"/>
    </xf>
    <xf numFmtId="0" fontId="21" fillId="10" borderId="150" xfId="4" applyFont="1" applyFill="1" applyBorder="1" applyAlignment="1" applyProtection="1">
      <alignment horizontal="center" vertical="center"/>
      <protection locked="0"/>
    </xf>
    <xf numFmtId="0" fontId="22" fillId="0" borderId="48" xfId="4" applyFont="1" applyBorder="1" applyAlignment="1">
      <alignment horizontal="center" vertical="center"/>
    </xf>
    <xf numFmtId="0" fontId="21" fillId="0" borderId="49" xfId="4" applyFont="1" applyBorder="1" applyAlignment="1">
      <alignment horizontal="left" vertical="center" indent="1"/>
    </xf>
    <xf numFmtId="0" fontId="21" fillId="10" borderId="50" xfId="4" applyFont="1" applyFill="1" applyBorder="1" applyAlignment="1" applyProtection="1">
      <alignment horizontal="center" vertical="center"/>
      <protection locked="0"/>
    </xf>
    <xf numFmtId="0" fontId="22" fillId="0" borderId="51" xfId="4" applyFont="1" applyBorder="1" applyAlignment="1">
      <alignment horizontal="center" vertical="center"/>
    </xf>
    <xf numFmtId="0" fontId="21" fillId="0" borderId="52" xfId="4" applyFont="1" applyBorder="1" applyAlignment="1">
      <alignment horizontal="left" vertical="center" indent="1"/>
    </xf>
    <xf numFmtId="0" fontId="21" fillId="10" borderId="53" xfId="4" applyFont="1" applyFill="1" applyBorder="1" applyAlignment="1" applyProtection="1">
      <alignment horizontal="center" vertical="center"/>
      <protection locked="0"/>
    </xf>
    <xf numFmtId="0" fontId="22" fillId="0" borderId="38" xfId="4" applyFont="1" applyBorder="1" applyAlignment="1">
      <alignment horizontal="center" vertical="center"/>
    </xf>
    <xf numFmtId="0" fontId="21" fillId="0" borderId="38" xfId="4" applyFont="1" applyBorder="1" applyAlignment="1">
      <alignment horizontal="left" vertical="center" indent="1"/>
    </xf>
    <xf numFmtId="0" fontId="21" fillId="0" borderId="38" xfId="4" applyFont="1" applyFill="1" applyBorder="1" applyAlignment="1" applyProtection="1">
      <alignment horizontal="center" vertical="center"/>
    </xf>
    <xf numFmtId="0" fontId="4" fillId="0" borderId="0" xfId="4" applyAlignment="1">
      <alignment horizontal="right"/>
    </xf>
    <xf numFmtId="0" fontId="63" fillId="0" borderId="0" xfId="4" applyFont="1"/>
    <xf numFmtId="0" fontId="44" fillId="0" borderId="0" xfId="4" applyFont="1" applyAlignment="1">
      <alignment horizontal="right"/>
    </xf>
    <xf numFmtId="0" fontId="44" fillId="0" borderId="0" xfId="4" applyFont="1"/>
    <xf numFmtId="0" fontId="44" fillId="16" borderId="189" xfId="4" applyFont="1" applyFill="1" applyBorder="1" applyAlignment="1" applyProtection="1">
      <alignment horizontal="center"/>
      <protection locked="0"/>
    </xf>
    <xf numFmtId="0" fontId="44" fillId="0" borderId="0" xfId="4" applyFont="1" applyAlignment="1"/>
    <xf numFmtId="0" fontId="66" fillId="16" borderId="189" xfId="4" applyFont="1" applyFill="1" applyBorder="1" applyAlignment="1" applyProtection="1">
      <alignment horizontal="left" vertical="center" indent="1"/>
      <protection locked="0"/>
    </xf>
    <xf numFmtId="0" fontId="4" fillId="0" borderId="0" xfId="4" applyAlignment="1">
      <alignment vertical="top"/>
    </xf>
    <xf numFmtId="0" fontId="4" fillId="0" borderId="0" xfId="4" applyAlignment="1"/>
    <xf numFmtId="0" fontId="61" fillId="0" borderId="0" xfId="4" applyNumberFormat="1" applyFont="1" applyAlignment="1">
      <alignment horizontal="center" vertical="center"/>
    </xf>
    <xf numFmtId="0" fontId="4" fillId="0" borderId="0" xfId="4" applyFont="1"/>
    <xf numFmtId="0" fontId="61" fillId="0" borderId="0" xfId="4" applyFont="1" applyAlignment="1">
      <alignment horizontal="center"/>
    </xf>
    <xf numFmtId="0" fontId="4" fillId="0" borderId="0" xfId="4" applyFont="1" applyAlignment="1">
      <alignment vertical="top" wrapText="1"/>
    </xf>
    <xf numFmtId="0" fontId="15" fillId="9" borderId="38" xfId="0" applyFont="1" applyFill="1" applyBorder="1" applyAlignment="1">
      <alignment horizontal="center" vertical="center" shrinkToFit="1"/>
    </xf>
    <xf numFmtId="0" fontId="8" fillId="0" borderId="250" xfId="0" applyNumberFormat="1" applyFont="1" applyFill="1" applyBorder="1" applyAlignment="1" applyProtection="1">
      <alignment horizontal="center" vertical="center"/>
      <protection hidden="1"/>
    </xf>
    <xf numFmtId="0" fontId="0" fillId="0" borderId="184" xfId="0" applyBorder="1" applyAlignment="1">
      <alignment horizontal="right" indent="1"/>
    </xf>
    <xf numFmtId="0" fontId="0" fillId="0" borderId="114" xfId="0" applyBorder="1" applyAlignment="1">
      <alignment horizontal="right" indent="1"/>
    </xf>
    <xf numFmtId="0" fontId="8" fillId="0" borderId="116" xfId="0" applyNumberFormat="1" applyFont="1" applyFill="1" applyBorder="1" applyAlignment="1" applyProtection="1">
      <alignment horizontal="right" vertical="center" indent="1"/>
      <protection hidden="1"/>
    </xf>
    <xf numFmtId="0" fontId="0" fillId="0" borderId="185" xfId="0" applyBorder="1" applyAlignment="1">
      <alignment horizontal="left"/>
    </xf>
    <xf numFmtId="0" fontId="0" fillId="0" borderId="115" xfId="0" applyBorder="1" applyAlignment="1">
      <alignment horizontal="left"/>
    </xf>
    <xf numFmtId="0" fontId="8" fillId="0" borderId="118" xfId="0" applyNumberFormat="1" applyFont="1" applyFill="1" applyBorder="1" applyAlignment="1" applyProtection="1">
      <alignment horizontal="left" vertical="center"/>
      <protection hidden="1"/>
    </xf>
    <xf numFmtId="0" fontId="76" fillId="0" borderId="0" xfId="0" applyNumberFormat="1" applyFont="1" applyFill="1" applyAlignment="1" applyProtection="1">
      <alignment vertical="center"/>
      <protection hidden="1"/>
    </xf>
    <xf numFmtId="168" fontId="11" fillId="0" borderId="0" xfId="0" applyNumberFormat="1" applyFont="1" applyFill="1" applyBorder="1" applyAlignment="1" applyProtection="1">
      <alignment horizontal="center" vertical="center"/>
      <protection hidden="1"/>
    </xf>
    <xf numFmtId="0" fontId="10" fillId="0" borderId="0" xfId="2" applyNumberFormat="1" applyFill="1" applyBorder="1" applyAlignment="1" applyProtection="1">
      <alignment horizontal="center" vertical="center" readingOrder="1"/>
    </xf>
    <xf numFmtId="0" fontId="61" fillId="0" borderId="0" xfId="0" applyNumberFormat="1" applyFont="1" applyFill="1" applyBorder="1" applyAlignment="1">
      <alignment horizontal="center" vertical="center"/>
    </xf>
    <xf numFmtId="0" fontId="6" fillId="0" borderId="156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155" xfId="0" applyFont="1" applyBorder="1" applyAlignment="1">
      <alignment horizontal="right" vertical="center" shrinkToFit="1"/>
    </xf>
    <xf numFmtId="0" fontId="6" fillId="0" borderId="153" xfId="0" applyFont="1" applyBorder="1" applyAlignment="1">
      <alignment horizontal="left" vertical="center" shrinkToFit="1"/>
    </xf>
    <xf numFmtId="0" fontId="6" fillId="0" borderId="55" xfId="0" applyFont="1" applyBorder="1" applyAlignment="1">
      <alignment horizontal="right" vertical="center" shrinkToFit="1"/>
    </xf>
    <xf numFmtId="0" fontId="6" fillId="0" borderId="54" xfId="0" applyFont="1" applyBorder="1" applyAlignment="1">
      <alignment horizontal="left" vertical="center" shrinkToFit="1"/>
    </xf>
    <xf numFmtId="0" fontId="6" fillId="0" borderId="57" xfId="0" applyFont="1" applyBorder="1" applyAlignment="1">
      <alignment horizontal="right" vertical="center" shrinkToFit="1"/>
    </xf>
    <xf numFmtId="0" fontId="6" fillId="0" borderId="56" xfId="0" applyFont="1" applyBorder="1" applyAlignment="1">
      <alignment horizontal="left" vertical="center" shrinkToFit="1"/>
    </xf>
    <xf numFmtId="0" fontId="4" fillId="0" borderId="0" xfId="4" applyProtection="1">
      <protection locked="0"/>
    </xf>
    <xf numFmtId="0" fontId="4" fillId="0" borderId="0" xfId="4" applyProtection="1"/>
    <xf numFmtId="0" fontId="29" fillId="0" borderId="0" xfId="4" applyFont="1" applyProtection="1"/>
    <xf numFmtId="0" fontId="19" fillId="11" borderId="93" xfId="4" applyFont="1" applyFill="1" applyBorder="1" applyProtection="1"/>
    <xf numFmtId="0" fontId="19" fillId="11" borderId="94" xfId="4" applyFont="1" applyFill="1" applyBorder="1" applyProtection="1"/>
    <xf numFmtId="0" fontId="19" fillId="0" borderId="95" xfId="4" applyFont="1" applyFill="1" applyBorder="1" applyProtection="1"/>
    <xf numFmtId="0" fontId="19" fillId="11" borderId="182" xfId="4" applyFont="1" applyFill="1" applyBorder="1" applyProtection="1"/>
    <xf numFmtId="0" fontId="19" fillId="0" borderId="95" xfId="4" applyFont="1" applyFill="1" applyBorder="1" applyAlignment="1" applyProtection="1">
      <alignment vertical="center"/>
    </xf>
    <xf numFmtId="0" fontId="32" fillId="0" borderId="95" xfId="3" applyFill="1" applyBorder="1" applyAlignment="1" applyProtection="1">
      <alignment vertical="center"/>
    </xf>
    <xf numFmtId="0" fontId="19" fillId="11" borderId="112" xfId="4" applyFont="1" applyFill="1" applyBorder="1" applyProtection="1"/>
    <xf numFmtId="0" fontId="19" fillId="11" borderId="113" xfId="4" applyFont="1" applyFill="1" applyBorder="1" applyProtection="1"/>
    <xf numFmtId="0" fontId="19" fillId="11" borderId="183" xfId="4" applyFont="1" applyFill="1" applyBorder="1" applyProtection="1"/>
    <xf numFmtId="0" fontId="26" fillId="0" borderId="0" xfId="4" applyFont="1" applyAlignment="1">
      <alignment horizontal="center" vertical="center"/>
    </xf>
    <xf numFmtId="0" fontId="6" fillId="0" borderId="156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22" fillId="0" borderId="0" xfId="4" applyFont="1" applyAlignment="1">
      <alignment horizontal="center" vertical="center"/>
    </xf>
    <xf numFmtId="0" fontId="19" fillId="0" borderId="138" xfId="4" applyFont="1" applyBorder="1" applyAlignment="1">
      <alignment horizontal="left" vertical="center"/>
    </xf>
    <xf numFmtId="0" fontId="19" fillId="0" borderId="139" xfId="4" applyFont="1" applyBorder="1" applyAlignment="1">
      <alignment horizontal="left" vertical="center"/>
    </xf>
    <xf numFmtId="0" fontId="19" fillId="0" borderId="141" xfId="4" applyFont="1" applyBorder="1" applyAlignment="1">
      <alignment horizontal="left" vertical="center"/>
    </xf>
    <xf numFmtId="0" fontId="19" fillId="0" borderId="146" xfId="4" applyFont="1" applyBorder="1" applyAlignment="1">
      <alignment horizontal="left" vertical="center"/>
    </xf>
    <xf numFmtId="0" fontId="19" fillId="13" borderId="34" xfId="4" applyFont="1" applyFill="1" applyBorder="1"/>
    <xf numFmtId="0" fontId="33" fillId="13" borderId="124" xfId="4" applyFont="1" applyFill="1" applyBorder="1" applyAlignment="1">
      <alignment horizontal="left" vertical="center" indent="1"/>
    </xf>
    <xf numFmtId="0" fontId="33" fillId="13" borderId="122" xfId="4" applyFont="1" applyFill="1" applyBorder="1" applyAlignment="1">
      <alignment horizontal="center" vertical="center"/>
    </xf>
    <xf numFmtId="0" fontId="33" fillId="13" borderId="120" xfId="4" applyFont="1" applyFill="1" applyBorder="1" applyAlignment="1">
      <alignment horizontal="center" vertical="center"/>
    </xf>
    <xf numFmtId="0" fontId="33" fillId="13" borderId="145" xfId="4" applyFont="1" applyFill="1" applyBorder="1" applyAlignment="1">
      <alignment horizontal="center" vertical="center"/>
    </xf>
    <xf numFmtId="165" fontId="22" fillId="13" borderId="131" xfId="4" applyNumberFormat="1" applyFont="1" applyFill="1" applyBorder="1" applyAlignment="1">
      <alignment horizontal="center" vertical="center"/>
    </xf>
    <xf numFmtId="165" fontId="22" fillId="13" borderId="120" xfId="4" applyNumberFormat="1" applyFont="1" applyFill="1" applyBorder="1" applyAlignment="1">
      <alignment horizontal="center" vertical="center"/>
    </xf>
    <xf numFmtId="165" fontId="22" fillId="13" borderId="132" xfId="4" applyNumberFormat="1" applyFont="1" applyFill="1" applyBorder="1" applyAlignment="1">
      <alignment horizontal="center" vertical="center"/>
    </xf>
    <xf numFmtId="165" fontId="22" fillId="13" borderId="149" xfId="4" applyNumberFormat="1" applyFont="1" applyFill="1" applyBorder="1" applyAlignment="1">
      <alignment horizontal="center" vertical="center"/>
    </xf>
    <xf numFmtId="164" fontId="21" fillId="0" borderId="35" xfId="4" applyNumberFormat="1" applyFont="1" applyBorder="1" applyAlignment="1">
      <alignment horizontal="center" vertical="center"/>
    </xf>
    <xf numFmtId="0" fontId="21" fillId="0" borderId="125" xfId="4" applyFont="1" applyBorder="1" applyAlignment="1">
      <alignment horizontal="left" vertical="center" indent="1"/>
    </xf>
    <xf numFmtId="0" fontId="46" fillId="0" borderId="123" xfId="4" applyFont="1" applyBorder="1" applyAlignment="1">
      <alignment horizontal="center" vertical="center"/>
    </xf>
    <xf numFmtId="0" fontId="21" fillId="0" borderId="119" xfId="4" applyFont="1" applyBorder="1" applyAlignment="1">
      <alignment horizontal="center" vertical="center"/>
    </xf>
    <xf numFmtId="0" fontId="21" fillId="0" borderId="133" xfId="4" applyFont="1" applyBorder="1" applyAlignment="1">
      <alignment horizontal="center" vertical="center"/>
    </xf>
    <xf numFmtId="0" fontId="65" fillId="8" borderId="134" xfId="4" applyFont="1" applyFill="1" applyBorder="1" applyAlignment="1">
      <alignment horizontal="center" vertical="center"/>
    </xf>
    <xf numFmtId="0" fontId="65" fillId="0" borderId="119" xfId="4" applyFont="1" applyBorder="1" applyAlignment="1">
      <alignment horizontal="center" vertical="center"/>
    </xf>
    <xf numFmtId="0" fontId="65" fillId="0" borderId="128" xfId="4" applyFont="1" applyBorder="1" applyAlignment="1">
      <alignment horizontal="center" vertical="center"/>
    </xf>
    <xf numFmtId="0" fontId="65" fillId="8" borderId="123" xfId="4" applyFont="1" applyFill="1" applyBorder="1" applyAlignment="1">
      <alignment horizontal="center" vertical="center"/>
    </xf>
    <xf numFmtId="0" fontId="65" fillId="0" borderId="150" xfId="4" applyFont="1" applyBorder="1" applyAlignment="1">
      <alignment horizontal="center" vertical="center"/>
    </xf>
    <xf numFmtId="0" fontId="21" fillId="0" borderId="147" xfId="4" applyFont="1" applyBorder="1" applyAlignment="1">
      <alignment horizontal="left" vertical="center"/>
    </xf>
    <xf numFmtId="0" fontId="21" fillId="0" borderId="126" xfId="4" applyFont="1" applyBorder="1" applyAlignment="1">
      <alignment horizontal="left" vertical="center" indent="1"/>
    </xf>
    <xf numFmtId="0" fontId="46" fillId="0" borderId="54" xfId="4" applyFont="1" applyBorder="1" applyAlignment="1">
      <alignment horizontal="center" vertical="center"/>
    </xf>
    <xf numFmtId="0" fontId="21" fillId="0" borderId="49" xfId="4" applyFont="1" applyBorder="1" applyAlignment="1">
      <alignment horizontal="center" vertical="center"/>
    </xf>
    <xf numFmtId="0" fontId="21" fillId="0" borderId="60" xfId="4" applyFont="1" applyBorder="1" applyAlignment="1">
      <alignment horizontal="center" vertical="center"/>
    </xf>
    <xf numFmtId="0" fontId="65" fillId="0" borderId="135" xfId="4" applyFont="1" applyBorder="1" applyAlignment="1">
      <alignment horizontal="center" vertical="center"/>
    </xf>
    <xf numFmtId="0" fontId="65" fillId="8" borderId="49" xfId="4" applyFont="1" applyFill="1" applyBorder="1" applyAlignment="1">
      <alignment horizontal="center" vertical="center"/>
    </xf>
    <xf numFmtId="0" fontId="65" fillId="0" borderId="49" xfId="4" applyFont="1" applyBorder="1" applyAlignment="1">
      <alignment horizontal="center" vertical="center"/>
    </xf>
    <xf numFmtId="0" fontId="65" fillId="0" borderId="129" xfId="4" applyFont="1" applyBorder="1" applyAlignment="1">
      <alignment horizontal="center" vertical="center"/>
    </xf>
    <xf numFmtId="0" fontId="65" fillId="0" borderId="54" xfId="4" applyFont="1" applyBorder="1" applyAlignment="1">
      <alignment horizontal="center" vertical="center"/>
    </xf>
    <xf numFmtId="0" fontId="65" fillId="0" borderId="50" xfId="4" applyFont="1" applyBorder="1" applyAlignment="1">
      <alignment horizontal="center" vertical="center"/>
    </xf>
    <xf numFmtId="0" fontId="21" fillId="0" borderId="136" xfId="4" applyFont="1" applyBorder="1" applyAlignment="1">
      <alignment horizontal="left" vertical="center"/>
    </xf>
    <xf numFmtId="164" fontId="21" fillId="0" borderId="36" xfId="4" applyNumberFormat="1" applyFont="1" applyBorder="1" applyAlignment="1">
      <alignment horizontal="center" vertical="center"/>
    </xf>
    <xf numFmtId="0" fontId="21" fillId="0" borderId="127" xfId="4" applyFont="1" applyBorder="1" applyAlignment="1">
      <alignment horizontal="left" vertical="center" indent="1"/>
    </xf>
    <xf numFmtId="0" fontId="46" fillId="0" borderId="56" xfId="4" applyFont="1" applyBorder="1" applyAlignment="1">
      <alignment horizontal="center" vertical="center"/>
    </xf>
    <xf numFmtId="0" fontId="21" fillId="0" borderId="52" xfId="4" applyFont="1" applyBorder="1" applyAlignment="1">
      <alignment horizontal="center" vertical="center"/>
    </xf>
    <xf numFmtId="0" fontId="21" fillId="0" borderId="61" xfId="4" applyFont="1" applyBorder="1" applyAlignment="1">
      <alignment horizontal="center" vertical="center"/>
    </xf>
    <xf numFmtId="0" fontId="65" fillId="0" borderId="137" xfId="4" applyFont="1" applyBorder="1" applyAlignment="1">
      <alignment horizontal="center" vertical="center"/>
    </xf>
    <xf numFmtId="0" fontId="65" fillId="0" borderId="52" xfId="4" applyFont="1" applyBorder="1" applyAlignment="1">
      <alignment horizontal="center" vertical="center"/>
    </xf>
    <xf numFmtId="0" fontId="65" fillId="8" borderId="130" xfId="4" applyFont="1" applyFill="1" applyBorder="1" applyAlignment="1">
      <alignment horizontal="center" vertical="center"/>
    </xf>
    <xf numFmtId="0" fontId="65" fillId="0" borderId="56" xfId="4" applyFont="1" applyBorder="1" applyAlignment="1">
      <alignment horizontal="center" vertical="center"/>
    </xf>
    <xf numFmtId="0" fontId="65" fillId="8" borderId="53" xfId="4" applyFont="1" applyFill="1" applyBorder="1" applyAlignment="1">
      <alignment horizontal="center" vertical="center"/>
    </xf>
    <xf numFmtId="0" fontId="21" fillId="0" borderId="148" xfId="4" applyFont="1" applyBorder="1" applyAlignment="1">
      <alignment horizontal="left" vertical="center"/>
    </xf>
    <xf numFmtId="164" fontId="21" fillId="0" borderId="0" xfId="4" applyNumberFormat="1" applyFont="1" applyBorder="1" applyAlignment="1">
      <alignment horizontal="center" vertical="center"/>
    </xf>
    <xf numFmtId="0" fontId="21" fillId="0" borderId="0" xfId="4" applyFont="1" applyBorder="1" applyAlignment="1">
      <alignment horizontal="left" vertical="center" indent="1"/>
    </xf>
    <xf numFmtId="0" fontId="46" fillId="0" borderId="0" xfId="4" applyFont="1" applyBorder="1" applyAlignment="1">
      <alignment horizontal="center" vertical="center"/>
    </xf>
    <xf numFmtId="0" fontId="21" fillId="0" borderId="0" xfId="4" applyFont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33" fillId="13" borderId="145" xfId="4" applyFont="1" applyFill="1" applyBorder="1" applyAlignment="1">
      <alignment horizontal="left" vertical="center" indent="1"/>
    </xf>
    <xf numFmtId="0" fontId="33" fillId="13" borderId="131" xfId="4" applyFont="1" applyFill="1" applyBorder="1" applyAlignment="1">
      <alignment horizontal="center" vertical="center"/>
    </xf>
    <xf numFmtId="0" fontId="21" fillId="8" borderId="134" xfId="4" applyFont="1" applyFill="1" applyBorder="1" applyAlignment="1">
      <alignment horizontal="center" vertical="center"/>
    </xf>
    <xf numFmtId="0" fontId="21" fillId="0" borderId="128" xfId="4" applyFont="1" applyBorder="1" applyAlignment="1">
      <alignment horizontal="center" vertical="center"/>
    </xf>
    <xf numFmtId="0" fontId="21" fillId="8" borderId="123" xfId="4" applyFont="1" applyFill="1" applyBorder="1" applyAlignment="1">
      <alignment horizontal="center" vertical="center"/>
    </xf>
    <xf numFmtId="0" fontId="21" fillId="0" borderId="150" xfId="4" applyFont="1" applyBorder="1" applyAlignment="1">
      <alignment horizontal="center" vertical="center"/>
    </xf>
    <xf numFmtId="0" fontId="21" fillId="0" borderId="135" xfId="4" applyFont="1" applyBorder="1" applyAlignment="1">
      <alignment horizontal="center" vertical="center"/>
    </xf>
    <xf numFmtId="0" fontId="21" fillId="8" borderId="49" xfId="4" applyFont="1" applyFill="1" applyBorder="1" applyAlignment="1">
      <alignment horizontal="center" vertical="center"/>
    </xf>
    <xf numFmtId="0" fontId="21" fillId="0" borderId="129" xfId="4" applyFont="1" applyBorder="1" applyAlignment="1">
      <alignment horizontal="center" vertical="center"/>
    </xf>
    <xf numFmtId="0" fontId="21" fillId="0" borderId="54" xfId="4" applyFont="1" applyBorder="1" applyAlignment="1">
      <alignment horizontal="center" vertical="center"/>
    </xf>
    <xf numFmtId="0" fontId="21" fillId="0" borderId="50" xfId="4" applyFont="1" applyBorder="1" applyAlignment="1">
      <alignment horizontal="center" vertical="center"/>
    </xf>
    <xf numFmtId="0" fontId="21" fillId="0" borderId="137" xfId="4" applyFont="1" applyBorder="1" applyAlignment="1">
      <alignment horizontal="center" vertical="center"/>
    </xf>
    <xf numFmtId="0" fontId="21" fillId="8" borderId="130" xfId="4" applyFont="1" applyFill="1" applyBorder="1" applyAlignment="1">
      <alignment horizontal="center" vertical="center"/>
    </xf>
    <xf numFmtId="0" fontId="21" fillId="0" borderId="56" xfId="4" applyFont="1" applyBorder="1" applyAlignment="1">
      <alignment horizontal="center" vertical="center"/>
    </xf>
    <xf numFmtId="0" fontId="21" fillId="8" borderId="53" xfId="4" applyFont="1" applyFill="1" applyBorder="1" applyAlignment="1">
      <alignment horizontal="center" vertical="center"/>
    </xf>
    <xf numFmtId="0" fontId="21" fillId="0" borderId="123" xfId="4" applyFont="1" applyBorder="1" applyAlignment="1">
      <alignment horizontal="center" vertical="center"/>
    </xf>
    <xf numFmtId="0" fontId="77" fillId="0" borderId="0" xfId="0" applyFont="1"/>
    <xf numFmtId="0" fontId="5" fillId="0" borderId="0" xfId="0" applyFont="1" applyAlignment="1">
      <alignment vertical="center"/>
    </xf>
    <xf numFmtId="0" fontId="20" fillId="9" borderId="66" xfId="0" applyFont="1" applyFill="1" applyBorder="1" applyAlignment="1">
      <alignment horizontal="center" vertical="center"/>
    </xf>
    <xf numFmtId="0" fontId="20" fillId="9" borderId="67" xfId="0" applyFont="1" applyFill="1" applyBorder="1" applyAlignment="1">
      <alignment horizontal="center" vertical="center"/>
    </xf>
    <xf numFmtId="0" fontId="25" fillId="0" borderId="65" xfId="0" applyNumberFormat="1" applyFont="1" applyBorder="1" applyAlignment="1">
      <alignment horizontal="center" vertical="center"/>
    </xf>
    <xf numFmtId="0" fontId="25" fillId="0" borderId="62" xfId="0" applyNumberFormat="1" applyFont="1" applyBorder="1" applyAlignment="1">
      <alignment horizontal="center" vertical="center"/>
    </xf>
    <xf numFmtId="0" fontId="25" fillId="0" borderId="64" xfId="0" applyNumberFormat="1" applyFont="1" applyBorder="1" applyAlignment="1">
      <alignment horizontal="center" vertical="center"/>
    </xf>
    <xf numFmtId="165" fontId="28" fillId="0" borderId="0" xfId="0" applyNumberFormat="1" applyFont="1" applyAlignment="1">
      <alignment horizontal="center" vertical="center" wrapText="1"/>
    </xf>
    <xf numFmtId="0" fontId="21" fillId="10" borderId="68" xfId="0" applyFont="1" applyFill="1" applyBorder="1" applyAlignment="1" applyProtection="1">
      <alignment horizontal="left" vertical="center"/>
      <protection locked="0"/>
    </xf>
    <xf numFmtId="0" fontId="21" fillId="10" borderId="63" xfId="0" applyFont="1" applyFill="1" applyBorder="1" applyAlignment="1" applyProtection="1">
      <alignment horizontal="left" vertical="center"/>
      <protection locked="0"/>
    </xf>
    <xf numFmtId="0" fontId="21" fillId="10" borderId="73" xfId="0" applyFont="1" applyFill="1" applyBorder="1" applyAlignment="1" applyProtection="1">
      <alignment horizontal="left" vertical="center"/>
      <protection locked="0"/>
    </xf>
    <xf numFmtId="0" fontId="25" fillId="0" borderId="72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22" fillId="0" borderId="165" xfId="0" applyFont="1" applyBorder="1" applyAlignment="1">
      <alignment horizontal="left" vertical="center" indent="1"/>
    </xf>
    <xf numFmtId="0" fontId="22" fillId="0" borderId="42" xfId="0" applyFont="1" applyBorder="1" applyAlignment="1">
      <alignment horizontal="left" vertical="center" indent="1"/>
    </xf>
    <xf numFmtId="167" fontId="21" fillId="0" borderId="166" xfId="0" applyNumberFormat="1" applyFont="1" applyBorder="1" applyAlignment="1">
      <alignment horizontal="right" vertical="center" indent="1"/>
    </xf>
    <xf numFmtId="167" fontId="21" fillId="0" borderId="76" xfId="0" applyNumberFormat="1" applyFont="1" applyBorder="1" applyAlignment="1">
      <alignment horizontal="right" vertical="center" indent="1"/>
    </xf>
    <xf numFmtId="0" fontId="21" fillId="0" borderId="167" xfId="0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/>
    </xf>
    <xf numFmtId="0" fontId="22" fillId="0" borderId="163" xfId="0" applyFont="1" applyBorder="1" applyAlignment="1">
      <alignment horizontal="left" vertical="center" indent="1"/>
    </xf>
    <xf numFmtId="0" fontId="22" fillId="0" borderId="164" xfId="0" applyFont="1" applyBorder="1" applyAlignment="1">
      <alignment horizontal="left" vertical="center" indent="1"/>
    </xf>
    <xf numFmtId="0" fontId="20" fillId="9" borderId="120" xfId="0" applyFont="1" applyFill="1" applyBorder="1" applyAlignment="1">
      <alignment horizontal="center"/>
    </xf>
    <xf numFmtId="0" fontId="20" fillId="9" borderId="149" xfId="0" applyFont="1" applyFill="1" applyBorder="1" applyAlignment="1">
      <alignment horizontal="center"/>
    </xf>
    <xf numFmtId="0" fontId="35" fillId="0" borderId="0" xfId="0" applyNumberFormat="1" applyFont="1" applyAlignment="1">
      <alignment horizontal="center"/>
    </xf>
    <xf numFmtId="165" fontId="31" fillId="0" borderId="76" xfId="0" applyNumberFormat="1" applyFont="1" applyBorder="1" applyAlignment="1">
      <alignment horizontal="center" wrapText="1"/>
    </xf>
    <xf numFmtId="0" fontId="21" fillId="0" borderId="74" xfId="0" applyFont="1" applyBorder="1" applyAlignment="1">
      <alignment horizontal="left" vertical="center"/>
    </xf>
    <xf numFmtId="0" fontId="22" fillId="0" borderId="160" xfId="0" applyFont="1" applyBorder="1" applyAlignment="1">
      <alignment horizontal="left" vertical="center" indent="1"/>
    </xf>
    <xf numFmtId="167" fontId="21" fillId="10" borderId="161" xfId="0" applyNumberFormat="1" applyFont="1" applyFill="1" applyBorder="1" applyAlignment="1" applyProtection="1">
      <alignment horizontal="right" vertical="center" indent="1"/>
      <protection locked="0"/>
    </xf>
    <xf numFmtId="167" fontId="21" fillId="10" borderId="60" xfId="0" applyNumberFormat="1" applyFont="1" applyFill="1" applyBorder="1" applyAlignment="1" applyProtection="1">
      <alignment horizontal="right" vertical="center" indent="1"/>
      <protection locked="0"/>
    </xf>
    <xf numFmtId="0" fontId="21" fillId="10" borderId="60" xfId="0" applyFont="1" applyFill="1" applyBorder="1" applyAlignment="1" applyProtection="1">
      <alignment horizontal="right" vertical="center" indent="1"/>
      <protection locked="0"/>
    </xf>
    <xf numFmtId="0" fontId="20" fillId="9" borderId="70" xfId="0" applyFont="1" applyFill="1" applyBorder="1" applyAlignment="1">
      <alignment horizontal="left" vertical="center"/>
    </xf>
    <xf numFmtId="0" fontId="20" fillId="9" borderId="71" xfId="0" applyFont="1" applyFill="1" applyBorder="1" applyAlignment="1">
      <alignment horizontal="left" vertical="center"/>
    </xf>
    <xf numFmtId="0" fontId="21" fillId="10" borderId="69" xfId="0" applyFont="1" applyFill="1" applyBorder="1" applyAlignment="1" applyProtection="1">
      <alignment horizontal="left" vertical="center"/>
      <protection locked="0"/>
    </xf>
    <xf numFmtId="0" fontId="68" fillId="0" borderId="0" xfId="0" applyFont="1" applyAlignment="1" applyProtection="1">
      <alignment horizontal="center"/>
    </xf>
    <xf numFmtId="0" fontId="67" fillId="0" borderId="38" xfId="0" applyNumberFormat="1" applyFont="1" applyBorder="1" applyAlignment="1" applyProtection="1">
      <alignment horizontal="center" wrapText="1"/>
    </xf>
    <xf numFmtId="0" fontId="67" fillId="0" borderId="0" xfId="0" applyNumberFormat="1" applyFont="1" applyAlignment="1" applyProtection="1">
      <alignment horizontal="center" wrapText="1"/>
    </xf>
    <xf numFmtId="0" fontId="65" fillId="0" borderId="0" xfId="0" applyNumberFormat="1" applyFont="1" applyBorder="1" applyAlignment="1">
      <alignment horizontal="center" wrapText="1"/>
    </xf>
    <xf numFmtId="0" fontId="65" fillId="0" borderId="117" xfId="0" applyNumberFormat="1" applyFont="1" applyBorder="1" applyAlignment="1">
      <alignment horizontal="center" wrapText="1"/>
    </xf>
    <xf numFmtId="0" fontId="29" fillId="0" borderId="0" xfId="0" applyFont="1" applyAlignment="1">
      <alignment horizontal="right" vertical="center" indent="1"/>
    </xf>
    <xf numFmtId="0" fontId="21" fillId="0" borderId="162" xfId="0" applyFont="1" applyBorder="1" applyAlignment="1">
      <alignment horizontal="left" vertical="center"/>
    </xf>
    <xf numFmtId="0" fontId="21" fillId="0" borderId="89" xfId="0" applyFont="1" applyBorder="1" applyAlignment="1">
      <alignment horizontal="left" vertical="center"/>
    </xf>
    <xf numFmtId="0" fontId="21" fillId="10" borderId="87" xfId="0" applyFont="1" applyFill="1" applyBorder="1" applyAlignment="1" applyProtection="1">
      <alignment horizontal="right" vertical="center" indent="1"/>
      <protection locked="0"/>
    </xf>
    <xf numFmtId="0" fontId="43" fillId="0" borderId="0" xfId="0" applyFont="1" applyBorder="1" applyAlignment="1">
      <alignment horizontal="center"/>
    </xf>
    <xf numFmtId="0" fontId="47" fillId="0" borderId="0" xfId="0" applyNumberFormat="1" applyFont="1" applyBorder="1" applyAlignment="1">
      <alignment horizontal="center" vertical="top"/>
    </xf>
    <xf numFmtId="0" fontId="47" fillId="0" borderId="0" xfId="0" applyNumberFormat="1" applyFont="1" applyBorder="1" applyAlignment="1">
      <alignment horizontal="center"/>
    </xf>
    <xf numFmtId="165" fontId="36" fillId="0" borderId="38" xfId="0" applyNumberFormat="1" applyFont="1" applyBorder="1" applyAlignment="1">
      <alignment horizontal="center"/>
    </xf>
    <xf numFmtId="0" fontId="15" fillId="9" borderId="33" xfId="0" applyFont="1" applyFill="1" applyBorder="1" applyAlignment="1">
      <alignment horizontal="center" vertical="center"/>
    </xf>
    <xf numFmtId="0" fontId="15" fillId="9" borderId="25" xfId="0" applyFont="1" applyFill="1" applyBorder="1" applyAlignment="1">
      <alignment horizontal="center" vertical="center"/>
    </xf>
    <xf numFmtId="0" fontId="15" fillId="9" borderId="30" xfId="0" applyFont="1" applyFill="1" applyBorder="1" applyAlignment="1">
      <alignment horizontal="center" vertical="center"/>
    </xf>
    <xf numFmtId="0" fontId="15" fillId="9" borderId="84" xfId="0" applyFont="1" applyFill="1" applyBorder="1" applyAlignment="1">
      <alignment horizontal="center" vertical="center"/>
    </xf>
    <xf numFmtId="0" fontId="69" fillId="0" borderId="0" xfId="0" applyFont="1" applyAlignment="1" applyProtection="1">
      <alignment horizontal="center" vertical="top" wrapText="1"/>
    </xf>
    <xf numFmtId="0" fontId="18" fillId="10" borderId="211" xfId="0" applyFont="1" applyFill="1" applyBorder="1" applyAlignment="1" applyProtection="1">
      <alignment horizontal="center" vertical="center"/>
      <protection locked="0"/>
    </xf>
    <xf numFmtId="0" fontId="18" fillId="10" borderId="212" xfId="0" applyFont="1" applyFill="1" applyBorder="1" applyAlignment="1" applyProtection="1">
      <alignment horizontal="center" vertical="center"/>
      <protection locked="0"/>
    </xf>
    <xf numFmtId="0" fontId="18" fillId="10" borderId="213" xfId="0" applyFont="1" applyFill="1" applyBorder="1" applyAlignment="1" applyProtection="1">
      <alignment horizontal="center" vertical="center"/>
      <protection locked="0"/>
    </xf>
    <xf numFmtId="0" fontId="27" fillId="10" borderId="214" xfId="0" applyFont="1" applyFill="1" applyBorder="1" applyAlignment="1" applyProtection="1">
      <alignment horizontal="center" vertical="center"/>
      <protection locked="0"/>
    </xf>
    <xf numFmtId="0" fontId="27" fillId="10" borderId="215" xfId="0" applyFont="1" applyFill="1" applyBorder="1" applyAlignment="1" applyProtection="1">
      <alignment horizontal="center" vertical="center"/>
      <protection locked="0"/>
    </xf>
    <xf numFmtId="0" fontId="27" fillId="10" borderId="216" xfId="0" applyFont="1" applyFill="1" applyBorder="1" applyAlignment="1" applyProtection="1">
      <alignment horizontal="center" vertical="center"/>
      <protection locked="0"/>
    </xf>
    <xf numFmtId="0" fontId="27" fillId="10" borderId="217" xfId="0" applyFont="1" applyFill="1" applyBorder="1" applyAlignment="1" applyProtection="1">
      <alignment horizontal="center" vertical="center"/>
      <protection locked="0"/>
    </xf>
    <xf numFmtId="0" fontId="27" fillId="10" borderId="218" xfId="0" applyFont="1" applyFill="1" applyBorder="1" applyAlignment="1" applyProtection="1">
      <alignment horizontal="center" vertical="center"/>
      <protection locked="0"/>
    </xf>
    <xf numFmtId="0" fontId="27" fillId="10" borderId="219" xfId="0" applyFont="1" applyFill="1" applyBorder="1" applyAlignment="1" applyProtection="1">
      <alignment horizontal="center" vertical="center"/>
      <protection locked="0"/>
    </xf>
    <xf numFmtId="0" fontId="14" fillId="9" borderId="37" xfId="0" applyFont="1" applyFill="1" applyBorder="1" applyAlignment="1">
      <alignment horizontal="center" vertical="center" shrinkToFit="1"/>
    </xf>
    <xf numFmtId="0" fontId="14" fillId="9" borderId="39" xfId="0" applyFont="1" applyFill="1" applyBorder="1" applyAlignment="1">
      <alignment horizontal="center" vertical="center" shrinkToFit="1"/>
    </xf>
    <xf numFmtId="0" fontId="15" fillId="9" borderId="58" xfId="0" applyFont="1" applyFill="1" applyBorder="1" applyAlignment="1">
      <alignment horizontal="center" vertical="center" shrinkToFit="1"/>
    </xf>
    <xf numFmtId="0" fontId="15" fillId="9" borderId="38" xfId="0" applyFont="1" applyFill="1" applyBorder="1" applyAlignment="1">
      <alignment horizontal="center" vertical="center" shrinkToFit="1"/>
    </xf>
    <xf numFmtId="0" fontId="15" fillId="9" borderId="59" xfId="0" applyFont="1" applyFill="1" applyBorder="1" applyAlignment="1">
      <alignment horizontal="center" vertical="center" shrinkToFit="1"/>
    </xf>
    <xf numFmtId="0" fontId="15" fillId="9" borderId="238" xfId="0" applyFont="1" applyFill="1" applyBorder="1" applyAlignment="1">
      <alignment horizontal="center" vertical="center" shrinkToFit="1"/>
    </xf>
    <xf numFmtId="0" fontId="15" fillId="9" borderId="173" xfId="0" applyFont="1" applyFill="1" applyBorder="1" applyAlignment="1">
      <alignment horizontal="center" vertical="center" shrinkToFit="1"/>
    </xf>
    <xf numFmtId="0" fontId="15" fillId="9" borderId="239" xfId="0" applyFont="1" applyFill="1" applyBorder="1" applyAlignment="1">
      <alignment horizontal="center" vertical="center" shrinkToFit="1"/>
    </xf>
    <xf numFmtId="0" fontId="15" fillId="9" borderId="124" xfId="0" applyFont="1" applyFill="1" applyBorder="1" applyAlignment="1">
      <alignment horizontal="center" vertical="center"/>
    </xf>
    <xf numFmtId="0" fontId="15" fillId="9" borderId="243" xfId="0" applyFont="1" applyFill="1" applyBorder="1" applyAlignment="1">
      <alignment horizontal="center" vertical="center"/>
    </xf>
    <xf numFmtId="0" fontId="15" fillId="9" borderId="244" xfId="0" applyFont="1" applyFill="1" applyBorder="1" applyAlignment="1">
      <alignment horizontal="center" vertical="center"/>
    </xf>
    <xf numFmtId="0" fontId="26" fillId="0" borderId="0" xfId="4" applyFont="1" applyAlignment="1">
      <alignment horizontal="center" vertical="center"/>
    </xf>
    <xf numFmtId="0" fontId="34" fillId="0" borderId="0" xfId="4" applyFont="1" applyAlignment="1">
      <alignment horizontal="center" vertical="center" wrapText="1"/>
    </xf>
    <xf numFmtId="0" fontId="33" fillId="9" borderId="227" xfId="4" applyFont="1" applyFill="1" applyBorder="1" applyAlignment="1">
      <alignment horizontal="center" vertical="center"/>
    </xf>
    <xf numFmtId="0" fontId="33" fillId="9" borderId="145" xfId="4" applyFont="1" applyFill="1" applyBorder="1" applyAlignment="1">
      <alignment horizontal="center" vertical="center"/>
    </xf>
    <xf numFmtId="0" fontId="33" fillId="9" borderId="122" xfId="4" applyFont="1" applyFill="1" applyBorder="1" applyAlignment="1">
      <alignment horizontal="center" vertical="center"/>
    </xf>
    <xf numFmtId="0" fontId="15" fillId="9" borderId="227" xfId="4" applyFont="1" applyFill="1" applyBorder="1" applyAlignment="1">
      <alignment horizontal="center" vertical="center"/>
    </xf>
    <xf numFmtId="0" fontId="15" fillId="9" borderId="145" xfId="4" applyFont="1" applyFill="1" applyBorder="1" applyAlignment="1">
      <alignment horizontal="center" vertical="center"/>
    </xf>
    <xf numFmtId="0" fontId="15" fillId="9" borderId="122" xfId="4" applyFont="1" applyFill="1" applyBorder="1" applyAlignment="1">
      <alignment horizontal="center" vertical="center"/>
    </xf>
    <xf numFmtId="0" fontId="15" fillId="9" borderId="228" xfId="4" applyFont="1" applyFill="1" applyBorder="1" applyAlignment="1">
      <alignment horizontal="center" vertical="center"/>
    </xf>
    <xf numFmtId="0" fontId="16" fillId="0" borderId="76" xfId="4" applyFont="1" applyBorder="1" applyAlignment="1">
      <alignment horizontal="left" vertical="center"/>
    </xf>
    <xf numFmtId="0" fontId="34" fillId="0" borderId="76" xfId="4" applyNumberFormat="1" applyFont="1" applyBorder="1" applyAlignment="1">
      <alignment horizontal="center" wrapText="1"/>
    </xf>
    <xf numFmtId="0" fontId="70" fillId="0" borderId="211" xfId="4" applyFont="1" applyBorder="1" applyAlignment="1">
      <alignment horizontal="center" vertical="center"/>
    </xf>
    <xf numFmtId="0" fontId="70" fillId="0" borderId="212" xfId="4" applyFont="1" applyBorder="1" applyAlignment="1">
      <alignment horizontal="center" vertical="center"/>
    </xf>
    <xf numFmtId="0" fontId="70" fillId="0" borderId="213" xfId="4" applyFont="1" applyBorder="1" applyAlignment="1">
      <alignment horizontal="center" vertical="center"/>
    </xf>
    <xf numFmtId="14" fontId="71" fillId="0" borderId="214" xfId="4" applyNumberFormat="1" applyFont="1" applyBorder="1" applyAlignment="1">
      <alignment horizontal="center" vertical="center"/>
    </xf>
    <xf numFmtId="14" fontId="71" fillId="0" borderId="215" xfId="4" applyNumberFormat="1" applyFont="1" applyBorder="1" applyAlignment="1">
      <alignment horizontal="center" vertical="center"/>
    </xf>
    <xf numFmtId="14" fontId="71" fillId="0" borderId="216" xfId="4" applyNumberFormat="1" applyFont="1" applyBorder="1" applyAlignment="1">
      <alignment horizontal="center" vertical="center"/>
    </xf>
    <xf numFmtId="0" fontId="71" fillId="0" borderId="214" xfId="4" applyFont="1" applyBorder="1" applyAlignment="1">
      <alignment horizontal="center" vertical="center"/>
    </xf>
    <xf numFmtId="0" fontId="71" fillId="0" borderId="215" xfId="4" applyFont="1" applyBorder="1" applyAlignment="1">
      <alignment horizontal="center" vertical="center"/>
    </xf>
    <xf numFmtId="0" fontId="71" fillId="0" borderId="216" xfId="4" applyFont="1" applyBorder="1" applyAlignment="1">
      <alignment horizontal="center" vertical="center"/>
    </xf>
    <xf numFmtId="0" fontId="71" fillId="0" borderId="217" xfId="4" applyFont="1" applyBorder="1" applyAlignment="1">
      <alignment horizontal="center" vertical="center"/>
    </xf>
    <xf numFmtId="0" fontId="71" fillId="0" borderId="218" xfId="4" applyFont="1" applyBorder="1" applyAlignment="1">
      <alignment horizontal="center" vertical="center"/>
    </xf>
    <xf numFmtId="0" fontId="71" fillId="0" borderId="219" xfId="4" applyFont="1" applyBorder="1" applyAlignment="1">
      <alignment horizontal="center" vertical="center"/>
    </xf>
    <xf numFmtId="0" fontId="72" fillId="17" borderId="0" xfId="4" applyFont="1" applyFill="1" applyBorder="1" applyAlignment="1">
      <alignment horizontal="center" vertical="center"/>
    </xf>
    <xf numFmtId="0" fontId="57" fillId="0" borderId="0" xfId="4" applyFont="1" applyAlignment="1">
      <alignment horizontal="center" vertical="center"/>
    </xf>
    <xf numFmtId="0" fontId="53" fillId="0" borderId="0" xfId="0" applyFont="1" applyAlignment="1">
      <alignment horizontal="center" vertical="center" wrapText="1"/>
    </xf>
    <xf numFmtId="0" fontId="22" fillId="0" borderId="86" xfId="0" applyFont="1" applyBorder="1" applyAlignment="1" applyProtection="1">
      <alignment horizontal="left" vertical="top" wrapText="1"/>
      <protection locked="0"/>
    </xf>
    <xf numFmtId="0" fontId="22" fillId="0" borderId="87" xfId="0" applyFont="1" applyBorder="1" applyAlignment="1" applyProtection="1">
      <alignment horizontal="left" vertical="top" wrapText="1"/>
      <protection locked="0"/>
    </xf>
    <xf numFmtId="0" fontId="22" fillId="0" borderId="88" xfId="0" applyFont="1" applyBorder="1" applyAlignment="1" applyProtection="1">
      <alignment horizontal="left" vertical="top" wrapText="1"/>
      <protection locked="0"/>
    </xf>
    <xf numFmtId="0" fontId="22" fillId="0" borderId="175" xfId="0" applyFont="1" applyBorder="1" applyAlignment="1" applyProtection="1">
      <alignment horizontal="left" vertical="top" wrapText="1"/>
      <protection locked="0"/>
    </xf>
    <xf numFmtId="0" fontId="22" fillId="0" borderId="176" xfId="0" applyFont="1" applyBorder="1" applyAlignment="1" applyProtection="1">
      <alignment horizontal="left" vertical="top" wrapText="1"/>
      <protection locked="0"/>
    </xf>
    <xf numFmtId="0" fontId="22" fillId="0" borderId="177" xfId="0" applyFont="1" applyBorder="1" applyAlignment="1" applyProtection="1">
      <alignment horizontal="left" vertical="top" wrapText="1"/>
      <protection locked="0"/>
    </xf>
    <xf numFmtId="0" fontId="56" fillId="0" borderId="172" xfId="0" applyFont="1" applyBorder="1" applyAlignment="1">
      <alignment horizontal="center" vertical="center"/>
    </xf>
    <xf numFmtId="0" fontId="56" fillId="0" borderId="173" xfId="0" applyFont="1" applyBorder="1" applyAlignment="1">
      <alignment horizontal="center" vertical="center"/>
    </xf>
    <xf numFmtId="0" fontId="56" fillId="0" borderId="174" xfId="0" applyFont="1" applyBorder="1" applyAlignment="1">
      <alignment horizontal="center" vertical="center"/>
    </xf>
    <xf numFmtId="0" fontId="40" fillId="13" borderId="102" xfId="0" applyFont="1" applyFill="1" applyBorder="1" applyAlignment="1">
      <alignment horizontal="center" vertical="center" wrapText="1"/>
    </xf>
    <xf numFmtId="0" fontId="40" fillId="13" borderId="104" xfId="0" applyFont="1" applyFill="1" applyBorder="1" applyAlignment="1">
      <alignment horizontal="center" vertical="center"/>
    </xf>
    <xf numFmtId="0" fontId="39" fillId="0" borderId="97" xfId="0" applyFont="1" applyBorder="1" applyAlignment="1">
      <alignment horizontal="center" vertical="top"/>
    </xf>
    <xf numFmtId="0" fontId="40" fillId="0" borderId="0" xfId="0" applyFont="1" applyFill="1" applyBorder="1" applyAlignment="1" applyProtection="1">
      <alignment horizontal="center" vertical="center" wrapText="1"/>
    </xf>
    <xf numFmtId="0" fontId="40" fillId="0" borderId="0" xfId="0" applyFont="1" applyFill="1" applyBorder="1" applyAlignment="1" applyProtection="1">
      <alignment horizontal="center" vertical="center"/>
    </xf>
    <xf numFmtId="0" fontId="0" fillId="0" borderId="99" xfId="0" applyBorder="1" applyAlignment="1" applyProtection="1">
      <alignment horizontal="center"/>
      <protection locked="0"/>
    </xf>
    <xf numFmtId="0" fontId="44" fillId="14" borderId="100" xfId="0" applyFont="1" applyFill="1" applyBorder="1" applyAlignment="1">
      <alignment horizontal="center" vertical="center" wrapText="1"/>
    </xf>
    <xf numFmtId="0" fontId="44" fillId="14" borderId="103" xfId="0" applyFont="1" applyFill="1" applyBorder="1" applyAlignment="1">
      <alignment horizontal="center" vertical="center"/>
    </xf>
    <xf numFmtId="0" fontId="44" fillId="12" borderId="187" xfId="0" applyFont="1" applyFill="1" applyBorder="1" applyAlignment="1">
      <alignment horizontal="center" vertical="center" wrapText="1"/>
    </xf>
    <xf numFmtId="0" fontId="44" fillId="12" borderId="188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 textRotation="90"/>
    </xf>
    <xf numFmtId="0" fontId="0" fillId="0" borderId="144" xfId="0" applyBorder="1" applyAlignment="1">
      <alignment horizontal="right" vertical="center" textRotation="90"/>
    </xf>
    <xf numFmtId="0" fontId="0" fillId="0" borderId="0" xfId="0" applyBorder="1" applyAlignment="1">
      <alignment horizontal="center" vertical="center" textRotation="90"/>
    </xf>
    <xf numFmtId="0" fontId="0" fillId="0" borderId="144" xfId="0" applyBorder="1" applyAlignment="1">
      <alignment horizontal="center" vertical="center" textRotation="90"/>
    </xf>
    <xf numFmtId="0" fontId="0" fillId="0" borderId="191" xfId="0" applyBorder="1" applyAlignment="1">
      <alignment horizontal="center" vertical="center" textRotation="90"/>
    </xf>
    <xf numFmtId="0" fontId="62" fillId="0" borderId="0" xfId="0" applyFont="1" applyAlignment="1">
      <alignment horizontal="center" vertical="top" textRotation="90"/>
    </xf>
    <xf numFmtId="0" fontId="19" fillId="11" borderId="95" xfId="4" applyFont="1" applyFill="1" applyBorder="1" applyAlignment="1" applyProtection="1">
      <alignment horizontal="center" vertical="center"/>
    </xf>
    <xf numFmtId="0" fontId="19" fillId="11" borderId="0" xfId="4" applyFont="1" applyFill="1" applyBorder="1" applyAlignment="1" applyProtection="1">
      <alignment horizontal="center" vertical="center"/>
    </xf>
    <xf numFmtId="0" fontId="19" fillId="11" borderId="96" xfId="4" applyFont="1" applyFill="1" applyBorder="1" applyAlignment="1" applyProtection="1">
      <alignment horizontal="center" vertical="center"/>
    </xf>
    <xf numFmtId="0" fontId="32" fillId="11" borderId="95" xfId="3" applyFill="1" applyBorder="1" applyAlignment="1" applyProtection="1">
      <alignment horizontal="center" vertical="center"/>
      <protection locked="0"/>
    </xf>
    <xf numFmtId="0" fontId="32" fillId="11" borderId="0" xfId="3" applyFill="1" applyBorder="1" applyAlignment="1" applyProtection="1">
      <alignment horizontal="center" vertical="center"/>
      <protection locked="0"/>
    </xf>
    <xf numFmtId="0" fontId="32" fillId="11" borderId="96" xfId="3" applyFill="1" applyBorder="1" applyAlignment="1" applyProtection="1">
      <alignment horizontal="center" vertical="center"/>
      <protection locked="0"/>
    </xf>
    <xf numFmtId="0" fontId="13" fillId="0" borderId="76" xfId="0" applyNumberFormat="1" applyFont="1" applyFill="1" applyBorder="1" applyAlignment="1" applyProtection="1">
      <alignment horizontal="center" vertical="center"/>
      <protection hidden="1"/>
    </xf>
    <xf numFmtId="3" fontId="8" fillId="0" borderId="121" xfId="0" applyNumberFormat="1" applyFont="1" applyFill="1" applyBorder="1" applyAlignment="1" applyProtection="1">
      <alignment horizontal="center" vertical="center"/>
      <protection hidden="1"/>
    </xf>
    <xf numFmtId="0" fontId="8" fillId="0" borderId="121" xfId="0" applyNumberFormat="1" applyFont="1" applyFill="1" applyBorder="1" applyAlignment="1" applyProtection="1">
      <alignment horizontal="center" vertical="center"/>
      <protection hidden="1"/>
    </xf>
    <xf numFmtId="0" fontId="61" fillId="0" borderId="0" xfId="0" applyNumberFormat="1" applyFont="1" applyFill="1" applyBorder="1" applyAlignment="1">
      <alignment horizontal="center" vertical="center"/>
    </xf>
    <xf numFmtId="0" fontId="13" fillId="0" borderId="23" xfId="0" applyNumberFormat="1" applyFont="1" applyFill="1" applyBorder="1" applyAlignment="1" applyProtection="1">
      <alignment horizontal="center" vertical="center"/>
      <protection hidden="1"/>
    </xf>
    <xf numFmtId="0" fontId="13" fillId="0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7" xfId="0" applyNumberFormat="1" applyFont="1" applyFill="1" applyBorder="1" applyAlignment="1" applyProtection="1">
      <alignment horizontal="center" vertical="center"/>
      <protection hidden="1"/>
    </xf>
    <xf numFmtId="0" fontId="8" fillId="0" borderId="5" xfId="0" applyNumberFormat="1" applyFont="1" applyFill="1" applyBorder="1" applyAlignment="1" applyProtection="1">
      <alignment horizontal="center" vertical="center"/>
      <protection hidden="1"/>
    </xf>
    <xf numFmtId="0" fontId="8" fillId="0" borderId="6" xfId="0" applyNumberFormat="1" applyFont="1" applyFill="1" applyBorder="1" applyAlignment="1" applyProtection="1">
      <alignment horizontal="center" vertical="center"/>
      <protection hidden="1"/>
    </xf>
    <xf numFmtId="0" fontId="8" fillId="0" borderId="8" xfId="0" applyNumberFormat="1" applyFont="1" applyFill="1" applyBorder="1" applyAlignment="1" applyProtection="1">
      <alignment horizontal="center" vertical="center"/>
      <protection hidden="1"/>
    </xf>
    <xf numFmtId="0" fontId="8" fillId="0" borderId="4" xfId="0" applyNumberFormat="1" applyFont="1" applyFill="1" applyBorder="1" applyAlignment="1" applyProtection="1">
      <alignment horizontal="center" vertical="center"/>
      <protection hidden="1"/>
    </xf>
  </cellXfs>
  <cellStyles count="5">
    <cellStyle name="Berechnung" xfId="2" builtinId="22"/>
    <cellStyle name="Link" xfId="3" builtinId="8"/>
    <cellStyle name="Standard" xfId="0" builtinId="0"/>
    <cellStyle name="Standard 2" xfId="1" xr:uid="{00000000-0005-0000-0000-000001000000}"/>
    <cellStyle name="Standard 3" xfId="4" xr:uid="{009D55E7-4DF0-4862-B701-C8E161950C66}"/>
  </cellStyles>
  <dxfs count="69">
    <dxf>
      <font>
        <b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font>
        <color rgb="FFC00000"/>
      </font>
    </dxf>
    <dxf>
      <font>
        <color rgb="FFC0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theme="2" tint="-9.9948118533890809E-2"/>
      </font>
    </dxf>
    <dxf>
      <border>
        <bottom style="thin">
          <color rgb="FFDA0000"/>
        </bottom>
        <vertical/>
        <horizontal/>
      </border>
    </dxf>
    <dxf>
      <border>
        <bottom style="dashDot">
          <color rgb="FFDA0000"/>
        </bottom>
        <vertical/>
        <horizontal/>
      </border>
    </dxf>
    <dxf>
      <numFmt numFmtId="30" formatCode="@"/>
    </dxf>
    <dxf>
      <font>
        <color rgb="FF00B050"/>
      </font>
      <numFmt numFmtId="30" formatCode="@"/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theme="2" tint="-0.24994659260841701"/>
      </font>
    </dxf>
    <dxf>
      <font>
        <color rgb="FFC00000"/>
      </font>
    </dxf>
    <dxf>
      <font>
        <color rgb="FFDA0000"/>
      </font>
    </dxf>
    <dxf>
      <font>
        <color rgb="FFDA0000"/>
      </font>
    </dxf>
    <dxf>
      <numFmt numFmtId="165" formatCode=";;;"/>
    </dxf>
    <dxf>
      <font>
        <color rgb="FFC00000"/>
      </font>
    </dxf>
    <dxf>
      <font>
        <color rgb="FFDA0000"/>
      </font>
    </dxf>
    <dxf>
      <font>
        <color rgb="FFDA0000"/>
      </font>
    </dxf>
    <dxf>
      <numFmt numFmtId="165" formatCode=";;;"/>
    </dxf>
    <dxf>
      <font>
        <color rgb="FFC00000"/>
      </font>
    </dxf>
    <dxf>
      <font>
        <color rgb="FFDA0000"/>
      </font>
    </dxf>
    <dxf>
      <font>
        <color rgb="FFDA0000"/>
      </font>
    </dxf>
    <dxf>
      <numFmt numFmtId="165" formatCode=";;;"/>
    </dxf>
    <dxf>
      <font>
        <b/>
        <i val="0"/>
        <color rgb="FFFF0000"/>
      </font>
    </dxf>
    <dxf>
      <font>
        <b/>
        <i val="0"/>
        <color rgb="FFDA0000"/>
      </font>
      <fill>
        <patternFill patternType="none">
          <bgColor auto="1"/>
        </patternFill>
      </fill>
    </dxf>
    <dxf>
      <font>
        <b/>
        <i val="0"/>
        <color rgb="FFDA0000"/>
      </font>
      <fill>
        <patternFill patternType="none">
          <bgColor auto="1"/>
        </patternFill>
      </fill>
    </dxf>
    <dxf>
      <font>
        <b/>
        <i val="0"/>
        <color rgb="FFDA0000"/>
      </font>
      <fill>
        <patternFill patternType="none">
          <bgColor auto="1"/>
        </patternFill>
      </fill>
    </dxf>
    <dxf>
      <font>
        <b/>
        <i val="0"/>
        <color rgb="FFDA0000"/>
      </font>
    </dxf>
    <dxf>
      <font>
        <b/>
        <i val="0"/>
        <color rgb="FFDA0000"/>
      </font>
    </dxf>
    <dxf>
      <border>
        <bottom style="thin">
          <color rgb="FFDA0000"/>
        </bottom>
        <vertical/>
        <horizontal/>
      </border>
    </dxf>
    <dxf>
      <font>
        <b/>
        <i val="0"/>
        <color rgb="FFDA0000"/>
      </font>
    </dxf>
    <dxf>
      <border>
        <bottom style="dashDot">
          <color rgb="FFDA0000"/>
        </bottom>
        <vertical/>
        <horizontal/>
      </border>
    </dxf>
    <dxf>
      <font>
        <strike val="0"/>
        <color theme="2" tint="-0.24994659260841701"/>
      </font>
      <numFmt numFmtId="0" formatCode="General"/>
    </dxf>
    <dxf>
      <numFmt numFmtId="30" formatCode="@"/>
    </dxf>
    <dxf>
      <numFmt numFmtId="30" formatCode="@"/>
      <fill>
        <patternFill patternType="none">
          <bgColor auto="1"/>
        </patternFill>
      </fill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</dxfs>
  <tableStyles count="0" defaultTableStyle="TableStyleMedium2" defaultPivotStyle="PivotStyleLight16"/>
  <colors>
    <mruColors>
      <color rgb="FFDA0000"/>
      <color rgb="FFFFFFCC"/>
      <color rgb="FFFFFFE0"/>
      <color rgb="FFFDECE3"/>
      <color rgb="FF00B050"/>
      <color rgb="FF5E913B"/>
      <color rgb="FFF8F8F8"/>
      <color rgb="FFE7FFE7"/>
      <color rgb="FFCCFFCC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fmlaLink="$Y$4" lockText="1" noThreeD="1"/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295275</xdr:colOff>
          <xdr:row>3</xdr:row>
          <xdr:rowOff>57150</xdr:rowOff>
        </xdr:from>
        <xdr:to>
          <xdr:col>13</xdr:col>
          <xdr:colOff>609600</xdr:colOff>
          <xdr:row>3</xdr:row>
          <xdr:rowOff>342900</xdr:rowOff>
        </xdr:to>
        <xdr:sp macro="" textlink="">
          <xdr:nvSpPr>
            <xdr:cNvPr id="13313" name="Check Box 1" descr=" ABC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0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1</xdr:row>
      <xdr:rowOff>9525</xdr:rowOff>
    </xdr:from>
    <xdr:to>
      <xdr:col>4</xdr:col>
      <xdr:colOff>381000</xdr:colOff>
      <xdr:row>5</xdr:row>
      <xdr:rowOff>66675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180975"/>
          <a:ext cx="1581150" cy="1581150"/>
        </a:xfrm>
        <a:prstGeom prst="rect">
          <a:avLst/>
        </a:prstGeom>
      </xdr:spPr>
    </xdr:pic>
    <xdr:clientData/>
  </xdr:twoCellAnchor>
  <xdr:twoCellAnchor editAs="oneCell">
    <xdr:from>
      <xdr:col>4</xdr:col>
      <xdr:colOff>866775</xdr:colOff>
      <xdr:row>1</xdr:row>
      <xdr:rowOff>38100</xdr:rowOff>
    </xdr:from>
    <xdr:to>
      <xdr:col>6</xdr:col>
      <xdr:colOff>1085850</xdr:colOff>
      <xdr:row>5</xdr:row>
      <xdr:rowOff>8978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1275" y="209550"/>
          <a:ext cx="2066925" cy="14948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5</xdr:row>
      <xdr:rowOff>19050</xdr:rowOff>
    </xdr:from>
    <xdr:to>
      <xdr:col>3</xdr:col>
      <xdr:colOff>600075</xdr:colOff>
      <xdr:row>9</xdr:row>
      <xdr:rowOff>161925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790700"/>
          <a:ext cx="1581150" cy="158115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0</xdr:row>
      <xdr:rowOff>142875</xdr:rowOff>
    </xdr:from>
    <xdr:to>
      <xdr:col>4</xdr:col>
      <xdr:colOff>238125</xdr:colOff>
      <xdr:row>4</xdr:row>
      <xdr:rowOff>247103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42875"/>
          <a:ext cx="2066925" cy="14948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9525</xdr:rowOff>
    </xdr:from>
    <xdr:to>
      <xdr:col>8</xdr:col>
      <xdr:colOff>0</xdr:colOff>
      <xdr:row>18</xdr:row>
      <xdr:rowOff>104775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581025" y="495300"/>
          <a:ext cx="5324475" cy="2524125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rtlCol="0" anchor="ctr"/>
        <a:lstStyle/>
        <a:p>
          <a:pPr algn="ctr"/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INSTRUCTIONS</a:t>
          </a:r>
        </a:p>
        <a:p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Step 1:</a:t>
          </a:r>
        </a:p>
        <a:p>
          <a:r>
            <a:rPr lang="de-DE" sz="1400"/>
            <a:t>Enter the names of the participants on the far left of the '</a:t>
          </a:r>
          <a:r>
            <a:rPr lang="de-DE" sz="1400" b="1"/>
            <a:t>Planung</a:t>
          </a:r>
          <a:r>
            <a:rPr lang="de-DE" sz="1400"/>
            <a:t>' sheet; If necessary, remove the tick from "With second legs".</a:t>
          </a: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Step 2:</a:t>
          </a:r>
        </a:p>
        <a:p>
          <a:r>
            <a:rPr lang="de-DE" sz="1400"/>
            <a:t>Enter the game results on the </a:t>
          </a:r>
          <a:r>
            <a:rPr lang="de-DE" sz="1400" b="1"/>
            <a:t>'Ergebnisse'</a:t>
          </a:r>
          <a:r>
            <a:rPr lang="de-DE" sz="1400"/>
            <a:t> sheet</a:t>
          </a:r>
          <a:endParaRPr lang="de-DE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20</xdr:row>
      <xdr:rowOff>114298</xdr:rowOff>
    </xdr:from>
    <xdr:to>
      <xdr:col>8</xdr:col>
      <xdr:colOff>0</xdr:colOff>
      <xdr:row>85</xdr:row>
      <xdr:rowOff>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581025" y="3352798"/>
          <a:ext cx="5324475" cy="10410827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rtlCol="0" anchor="ctr"/>
        <a:lstStyle/>
        <a:p>
          <a:pPr algn="ctr"/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HINTS</a:t>
          </a:r>
        </a:p>
        <a:p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1.</a:t>
          </a:r>
        </a:p>
        <a:p>
          <a:r>
            <a:rPr lang="de-DE" sz="1400"/>
            <a:t>If at least 3 teams have been entered, the game pairings appear automatically.</a:t>
          </a: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2.</a:t>
          </a:r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/>
            <a:t>If you want to enter your own matchups manually, you must first delete the two array formulas that cover the areas K7:K138 and M7:M138.</a:t>
          </a:r>
        </a:p>
        <a:p>
          <a:r>
            <a:rPr lang="de-DE" sz="1400"/>
            <a:t>To do this, go to cell K7, delete the formula in the edit line above and press CTRL-SHIFT-ENTER to finish. Do the same with cell M7.</a:t>
          </a:r>
        </a:p>
        <a:p>
          <a:endParaRPr lang="de-DE" sz="1400" b="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de-DE" sz="1400" b="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3.</a:t>
          </a:r>
        </a:p>
        <a:p>
          <a:r>
            <a:rPr lang="de-DE" sz="1400"/>
            <a:t>Teams whose ranking is not clear will appear in red in the overall table.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this case, either a playoff game can be entered on the '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Playoffs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 sheet or, if the draw is made, a bonus point can be awarded to the favored team on the '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TieBreak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 sheet.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400"/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</a:t>
          </a:r>
          <a:endParaRPr lang="de-DE" sz="1400">
            <a:effectLst/>
          </a:endParaRPr>
        </a:p>
        <a:p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sheet '</a:t>
          </a:r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Anstoßzeiten</a:t>
          </a:r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 is intended for printing. The page breaks are set so that a match schedule with individual kick-off times can be printed for each participant.</a:t>
          </a:r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</a:t>
          </a:r>
          <a:endParaRPr lang="de-DE" sz="1400">
            <a:effectLst/>
          </a:endParaRPr>
        </a:p>
        <a:p>
          <a:r>
            <a:rPr lang="de-DE" sz="1400"/>
            <a:t>The ranking of the teams is determined according to the following criteria:</a:t>
          </a:r>
        </a:p>
        <a:p>
          <a:endParaRPr lang="de-DE" sz="800" b="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Criteria:</a:t>
          </a:r>
        </a:p>
        <a:p>
          <a:endParaRPr lang="de-DE" sz="400">
            <a:effectLst/>
          </a:endParaRPr>
        </a:p>
        <a:p>
          <a:r>
            <a:rPr lang="de-DE" sz="1200"/>
            <a:t>1. Number of points or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number of sets won</a:t>
          </a:r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(adjustable)</a:t>
          </a:r>
          <a:endParaRPr lang="de-DE" sz="1200"/>
        </a:p>
        <a:p>
          <a:r>
            <a:rPr lang="de-DE" sz="1200"/>
            <a:t>2. Set difference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(adjustable YES/NO)</a:t>
          </a:r>
        </a:p>
        <a:p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  Number of sets won (adjustable YES/NO)</a:t>
          </a:r>
        </a:p>
        <a:p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(Only makes sense if the number of points is the first criterion)</a:t>
          </a:r>
          <a:endParaRPr lang="de-DE" sz="1200"/>
        </a:p>
        <a:p>
          <a:r>
            <a:rPr lang="de-DE" sz="1200"/>
            <a:t>4.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Ball difference or ball quotient (adjustable</a:t>
          </a:r>
          <a:r>
            <a:rPr lang="de-DE" sz="1200"/>
            <a:t>)</a:t>
          </a:r>
        </a:p>
        <a:p>
          <a:r>
            <a:rPr lang="de-DE" sz="1200"/>
            <a:t>5. Number of sets won from the driect comparison</a:t>
          </a:r>
        </a:p>
        <a:p>
          <a:r>
            <a:rPr lang="de-DE" sz="1200"/>
            <a:t>6. Ball</a:t>
          </a:r>
          <a:r>
            <a:rPr lang="de-DE" sz="1200" baseline="0"/>
            <a:t> difference from the direct compar</a:t>
          </a:r>
          <a:r>
            <a:rPr lang="de-DE" sz="1200"/>
            <a:t>ison</a:t>
          </a:r>
        </a:p>
        <a:p>
          <a:r>
            <a:rPr lang="de-DE" sz="1200"/>
            <a:t>7. Drawing</a:t>
          </a:r>
          <a:r>
            <a:rPr lang="de-DE" sz="1200" baseline="0"/>
            <a:t> of lots or playoffs</a:t>
          </a:r>
          <a:endParaRPr lang="de-DE" sz="1200"/>
        </a:p>
        <a:p>
          <a:endParaRPr lang="de-DE" sz="14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6.</a:t>
          </a:r>
          <a:endParaRPr lang="de-DE" sz="1400" b="1">
            <a:effectLst/>
          </a:endParaRPr>
        </a:p>
        <a:p>
          <a:r>
            <a:rPr lang="de-DE" sz="1400"/>
            <a:t>Various presets can be selected on the '</a:t>
          </a:r>
          <a:r>
            <a:rPr lang="de-DE" sz="1400" b="1"/>
            <a:t>Einstellungen</a:t>
          </a:r>
          <a:r>
            <a:rPr lang="de-DE" sz="1400"/>
            <a:t>' sheet.</a:t>
          </a:r>
        </a:p>
        <a:p>
          <a:endParaRPr lang="de-DE" sz="400"/>
        </a:p>
        <a:p>
          <a:r>
            <a:rPr lang="de-DE" sz="1200"/>
            <a:t>If the ball quotient is selected instead of the ball difference under point 4, the ball quotient will be displayed in the final table and also used as the fourth criterion.</a:t>
          </a:r>
          <a:endParaRPr lang="de-DE" sz="1200">
            <a:effectLst/>
          </a:endParaRPr>
        </a:p>
      </xdr:txBody>
    </xdr:sp>
    <xdr:clientData/>
  </xdr:twoCellAnchor>
  <xdr:twoCellAnchor>
    <xdr:from>
      <xdr:col>8</xdr:col>
      <xdr:colOff>266698</xdr:colOff>
      <xdr:row>3</xdr:row>
      <xdr:rowOff>9525</xdr:rowOff>
    </xdr:from>
    <xdr:to>
      <xdr:col>15</xdr:col>
      <xdr:colOff>752475</xdr:colOff>
      <xdr:row>18</xdr:row>
      <xdr:rowOff>114300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6172198" y="495300"/>
          <a:ext cx="5334002" cy="2533650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rtlCol="0" anchor="ctr"/>
        <a:lstStyle/>
        <a:p>
          <a:pPr algn="ctr"/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ANLEITUNG</a:t>
          </a:r>
        </a:p>
        <a:p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1. Schritt:</a:t>
          </a:r>
        </a:p>
        <a:p>
          <a:r>
            <a:rPr lang="de-DE" sz="1400">
              <a:solidFill>
                <a:sysClr val="windowText" lastClr="000000"/>
              </a:solidFill>
            </a:rPr>
            <a:t>Auf</a:t>
          </a:r>
          <a:r>
            <a:rPr lang="de-DE" sz="1400" baseline="0">
              <a:solidFill>
                <a:sysClr val="windowText" lastClr="000000"/>
              </a:solidFill>
            </a:rPr>
            <a:t> dem Tabellenblatt '</a:t>
          </a:r>
          <a:r>
            <a:rPr lang="de-DE" sz="1400" b="1" baseline="0">
              <a:solidFill>
                <a:sysClr val="windowText" lastClr="000000"/>
              </a:solidFill>
            </a:rPr>
            <a:t>Planung</a:t>
          </a:r>
          <a:r>
            <a:rPr lang="de-DE" sz="1400" baseline="0">
              <a:solidFill>
                <a:sysClr val="windowText" lastClr="000000"/>
              </a:solidFill>
            </a:rPr>
            <a:t>' g</a:t>
          </a:r>
          <a:r>
            <a:rPr lang="de-DE" sz="1400">
              <a:solidFill>
                <a:sysClr val="windowText" lastClr="000000"/>
              </a:solidFill>
            </a:rPr>
            <a:t>anz links die Namen der Teilnehmer</a:t>
          </a:r>
          <a:r>
            <a:rPr lang="de-DE" sz="1400" baseline="0">
              <a:solidFill>
                <a:sysClr val="windowText" lastClr="000000"/>
              </a:solidFill>
            </a:rPr>
            <a:t> eintragen und evtl. Häkchen bei "Mit Rückspielen" entfernen</a:t>
          </a: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2. Schritt:</a:t>
          </a:r>
        </a:p>
        <a:p>
          <a:r>
            <a:rPr lang="de-DE" sz="1400" baseline="0">
              <a:solidFill>
                <a:sysClr val="windowText" lastClr="000000"/>
              </a:solidFill>
            </a:rPr>
            <a:t>Auf dem Tabellenblatt </a:t>
          </a:r>
          <a:r>
            <a:rPr lang="de-DE" sz="1400" b="1" baseline="0">
              <a:solidFill>
                <a:sysClr val="windowText" lastClr="000000"/>
              </a:solidFill>
            </a:rPr>
            <a:t>'Ergebnisse'</a:t>
          </a:r>
          <a:r>
            <a:rPr lang="de-DE" sz="1400" baseline="0">
              <a:solidFill>
                <a:sysClr val="windowText" lastClr="000000"/>
              </a:solidFill>
            </a:rPr>
            <a:t> die Spielergebnisse eintragen</a:t>
          </a:r>
          <a:endParaRPr lang="de-DE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266699</xdr:colOff>
      <xdr:row>20</xdr:row>
      <xdr:rowOff>114298</xdr:rowOff>
    </xdr:from>
    <xdr:to>
      <xdr:col>16</xdr:col>
      <xdr:colOff>0</xdr:colOff>
      <xdr:row>85</xdr:row>
      <xdr:rowOff>1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6172199" y="3352798"/>
          <a:ext cx="5343526" cy="10410828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rtlCol="0" anchor="ctr"/>
        <a:lstStyle/>
        <a:p>
          <a:pPr algn="ctr"/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HINWEISE</a:t>
          </a:r>
        </a:p>
        <a:p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1.</a:t>
          </a:r>
        </a:p>
        <a:p>
          <a:r>
            <a:rPr lang="de-DE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Wenn mindestens 3 Teams eingetragen wurden, erscheinen die Spielpaarungen automatisch.</a:t>
          </a:r>
          <a:endParaRPr lang="de-DE" sz="1400">
            <a:effectLst/>
          </a:endParaRP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2.</a:t>
          </a:r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>
              <a:solidFill>
                <a:sysClr val="windowText" lastClr="000000"/>
              </a:solidFill>
              <a:effectLst/>
            </a:rPr>
            <a:t>Wer seine eigenen Spielpaarungen manuell eintragen möchte, muss zuerst die beiden Matrixformeln löschen, die die Bereiche K7:K138 und M7:M138 überdecken.</a:t>
          </a:r>
        </a:p>
        <a:p>
          <a:r>
            <a:rPr lang="de-DE" sz="1400">
              <a:solidFill>
                <a:sysClr val="windowText" lastClr="000000"/>
              </a:solidFill>
              <a:effectLst/>
            </a:rPr>
            <a:t>Dazu auf die Zelle K7 gehen, die Formel in der Bearbeitungszeile oben löschen und mit STRG-UMSCHALT-EINGABE abschließen.</a:t>
          </a:r>
        </a:p>
        <a:p>
          <a:r>
            <a:rPr lang="de-DE" sz="1400">
              <a:solidFill>
                <a:sysClr val="windowText" lastClr="000000"/>
              </a:solidFill>
              <a:effectLst/>
            </a:rPr>
            <a:t>Dasselbe</a:t>
          </a:r>
          <a:r>
            <a:rPr lang="de-DE" sz="1400" baseline="0">
              <a:solidFill>
                <a:sysClr val="windowText" lastClr="000000"/>
              </a:solidFill>
              <a:effectLst/>
            </a:rPr>
            <a:t> mit der Zelle M7 durchführen.</a:t>
          </a:r>
          <a:endParaRPr lang="de-DE" sz="1400">
            <a:solidFill>
              <a:sysClr val="windowText" lastClr="000000"/>
            </a:solidFill>
            <a:effectLst/>
          </a:endParaRPr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endParaRPr lang="de-DE" sz="1400">
            <a:effectLst/>
          </a:endParaRPr>
        </a:p>
        <a:p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Teams, deren Rangfolge nicht eindeutig geklärt ist, erscheinen in der Gesamttabelle in roter Schrift.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dem Fall kann entweder auf dem Tabellenblatt '</a:t>
          </a:r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Playoffs</a:t>
          </a:r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 ein Entscheidungsspiel eingetragen werden oder bei Losentscheid auf dem Tabellenblatt '</a:t>
          </a:r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TieBreak</a:t>
          </a:r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 ein Bonuspunkt für das begünstigte Team.</a:t>
          </a:r>
          <a:endParaRPr lang="de-DE" sz="1400">
            <a:effectLst/>
          </a:endParaRPr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</a:t>
          </a:r>
          <a:endParaRPr lang="de-DE" sz="1400">
            <a:effectLst/>
          </a:endParaRPr>
        </a:p>
        <a:p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Das Tabellenblatt '</a:t>
          </a:r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Anstoßzeiten</a:t>
          </a:r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 ist zum Ausdrucken gedacht. Die Seitenumbrüche sind so gesetzt, dass für jeden Teilnehmer ein Spielplan mit individuellen Anstoßzeiten ausgedruckt werden kann.</a:t>
          </a:r>
          <a:endParaRPr lang="de-DE" sz="1400" b="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</a:t>
          </a:r>
          <a:endParaRPr lang="de-DE" sz="1400">
            <a:effectLst/>
          </a:endParaRPr>
        </a:p>
        <a:p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Die Rangreihenfolge der Teams wird nach folgenden Kriterien ermittelt:</a:t>
          </a:r>
        </a:p>
        <a:p>
          <a:endParaRPr lang="de-DE" sz="800">
            <a:effectLst/>
          </a:endParaRPr>
        </a:p>
        <a:p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Kriterien:</a:t>
          </a:r>
        </a:p>
        <a:p>
          <a:endParaRPr lang="de-DE" sz="400">
            <a:effectLst/>
          </a:endParaRPr>
        </a:p>
        <a:p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 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Anzahl der Punkte oder Anzahl der gewonnenen Sätze (einstellbar)</a:t>
          </a:r>
          <a:endParaRPr lang="de-DE" sz="1400">
            <a:effectLst/>
          </a:endParaRPr>
        </a:p>
        <a:p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  Satz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differenz (JA/NEIN einstellbar)</a:t>
          </a:r>
        </a:p>
        <a:p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  Anzahl gewonnener Sätze (JA/NEIN einstellbar)</a:t>
          </a:r>
        </a:p>
        <a:p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(nur sinnvoll, wenn die Anzahl der Punkte das erste Kriterium ist)</a:t>
          </a:r>
          <a:endParaRPr lang="de-DE" sz="1400">
            <a:effectLst/>
          </a:endParaRPr>
        </a:p>
        <a:p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 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Balldifferenz oder Ballquotient (einstellbar)</a:t>
          </a:r>
          <a:endParaRPr lang="de-DE" sz="14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  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Anzahl der gewonnenen Sätze aus dem direkten Vergleich</a:t>
          </a:r>
          <a:endParaRPr lang="de-D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6.   Balldifferenz aus dem direkten Vergleich</a:t>
          </a:r>
          <a:endParaRPr lang="de-DE">
            <a:effectLst/>
          </a:endParaRPr>
        </a:p>
        <a:p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7.   Losentscheid oder Entscheidungsspiel</a:t>
          </a:r>
          <a:endParaRPr lang="de-DE" sz="14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de-DE" sz="1400" b="1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de-DE" sz="14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6.</a:t>
          </a:r>
        </a:p>
        <a:p>
          <a:r>
            <a:rPr lang="de-DE" sz="14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Auf dem Tabellenblatt '</a:t>
          </a:r>
          <a:r>
            <a:rPr lang="de-DE" sz="14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Einstellungen</a:t>
          </a:r>
          <a:r>
            <a:rPr lang="de-DE" sz="14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' können verschiedene Voreinstellungen gewählt werden.</a:t>
          </a:r>
        </a:p>
        <a:p>
          <a:endParaRPr lang="de-DE" sz="40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de-DE" sz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Wenn unter Punkt 4 der Ballquotient an Stelle der Balldifferenz gewählt wird, wird der Ballquotient in der Schlusstabelle angezeigt und auch als viertes Kriterium verwendet.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/Spielpl&#228;ne/Turnierpl&#228;ne/Turnier_2_Grp_1.0%20-%20Kop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ung"/>
      <sheetName val="proof"/>
      <sheetName val="Pairings"/>
      <sheetName val="Vorrunde"/>
      <sheetName val="Endrunde 1"/>
      <sheetName val="Endrunde 2"/>
      <sheetName val="DirVergleich_A"/>
      <sheetName val="DirVergleich_B"/>
      <sheetName val="Sprache"/>
      <sheetName val="Einstellungen"/>
      <sheetName val="Info"/>
      <sheetName val="Calc1"/>
      <sheetName val="Calc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4">
          <cell r="F64">
            <v>1000000000</v>
          </cell>
        </row>
        <row r="65">
          <cell r="F65">
            <v>1000</v>
          </cell>
          <cell r="H65">
            <v>500000</v>
          </cell>
        </row>
        <row r="66">
          <cell r="F66">
            <v>1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hermann-baum.de/excel/Liga/de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mailto:mail@hermann-baum.de" TargetMode="External"/><Relationship Id="rId1" Type="http://schemas.openxmlformats.org/officeDocument/2006/relationships/hyperlink" Target="mailto:mail@hermann-baum.de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5A8B5-D20B-4755-B75D-3F981C273000}">
  <sheetPr codeName="Tabelle1"/>
  <dimension ref="A1:CS150"/>
  <sheetViews>
    <sheetView showGridLines="0" showRowColHeaders="0" workbookViewId="0">
      <selection activeCell="C8" sqref="C8:C9"/>
    </sheetView>
  </sheetViews>
  <sheetFormatPr baseColWidth="10" defaultColWidth="0" defaultRowHeight="12.75" zeroHeight="1" x14ac:dyDescent="0.2"/>
  <cols>
    <col min="1" max="1" width="11.42578125" customWidth="1"/>
    <col min="2" max="2" width="6.42578125" customWidth="1"/>
    <col min="3" max="3" width="28.7109375" customWidth="1"/>
    <col min="4" max="4" width="7.28515625" hidden="1" customWidth="1"/>
    <col min="5" max="6" width="11.42578125" hidden="1" customWidth="1"/>
    <col min="7" max="7" width="11.42578125" customWidth="1"/>
    <col min="8" max="8" width="9.42578125" customWidth="1"/>
    <col min="9" max="9" width="9.7109375" customWidth="1"/>
    <col min="10" max="10" width="8.42578125" customWidth="1"/>
    <col min="11" max="11" width="4.7109375" customWidth="1"/>
    <col min="12" max="12" width="2.28515625" customWidth="1"/>
    <col min="13" max="13" width="4.7109375" customWidth="1"/>
    <col min="14" max="14" width="20.7109375" customWidth="1"/>
    <col min="15" max="15" width="3.140625" customWidth="1"/>
    <col min="16" max="16" width="20.7109375" customWidth="1"/>
    <col min="17" max="17" width="15.7109375" customWidth="1"/>
    <col min="18" max="18" width="8.28515625" customWidth="1"/>
    <col min="19" max="19" width="11.42578125" customWidth="1"/>
    <col min="20" max="20" width="26.7109375" customWidth="1"/>
    <col min="21" max="21" width="9.5703125" customWidth="1"/>
    <col min="22" max="23" width="11.42578125" customWidth="1"/>
    <col min="24" max="16384" width="11.42578125" hidden="1"/>
  </cols>
  <sheetData>
    <row r="1" spans="1:97" ht="15.75" x14ac:dyDescent="0.25">
      <c r="A1" s="128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134"/>
      <c r="U1" s="134"/>
      <c r="V1" s="622"/>
      <c r="W1" s="622"/>
      <c r="X1" s="134"/>
      <c r="Y1" s="138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</row>
    <row r="2" spans="1:97" ht="33.75" x14ac:dyDescent="0.5">
      <c r="A2" s="127"/>
      <c r="B2" s="235"/>
      <c r="C2" s="235"/>
      <c r="D2" s="235"/>
      <c r="E2" s="235"/>
      <c r="F2" s="235"/>
      <c r="G2" s="235"/>
      <c r="H2" s="596" t="str">
        <f>Language!$E$30</f>
        <v>Participants and schedule</v>
      </c>
      <c r="I2" s="596"/>
      <c r="J2" s="596"/>
      <c r="K2" s="596"/>
      <c r="L2" s="596"/>
      <c r="M2" s="596"/>
      <c r="N2" s="596"/>
      <c r="O2" s="596"/>
      <c r="P2" s="596"/>
      <c r="Q2" s="423"/>
      <c r="R2" s="265"/>
      <c r="S2" s="235"/>
      <c r="T2" s="235"/>
      <c r="U2" s="235"/>
      <c r="V2" s="288"/>
      <c r="W2" s="288"/>
      <c r="X2" s="134"/>
      <c r="Y2" s="138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</row>
    <row r="3" spans="1:97" ht="15.75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134"/>
      <c r="U3" s="134"/>
      <c r="V3" s="134"/>
      <c r="W3" s="134"/>
      <c r="X3" s="134"/>
      <c r="Y3" s="138" t="b">
        <f ca="1">OR($U$6="",$U$8="",$U$10="",$U$12="",$D$6&gt;2,$D$6=0,Calc!$F$13=0)</f>
        <v>0</v>
      </c>
      <c r="Z3" s="44" t="s">
        <v>223</v>
      </c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</row>
    <row r="4" spans="1:97" ht="27.75" customHeight="1" x14ac:dyDescent="0.4">
      <c r="A4" s="44"/>
      <c r="B4" s="40" t="str">
        <f>Language!$E$31</f>
        <v>Participants</v>
      </c>
      <c r="C4" s="44"/>
      <c r="D4" s="44"/>
      <c r="E4" s="306" t="s">
        <v>240</v>
      </c>
      <c r="F4" s="306" t="s">
        <v>241</v>
      </c>
      <c r="G4" s="44"/>
      <c r="H4" s="40" t="str">
        <f>Language!$E$32</f>
        <v>Schedule</v>
      </c>
      <c r="I4" s="40"/>
      <c r="J4" s="40"/>
      <c r="K4" s="44"/>
      <c r="L4" s="44"/>
      <c r="M4" s="44"/>
      <c r="N4" s="607" t="str">
        <f>Language!$E$20</f>
        <v>With second legs</v>
      </c>
      <c r="O4" s="607"/>
      <c r="P4" s="607"/>
      <c r="Q4" s="424"/>
      <c r="R4" s="266"/>
      <c r="S4" s="247"/>
      <c r="T4" s="40" t="str">
        <f>Language!$E$41</f>
        <v>Playing times</v>
      </c>
      <c r="U4" s="134"/>
      <c r="V4" s="134"/>
      <c r="W4" s="134"/>
      <c r="X4" s="134"/>
      <c r="Y4" s="246" t="b">
        <v>1</v>
      </c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</row>
    <row r="5" spans="1:97" ht="29.25" customHeight="1" thickBot="1" x14ac:dyDescent="0.3">
      <c r="A5" s="44"/>
      <c r="B5" s="44"/>
      <c r="C5" s="44"/>
      <c r="D5" s="64"/>
      <c r="E5" s="240">
        <f ca="1">IF($D$6=2,E6*(E6-1),IF($D$6=1,E6*(E6-1)/2,0))</f>
        <v>42</v>
      </c>
      <c r="F5" s="240">
        <f ca="1">IF($D$6=2,E5/2,0)</f>
        <v>21</v>
      </c>
      <c r="G5" s="143" t="str">
        <f>Language!$E$89</f>
        <v>Time conflict</v>
      </c>
      <c r="H5" s="608" t="str">
        <f>Language!$E$83</f>
        <v>Double match pairings and matches against oneself
lead to incorrect values in the overall table!</v>
      </c>
      <c r="I5" s="608"/>
      <c r="J5" s="608"/>
      <c r="K5" s="608"/>
      <c r="L5" s="608"/>
      <c r="M5" s="608"/>
      <c r="N5" s="608"/>
      <c r="O5" s="608"/>
      <c r="P5" s="608"/>
      <c r="Q5" s="425"/>
      <c r="R5" s="620" t="str">
        <f>Language!$E$53</f>
        <v>Addit. Pause (min)</v>
      </c>
      <c r="S5" s="44"/>
      <c r="T5" s="134"/>
      <c r="U5" s="134"/>
      <c r="V5" s="134"/>
      <c r="W5" s="134"/>
      <c r="X5" s="134"/>
      <c r="Y5" s="138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</row>
    <row r="6" spans="1:97" ht="15.95" customHeight="1" thickTop="1" thickBot="1" x14ac:dyDescent="0.3">
      <c r="A6" s="69">
        <f>MAX($A$8:$A$25)</f>
        <v>1</v>
      </c>
      <c r="B6" s="586" t="str">
        <f>Language!$E$9</f>
        <v>No.</v>
      </c>
      <c r="C6" s="614" t="str">
        <f>Language!$E$10</f>
        <v>Participant or team</v>
      </c>
      <c r="D6" s="115">
        <f ca="1">MAX($D$7:$D$78)</f>
        <v>2</v>
      </c>
      <c r="E6" s="239">
        <f>Calc!$F$13</f>
        <v>7</v>
      </c>
      <c r="F6" s="64" t="s">
        <v>163</v>
      </c>
      <c r="G6" s="64"/>
      <c r="H6" s="173" t="str">
        <f>Language!$E$33</f>
        <v>Game no.</v>
      </c>
      <c r="I6" s="174" t="str">
        <f>Language!$E$39</f>
        <v>Start</v>
      </c>
      <c r="J6" s="174" t="str">
        <f>Language!$E$48</f>
        <v>Field</v>
      </c>
      <c r="K6" s="605" t="str">
        <f>Language!$E$34</f>
        <v>Pairings</v>
      </c>
      <c r="L6" s="605"/>
      <c r="M6" s="605"/>
      <c r="N6" s="605" t="str">
        <f>Language!$E$31</f>
        <v>Participants</v>
      </c>
      <c r="O6" s="605"/>
      <c r="P6" s="606"/>
      <c r="Q6" s="429" t="str">
        <f>Language!$E$60</f>
        <v>Referee</v>
      </c>
      <c r="R6" s="621"/>
      <c r="S6" s="44"/>
      <c r="T6" s="610" t="str">
        <f>Language!$E$39</f>
        <v>Start</v>
      </c>
      <c r="U6" s="611">
        <v>0.375</v>
      </c>
      <c r="V6" s="623" t="str">
        <f>Language!$E$45</f>
        <v xml:space="preserve"> </v>
      </c>
      <c r="W6" s="140"/>
      <c r="X6" s="139" t="s">
        <v>234</v>
      </c>
      <c r="Y6" s="138" t="s">
        <v>235</v>
      </c>
      <c r="Z6" s="289">
        <v>1</v>
      </c>
      <c r="AA6" s="290" t="s">
        <v>236</v>
      </c>
      <c r="AB6" s="290" t="s">
        <v>237</v>
      </c>
      <c r="AC6" s="291" t="s">
        <v>238</v>
      </c>
      <c r="AD6" s="290" t="s">
        <v>237</v>
      </c>
      <c r="AE6" s="290" t="s">
        <v>236</v>
      </c>
      <c r="AF6" s="139"/>
      <c r="AG6" s="138" t="s">
        <v>235</v>
      </c>
      <c r="AH6" s="289">
        <v>2</v>
      </c>
      <c r="AI6" s="290" t="s">
        <v>236</v>
      </c>
      <c r="AJ6" s="290" t="s">
        <v>237</v>
      </c>
      <c r="AK6" s="291" t="s">
        <v>238</v>
      </c>
      <c r="AL6" s="290" t="s">
        <v>237</v>
      </c>
      <c r="AM6" s="290" t="s">
        <v>236</v>
      </c>
      <c r="AN6" s="44"/>
      <c r="AO6" s="138" t="s">
        <v>235</v>
      </c>
      <c r="AP6" s="289">
        <v>3</v>
      </c>
      <c r="AQ6" s="290" t="s">
        <v>236</v>
      </c>
      <c r="AR6" s="290" t="s">
        <v>237</v>
      </c>
      <c r="AS6" s="291" t="s">
        <v>238</v>
      </c>
      <c r="AT6" s="290" t="s">
        <v>237</v>
      </c>
      <c r="AU6" s="290" t="s">
        <v>236</v>
      </c>
      <c r="AV6" s="139"/>
      <c r="AW6" s="138" t="s">
        <v>235</v>
      </c>
      <c r="AX6" s="289">
        <v>4</v>
      </c>
      <c r="AY6" s="290" t="s">
        <v>236</v>
      </c>
      <c r="AZ6" s="290" t="s">
        <v>237</v>
      </c>
      <c r="BA6" s="291" t="s">
        <v>238</v>
      </c>
      <c r="BB6" s="290" t="s">
        <v>237</v>
      </c>
      <c r="BC6" s="290" t="s">
        <v>236</v>
      </c>
      <c r="BD6" s="44"/>
      <c r="BE6" s="138" t="s">
        <v>235</v>
      </c>
      <c r="BF6" s="289">
        <v>5</v>
      </c>
      <c r="BG6" s="290" t="s">
        <v>236</v>
      </c>
      <c r="BH6" s="290" t="s">
        <v>237</v>
      </c>
      <c r="BI6" s="291" t="s">
        <v>238</v>
      </c>
      <c r="BJ6" s="290" t="s">
        <v>237</v>
      </c>
      <c r="BK6" s="290" t="s">
        <v>236</v>
      </c>
      <c r="BL6" s="139"/>
      <c r="BM6" s="138" t="s">
        <v>235</v>
      </c>
      <c r="BN6" s="289">
        <v>6</v>
      </c>
      <c r="BO6" s="290" t="s">
        <v>236</v>
      </c>
      <c r="BP6" s="290" t="s">
        <v>237</v>
      </c>
      <c r="BQ6" s="291" t="s">
        <v>238</v>
      </c>
      <c r="BR6" s="290" t="s">
        <v>237</v>
      </c>
      <c r="BS6" s="290" t="s">
        <v>236</v>
      </c>
      <c r="BT6" s="44"/>
      <c r="BU6" s="138" t="s">
        <v>235</v>
      </c>
      <c r="BV6" s="289">
        <v>7</v>
      </c>
      <c r="BW6" s="290" t="s">
        <v>236</v>
      </c>
      <c r="BX6" s="290" t="s">
        <v>237</v>
      </c>
      <c r="BY6" s="291" t="s">
        <v>238</v>
      </c>
      <c r="BZ6" s="290" t="s">
        <v>237</v>
      </c>
      <c r="CA6" s="290" t="s">
        <v>236</v>
      </c>
      <c r="CB6" s="139"/>
      <c r="CC6" s="138" t="s">
        <v>235</v>
      </c>
      <c r="CD6" s="289">
        <v>8</v>
      </c>
      <c r="CE6" s="290" t="s">
        <v>236</v>
      </c>
      <c r="CF6" s="290" t="s">
        <v>237</v>
      </c>
      <c r="CG6" s="291" t="s">
        <v>238</v>
      </c>
      <c r="CH6" s="290" t="s">
        <v>237</v>
      </c>
      <c r="CI6" s="290" t="s">
        <v>236</v>
      </c>
      <c r="CJ6" s="44"/>
      <c r="CK6" s="138" t="s">
        <v>235</v>
      </c>
      <c r="CL6" s="289">
        <v>9</v>
      </c>
      <c r="CM6" s="290" t="s">
        <v>236</v>
      </c>
      <c r="CN6" s="290" t="s">
        <v>237</v>
      </c>
      <c r="CO6" s="291" t="s">
        <v>238</v>
      </c>
      <c r="CP6" s="290" t="s">
        <v>237</v>
      </c>
      <c r="CQ6" s="290" t="s">
        <v>236</v>
      </c>
      <c r="CR6" s="44"/>
      <c r="CS6" s="44"/>
    </row>
    <row r="7" spans="1:97" ht="15.95" customHeight="1" x14ac:dyDescent="0.2">
      <c r="A7" s="69"/>
      <c r="B7" s="587"/>
      <c r="C7" s="615"/>
      <c r="D7" s="114">
        <f ca="1">IF($E7="",0,IF(OR(QUOTIENT($E7,10)=MOD($E7,10),COUNTIF($E$7:$E$78,$E7)&gt;1),100,COUNTIF($E$7:$E$150,$E7)))</f>
        <v>2</v>
      </c>
      <c r="E7" s="114">
        <f t="shared" ref="E7:E70" ca="1" si="0">IF(OR($K7="",$M7=""),"",VALUE($K7&amp;$M7))</f>
        <v>72</v>
      </c>
      <c r="F7" s="114">
        <f ca="1">IF($E7="",0,COUNTIF($E$7:$E7,INDEX($E$79:$E$150,ROW($A1))))</f>
        <v>0</v>
      </c>
      <c r="G7" s="142"/>
      <c r="H7" s="169">
        <v>1</v>
      </c>
      <c r="I7" s="175">
        <f ca="1">IF(OR($Y$3,$H7&gt;Calc!$B$13/2*$D$6),"",$U$6+QUOTIENT(($H7-1),$U$22)*($U$8+$U$10)/1440)</f>
        <v>0.375</v>
      </c>
      <c r="J7" s="165">
        <f ca="1">IF(OR($Y$3,$H7&gt;Calc!$B$13/2*$D$6),"",MOD(($H7-1),$U$22)+1)</f>
        <v>1</v>
      </c>
      <c r="K7" s="414">
        <f t="array" aca="1" ref="K7:K78" ca="1">IF(Calc!$F$13&lt;3,"",IF(OFFSET(Pairings!$A$1,0,(Calc!$F$13-2)*4-1+($Y$4=FALSE)*30,72,1)="","",OFFSET(Pairings!$A$1,0,(Calc!$F$13-2)*4-1+($Y$4=FALSE)*30,72,1)))</f>
        <v>7</v>
      </c>
      <c r="L7" s="415" t="s">
        <v>4</v>
      </c>
      <c r="M7" s="416">
        <f t="array" aca="1" ref="M7:M78" ca="1">IF(Calc!$F$13&lt;3,"",IF(OFFSET(Pairings!$A$1,0,(Calc!$F$13-2)*4+($Y$4=FALSE)*30,72,1)="","",OFFSET(Pairings!$A$1,0,(Calc!$F$13-2)*4+($Y$4=FALSE)*30,72,1)))</f>
        <v>2</v>
      </c>
      <c r="N7" s="170" t="str">
        <f t="shared" ref="N7:N38" ca="1" si="1">IF($K7="","",IF(VLOOKUP($K7,$B$8:$C$25,2,0)="","",VLOOKUP($K7,$B$8:$C$25,2,0)))</f>
        <v>SSV Wildbach</v>
      </c>
      <c r="O7" s="171" t="s">
        <v>4</v>
      </c>
      <c r="P7" s="172" t="str">
        <f t="shared" ref="P7:P38" ca="1" si="2">IF($M7="","",IF(VLOOKUP($M7,$B$8:$C$25,2,0)="","",VLOOKUP($M7,$B$8:$C$25,2,0)))</f>
        <v>FC Barcelona</v>
      </c>
      <c r="Q7" s="430"/>
      <c r="R7" s="426"/>
      <c r="S7" s="44"/>
      <c r="T7" s="603"/>
      <c r="U7" s="612"/>
      <c r="V7" s="609"/>
      <c r="W7" s="140"/>
      <c r="X7" s="139">
        <v>0</v>
      </c>
      <c r="Y7" s="292">
        <v>0</v>
      </c>
      <c r="Z7" s="293">
        <f t="shared" ref="Z7:Z38" ca="1" si="3">IF(AA7&gt;9,99999,$I7)</f>
        <v>99999</v>
      </c>
      <c r="AA7" s="139" t="str">
        <f t="shared" ref="AA7:AA38" ca="1" si="4">IF($K7=Z$6,$M7,IF($M7=Z$6,$K7,""))</f>
        <v/>
      </c>
      <c r="AB7" s="139" t="str">
        <f t="shared" ref="AB7:AB38" ca="1" si="5">IF(AA7&gt;9,"",$J7)</f>
        <v/>
      </c>
      <c r="AC7" s="294">
        <f t="shared" ref="AC7:AC38" ca="1" si="6">SMALL(Z$7:Z$78,ROW($A1))</f>
        <v>0.3923611111111111</v>
      </c>
      <c r="AD7" s="294">
        <f t="shared" ref="AD7:AD38" ca="1" si="7">IFERROR(VLOOKUP(AC7,Z$7:AB$78,3,0),"")</f>
        <v>1</v>
      </c>
      <c r="AE7" s="295" t="str">
        <f t="shared" ref="AE7:AE38" ca="1" si="8">IFERROR(VLOOKUP(VLOOKUP(AC7,Z$7:AA$78,2,0),$B$8:$C$25,2,0),"")</f>
        <v>SSV Wildbach</v>
      </c>
      <c r="AF7" s="139"/>
      <c r="AG7" s="292">
        <v>0</v>
      </c>
      <c r="AH7" s="293">
        <f t="shared" ref="AH7:AH38" ca="1" si="9">IF(AI7&gt;9,99999,$I7)</f>
        <v>0.375</v>
      </c>
      <c r="AI7" s="139">
        <f t="shared" ref="AI7:AI38" ca="1" si="10">IF($K7=AH$6,$M7,IF($M7=AH$6,$K7,""))</f>
        <v>7</v>
      </c>
      <c r="AJ7" s="139">
        <f t="shared" ref="AJ7:AJ38" ca="1" si="11">IF(AI7&gt;9,"",$J7)</f>
        <v>1</v>
      </c>
      <c r="AK7" s="294">
        <f t="shared" ref="AK7:AK38" ca="1" si="12">SMALL(AH$7:AH$78,ROW($A1))</f>
        <v>0.375</v>
      </c>
      <c r="AL7" s="294">
        <f t="shared" ref="AL7:AL38" ca="1" si="13">IFERROR(VLOOKUP(AK7,AH$7:AJ$78,3,0),"")</f>
        <v>1</v>
      </c>
      <c r="AM7" s="295" t="str">
        <f t="shared" ref="AM7:AM38" ca="1" si="14">IFERROR(VLOOKUP(VLOOKUP(AK7,AH$7:AI$78,2,0),$B$8:$C$25,2,0),"")</f>
        <v>SSV Wildbach</v>
      </c>
      <c r="AN7" s="44"/>
      <c r="AO7" s="292">
        <v>0</v>
      </c>
      <c r="AP7" s="293">
        <f t="shared" ref="AP7:AP38" ca="1" si="15">IF(AQ7&gt;9,99999,$I7)</f>
        <v>99999</v>
      </c>
      <c r="AQ7" s="139" t="str">
        <f t="shared" ref="AQ7:AQ38" ca="1" si="16">IF($K7=AP$6,$M7,IF($M7=AP$6,$K7,""))</f>
        <v/>
      </c>
      <c r="AR7" s="139" t="str">
        <f t="shared" ref="AR7:AR38" ca="1" si="17">IF(AQ7&gt;9,"",$J7)</f>
        <v/>
      </c>
      <c r="AS7" s="294">
        <f t="shared" ref="AS7:AS38" ca="1" si="18">SMALL(AP$7:AP$78,ROW($A1))</f>
        <v>0.375</v>
      </c>
      <c r="AT7" s="294">
        <f t="shared" ref="AT7:AT38" ca="1" si="19">IFERROR(VLOOKUP(AS7,AP$7:AR$78,3,0),"")</f>
        <v>2</v>
      </c>
      <c r="AU7" s="295" t="str">
        <f t="shared" ref="AU7:AU38" ca="1" si="20">IFERROR(VLOOKUP(VLOOKUP(AS7,AP$7:AQ$78,2,0),$B$8:$C$25,2,0),"")</f>
        <v>Inter Mailand</v>
      </c>
      <c r="AV7" s="139"/>
      <c r="AW7" s="292">
        <v>0</v>
      </c>
      <c r="AX7" s="293">
        <f t="shared" ref="AX7:AX38" ca="1" si="21">IF(AY7&gt;9,99999,$I7)</f>
        <v>99999</v>
      </c>
      <c r="AY7" s="139" t="str">
        <f t="shared" ref="AY7:AY38" ca="1" si="22">IF($K7=AX$6,$M7,IF($M7=AX$6,$K7,""))</f>
        <v/>
      </c>
      <c r="AZ7" s="139" t="str">
        <f t="shared" ref="AZ7:AZ38" ca="1" si="23">IF(AY7&gt;9,"",$J7)</f>
        <v/>
      </c>
      <c r="BA7" s="294">
        <f t="shared" ref="BA7:BA38" ca="1" si="24">SMALL(AX$7:AX$78,ROW($A1))</f>
        <v>0.375</v>
      </c>
      <c r="BB7" s="294">
        <f t="shared" ref="BB7:BB38" ca="1" si="25">IFERROR(VLOOKUP(BA7,AX$7:AZ$78,3,0),"")</f>
        <v>3</v>
      </c>
      <c r="BC7" s="295" t="str">
        <f t="shared" ref="BC7:BC38" ca="1" si="26">IFERROR(VLOOKUP(VLOOKUP(BA7,AX$7:AY$78,2,0),$B$8:$C$25,2,0),"")</f>
        <v>VFB Essenheim</v>
      </c>
      <c r="BD7" s="44"/>
      <c r="BE7" s="292">
        <v>0</v>
      </c>
      <c r="BF7" s="293">
        <f t="shared" ref="BF7:BF38" ca="1" si="27">IF(BG7&gt;9,99999,$I7)</f>
        <v>99999</v>
      </c>
      <c r="BG7" s="139" t="str">
        <f t="shared" ref="BG7:BG38" ca="1" si="28">IF($K7=BF$6,$M7,IF($M7=BF$6,$K7,""))</f>
        <v/>
      </c>
      <c r="BH7" s="139" t="str">
        <f t="shared" ref="BH7:BH38" ca="1" si="29">IF(BG7&gt;9,"",$J7)</f>
        <v/>
      </c>
      <c r="BI7" s="294">
        <f t="shared" ref="BI7:BI38" ca="1" si="30">SMALL(BF$7:BF$78,ROW($A1))</f>
        <v>0.375</v>
      </c>
      <c r="BJ7" s="294">
        <f t="shared" ref="BJ7:BJ38" ca="1" si="31">IFERROR(VLOOKUP(BI7,BF$7:BH$78,3,0),"")</f>
        <v>3</v>
      </c>
      <c r="BK7" s="295" t="str">
        <f t="shared" ref="BK7:BK38" ca="1" si="32">IFERROR(VLOOKUP(VLOOKUP(BI7,BF$7:BG$78,2,0),$B$8:$C$25,2,0),"")</f>
        <v>Maibach 1822 eV</v>
      </c>
      <c r="BL7" s="139"/>
      <c r="BM7" s="292">
        <v>0</v>
      </c>
      <c r="BN7" s="293">
        <f t="shared" ref="BN7:BN38" ca="1" si="33">IF(BO7&gt;9,99999,$I7)</f>
        <v>99999</v>
      </c>
      <c r="BO7" s="139" t="str">
        <f t="shared" ref="BO7:BO38" ca="1" si="34">IF($K7=BN$6,$M7,IF($M7=BN$6,$K7,""))</f>
        <v/>
      </c>
      <c r="BP7" s="139" t="str">
        <f t="shared" ref="BP7:BP38" ca="1" si="35">IF(BO7&gt;9,"",$J7)</f>
        <v/>
      </c>
      <c r="BQ7" s="294">
        <f t="shared" ref="BQ7:BQ38" ca="1" si="36">SMALL(BN$7:BN$78,ROW($A1))</f>
        <v>0.375</v>
      </c>
      <c r="BR7" s="294">
        <f t="shared" ref="BR7:BR38" ca="1" si="37">IFERROR(VLOOKUP(BQ7,BN$7:BP$78,3,0),"")</f>
        <v>2</v>
      </c>
      <c r="BS7" s="295" t="str">
        <f t="shared" ref="BS7:BS38" ca="1" si="38">IFERROR(VLOOKUP(VLOOKUP(BQ7,BN$7:BO$78,2,0),$B$8:$C$25,2,0),"")</f>
        <v>Eintracht Frankfurt</v>
      </c>
      <c r="BT7" s="44"/>
      <c r="BU7" s="292">
        <v>0</v>
      </c>
      <c r="BV7" s="293">
        <f t="shared" ref="BV7:BV38" ca="1" si="39">IF(BW7&gt;9,99999,$I7)</f>
        <v>0.375</v>
      </c>
      <c r="BW7" s="139">
        <f t="shared" ref="BW7:BW38" ca="1" si="40">IF($K7=BV$6,$M7,IF($M7=BV$6,$K7,""))</f>
        <v>2</v>
      </c>
      <c r="BX7" s="139">
        <f t="shared" ref="BX7:BX38" ca="1" si="41">IF(BW7&gt;9,"",$J7)</f>
        <v>1</v>
      </c>
      <c r="BY7" s="294">
        <f t="shared" ref="BY7:BY38" ca="1" si="42">SMALL(BV$7:BV$78,ROW($A1))</f>
        <v>0.375</v>
      </c>
      <c r="BZ7" s="294">
        <f t="shared" ref="BZ7:BZ38" ca="1" si="43">IFERROR(VLOOKUP(BY7,BV$7:BX$78,3,0),"")</f>
        <v>1</v>
      </c>
      <c r="CA7" s="295" t="str">
        <f t="shared" ref="CA7:CA38" ca="1" si="44">IFERROR(VLOOKUP(VLOOKUP(BY7,BV$7:BW$78,2,0),$B$8:$C$25,2,0),"")</f>
        <v>FC Barcelona</v>
      </c>
      <c r="CB7" s="139"/>
      <c r="CC7" s="292">
        <v>0</v>
      </c>
      <c r="CD7" s="293">
        <f t="shared" ref="CD7:CD38" ca="1" si="45">IF(CE7&gt;9,99999,$I7)</f>
        <v>99999</v>
      </c>
      <c r="CE7" s="139" t="str">
        <f t="shared" ref="CE7:CE38" ca="1" si="46">IF($K7=CD$6,$M7,IF($M7=CD$6,$K7,""))</f>
        <v/>
      </c>
      <c r="CF7" s="139" t="str">
        <f t="shared" ref="CF7:CF38" ca="1" si="47">IF(CE7&gt;9,"",$J7)</f>
        <v/>
      </c>
      <c r="CG7" s="294">
        <f t="shared" ref="CG7:CG38" ca="1" si="48">SMALL(CD$7:CD$78,ROW($A1))</f>
        <v>99999</v>
      </c>
      <c r="CH7" s="294" t="str">
        <f t="shared" ref="CH7:CH38" ca="1" si="49">IFERROR(VLOOKUP(CG7,CD$7:CF$78,3,0),"")</f>
        <v/>
      </c>
      <c r="CI7" s="295" t="str">
        <f t="shared" ref="CI7:CI38" ca="1" si="50">IFERROR(VLOOKUP(VLOOKUP(CG7,CD$7:CE$78,2,0),$B$8:$C$25,2,0),"")</f>
        <v/>
      </c>
      <c r="CJ7" s="44"/>
      <c r="CK7" s="292">
        <v>0</v>
      </c>
      <c r="CL7" s="293">
        <f t="shared" ref="CL7:CL38" ca="1" si="51">IF(CM7&gt;9,99999,$I7)</f>
        <v>99999</v>
      </c>
      <c r="CM7" s="139" t="str">
        <f t="shared" ref="CM7:CM38" ca="1" si="52">IF($K7=CL$6,$M7,IF($M7=CL$6,$K7,""))</f>
        <v/>
      </c>
      <c r="CN7" s="139" t="str">
        <f t="shared" ref="CN7:CN38" ca="1" si="53">IF(CM7&gt;9,"",$J7)</f>
        <v/>
      </c>
      <c r="CO7" s="294">
        <f t="shared" ref="CO7:CO38" ca="1" si="54">SMALL(CL$7:CL$78,ROW($A1))</f>
        <v>99999</v>
      </c>
      <c r="CP7" s="294" t="str">
        <f t="shared" ref="CP7:CP38" ca="1" si="55">IFERROR(VLOOKUP(CO7,CL$7:CN$78,3,0),"")</f>
        <v/>
      </c>
      <c r="CQ7" s="295" t="str">
        <f t="shared" ref="CQ7:CQ38" ca="1" si="56">IFERROR(VLOOKUP(VLOOKUP(CO7,CL$7:CM$78,2,0),$B$8:$C$25,2,0),"")</f>
        <v/>
      </c>
      <c r="CR7" s="44"/>
      <c r="CS7" s="44"/>
    </row>
    <row r="8" spans="1:97" ht="15.95" customHeight="1" x14ac:dyDescent="0.2">
      <c r="A8" s="69">
        <f>COUNTIF($C$8:$C$25,$C$8)</f>
        <v>1</v>
      </c>
      <c r="B8" s="588">
        <v>1</v>
      </c>
      <c r="C8" s="616" t="s">
        <v>242</v>
      </c>
      <c r="D8" s="114">
        <f t="shared" ref="D8:D71" ca="1" si="57">IF($E8="",0,IF(OR(QUOTIENT($E8,10)=MOD($E8,10),COUNTIF($E$7:$E$78,$E8)&gt;1),100,COUNTIF($E$7:$E$150,$E8)))</f>
        <v>2</v>
      </c>
      <c r="E8" s="114">
        <f t="shared" ca="1" si="0"/>
        <v>36</v>
      </c>
      <c r="F8" s="114">
        <f ca="1">IF($E8="",0,COUNTIF($E$7:$E8,INDEX($E$79:$E$150,ROW($A2))))</f>
        <v>0</v>
      </c>
      <c r="G8" s="142"/>
      <c r="H8" s="137">
        <v>2</v>
      </c>
      <c r="I8" s="164">
        <f ca="1">IF(OR($Y$3,$H8&gt;Calc!$B$13/2*$D$6),"",$U$6+QUOTIENT(($H8-1),$U$22)*($U$8+$U$10)/1440+SUM($R$7:$R7)/1440)</f>
        <v>0.375</v>
      </c>
      <c r="J8" s="166">
        <f ca="1">IF(OR($Y$3,$H8&gt;Calc!$B$13/2*$D$6),"",MOD(($H8-1),$U$22)+1)</f>
        <v>2</v>
      </c>
      <c r="K8" s="417">
        <f ca="1"/>
        <v>3</v>
      </c>
      <c r="L8" s="418" t="s">
        <v>4</v>
      </c>
      <c r="M8" s="419">
        <f ca="1"/>
        <v>6</v>
      </c>
      <c r="N8" s="47" t="str">
        <f t="shared" ca="1" si="1"/>
        <v>Eintracht Frankfurt</v>
      </c>
      <c r="O8" s="45" t="s">
        <v>4</v>
      </c>
      <c r="P8" s="46" t="str">
        <f t="shared" ca="1" si="2"/>
        <v>Inter Mailand</v>
      </c>
      <c r="Q8" s="281"/>
      <c r="R8" s="427"/>
      <c r="S8" s="44"/>
      <c r="T8" s="603" t="str">
        <f>Language!$E$42</f>
        <v>Playing time per match</v>
      </c>
      <c r="U8" s="613">
        <v>20</v>
      </c>
      <c r="V8" s="609" t="s">
        <v>177</v>
      </c>
      <c r="W8" s="140"/>
      <c r="X8" s="139">
        <f t="shared" ref="X8:X39" ca="1" si="58">Y8+AG8+AO8+AW8+BE8+BM8+BU8+CC8+CK8</f>
        <v>0</v>
      </c>
      <c r="Y8" s="296">
        <f t="shared" ref="Y8:Y39" ca="1" si="59">IF(AND(Z8&lt;99999,OR(Z8=Z7,Z8=Z6,Z8=Z5,)),1,0)</f>
        <v>0</v>
      </c>
      <c r="Z8" s="293">
        <f t="shared" ca="1" si="3"/>
        <v>99999</v>
      </c>
      <c r="AA8" s="139" t="str">
        <f t="shared" ca="1" si="4"/>
        <v/>
      </c>
      <c r="AB8" s="139" t="str">
        <f t="shared" ca="1" si="5"/>
        <v/>
      </c>
      <c r="AC8" s="294">
        <f t="shared" ca="1" si="6"/>
        <v>0.40972222222222221</v>
      </c>
      <c r="AD8" s="294">
        <f t="shared" ca="1" si="7"/>
        <v>1</v>
      </c>
      <c r="AE8" s="295" t="str">
        <f t="shared" ca="1" si="8"/>
        <v>Inter Mailand</v>
      </c>
      <c r="AF8" s="139"/>
      <c r="AG8" s="296">
        <f t="shared" ref="AG8:AG39" ca="1" si="60">IF(AND(AH8&lt;99999,OR(AH8=AH7,AH8=AH6,AH8=AH5,)),1,0)</f>
        <v>0</v>
      </c>
      <c r="AH8" s="293">
        <f t="shared" ca="1" si="9"/>
        <v>99999</v>
      </c>
      <c r="AI8" s="139" t="str">
        <f t="shared" ca="1" si="10"/>
        <v/>
      </c>
      <c r="AJ8" s="139" t="str">
        <f t="shared" ca="1" si="11"/>
        <v/>
      </c>
      <c r="AK8" s="294">
        <f t="shared" ca="1" si="12"/>
        <v>0.3923611111111111</v>
      </c>
      <c r="AL8" s="294">
        <f t="shared" ca="1" si="13"/>
        <v>2</v>
      </c>
      <c r="AM8" s="295" t="str">
        <f t="shared" ca="1" si="14"/>
        <v>VFB Essenheim</v>
      </c>
      <c r="AN8" s="44"/>
      <c r="AO8" s="296">
        <f t="shared" ref="AO8:AO39" ca="1" si="61">IF(AND(AP8&lt;99999,OR(AP8=AP7,AP8=AP6,AP8=AP5,)),1,0)</f>
        <v>0</v>
      </c>
      <c r="AP8" s="293">
        <f t="shared" ca="1" si="15"/>
        <v>0.375</v>
      </c>
      <c r="AQ8" s="139">
        <f t="shared" ca="1" si="16"/>
        <v>6</v>
      </c>
      <c r="AR8" s="139">
        <f t="shared" ca="1" si="17"/>
        <v>2</v>
      </c>
      <c r="AS8" s="294">
        <f t="shared" ca="1" si="18"/>
        <v>0.3923611111111111</v>
      </c>
      <c r="AT8" s="294">
        <f t="shared" ca="1" si="19"/>
        <v>3</v>
      </c>
      <c r="AU8" s="295" t="str">
        <f t="shared" ca="1" si="20"/>
        <v>Maibach 1822 eV</v>
      </c>
      <c r="AV8" s="139"/>
      <c r="AW8" s="296">
        <f t="shared" ref="AW8:AW39" ca="1" si="62">IF(AND(AX8&lt;99999,OR(AX8=AX7,AX8=AX6,AX8=AX5,)),1,0)</f>
        <v>0</v>
      </c>
      <c r="AX8" s="293">
        <f t="shared" ca="1" si="21"/>
        <v>99999</v>
      </c>
      <c r="AY8" s="139" t="str">
        <f t="shared" ca="1" si="22"/>
        <v/>
      </c>
      <c r="AZ8" s="139" t="str">
        <f t="shared" ca="1" si="23"/>
        <v/>
      </c>
      <c r="BA8" s="294">
        <f t="shared" ca="1" si="24"/>
        <v>0.3923611111111111</v>
      </c>
      <c r="BB8" s="294">
        <f t="shared" ca="1" si="25"/>
        <v>3</v>
      </c>
      <c r="BC8" s="295" t="str">
        <f t="shared" ca="1" si="26"/>
        <v>Eintracht Frankfurt</v>
      </c>
      <c r="BD8" s="44"/>
      <c r="BE8" s="296">
        <f t="shared" ref="BE8:BE39" ca="1" si="63">IF(AND(BF8&lt;99999,OR(BF8=BF7,BF8=BF6,BF8=BF5,)),1,0)</f>
        <v>0</v>
      </c>
      <c r="BF8" s="293">
        <f t="shared" ca="1" si="27"/>
        <v>99999</v>
      </c>
      <c r="BG8" s="139" t="str">
        <f t="shared" ca="1" si="28"/>
        <v/>
      </c>
      <c r="BH8" s="139" t="str">
        <f t="shared" ca="1" si="29"/>
        <v/>
      </c>
      <c r="BI8" s="294">
        <f t="shared" ca="1" si="30"/>
        <v>0.3923611111111111</v>
      </c>
      <c r="BJ8" s="294">
        <f t="shared" ca="1" si="31"/>
        <v>2</v>
      </c>
      <c r="BK8" s="295" t="str">
        <f t="shared" ca="1" si="32"/>
        <v>FC Barcelona</v>
      </c>
      <c r="BL8" s="139"/>
      <c r="BM8" s="296">
        <f t="shared" ref="BM8:BM39" ca="1" si="64">IF(AND(BN8&lt;99999,OR(BN8=BN7,BN8=BN6,BN8=BN5,)),1,0)</f>
        <v>0</v>
      </c>
      <c r="BN8" s="293">
        <f t="shared" ca="1" si="33"/>
        <v>0.375</v>
      </c>
      <c r="BO8" s="139">
        <f t="shared" ca="1" si="34"/>
        <v>3</v>
      </c>
      <c r="BP8" s="139">
        <f t="shared" ca="1" si="35"/>
        <v>2</v>
      </c>
      <c r="BQ8" s="294">
        <f t="shared" ca="1" si="36"/>
        <v>0.40972222222222221</v>
      </c>
      <c r="BR8" s="294">
        <f t="shared" ca="1" si="37"/>
        <v>1</v>
      </c>
      <c r="BS8" s="295" t="str">
        <f t="shared" ca="1" si="38"/>
        <v>1. FC Riedwald</v>
      </c>
      <c r="BT8" s="44"/>
      <c r="BU8" s="296">
        <f t="shared" ref="BU8:BU39" ca="1" si="65">IF(AND(BV8&lt;99999,OR(BV8=BV7,BV8=BV6,BV8=BV5,)),1,0)</f>
        <v>0</v>
      </c>
      <c r="BV8" s="293">
        <f t="shared" ca="1" si="39"/>
        <v>99999</v>
      </c>
      <c r="BW8" s="139" t="str">
        <f t="shared" ca="1" si="40"/>
        <v/>
      </c>
      <c r="BX8" s="139" t="str">
        <f t="shared" ca="1" si="41"/>
        <v/>
      </c>
      <c r="BY8" s="294">
        <f t="shared" ca="1" si="42"/>
        <v>0.3923611111111111</v>
      </c>
      <c r="BZ8" s="294">
        <f t="shared" ca="1" si="43"/>
        <v>1</v>
      </c>
      <c r="CA8" s="295" t="str">
        <f t="shared" ca="1" si="44"/>
        <v>1. FC Riedwald</v>
      </c>
      <c r="CB8" s="139"/>
      <c r="CC8" s="296">
        <f t="shared" ref="CC8:CC39" ca="1" si="66">IF(AND(CD8&lt;99999,OR(CD8=CD7,CD8=CD6,CD8=CD5,)),1,0)</f>
        <v>0</v>
      </c>
      <c r="CD8" s="293">
        <f t="shared" ca="1" si="45"/>
        <v>99999</v>
      </c>
      <c r="CE8" s="139" t="str">
        <f t="shared" ca="1" si="46"/>
        <v/>
      </c>
      <c r="CF8" s="139" t="str">
        <f t="shared" ca="1" si="47"/>
        <v/>
      </c>
      <c r="CG8" s="294">
        <f t="shared" ca="1" si="48"/>
        <v>99999</v>
      </c>
      <c r="CH8" s="294" t="str">
        <f t="shared" ca="1" si="49"/>
        <v/>
      </c>
      <c r="CI8" s="295" t="str">
        <f t="shared" ca="1" si="50"/>
        <v/>
      </c>
      <c r="CJ8" s="44"/>
      <c r="CK8" s="296">
        <f t="shared" ref="CK8:CK39" ca="1" si="67">IF(AND(CL8&lt;99999,OR(CL8=CL7,CL8=CL6,CL8=CL5,)),1,0)</f>
        <v>0</v>
      </c>
      <c r="CL8" s="293">
        <f t="shared" ca="1" si="51"/>
        <v>99999</v>
      </c>
      <c r="CM8" s="139" t="str">
        <f t="shared" ca="1" si="52"/>
        <v/>
      </c>
      <c r="CN8" s="139" t="str">
        <f t="shared" ca="1" si="53"/>
        <v/>
      </c>
      <c r="CO8" s="294">
        <f t="shared" ca="1" si="54"/>
        <v>99999</v>
      </c>
      <c r="CP8" s="294" t="str">
        <f t="shared" ca="1" si="55"/>
        <v/>
      </c>
      <c r="CQ8" s="295" t="str">
        <f t="shared" ca="1" si="56"/>
        <v/>
      </c>
      <c r="CR8" s="44"/>
      <c r="CS8" s="44"/>
    </row>
    <row r="9" spans="1:97" ht="15.95" customHeight="1" x14ac:dyDescent="0.2">
      <c r="A9" s="69"/>
      <c r="B9" s="589"/>
      <c r="C9" s="593"/>
      <c r="D9" s="114">
        <f t="shared" ca="1" si="57"/>
        <v>2</v>
      </c>
      <c r="E9" s="114">
        <f t="shared" ca="1" si="0"/>
        <v>54</v>
      </c>
      <c r="F9" s="114">
        <f ca="1">IF($E9="",0,COUNTIF($E$7:$E9,INDEX($E$79:$E$150,ROW($A3))))</f>
        <v>0</v>
      </c>
      <c r="G9" s="142"/>
      <c r="H9" s="137">
        <v>3</v>
      </c>
      <c r="I9" s="164">
        <f ca="1">IF(OR($Y$3,$H9&gt;Calc!$B$13/2*$D$6),"",$U$6+QUOTIENT(($H9-1),$U$22)*($U$8+$U$10)/1440+SUM($R$7:$R8)/1440)</f>
        <v>0.375</v>
      </c>
      <c r="J9" s="166">
        <f ca="1">IF(OR($Y$3,$H9&gt;Calc!$B$13/2*$D$6),"",MOD(($H9-1),$U$22)+1)</f>
        <v>3</v>
      </c>
      <c r="K9" s="417">
        <f ca="1"/>
        <v>5</v>
      </c>
      <c r="L9" s="418" t="s">
        <v>4</v>
      </c>
      <c r="M9" s="419">
        <f ca="1"/>
        <v>4</v>
      </c>
      <c r="N9" s="47" t="str">
        <f t="shared" ca="1" si="1"/>
        <v>VFB Essenheim</v>
      </c>
      <c r="O9" s="45" t="s">
        <v>4</v>
      </c>
      <c r="P9" s="46" t="str">
        <f t="shared" ca="1" si="2"/>
        <v>Maibach 1822 eV</v>
      </c>
      <c r="Q9" s="281"/>
      <c r="R9" s="427"/>
      <c r="S9" s="44"/>
      <c r="T9" s="603"/>
      <c r="U9" s="613"/>
      <c r="V9" s="609"/>
      <c r="W9" s="140"/>
      <c r="X9" s="139">
        <f t="shared" ca="1" si="58"/>
        <v>0</v>
      </c>
      <c r="Y9" s="296">
        <f t="shared" ca="1" si="59"/>
        <v>0</v>
      </c>
      <c r="Z9" s="293">
        <f t="shared" ca="1" si="3"/>
        <v>99999</v>
      </c>
      <c r="AA9" s="139" t="str">
        <f t="shared" ca="1" si="4"/>
        <v/>
      </c>
      <c r="AB9" s="139" t="str">
        <f t="shared" ca="1" si="5"/>
        <v/>
      </c>
      <c r="AC9" s="294">
        <f t="shared" ca="1" si="6"/>
        <v>0.42708333333333331</v>
      </c>
      <c r="AD9" s="294">
        <f t="shared" ca="1" si="7"/>
        <v>1</v>
      </c>
      <c r="AE9" s="295" t="str">
        <f t="shared" ca="1" si="8"/>
        <v>VFB Essenheim</v>
      </c>
      <c r="AF9" s="139"/>
      <c r="AG9" s="296">
        <f t="shared" ca="1" si="60"/>
        <v>0</v>
      </c>
      <c r="AH9" s="293">
        <f t="shared" ca="1" si="9"/>
        <v>99999</v>
      </c>
      <c r="AI9" s="139" t="str">
        <f t="shared" ca="1" si="10"/>
        <v/>
      </c>
      <c r="AJ9" s="139" t="str">
        <f t="shared" ca="1" si="11"/>
        <v/>
      </c>
      <c r="AK9" s="294">
        <f t="shared" ca="1" si="12"/>
        <v>0.40972222222222221</v>
      </c>
      <c r="AL9" s="294">
        <f t="shared" ca="1" si="13"/>
        <v>3</v>
      </c>
      <c r="AM9" s="295" t="str">
        <f t="shared" ca="1" si="14"/>
        <v>Eintracht Frankfurt</v>
      </c>
      <c r="AN9" s="44"/>
      <c r="AO9" s="296">
        <f t="shared" ca="1" si="61"/>
        <v>0</v>
      </c>
      <c r="AP9" s="293">
        <f t="shared" ca="1" si="15"/>
        <v>99999</v>
      </c>
      <c r="AQ9" s="139" t="str">
        <f t="shared" ca="1" si="16"/>
        <v/>
      </c>
      <c r="AR9" s="139" t="str">
        <f t="shared" ca="1" si="17"/>
        <v/>
      </c>
      <c r="AS9" s="294">
        <f t="shared" ca="1" si="18"/>
        <v>0.40972222222222221</v>
      </c>
      <c r="AT9" s="294">
        <f t="shared" ca="1" si="19"/>
        <v>3</v>
      </c>
      <c r="AU9" s="295" t="str">
        <f t="shared" ca="1" si="20"/>
        <v>FC Barcelona</v>
      </c>
      <c r="AV9" s="139"/>
      <c r="AW9" s="296">
        <f t="shared" ca="1" si="62"/>
        <v>0</v>
      </c>
      <c r="AX9" s="293">
        <f t="shared" ca="1" si="21"/>
        <v>0.375</v>
      </c>
      <c r="AY9" s="139">
        <f t="shared" ca="1" si="22"/>
        <v>5</v>
      </c>
      <c r="AZ9" s="139">
        <f t="shared" ca="1" si="23"/>
        <v>3</v>
      </c>
      <c r="BA9" s="294">
        <f t="shared" ca="1" si="24"/>
        <v>0.42708333333333331</v>
      </c>
      <c r="BB9" s="294">
        <f t="shared" ca="1" si="25"/>
        <v>2</v>
      </c>
      <c r="BC9" s="295" t="str">
        <f t="shared" ca="1" si="26"/>
        <v>Inter Mailand</v>
      </c>
      <c r="BD9" s="44"/>
      <c r="BE9" s="296">
        <f t="shared" ca="1" si="63"/>
        <v>0</v>
      </c>
      <c r="BF9" s="293">
        <f t="shared" ca="1" si="27"/>
        <v>0.375</v>
      </c>
      <c r="BG9" s="139">
        <f t="shared" ca="1" si="28"/>
        <v>4</v>
      </c>
      <c r="BH9" s="139">
        <f t="shared" ca="1" si="29"/>
        <v>3</v>
      </c>
      <c r="BI9" s="294">
        <f t="shared" ca="1" si="30"/>
        <v>0.40972222222222221</v>
      </c>
      <c r="BJ9" s="294">
        <f t="shared" ca="1" si="31"/>
        <v>2</v>
      </c>
      <c r="BK9" s="295" t="str">
        <f t="shared" ca="1" si="32"/>
        <v>SSV Wildbach</v>
      </c>
      <c r="BL9" s="139"/>
      <c r="BM9" s="296">
        <f t="shared" ca="1" si="64"/>
        <v>0</v>
      </c>
      <c r="BN9" s="293">
        <f t="shared" ca="1" si="33"/>
        <v>99999</v>
      </c>
      <c r="BO9" s="139" t="str">
        <f t="shared" ca="1" si="34"/>
        <v/>
      </c>
      <c r="BP9" s="139" t="str">
        <f t="shared" ca="1" si="35"/>
        <v/>
      </c>
      <c r="BQ9" s="294">
        <f t="shared" ca="1" si="36"/>
        <v>0.42708333333333331</v>
      </c>
      <c r="BR9" s="294">
        <f t="shared" ca="1" si="37"/>
        <v>2</v>
      </c>
      <c r="BS9" s="295" t="str">
        <f t="shared" ca="1" si="38"/>
        <v>Maibach 1822 eV</v>
      </c>
      <c r="BT9" s="44"/>
      <c r="BU9" s="296">
        <f t="shared" ca="1" si="65"/>
        <v>0</v>
      </c>
      <c r="BV9" s="293">
        <f t="shared" ca="1" si="39"/>
        <v>99999</v>
      </c>
      <c r="BW9" s="139" t="str">
        <f t="shared" ca="1" si="40"/>
        <v/>
      </c>
      <c r="BX9" s="139" t="str">
        <f t="shared" ca="1" si="41"/>
        <v/>
      </c>
      <c r="BY9" s="294">
        <f t="shared" ca="1" si="42"/>
        <v>0.40972222222222221</v>
      </c>
      <c r="BZ9" s="294">
        <f t="shared" ca="1" si="43"/>
        <v>2</v>
      </c>
      <c r="CA9" s="295" t="str">
        <f t="shared" ca="1" si="44"/>
        <v>VFB Essenheim</v>
      </c>
      <c r="CB9" s="139"/>
      <c r="CC9" s="296">
        <f t="shared" ca="1" si="66"/>
        <v>0</v>
      </c>
      <c r="CD9" s="293">
        <f t="shared" ca="1" si="45"/>
        <v>99999</v>
      </c>
      <c r="CE9" s="139" t="str">
        <f t="shared" ca="1" si="46"/>
        <v/>
      </c>
      <c r="CF9" s="139" t="str">
        <f t="shared" ca="1" si="47"/>
        <v/>
      </c>
      <c r="CG9" s="294">
        <f t="shared" ca="1" si="48"/>
        <v>99999</v>
      </c>
      <c r="CH9" s="294" t="str">
        <f t="shared" ca="1" si="49"/>
        <v/>
      </c>
      <c r="CI9" s="295" t="str">
        <f t="shared" ca="1" si="50"/>
        <v/>
      </c>
      <c r="CJ9" s="44"/>
      <c r="CK9" s="296">
        <f t="shared" ca="1" si="67"/>
        <v>0</v>
      </c>
      <c r="CL9" s="293">
        <f t="shared" ca="1" si="51"/>
        <v>99999</v>
      </c>
      <c r="CM9" s="139" t="str">
        <f t="shared" ca="1" si="52"/>
        <v/>
      </c>
      <c r="CN9" s="139" t="str">
        <f t="shared" ca="1" si="53"/>
        <v/>
      </c>
      <c r="CO9" s="294">
        <f t="shared" ca="1" si="54"/>
        <v>99999</v>
      </c>
      <c r="CP9" s="294" t="str">
        <f t="shared" ca="1" si="55"/>
        <v/>
      </c>
      <c r="CQ9" s="295" t="str">
        <f t="shared" ca="1" si="56"/>
        <v/>
      </c>
      <c r="CR9" s="44"/>
      <c r="CS9" s="44"/>
    </row>
    <row r="10" spans="1:97" ht="15.95" customHeight="1" x14ac:dyDescent="0.2">
      <c r="A10" s="69">
        <f>COUNTIF($C$8:$C$25,$C$10)</f>
        <v>1</v>
      </c>
      <c r="B10" s="590">
        <v>2</v>
      </c>
      <c r="C10" s="592" t="s">
        <v>243</v>
      </c>
      <c r="D10" s="114">
        <f t="shared" ca="1" si="57"/>
        <v>2</v>
      </c>
      <c r="E10" s="114">
        <f t="shared" ca="1" si="0"/>
        <v>71</v>
      </c>
      <c r="F10" s="114">
        <f ca="1">IF($E10="",0,COUNTIF($E$7:$E10,INDEX($E$79:$E$150,ROW($A4))))</f>
        <v>0</v>
      </c>
      <c r="G10" s="142"/>
      <c r="H10" s="137">
        <v>4</v>
      </c>
      <c r="I10" s="164">
        <f ca="1">IF(OR($Y$3,$H10&gt;Calc!$B$13/2*$D$6),"",$U$6+QUOTIENT(($H10-1),$U$22)*($U$8+$U$10)/1440+SUM($R$7:$R9)/1440)</f>
        <v>0.3923611111111111</v>
      </c>
      <c r="J10" s="166">
        <f ca="1">IF(OR($Y$3,$H10&gt;Calc!$B$13/2*$D$6),"",MOD(($H10-1),$U$22)+1)</f>
        <v>1</v>
      </c>
      <c r="K10" s="417">
        <f ca="1"/>
        <v>7</v>
      </c>
      <c r="L10" s="418" t="s">
        <v>4</v>
      </c>
      <c r="M10" s="419">
        <f ca="1"/>
        <v>1</v>
      </c>
      <c r="N10" s="47" t="str">
        <f t="shared" ca="1" si="1"/>
        <v>SSV Wildbach</v>
      </c>
      <c r="O10" s="45" t="s">
        <v>4</v>
      </c>
      <c r="P10" s="46" t="str">
        <f t="shared" ca="1" si="2"/>
        <v>1. FC Riedwald</v>
      </c>
      <c r="Q10" s="281"/>
      <c r="R10" s="427"/>
      <c r="S10" s="44"/>
      <c r="T10" s="603" t="str">
        <f>Language!$E$43</f>
        <v>Change time</v>
      </c>
      <c r="U10" s="613">
        <v>5</v>
      </c>
      <c r="V10" s="609" t="s">
        <v>177</v>
      </c>
      <c r="W10" s="140"/>
      <c r="X10" s="139">
        <f t="shared" ca="1" si="58"/>
        <v>0</v>
      </c>
      <c r="Y10" s="296">
        <f t="shared" ca="1" si="59"/>
        <v>0</v>
      </c>
      <c r="Z10" s="293">
        <f t="shared" ca="1" si="3"/>
        <v>0.3923611111111111</v>
      </c>
      <c r="AA10" s="139">
        <f t="shared" ca="1" si="4"/>
        <v>7</v>
      </c>
      <c r="AB10" s="139">
        <f t="shared" ca="1" si="5"/>
        <v>1</v>
      </c>
      <c r="AC10" s="294">
        <f t="shared" ca="1" si="6"/>
        <v>0.44444444444444442</v>
      </c>
      <c r="AD10" s="294">
        <f t="shared" ca="1" si="7"/>
        <v>1</v>
      </c>
      <c r="AE10" s="295" t="str">
        <f t="shared" ca="1" si="8"/>
        <v>Maibach 1822 eV</v>
      </c>
      <c r="AF10" s="139"/>
      <c r="AG10" s="296">
        <f t="shared" ca="1" si="60"/>
        <v>0</v>
      </c>
      <c r="AH10" s="293">
        <f t="shared" ca="1" si="9"/>
        <v>99999</v>
      </c>
      <c r="AI10" s="139" t="str">
        <f t="shared" ca="1" si="10"/>
        <v/>
      </c>
      <c r="AJ10" s="139" t="str">
        <f t="shared" ca="1" si="11"/>
        <v/>
      </c>
      <c r="AK10" s="294">
        <f t="shared" ca="1" si="12"/>
        <v>0.44444444444444442</v>
      </c>
      <c r="AL10" s="294">
        <f t="shared" ca="1" si="13"/>
        <v>3</v>
      </c>
      <c r="AM10" s="295" t="str">
        <f t="shared" ca="1" si="14"/>
        <v>Inter Mailand</v>
      </c>
      <c r="AN10" s="44"/>
      <c r="AO10" s="296">
        <f t="shared" ca="1" si="61"/>
        <v>0</v>
      </c>
      <c r="AP10" s="293">
        <f t="shared" ca="1" si="15"/>
        <v>99999</v>
      </c>
      <c r="AQ10" s="139" t="str">
        <f t="shared" ca="1" si="16"/>
        <v/>
      </c>
      <c r="AR10" s="139" t="str">
        <f t="shared" ca="1" si="17"/>
        <v/>
      </c>
      <c r="AS10" s="294">
        <f t="shared" ca="1" si="18"/>
        <v>0.42708333333333331</v>
      </c>
      <c r="AT10" s="294">
        <f t="shared" ca="1" si="19"/>
        <v>3</v>
      </c>
      <c r="AU10" s="295" t="str">
        <f t="shared" ca="1" si="20"/>
        <v>SSV Wildbach</v>
      </c>
      <c r="AV10" s="139"/>
      <c r="AW10" s="296">
        <f t="shared" ca="1" si="62"/>
        <v>0</v>
      </c>
      <c r="AX10" s="293">
        <f t="shared" ca="1" si="21"/>
        <v>99999</v>
      </c>
      <c r="AY10" s="139" t="str">
        <f t="shared" ca="1" si="22"/>
        <v/>
      </c>
      <c r="AZ10" s="139" t="str">
        <f t="shared" ca="1" si="23"/>
        <v/>
      </c>
      <c r="BA10" s="294">
        <f t="shared" ca="1" si="24"/>
        <v>0.44444444444444442</v>
      </c>
      <c r="BB10" s="294">
        <f t="shared" ca="1" si="25"/>
        <v>1</v>
      </c>
      <c r="BC10" s="295" t="str">
        <f t="shared" ca="1" si="26"/>
        <v>1. FC Riedwald</v>
      </c>
      <c r="BD10" s="44"/>
      <c r="BE10" s="296">
        <f t="shared" ca="1" si="63"/>
        <v>0</v>
      </c>
      <c r="BF10" s="293">
        <f t="shared" ca="1" si="27"/>
        <v>99999</v>
      </c>
      <c r="BG10" s="139" t="str">
        <f t="shared" ca="1" si="28"/>
        <v/>
      </c>
      <c r="BH10" s="139" t="str">
        <f t="shared" ca="1" si="29"/>
        <v/>
      </c>
      <c r="BI10" s="294">
        <f t="shared" ca="1" si="30"/>
        <v>0.42708333333333331</v>
      </c>
      <c r="BJ10" s="294">
        <f t="shared" ca="1" si="31"/>
        <v>1</v>
      </c>
      <c r="BK10" s="295" t="str">
        <f t="shared" ca="1" si="32"/>
        <v>1. FC Riedwald</v>
      </c>
      <c r="BL10" s="139"/>
      <c r="BM10" s="296">
        <f t="shared" ca="1" si="64"/>
        <v>0</v>
      </c>
      <c r="BN10" s="293">
        <f t="shared" ca="1" si="33"/>
        <v>99999</v>
      </c>
      <c r="BO10" s="139" t="str">
        <f t="shared" ca="1" si="34"/>
        <v/>
      </c>
      <c r="BP10" s="139" t="str">
        <f t="shared" ca="1" si="35"/>
        <v/>
      </c>
      <c r="BQ10" s="294">
        <f t="shared" ca="1" si="36"/>
        <v>0.44444444444444442</v>
      </c>
      <c r="BR10" s="294">
        <f t="shared" ca="1" si="37"/>
        <v>3</v>
      </c>
      <c r="BS10" s="295" t="str">
        <f t="shared" ca="1" si="38"/>
        <v>FC Barcelona</v>
      </c>
      <c r="BT10" s="44"/>
      <c r="BU10" s="296">
        <f t="shared" ca="1" si="65"/>
        <v>0</v>
      </c>
      <c r="BV10" s="293">
        <f t="shared" ca="1" si="39"/>
        <v>0.3923611111111111</v>
      </c>
      <c r="BW10" s="139">
        <f t="shared" ca="1" si="40"/>
        <v>1</v>
      </c>
      <c r="BX10" s="139">
        <f t="shared" ca="1" si="41"/>
        <v>1</v>
      </c>
      <c r="BY10" s="294">
        <f t="shared" ca="1" si="42"/>
        <v>0.42708333333333331</v>
      </c>
      <c r="BZ10" s="294">
        <f t="shared" ca="1" si="43"/>
        <v>3</v>
      </c>
      <c r="CA10" s="295" t="str">
        <f t="shared" ca="1" si="44"/>
        <v>Eintracht Frankfurt</v>
      </c>
      <c r="CB10" s="139"/>
      <c r="CC10" s="296">
        <f t="shared" ca="1" si="66"/>
        <v>0</v>
      </c>
      <c r="CD10" s="293">
        <f t="shared" ca="1" si="45"/>
        <v>99999</v>
      </c>
      <c r="CE10" s="139" t="str">
        <f t="shared" ca="1" si="46"/>
        <v/>
      </c>
      <c r="CF10" s="139" t="str">
        <f t="shared" ca="1" si="47"/>
        <v/>
      </c>
      <c r="CG10" s="294">
        <f t="shared" ca="1" si="48"/>
        <v>99999</v>
      </c>
      <c r="CH10" s="294" t="str">
        <f t="shared" ca="1" si="49"/>
        <v/>
      </c>
      <c r="CI10" s="295" t="str">
        <f t="shared" ca="1" si="50"/>
        <v/>
      </c>
      <c r="CJ10" s="44"/>
      <c r="CK10" s="296">
        <f t="shared" ca="1" si="67"/>
        <v>0</v>
      </c>
      <c r="CL10" s="293">
        <f t="shared" ca="1" si="51"/>
        <v>99999</v>
      </c>
      <c r="CM10" s="139" t="str">
        <f t="shared" ca="1" si="52"/>
        <v/>
      </c>
      <c r="CN10" s="139" t="str">
        <f t="shared" ca="1" si="53"/>
        <v/>
      </c>
      <c r="CO10" s="294">
        <f t="shared" ca="1" si="54"/>
        <v>99999</v>
      </c>
      <c r="CP10" s="294" t="str">
        <f t="shared" ca="1" si="55"/>
        <v/>
      </c>
      <c r="CQ10" s="295" t="str">
        <f t="shared" ca="1" si="56"/>
        <v/>
      </c>
      <c r="CR10" s="44"/>
      <c r="CS10" s="44"/>
    </row>
    <row r="11" spans="1:97" ht="15.95" customHeight="1" x14ac:dyDescent="0.2">
      <c r="A11" s="69"/>
      <c r="B11" s="589"/>
      <c r="C11" s="593"/>
      <c r="D11" s="114">
        <f t="shared" ca="1" si="57"/>
        <v>2</v>
      </c>
      <c r="E11" s="114">
        <f t="shared" ca="1" si="0"/>
        <v>25</v>
      </c>
      <c r="F11" s="114">
        <f ca="1">IF($E11="",0,COUNTIF($E$7:$E11,INDEX($E$79:$E$150,ROW($A5))))</f>
        <v>0</v>
      </c>
      <c r="G11" s="142"/>
      <c r="H11" s="137">
        <v>5</v>
      </c>
      <c r="I11" s="164">
        <f ca="1">IF(OR($Y$3,$H11&gt;Calc!$B$13/2*$D$6),"",$U$6+QUOTIENT(($H11-1),$U$22)*($U$8+$U$10)/1440+SUM($R$7:$R10)/1440)</f>
        <v>0.3923611111111111</v>
      </c>
      <c r="J11" s="166">
        <f ca="1">IF(OR($Y$3,$H11&gt;Calc!$B$13/2*$D$6),"",MOD(($H11-1),$U$22)+1)</f>
        <v>2</v>
      </c>
      <c r="K11" s="417">
        <f ca="1"/>
        <v>2</v>
      </c>
      <c r="L11" s="418" t="s">
        <v>4</v>
      </c>
      <c r="M11" s="419">
        <f ca="1"/>
        <v>5</v>
      </c>
      <c r="N11" s="47" t="str">
        <f t="shared" ca="1" si="1"/>
        <v>FC Barcelona</v>
      </c>
      <c r="O11" s="45" t="s">
        <v>4</v>
      </c>
      <c r="P11" s="46" t="str">
        <f t="shared" ca="1" si="2"/>
        <v>VFB Essenheim</v>
      </c>
      <c r="Q11" s="281"/>
      <c r="R11" s="427"/>
      <c r="S11" s="44"/>
      <c r="T11" s="603"/>
      <c r="U11" s="613"/>
      <c r="V11" s="609"/>
      <c r="W11" s="140"/>
      <c r="X11" s="139">
        <f t="shared" ca="1" si="58"/>
        <v>0</v>
      </c>
      <c r="Y11" s="296">
        <f t="shared" ca="1" si="59"/>
        <v>0</v>
      </c>
      <c r="Z11" s="293">
        <f t="shared" ca="1" si="3"/>
        <v>99999</v>
      </c>
      <c r="AA11" s="139" t="str">
        <f t="shared" ca="1" si="4"/>
        <v/>
      </c>
      <c r="AB11" s="139" t="str">
        <f t="shared" ca="1" si="5"/>
        <v/>
      </c>
      <c r="AC11" s="294">
        <f t="shared" ca="1" si="6"/>
        <v>0.46180555555555558</v>
      </c>
      <c r="AD11" s="294">
        <f t="shared" ca="1" si="7"/>
        <v>1</v>
      </c>
      <c r="AE11" s="295" t="str">
        <f t="shared" ca="1" si="8"/>
        <v>Eintracht Frankfurt</v>
      </c>
      <c r="AF11" s="139"/>
      <c r="AG11" s="296">
        <f t="shared" ca="1" si="60"/>
        <v>0</v>
      </c>
      <c r="AH11" s="293">
        <f t="shared" ca="1" si="9"/>
        <v>0.3923611111111111</v>
      </c>
      <c r="AI11" s="139">
        <f t="shared" ca="1" si="10"/>
        <v>5</v>
      </c>
      <c r="AJ11" s="139">
        <f t="shared" ca="1" si="11"/>
        <v>2</v>
      </c>
      <c r="AK11" s="294">
        <f t="shared" ca="1" si="12"/>
        <v>0.46180555555555558</v>
      </c>
      <c r="AL11" s="294">
        <f t="shared" ca="1" si="13"/>
        <v>2</v>
      </c>
      <c r="AM11" s="295" t="str">
        <f t="shared" ca="1" si="14"/>
        <v>Maibach 1822 eV</v>
      </c>
      <c r="AN11" s="44"/>
      <c r="AO11" s="296">
        <f t="shared" ca="1" si="61"/>
        <v>0</v>
      </c>
      <c r="AP11" s="293">
        <f t="shared" ca="1" si="15"/>
        <v>99999</v>
      </c>
      <c r="AQ11" s="139" t="str">
        <f t="shared" ca="1" si="16"/>
        <v/>
      </c>
      <c r="AR11" s="139" t="str">
        <f t="shared" ca="1" si="17"/>
        <v/>
      </c>
      <c r="AS11" s="294">
        <f t="shared" ca="1" si="18"/>
        <v>0.44444444444444442</v>
      </c>
      <c r="AT11" s="294">
        <f t="shared" ca="1" si="19"/>
        <v>2</v>
      </c>
      <c r="AU11" s="295" t="str">
        <f t="shared" ca="1" si="20"/>
        <v>VFB Essenheim</v>
      </c>
      <c r="AV11" s="139"/>
      <c r="AW11" s="296">
        <f t="shared" ca="1" si="62"/>
        <v>0</v>
      </c>
      <c r="AX11" s="293">
        <f t="shared" ca="1" si="21"/>
        <v>99999</v>
      </c>
      <c r="AY11" s="139" t="str">
        <f t="shared" ca="1" si="22"/>
        <v/>
      </c>
      <c r="AZ11" s="139" t="str">
        <f t="shared" ca="1" si="23"/>
        <v/>
      </c>
      <c r="BA11" s="294">
        <f t="shared" ca="1" si="24"/>
        <v>0.46180555555555558</v>
      </c>
      <c r="BB11" s="294">
        <f t="shared" ca="1" si="25"/>
        <v>2</v>
      </c>
      <c r="BC11" s="295" t="str">
        <f t="shared" ca="1" si="26"/>
        <v>FC Barcelona</v>
      </c>
      <c r="BD11" s="44"/>
      <c r="BE11" s="296">
        <f t="shared" ca="1" si="63"/>
        <v>0</v>
      </c>
      <c r="BF11" s="293">
        <f t="shared" ca="1" si="27"/>
        <v>0.3923611111111111</v>
      </c>
      <c r="BG11" s="139">
        <f t="shared" ca="1" si="28"/>
        <v>2</v>
      </c>
      <c r="BH11" s="139">
        <f t="shared" ca="1" si="29"/>
        <v>2</v>
      </c>
      <c r="BI11" s="294">
        <f t="shared" ca="1" si="30"/>
        <v>0.44444444444444442</v>
      </c>
      <c r="BJ11" s="294">
        <f t="shared" ca="1" si="31"/>
        <v>2</v>
      </c>
      <c r="BK11" s="295" t="str">
        <f t="shared" ca="1" si="32"/>
        <v>Eintracht Frankfurt</v>
      </c>
      <c r="BL11" s="139"/>
      <c r="BM11" s="296">
        <f t="shared" ca="1" si="64"/>
        <v>0</v>
      </c>
      <c r="BN11" s="293">
        <f t="shared" ca="1" si="33"/>
        <v>99999</v>
      </c>
      <c r="BO11" s="139" t="str">
        <f t="shared" ca="1" si="34"/>
        <v/>
      </c>
      <c r="BP11" s="139" t="str">
        <f t="shared" ca="1" si="35"/>
        <v/>
      </c>
      <c r="BQ11" s="294">
        <f t="shared" ca="1" si="36"/>
        <v>0.46180555555555558</v>
      </c>
      <c r="BR11" s="294">
        <f t="shared" ca="1" si="37"/>
        <v>3</v>
      </c>
      <c r="BS11" s="295" t="str">
        <f t="shared" ca="1" si="38"/>
        <v>SSV Wildbach</v>
      </c>
      <c r="BT11" s="44"/>
      <c r="BU11" s="296">
        <f t="shared" ca="1" si="65"/>
        <v>0</v>
      </c>
      <c r="BV11" s="293">
        <f t="shared" ca="1" si="39"/>
        <v>99999</v>
      </c>
      <c r="BW11" s="139" t="str">
        <f t="shared" ca="1" si="40"/>
        <v/>
      </c>
      <c r="BX11" s="139" t="str">
        <f t="shared" ca="1" si="41"/>
        <v/>
      </c>
      <c r="BY11" s="294">
        <f t="shared" ca="1" si="42"/>
        <v>0.46180555555555558</v>
      </c>
      <c r="BZ11" s="294">
        <f t="shared" ca="1" si="43"/>
        <v>3</v>
      </c>
      <c r="CA11" s="295" t="str">
        <f t="shared" ca="1" si="44"/>
        <v>Inter Mailand</v>
      </c>
      <c r="CB11" s="139"/>
      <c r="CC11" s="296">
        <f t="shared" ca="1" si="66"/>
        <v>0</v>
      </c>
      <c r="CD11" s="293">
        <f t="shared" ca="1" si="45"/>
        <v>99999</v>
      </c>
      <c r="CE11" s="139" t="str">
        <f t="shared" ca="1" si="46"/>
        <v/>
      </c>
      <c r="CF11" s="139" t="str">
        <f t="shared" ca="1" si="47"/>
        <v/>
      </c>
      <c r="CG11" s="294">
        <f t="shared" ca="1" si="48"/>
        <v>99999</v>
      </c>
      <c r="CH11" s="294" t="str">
        <f t="shared" ca="1" si="49"/>
        <v/>
      </c>
      <c r="CI11" s="295" t="str">
        <f t="shared" ca="1" si="50"/>
        <v/>
      </c>
      <c r="CJ11" s="44"/>
      <c r="CK11" s="296">
        <f t="shared" ca="1" si="67"/>
        <v>0</v>
      </c>
      <c r="CL11" s="293">
        <f t="shared" ca="1" si="51"/>
        <v>99999</v>
      </c>
      <c r="CM11" s="139" t="str">
        <f t="shared" ca="1" si="52"/>
        <v/>
      </c>
      <c r="CN11" s="139" t="str">
        <f t="shared" ca="1" si="53"/>
        <v/>
      </c>
      <c r="CO11" s="294">
        <f t="shared" ca="1" si="54"/>
        <v>99999</v>
      </c>
      <c r="CP11" s="294" t="str">
        <f t="shared" ca="1" si="55"/>
        <v/>
      </c>
      <c r="CQ11" s="295" t="str">
        <f t="shared" ca="1" si="56"/>
        <v/>
      </c>
      <c r="CR11" s="44"/>
      <c r="CS11" s="44"/>
    </row>
    <row r="12" spans="1:97" ht="15.95" customHeight="1" x14ac:dyDescent="0.2">
      <c r="A12" s="69">
        <f>COUNTIF($C$8:$C$25,$C$12)</f>
        <v>1</v>
      </c>
      <c r="B12" s="590">
        <v>3</v>
      </c>
      <c r="C12" s="592" t="s">
        <v>244</v>
      </c>
      <c r="D12" s="114">
        <f t="shared" ca="1" si="57"/>
        <v>2</v>
      </c>
      <c r="E12" s="114">
        <f t="shared" ca="1" si="0"/>
        <v>43</v>
      </c>
      <c r="F12" s="114">
        <f ca="1">IF($E12="",0,COUNTIF($E$7:$E12,INDEX($E$79:$E$150,ROW($A6))))</f>
        <v>0</v>
      </c>
      <c r="G12" s="142"/>
      <c r="H12" s="137">
        <v>6</v>
      </c>
      <c r="I12" s="164">
        <f ca="1">IF(OR($Y$3,$H12&gt;Calc!$B$13/2*$D$6),"",$U$6+QUOTIENT(($H12-1),$U$22)*($U$8+$U$10)/1440+SUM($R$7:$R11)/1440)</f>
        <v>0.3923611111111111</v>
      </c>
      <c r="J12" s="166">
        <f ca="1">IF(OR($Y$3,$H12&gt;Calc!$B$13/2*$D$6),"",MOD(($H12-1),$U$22)+1)</f>
        <v>3</v>
      </c>
      <c r="K12" s="417">
        <f ca="1"/>
        <v>4</v>
      </c>
      <c r="L12" s="418" t="s">
        <v>4</v>
      </c>
      <c r="M12" s="419">
        <f ca="1"/>
        <v>3</v>
      </c>
      <c r="N12" s="47" t="str">
        <f t="shared" ca="1" si="1"/>
        <v>Maibach 1822 eV</v>
      </c>
      <c r="O12" s="45" t="s">
        <v>4</v>
      </c>
      <c r="P12" s="46" t="str">
        <f t="shared" ca="1" si="2"/>
        <v>Eintracht Frankfurt</v>
      </c>
      <c r="Q12" s="281"/>
      <c r="R12" s="427"/>
      <c r="S12" s="44"/>
      <c r="T12" s="603" t="str">
        <f>Language!$E$44</f>
        <v>Number of fields</v>
      </c>
      <c r="U12" s="613">
        <v>3</v>
      </c>
      <c r="V12" s="609" t="str">
        <f>Language!$E$104</f>
        <v>(max. 4)</v>
      </c>
      <c r="W12" s="140"/>
      <c r="X12" s="139">
        <f t="shared" ca="1" si="58"/>
        <v>0</v>
      </c>
      <c r="Y12" s="296">
        <f t="shared" ca="1" si="59"/>
        <v>0</v>
      </c>
      <c r="Z12" s="293">
        <f t="shared" ca="1" si="3"/>
        <v>99999</v>
      </c>
      <c r="AA12" s="139" t="str">
        <f t="shared" ca="1" si="4"/>
        <v/>
      </c>
      <c r="AB12" s="139" t="str">
        <f t="shared" ca="1" si="5"/>
        <v/>
      </c>
      <c r="AC12" s="294">
        <f t="shared" ca="1" si="6"/>
        <v>0.47916666666666669</v>
      </c>
      <c r="AD12" s="294">
        <f t="shared" ca="1" si="7"/>
        <v>1</v>
      </c>
      <c r="AE12" s="295" t="str">
        <f t="shared" ca="1" si="8"/>
        <v>FC Barcelona</v>
      </c>
      <c r="AF12" s="139"/>
      <c r="AG12" s="296">
        <f t="shared" ca="1" si="60"/>
        <v>0</v>
      </c>
      <c r="AH12" s="293">
        <f t="shared" ca="1" si="9"/>
        <v>99999</v>
      </c>
      <c r="AI12" s="139" t="str">
        <f t="shared" ca="1" si="10"/>
        <v/>
      </c>
      <c r="AJ12" s="139" t="str">
        <f t="shared" ca="1" si="11"/>
        <v/>
      </c>
      <c r="AK12" s="294">
        <f t="shared" ca="1" si="12"/>
        <v>0.47916666666666669</v>
      </c>
      <c r="AL12" s="294">
        <f t="shared" ca="1" si="13"/>
        <v>1</v>
      </c>
      <c r="AM12" s="295" t="str">
        <f t="shared" ca="1" si="14"/>
        <v>1. FC Riedwald</v>
      </c>
      <c r="AN12" s="44"/>
      <c r="AO12" s="296">
        <f t="shared" ca="1" si="61"/>
        <v>0</v>
      </c>
      <c r="AP12" s="293">
        <f t="shared" ca="1" si="15"/>
        <v>0.3923611111111111</v>
      </c>
      <c r="AQ12" s="139">
        <f t="shared" ca="1" si="16"/>
        <v>4</v>
      </c>
      <c r="AR12" s="139">
        <f t="shared" ca="1" si="17"/>
        <v>3</v>
      </c>
      <c r="AS12" s="294">
        <f t="shared" ca="1" si="18"/>
        <v>0.46180555555555558</v>
      </c>
      <c r="AT12" s="294">
        <f t="shared" ca="1" si="19"/>
        <v>1</v>
      </c>
      <c r="AU12" s="295" t="str">
        <f t="shared" ca="1" si="20"/>
        <v>1. FC Riedwald</v>
      </c>
      <c r="AV12" s="139"/>
      <c r="AW12" s="296">
        <f t="shared" ca="1" si="62"/>
        <v>0</v>
      </c>
      <c r="AX12" s="293">
        <f t="shared" ca="1" si="21"/>
        <v>0.3923611111111111</v>
      </c>
      <c r="AY12" s="139">
        <f t="shared" ca="1" si="22"/>
        <v>3</v>
      </c>
      <c r="AZ12" s="139">
        <f t="shared" ca="1" si="23"/>
        <v>3</v>
      </c>
      <c r="BA12" s="294">
        <f t="shared" ca="1" si="24"/>
        <v>0.47916666666666669</v>
      </c>
      <c r="BB12" s="294">
        <f t="shared" ca="1" si="25"/>
        <v>2</v>
      </c>
      <c r="BC12" s="295" t="str">
        <f t="shared" ca="1" si="26"/>
        <v>SSV Wildbach</v>
      </c>
      <c r="BD12" s="44"/>
      <c r="BE12" s="296">
        <f t="shared" ca="1" si="63"/>
        <v>0</v>
      </c>
      <c r="BF12" s="293">
        <f t="shared" ca="1" si="27"/>
        <v>99999</v>
      </c>
      <c r="BG12" s="139" t="str">
        <f t="shared" ca="1" si="28"/>
        <v/>
      </c>
      <c r="BH12" s="139" t="str">
        <f t="shared" ca="1" si="29"/>
        <v/>
      </c>
      <c r="BI12" s="294">
        <f t="shared" ca="1" si="30"/>
        <v>0.47916666666666669</v>
      </c>
      <c r="BJ12" s="294">
        <f t="shared" ca="1" si="31"/>
        <v>3</v>
      </c>
      <c r="BK12" s="295" t="str">
        <f t="shared" ca="1" si="32"/>
        <v>Inter Mailand</v>
      </c>
      <c r="BL12" s="139"/>
      <c r="BM12" s="296">
        <f t="shared" ca="1" si="64"/>
        <v>0</v>
      </c>
      <c r="BN12" s="293">
        <f t="shared" ca="1" si="33"/>
        <v>99999</v>
      </c>
      <c r="BO12" s="139" t="str">
        <f t="shared" ca="1" si="34"/>
        <v/>
      </c>
      <c r="BP12" s="139" t="str">
        <f t="shared" ca="1" si="35"/>
        <v/>
      </c>
      <c r="BQ12" s="294">
        <f t="shared" ca="1" si="36"/>
        <v>0.47916666666666669</v>
      </c>
      <c r="BR12" s="294">
        <f t="shared" ca="1" si="37"/>
        <v>3</v>
      </c>
      <c r="BS12" s="295" t="str">
        <f t="shared" ca="1" si="38"/>
        <v>VFB Essenheim</v>
      </c>
      <c r="BT12" s="44"/>
      <c r="BU12" s="296">
        <f t="shared" ca="1" si="65"/>
        <v>0</v>
      </c>
      <c r="BV12" s="293">
        <f t="shared" ca="1" si="39"/>
        <v>99999</v>
      </c>
      <c r="BW12" s="139" t="str">
        <f t="shared" ca="1" si="40"/>
        <v/>
      </c>
      <c r="BX12" s="139" t="str">
        <f t="shared" ca="1" si="41"/>
        <v/>
      </c>
      <c r="BY12" s="294">
        <f t="shared" ca="1" si="42"/>
        <v>0.47916666666666669</v>
      </c>
      <c r="BZ12" s="294">
        <f t="shared" ca="1" si="43"/>
        <v>2</v>
      </c>
      <c r="CA12" s="295" t="str">
        <f t="shared" ca="1" si="44"/>
        <v>Maibach 1822 eV</v>
      </c>
      <c r="CB12" s="139"/>
      <c r="CC12" s="296">
        <f t="shared" ca="1" si="66"/>
        <v>0</v>
      </c>
      <c r="CD12" s="293">
        <f t="shared" ca="1" si="45"/>
        <v>99999</v>
      </c>
      <c r="CE12" s="139" t="str">
        <f t="shared" ca="1" si="46"/>
        <v/>
      </c>
      <c r="CF12" s="139" t="str">
        <f t="shared" ca="1" si="47"/>
        <v/>
      </c>
      <c r="CG12" s="294">
        <f t="shared" ca="1" si="48"/>
        <v>99999</v>
      </c>
      <c r="CH12" s="294" t="str">
        <f t="shared" ca="1" si="49"/>
        <v/>
      </c>
      <c r="CI12" s="295" t="str">
        <f t="shared" ca="1" si="50"/>
        <v/>
      </c>
      <c r="CJ12" s="44"/>
      <c r="CK12" s="296">
        <f t="shared" ca="1" si="67"/>
        <v>0</v>
      </c>
      <c r="CL12" s="293">
        <f t="shared" ca="1" si="51"/>
        <v>99999</v>
      </c>
      <c r="CM12" s="139" t="str">
        <f t="shared" ca="1" si="52"/>
        <v/>
      </c>
      <c r="CN12" s="139" t="str">
        <f t="shared" ca="1" si="53"/>
        <v/>
      </c>
      <c r="CO12" s="294">
        <f t="shared" ca="1" si="54"/>
        <v>99999</v>
      </c>
      <c r="CP12" s="294" t="str">
        <f t="shared" ca="1" si="55"/>
        <v/>
      </c>
      <c r="CQ12" s="295" t="str">
        <f t="shared" ca="1" si="56"/>
        <v/>
      </c>
      <c r="CR12" s="44"/>
      <c r="CS12" s="44"/>
    </row>
    <row r="13" spans="1:97" ht="15.95" customHeight="1" thickBot="1" x14ac:dyDescent="0.25">
      <c r="A13" s="69"/>
      <c r="B13" s="589"/>
      <c r="C13" s="593"/>
      <c r="D13" s="114">
        <f t="shared" ca="1" si="57"/>
        <v>2</v>
      </c>
      <c r="E13" s="114">
        <f t="shared" ca="1" si="0"/>
        <v>16</v>
      </c>
      <c r="F13" s="114">
        <f ca="1">IF($E13="",0,COUNTIF($E$7:$E13,INDEX($E$79:$E$150,ROW($A7))))</f>
        <v>0</v>
      </c>
      <c r="G13" s="142"/>
      <c r="H13" s="137">
        <v>7</v>
      </c>
      <c r="I13" s="164">
        <f ca="1">IF(OR($Y$3,$H13&gt;Calc!$B$13/2*$D$6),"",$U$6+QUOTIENT(($H13-1),$U$22)*($U$8+$U$10)/1440+SUM($R$7:$R12)/1440)</f>
        <v>0.40972222222222221</v>
      </c>
      <c r="J13" s="166">
        <f ca="1">IF(OR($Y$3,$H13&gt;Calc!$B$13/2*$D$6),"",MOD(($H13-1),$U$22)+1)</f>
        <v>1</v>
      </c>
      <c r="K13" s="417">
        <f ca="1"/>
        <v>1</v>
      </c>
      <c r="L13" s="418" t="s">
        <v>4</v>
      </c>
      <c r="M13" s="419">
        <f ca="1"/>
        <v>6</v>
      </c>
      <c r="N13" s="47" t="str">
        <f t="shared" ca="1" si="1"/>
        <v>1. FC Riedwald</v>
      </c>
      <c r="O13" s="45" t="s">
        <v>4</v>
      </c>
      <c r="P13" s="46" t="str">
        <f t="shared" ca="1" si="2"/>
        <v>Inter Mailand</v>
      </c>
      <c r="Q13" s="281"/>
      <c r="R13" s="427"/>
      <c r="S13" s="44"/>
      <c r="T13" s="604"/>
      <c r="U13" s="625"/>
      <c r="V13" s="624"/>
      <c r="W13" s="140"/>
      <c r="X13" s="139">
        <f t="shared" ca="1" si="58"/>
        <v>0</v>
      </c>
      <c r="Y13" s="296">
        <f t="shared" ca="1" si="59"/>
        <v>0</v>
      </c>
      <c r="Z13" s="293">
        <f t="shared" ca="1" si="3"/>
        <v>0.40972222222222221</v>
      </c>
      <c r="AA13" s="139">
        <f t="shared" ca="1" si="4"/>
        <v>6</v>
      </c>
      <c r="AB13" s="139">
        <f t="shared" ca="1" si="5"/>
        <v>1</v>
      </c>
      <c r="AC13" s="294">
        <f t="shared" ca="1" si="6"/>
        <v>0.51388888888888884</v>
      </c>
      <c r="AD13" s="294">
        <f t="shared" ca="1" si="7"/>
        <v>1</v>
      </c>
      <c r="AE13" s="295" t="str">
        <f t="shared" ca="1" si="8"/>
        <v>SSV Wildbach</v>
      </c>
      <c r="AF13" s="139"/>
      <c r="AG13" s="296">
        <f t="shared" ca="1" si="60"/>
        <v>0</v>
      </c>
      <c r="AH13" s="293">
        <f t="shared" ca="1" si="9"/>
        <v>99999</v>
      </c>
      <c r="AI13" s="139" t="str">
        <f t="shared" ca="1" si="10"/>
        <v/>
      </c>
      <c r="AJ13" s="139" t="str">
        <f t="shared" ca="1" si="11"/>
        <v/>
      </c>
      <c r="AK13" s="294">
        <f t="shared" ca="1" si="12"/>
        <v>0.49652777777777779</v>
      </c>
      <c r="AL13" s="294">
        <f t="shared" ca="1" si="13"/>
        <v>1</v>
      </c>
      <c r="AM13" s="295" t="str">
        <f t="shared" ca="1" si="14"/>
        <v>SSV Wildbach</v>
      </c>
      <c r="AN13" s="44"/>
      <c r="AO13" s="296">
        <f t="shared" ca="1" si="61"/>
        <v>0</v>
      </c>
      <c r="AP13" s="293">
        <f t="shared" ca="1" si="15"/>
        <v>99999</v>
      </c>
      <c r="AQ13" s="139" t="str">
        <f t="shared" ca="1" si="16"/>
        <v/>
      </c>
      <c r="AR13" s="139" t="str">
        <f t="shared" ca="1" si="17"/>
        <v/>
      </c>
      <c r="AS13" s="294">
        <f t="shared" ca="1" si="18"/>
        <v>0.49652777777777779</v>
      </c>
      <c r="AT13" s="294">
        <f t="shared" ca="1" si="19"/>
        <v>2</v>
      </c>
      <c r="AU13" s="295" t="str">
        <f t="shared" ca="1" si="20"/>
        <v>Inter Mailand</v>
      </c>
      <c r="AV13" s="139"/>
      <c r="AW13" s="296">
        <f t="shared" ca="1" si="62"/>
        <v>0</v>
      </c>
      <c r="AX13" s="293">
        <f t="shared" ca="1" si="21"/>
        <v>99999</v>
      </c>
      <c r="AY13" s="139" t="str">
        <f t="shared" ca="1" si="22"/>
        <v/>
      </c>
      <c r="AZ13" s="139" t="str">
        <f t="shared" ca="1" si="23"/>
        <v/>
      </c>
      <c r="BA13" s="294">
        <f t="shared" ca="1" si="24"/>
        <v>0.49652777777777779</v>
      </c>
      <c r="BB13" s="294">
        <f t="shared" ca="1" si="25"/>
        <v>3</v>
      </c>
      <c r="BC13" s="295" t="str">
        <f t="shared" ca="1" si="26"/>
        <v>VFB Essenheim</v>
      </c>
      <c r="BD13" s="44"/>
      <c r="BE13" s="296">
        <f t="shared" ca="1" si="63"/>
        <v>0</v>
      </c>
      <c r="BF13" s="293">
        <f t="shared" ca="1" si="27"/>
        <v>99999</v>
      </c>
      <c r="BG13" s="139" t="str">
        <f t="shared" ca="1" si="28"/>
        <v/>
      </c>
      <c r="BH13" s="139" t="str">
        <f t="shared" ca="1" si="29"/>
        <v/>
      </c>
      <c r="BI13" s="294">
        <f t="shared" ca="1" si="30"/>
        <v>0.49652777777777779</v>
      </c>
      <c r="BJ13" s="294">
        <f t="shared" ca="1" si="31"/>
        <v>3</v>
      </c>
      <c r="BK13" s="295" t="str">
        <f t="shared" ca="1" si="32"/>
        <v>Maibach 1822 eV</v>
      </c>
      <c r="BL13" s="139"/>
      <c r="BM13" s="296">
        <f t="shared" ca="1" si="64"/>
        <v>0</v>
      </c>
      <c r="BN13" s="293">
        <f t="shared" ca="1" si="33"/>
        <v>0.40972222222222221</v>
      </c>
      <c r="BO13" s="139">
        <f t="shared" ca="1" si="34"/>
        <v>1</v>
      </c>
      <c r="BP13" s="139">
        <f t="shared" ca="1" si="35"/>
        <v>1</v>
      </c>
      <c r="BQ13" s="294">
        <f t="shared" ca="1" si="36"/>
        <v>0.49652777777777779</v>
      </c>
      <c r="BR13" s="294">
        <f t="shared" ca="1" si="37"/>
        <v>2</v>
      </c>
      <c r="BS13" s="295" t="str">
        <f t="shared" ca="1" si="38"/>
        <v>Eintracht Frankfurt</v>
      </c>
      <c r="BT13" s="44"/>
      <c r="BU13" s="296">
        <f t="shared" ca="1" si="65"/>
        <v>0</v>
      </c>
      <c r="BV13" s="293">
        <f t="shared" ca="1" si="39"/>
        <v>99999</v>
      </c>
      <c r="BW13" s="139" t="str">
        <f t="shared" ca="1" si="40"/>
        <v/>
      </c>
      <c r="BX13" s="139" t="str">
        <f t="shared" ca="1" si="41"/>
        <v/>
      </c>
      <c r="BY13" s="294">
        <f t="shared" ca="1" si="42"/>
        <v>0.49652777777777779</v>
      </c>
      <c r="BZ13" s="294">
        <f t="shared" ca="1" si="43"/>
        <v>1</v>
      </c>
      <c r="CA13" s="295" t="str">
        <f t="shared" ca="1" si="44"/>
        <v>FC Barcelona</v>
      </c>
      <c r="CB13" s="139"/>
      <c r="CC13" s="296">
        <f t="shared" ca="1" si="66"/>
        <v>0</v>
      </c>
      <c r="CD13" s="293">
        <f t="shared" ca="1" si="45"/>
        <v>99999</v>
      </c>
      <c r="CE13" s="139" t="str">
        <f t="shared" ca="1" si="46"/>
        <v/>
      </c>
      <c r="CF13" s="139" t="str">
        <f t="shared" ca="1" si="47"/>
        <v/>
      </c>
      <c r="CG13" s="294">
        <f t="shared" ca="1" si="48"/>
        <v>99999</v>
      </c>
      <c r="CH13" s="294" t="str">
        <f t="shared" ca="1" si="49"/>
        <v/>
      </c>
      <c r="CI13" s="295" t="str">
        <f t="shared" ca="1" si="50"/>
        <v/>
      </c>
      <c r="CJ13" s="44"/>
      <c r="CK13" s="296">
        <f t="shared" ca="1" si="67"/>
        <v>0</v>
      </c>
      <c r="CL13" s="293">
        <f t="shared" ca="1" si="51"/>
        <v>99999</v>
      </c>
      <c r="CM13" s="139" t="str">
        <f t="shared" ca="1" si="52"/>
        <v/>
      </c>
      <c r="CN13" s="139" t="str">
        <f t="shared" ca="1" si="53"/>
        <v/>
      </c>
      <c r="CO13" s="294">
        <f t="shared" ca="1" si="54"/>
        <v>99999</v>
      </c>
      <c r="CP13" s="294" t="str">
        <f t="shared" ca="1" si="55"/>
        <v/>
      </c>
      <c r="CQ13" s="295" t="str">
        <f t="shared" ca="1" si="56"/>
        <v/>
      </c>
      <c r="CR13" s="44"/>
      <c r="CS13" s="44"/>
    </row>
    <row r="14" spans="1:97" ht="15.95" customHeight="1" x14ac:dyDescent="0.2">
      <c r="A14" s="69">
        <f>COUNTIF($C$8:$C$25,$C$14)</f>
        <v>1</v>
      </c>
      <c r="B14" s="590">
        <v>4</v>
      </c>
      <c r="C14" s="592" t="s">
        <v>245</v>
      </c>
      <c r="D14" s="114">
        <f t="shared" ca="1" si="57"/>
        <v>2</v>
      </c>
      <c r="E14" s="114">
        <f t="shared" ca="1" si="0"/>
        <v>57</v>
      </c>
      <c r="F14" s="114">
        <f ca="1">IF($E14="",0,COUNTIF($E$7:$E14,INDEX($E$79:$E$150,ROW($A8))))</f>
        <v>0</v>
      </c>
      <c r="G14" s="142"/>
      <c r="H14" s="137">
        <v>8</v>
      </c>
      <c r="I14" s="164">
        <f ca="1">IF(OR($Y$3,$H14&gt;Calc!$B$13/2*$D$6),"",$U$6+QUOTIENT(($H14-1),$U$22)*($U$8+$U$10)/1440+SUM($R$7:$R13)/1440)</f>
        <v>0.40972222222222221</v>
      </c>
      <c r="J14" s="166">
        <f ca="1">IF(OR($Y$3,$H14&gt;Calc!$B$13/2*$D$6),"",MOD(($H14-1),$U$22)+1)</f>
        <v>2</v>
      </c>
      <c r="K14" s="417">
        <f ca="1"/>
        <v>5</v>
      </c>
      <c r="L14" s="418" t="s">
        <v>4</v>
      </c>
      <c r="M14" s="419">
        <f ca="1"/>
        <v>7</v>
      </c>
      <c r="N14" s="47" t="str">
        <f t="shared" ca="1" si="1"/>
        <v>VFB Essenheim</v>
      </c>
      <c r="O14" s="45" t="s">
        <v>4</v>
      </c>
      <c r="P14" s="46" t="str">
        <f t="shared" ca="1" si="2"/>
        <v>SSV Wildbach</v>
      </c>
      <c r="Q14" s="281"/>
      <c r="R14" s="427"/>
      <c r="S14" s="44"/>
      <c r="T14" s="597" t="str">
        <f>Language!$E$40</f>
        <v>End</v>
      </c>
      <c r="U14" s="599">
        <f ca="1">IF($Y$3,"",INDEX($I$7:$I$78,COUNTIF($K$7:$K$78,"&gt;0"))+$U$8/1440)</f>
        <v>0.61458333333333326</v>
      </c>
      <c r="V14" s="601"/>
      <c r="W14" s="113"/>
      <c r="X14" s="139">
        <f t="shared" ca="1" si="58"/>
        <v>0</v>
      </c>
      <c r="Y14" s="296">
        <f t="shared" ca="1" si="59"/>
        <v>0</v>
      </c>
      <c r="Z14" s="293">
        <f t="shared" ca="1" si="3"/>
        <v>99999</v>
      </c>
      <c r="AA14" s="139" t="str">
        <f t="shared" ca="1" si="4"/>
        <v/>
      </c>
      <c r="AB14" s="139" t="str">
        <f t="shared" ca="1" si="5"/>
        <v/>
      </c>
      <c r="AC14" s="294">
        <f t="shared" ca="1" si="6"/>
        <v>0.53125</v>
      </c>
      <c r="AD14" s="294">
        <f t="shared" ca="1" si="7"/>
        <v>1</v>
      </c>
      <c r="AE14" s="295" t="str">
        <f t="shared" ca="1" si="8"/>
        <v>Inter Mailand</v>
      </c>
      <c r="AF14" s="139"/>
      <c r="AG14" s="296">
        <f t="shared" ca="1" si="60"/>
        <v>0</v>
      </c>
      <c r="AH14" s="293">
        <f t="shared" ca="1" si="9"/>
        <v>99999</v>
      </c>
      <c r="AI14" s="139" t="str">
        <f t="shared" ca="1" si="10"/>
        <v/>
      </c>
      <c r="AJ14" s="139" t="str">
        <f t="shared" ca="1" si="11"/>
        <v/>
      </c>
      <c r="AK14" s="294">
        <f t="shared" ca="1" si="12"/>
        <v>0.51388888888888884</v>
      </c>
      <c r="AL14" s="294">
        <f t="shared" ca="1" si="13"/>
        <v>2</v>
      </c>
      <c r="AM14" s="295" t="str">
        <f t="shared" ca="1" si="14"/>
        <v>VFB Essenheim</v>
      </c>
      <c r="AN14" s="44"/>
      <c r="AO14" s="296">
        <f t="shared" ca="1" si="61"/>
        <v>0</v>
      </c>
      <c r="AP14" s="293">
        <f t="shared" ca="1" si="15"/>
        <v>99999</v>
      </c>
      <c r="AQ14" s="139" t="str">
        <f t="shared" ca="1" si="16"/>
        <v/>
      </c>
      <c r="AR14" s="139" t="str">
        <f t="shared" ca="1" si="17"/>
        <v/>
      </c>
      <c r="AS14" s="294">
        <f t="shared" ca="1" si="18"/>
        <v>0.51388888888888884</v>
      </c>
      <c r="AT14" s="294">
        <f t="shared" ca="1" si="19"/>
        <v>3</v>
      </c>
      <c r="AU14" s="295" t="str">
        <f t="shared" ca="1" si="20"/>
        <v>Maibach 1822 eV</v>
      </c>
      <c r="AV14" s="139"/>
      <c r="AW14" s="296">
        <f t="shared" ca="1" si="62"/>
        <v>0</v>
      </c>
      <c r="AX14" s="293">
        <f t="shared" ca="1" si="21"/>
        <v>99999</v>
      </c>
      <c r="AY14" s="139" t="str">
        <f t="shared" ca="1" si="22"/>
        <v/>
      </c>
      <c r="AZ14" s="139" t="str">
        <f t="shared" ca="1" si="23"/>
        <v/>
      </c>
      <c r="BA14" s="294">
        <f t="shared" ca="1" si="24"/>
        <v>0.51388888888888884</v>
      </c>
      <c r="BB14" s="294">
        <f t="shared" ca="1" si="25"/>
        <v>3</v>
      </c>
      <c r="BC14" s="295" t="str">
        <f t="shared" ca="1" si="26"/>
        <v>Eintracht Frankfurt</v>
      </c>
      <c r="BD14" s="44"/>
      <c r="BE14" s="296">
        <f t="shared" ca="1" si="63"/>
        <v>0</v>
      </c>
      <c r="BF14" s="293">
        <f t="shared" ca="1" si="27"/>
        <v>0.40972222222222221</v>
      </c>
      <c r="BG14" s="139">
        <f t="shared" ca="1" si="28"/>
        <v>7</v>
      </c>
      <c r="BH14" s="139">
        <f t="shared" ca="1" si="29"/>
        <v>2</v>
      </c>
      <c r="BI14" s="294">
        <f t="shared" ca="1" si="30"/>
        <v>0.51388888888888884</v>
      </c>
      <c r="BJ14" s="294">
        <f t="shared" ca="1" si="31"/>
        <v>2</v>
      </c>
      <c r="BK14" s="295" t="str">
        <f t="shared" ca="1" si="32"/>
        <v>FC Barcelona</v>
      </c>
      <c r="BL14" s="139"/>
      <c r="BM14" s="296">
        <f t="shared" ca="1" si="64"/>
        <v>0</v>
      </c>
      <c r="BN14" s="293">
        <f t="shared" ca="1" si="33"/>
        <v>99999</v>
      </c>
      <c r="BO14" s="139" t="str">
        <f t="shared" ca="1" si="34"/>
        <v/>
      </c>
      <c r="BP14" s="139" t="str">
        <f t="shared" ca="1" si="35"/>
        <v/>
      </c>
      <c r="BQ14" s="294">
        <f t="shared" ca="1" si="36"/>
        <v>0.53125</v>
      </c>
      <c r="BR14" s="294">
        <f t="shared" ca="1" si="37"/>
        <v>1</v>
      </c>
      <c r="BS14" s="295" t="str">
        <f t="shared" ca="1" si="38"/>
        <v>1. FC Riedwald</v>
      </c>
      <c r="BT14" s="44"/>
      <c r="BU14" s="296">
        <f t="shared" ca="1" si="65"/>
        <v>0</v>
      </c>
      <c r="BV14" s="293">
        <f t="shared" ca="1" si="39"/>
        <v>0.40972222222222221</v>
      </c>
      <c r="BW14" s="139">
        <f t="shared" ca="1" si="40"/>
        <v>5</v>
      </c>
      <c r="BX14" s="139">
        <f t="shared" ca="1" si="41"/>
        <v>2</v>
      </c>
      <c r="BY14" s="294">
        <f t="shared" ca="1" si="42"/>
        <v>0.51388888888888884</v>
      </c>
      <c r="BZ14" s="294">
        <f t="shared" ca="1" si="43"/>
        <v>1</v>
      </c>
      <c r="CA14" s="295" t="str">
        <f t="shared" ca="1" si="44"/>
        <v>1. FC Riedwald</v>
      </c>
      <c r="CB14" s="139"/>
      <c r="CC14" s="296">
        <f t="shared" ca="1" si="66"/>
        <v>0</v>
      </c>
      <c r="CD14" s="293">
        <f t="shared" ca="1" si="45"/>
        <v>99999</v>
      </c>
      <c r="CE14" s="139" t="str">
        <f t="shared" ca="1" si="46"/>
        <v/>
      </c>
      <c r="CF14" s="139" t="str">
        <f t="shared" ca="1" si="47"/>
        <v/>
      </c>
      <c r="CG14" s="294">
        <f t="shared" ca="1" si="48"/>
        <v>99999</v>
      </c>
      <c r="CH14" s="294" t="str">
        <f t="shared" ca="1" si="49"/>
        <v/>
      </c>
      <c r="CI14" s="295" t="str">
        <f t="shared" ca="1" si="50"/>
        <v/>
      </c>
      <c r="CJ14" s="44"/>
      <c r="CK14" s="296">
        <f t="shared" ca="1" si="67"/>
        <v>0</v>
      </c>
      <c r="CL14" s="293">
        <f t="shared" ca="1" si="51"/>
        <v>99999</v>
      </c>
      <c r="CM14" s="139" t="str">
        <f t="shared" ca="1" si="52"/>
        <v/>
      </c>
      <c r="CN14" s="139" t="str">
        <f t="shared" ca="1" si="53"/>
        <v/>
      </c>
      <c r="CO14" s="294">
        <f t="shared" ca="1" si="54"/>
        <v>99999</v>
      </c>
      <c r="CP14" s="294" t="str">
        <f t="shared" ca="1" si="55"/>
        <v/>
      </c>
      <c r="CQ14" s="295" t="str">
        <f t="shared" ca="1" si="56"/>
        <v/>
      </c>
      <c r="CR14" s="44"/>
      <c r="CS14" s="44"/>
    </row>
    <row r="15" spans="1:97" ht="15.95" customHeight="1" thickBot="1" x14ac:dyDescent="0.25">
      <c r="A15" s="69"/>
      <c r="B15" s="589"/>
      <c r="C15" s="593"/>
      <c r="D15" s="114">
        <f t="shared" ca="1" si="57"/>
        <v>2</v>
      </c>
      <c r="E15" s="114">
        <f t="shared" ca="1" si="0"/>
        <v>32</v>
      </c>
      <c r="F15" s="114">
        <f ca="1">IF($E15="",0,COUNTIF($E$7:$E15,INDEX($E$79:$E$150,ROW($A9))))</f>
        <v>0</v>
      </c>
      <c r="G15" s="142"/>
      <c r="H15" s="137">
        <v>9</v>
      </c>
      <c r="I15" s="164">
        <f ca="1">IF(OR($Y$3,$H15&gt;Calc!$B$13/2*$D$6),"",$U$6+QUOTIENT(($H15-1),$U$22)*($U$8+$U$10)/1440+SUM($R$7:$R14)/1440)</f>
        <v>0.40972222222222221</v>
      </c>
      <c r="J15" s="166">
        <f ca="1">IF(OR($Y$3,$H15&gt;Calc!$B$13/2*$D$6),"",MOD(($H15-1),$U$22)+1)</f>
        <v>3</v>
      </c>
      <c r="K15" s="417">
        <f ca="1"/>
        <v>3</v>
      </c>
      <c r="L15" s="418" t="s">
        <v>4</v>
      </c>
      <c r="M15" s="419">
        <f ca="1"/>
        <v>2</v>
      </c>
      <c r="N15" s="47" t="str">
        <f t="shared" ca="1" si="1"/>
        <v>Eintracht Frankfurt</v>
      </c>
      <c r="O15" s="45" t="s">
        <v>4</v>
      </c>
      <c r="P15" s="46" t="str">
        <f t="shared" ca="1" si="2"/>
        <v>FC Barcelona</v>
      </c>
      <c r="Q15" s="281"/>
      <c r="R15" s="427"/>
      <c r="S15" s="44"/>
      <c r="T15" s="598"/>
      <c r="U15" s="600"/>
      <c r="V15" s="602"/>
      <c r="W15" s="113"/>
      <c r="X15" s="139">
        <f t="shared" ca="1" si="58"/>
        <v>0</v>
      </c>
      <c r="Y15" s="296">
        <f t="shared" ca="1" si="59"/>
        <v>0</v>
      </c>
      <c r="Z15" s="293">
        <f t="shared" ca="1" si="3"/>
        <v>99999</v>
      </c>
      <c r="AA15" s="139" t="str">
        <f t="shared" ca="1" si="4"/>
        <v/>
      </c>
      <c r="AB15" s="139" t="str">
        <f t="shared" ca="1" si="5"/>
        <v/>
      </c>
      <c r="AC15" s="294">
        <f t="shared" ca="1" si="6"/>
        <v>0.54861111111111116</v>
      </c>
      <c r="AD15" s="294">
        <f t="shared" ca="1" si="7"/>
        <v>1</v>
      </c>
      <c r="AE15" s="295" t="str">
        <f t="shared" ca="1" si="8"/>
        <v>VFB Essenheim</v>
      </c>
      <c r="AF15" s="139"/>
      <c r="AG15" s="296">
        <f t="shared" ca="1" si="60"/>
        <v>0</v>
      </c>
      <c r="AH15" s="293">
        <f t="shared" ca="1" si="9"/>
        <v>0.40972222222222221</v>
      </c>
      <c r="AI15" s="139">
        <f t="shared" ca="1" si="10"/>
        <v>3</v>
      </c>
      <c r="AJ15" s="139">
        <f t="shared" ca="1" si="11"/>
        <v>3</v>
      </c>
      <c r="AK15" s="294">
        <f t="shared" ca="1" si="12"/>
        <v>0.53125</v>
      </c>
      <c r="AL15" s="294">
        <f t="shared" ca="1" si="13"/>
        <v>3</v>
      </c>
      <c r="AM15" s="295" t="str">
        <f t="shared" ca="1" si="14"/>
        <v>Eintracht Frankfurt</v>
      </c>
      <c r="AN15" s="44"/>
      <c r="AO15" s="296">
        <f t="shared" ca="1" si="61"/>
        <v>0</v>
      </c>
      <c r="AP15" s="293">
        <f t="shared" ca="1" si="15"/>
        <v>0.40972222222222221</v>
      </c>
      <c r="AQ15" s="139">
        <f t="shared" ca="1" si="16"/>
        <v>2</v>
      </c>
      <c r="AR15" s="139">
        <f t="shared" ca="1" si="17"/>
        <v>3</v>
      </c>
      <c r="AS15" s="294">
        <f t="shared" ca="1" si="18"/>
        <v>0.53125</v>
      </c>
      <c r="AT15" s="294">
        <f t="shared" ca="1" si="19"/>
        <v>3</v>
      </c>
      <c r="AU15" s="295" t="str">
        <f t="shared" ca="1" si="20"/>
        <v>FC Barcelona</v>
      </c>
      <c r="AV15" s="139"/>
      <c r="AW15" s="296">
        <f t="shared" ca="1" si="62"/>
        <v>0</v>
      </c>
      <c r="AX15" s="293">
        <f t="shared" ca="1" si="21"/>
        <v>99999</v>
      </c>
      <c r="AY15" s="139" t="str">
        <f t="shared" ca="1" si="22"/>
        <v/>
      </c>
      <c r="AZ15" s="139" t="str">
        <f t="shared" ca="1" si="23"/>
        <v/>
      </c>
      <c r="BA15" s="294">
        <f t="shared" ca="1" si="24"/>
        <v>0.54861111111111116</v>
      </c>
      <c r="BB15" s="294">
        <f t="shared" ca="1" si="25"/>
        <v>2</v>
      </c>
      <c r="BC15" s="295" t="str">
        <f t="shared" ca="1" si="26"/>
        <v>Inter Mailand</v>
      </c>
      <c r="BD15" s="44"/>
      <c r="BE15" s="296">
        <f t="shared" ca="1" si="63"/>
        <v>0</v>
      </c>
      <c r="BF15" s="293">
        <f t="shared" ca="1" si="27"/>
        <v>99999</v>
      </c>
      <c r="BG15" s="139" t="str">
        <f t="shared" ca="1" si="28"/>
        <v/>
      </c>
      <c r="BH15" s="139" t="str">
        <f t="shared" ca="1" si="29"/>
        <v/>
      </c>
      <c r="BI15" s="294">
        <f t="shared" ca="1" si="30"/>
        <v>0.53125</v>
      </c>
      <c r="BJ15" s="294">
        <f t="shared" ca="1" si="31"/>
        <v>2</v>
      </c>
      <c r="BK15" s="295" t="str">
        <f t="shared" ca="1" si="32"/>
        <v>SSV Wildbach</v>
      </c>
      <c r="BL15" s="139"/>
      <c r="BM15" s="296">
        <f t="shared" ca="1" si="64"/>
        <v>0</v>
      </c>
      <c r="BN15" s="293">
        <f t="shared" ca="1" si="33"/>
        <v>99999</v>
      </c>
      <c r="BO15" s="139" t="str">
        <f t="shared" ca="1" si="34"/>
        <v/>
      </c>
      <c r="BP15" s="139" t="str">
        <f t="shared" ca="1" si="35"/>
        <v/>
      </c>
      <c r="BQ15" s="294">
        <f t="shared" ca="1" si="36"/>
        <v>0.54861111111111116</v>
      </c>
      <c r="BR15" s="294">
        <f t="shared" ca="1" si="37"/>
        <v>2</v>
      </c>
      <c r="BS15" s="295" t="str">
        <f t="shared" ca="1" si="38"/>
        <v>Maibach 1822 eV</v>
      </c>
      <c r="BT15" s="44"/>
      <c r="BU15" s="296">
        <f t="shared" ca="1" si="65"/>
        <v>0</v>
      </c>
      <c r="BV15" s="293">
        <f t="shared" ca="1" si="39"/>
        <v>99999</v>
      </c>
      <c r="BW15" s="139" t="str">
        <f t="shared" ca="1" si="40"/>
        <v/>
      </c>
      <c r="BX15" s="139" t="str">
        <f t="shared" ca="1" si="41"/>
        <v/>
      </c>
      <c r="BY15" s="294">
        <f t="shared" ca="1" si="42"/>
        <v>0.53125</v>
      </c>
      <c r="BZ15" s="294">
        <f t="shared" ca="1" si="43"/>
        <v>2</v>
      </c>
      <c r="CA15" s="295" t="str">
        <f t="shared" ca="1" si="44"/>
        <v>VFB Essenheim</v>
      </c>
      <c r="CB15" s="139"/>
      <c r="CC15" s="296">
        <f t="shared" ca="1" si="66"/>
        <v>0</v>
      </c>
      <c r="CD15" s="293">
        <f t="shared" ca="1" si="45"/>
        <v>99999</v>
      </c>
      <c r="CE15" s="139" t="str">
        <f t="shared" ca="1" si="46"/>
        <v/>
      </c>
      <c r="CF15" s="139" t="str">
        <f t="shared" ca="1" si="47"/>
        <v/>
      </c>
      <c r="CG15" s="294">
        <f t="shared" ca="1" si="48"/>
        <v>99999</v>
      </c>
      <c r="CH15" s="294" t="str">
        <f t="shared" ca="1" si="49"/>
        <v/>
      </c>
      <c r="CI15" s="295" t="str">
        <f t="shared" ca="1" si="50"/>
        <v/>
      </c>
      <c r="CJ15" s="44"/>
      <c r="CK15" s="296">
        <f t="shared" ca="1" si="67"/>
        <v>0</v>
      </c>
      <c r="CL15" s="293">
        <f t="shared" ca="1" si="51"/>
        <v>99999</v>
      </c>
      <c r="CM15" s="139" t="str">
        <f t="shared" ca="1" si="52"/>
        <v/>
      </c>
      <c r="CN15" s="139" t="str">
        <f t="shared" ca="1" si="53"/>
        <v/>
      </c>
      <c r="CO15" s="294">
        <f t="shared" ca="1" si="54"/>
        <v>99999</v>
      </c>
      <c r="CP15" s="294" t="str">
        <f t="shared" ca="1" si="55"/>
        <v/>
      </c>
      <c r="CQ15" s="295" t="str">
        <f t="shared" ca="1" si="56"/>
        <v/>
      </c>
      <c r="CR15" s="44"/>
      <c r="CS15" s="44"/>
    </row>
    <row r="16" spans="1:97" ht="15.95" customHeight="1" thickTop="1" x14ac:dyDescent="0.25">
      <c r="A16" s="69">
        <f>COUNTIF($C$8:$C$25,$C$16)</f>
        <v>1</v>
      </c>
      <c r="B16" s="590">
        <v>5</v>
      </c>
      <c r="C16" s="592" t="s">
        <v>246</v>
      </c>
      <c r="D16" s="114">
        <f t="shared" ca="1" si="57"/>
        <v>2</v>
      </c>
      <c r="E16" s="114">
        <f t="shared" ca="1" si="0"/>
        <v>51</v>
      </c>
      <c r="F16" s="114">
        <f ca="1">IF($E16="",0,COUNTIF($E$7:$E16,INDEX($E$79:$E$150,ROW($A10))))</f>
        <v>0</v>
      </c>
      <c r="G16" s="142"/>
      <c r="H16" s="137">
        <v>10</v>
      </c>
      <c r="I16" s="164">
        <f ca="1">IF(OR($Y$3,$H16&gt;Calc!$B$13/2*$D$6),"",$U$6+QUOTIENT(($H16-1),$U$22)*($U$8+$U$10)/1440+SUM($R$7:$R15)/1440)</f>
        <v>0.42708333333333331</v>
      </c>
      <c r="J16" s="166">
        <f ca="1">IF(OR($Y$3,$H16&gt;Calc!$B$13/2*$D$6),"",MOD(($H16-1),$U$22)+1)</f>
        <v>1</v>
      </c>
      <c r="K16" s="417">
        <f ca="1"/>
        <v>5</v>
      </c>
      <c r="L16" s="418" t="s">
        <v>4</v>
      </c>
      <c r="M16" s="419">
        <f ca="1"/>
        <v>1</v>
      </c>
      <c r="N16" s="47" t="str">
        <f t="shared" ca="1" si="1"/>
        <v>VFB Essenheim</v>
      </c>
      <c r="O16" s="45" t="s">
        <v>4</v>
      </c>
      <c r="P16" s="46" t="str">
        <f t="shared" ca="1" si="2"/>
        <v>1. FC Riedwald</v>
      </c>
      <c r="Q16" s="281"/>
      <c r="R16" s="427"/>
      <c r="S16" s="157"/>
      <c r="T16" s="618" t="str">
        <f ca="1">IF(AND($U$12&gt;$T$18,NOT($Y$3),$D$6&gt;0),Language!$E$99&amp;$T$18&amp;IF($T$18&gt;1,Language!$E$100,Language!$E$101),"")</f>
        <v/>
      </c>
      <c r="U16" s="618"/>
      <c r="V16" s="618"/>
      <c r="W16" s="158"/>
      <c r="X16" s="139">
        <f t="shared" ca="1" si="58"/>
        <v>0</v>
      </c>
      <c r="Y16" s="296">
        <f t="shared" ca="1" si="59"/>
        <v>0</v>
      </c>
      <c r="Z16" s="293">
        <f t="shared" ca="1" si="3"/>
        <v>0.42708333333333331</v>
      </c>
      <c r="AA16" s="139">
        <f t="shared" ca="1" si="4"/>
        <v>5</v>
      </c>
      <c r="AB16" s="139">
        <f t="shared" ca="1" si="5"/>
        <v>1</v>
      </c>
      <c r="AC16" s="294">
        <f t="shared" ca="1" si="6"/>
        <v>0.56597222222222221</v>
      </c>
      <c r="AD16" s="294">
        <f t="shared" ca="1" si="7"/>
        <v>1</v>
      </c>
      <c r="AE16" s="295" t="str">
        <f t="shared" ca="1" si="8"/>
        <v>Maibach 1822 eV</v>
      </c>
      <c r="AF16" s="139"/>
      <c r="AG16" s="296">
        <f t="shared" ca="1" si="60"/>
        <v>0</v>
      </c>
      <c r="AH16" s="293">
        <f t="shared" ca="1" si="9"/>
        <v>99999</v>
      </c>
      <c r="AI16" s="139" t="str">
        <f t="shared" ca="1" si="10"/>
        <v/>
      </c>
      <c r="AJ16" s="139" t="str">
        <f t="shared" ca="1" si="11"/>
        <v/>
      </c>
      <c r="AK16" s="294">
        <f t="shared" ca="1" si="12"/>
        <v>0.56597222222222221</v>
      </c>
      <c r="AL16" s="294">
        <f t="shared" ca="1" si="13"/>
        <v>3</v>
      </c>
      <c r="AM16" s="295" t="str">
        <f t="shared" ca="1" si="14"/>
        <v>Inter Mailand</v>
      </c>
      <c r="AN16" s="44"/>
      <c r="AO16" s="296">
        <f t="shared" ca="1" si="61"/>
        <v>0</v>
      </c>
      <c r="AP16" s="293">
        <f t="shared" ca="1" si="15"/>
        <v>99999</v>
      </c>
      <c r="AQ16" s="139" t="str">
        <f t="shared" ca="1" si="16"/>
        <v/>
      </c>
      <c r="AR16" s="139" t="str">
        <f t="shared" ca="1" si="17"/>
        <v/>
      </c>
      <c r="AS16" s="294">
        <f t="shared" ca="1" si="18"/>
        <v>0.54861111111111116</v>
      </c>
      <c r="AT16" s="294">
        <f t="shared" ca="1" si="19"/>
        <v>3</v>
      </c>
      <c r="AU16" s="295" t="str">
        <f t="shared" ca="1" si="20"/>
        <v>SSV Wildbach</v>
      </c>
      <c r="AV16" s="139"/>
      <c r="AW16" s="296">
        <f t="shared" ca="1" si="62"/>
        <v>0</v>
      </c>
      <c r="AX16" s="293">
        <f t="shared" ca="1" si="21"/>
        <v>99999</v>
      </c>
      <c r="AY16" s="139" t="str">
        <f t="shared" ca="1" si="22"/>
        <v/>
      </c>
      <c r="AZ16" s="139" t="str">
        <f t="shared" ca="1" si="23"/>
        <v/>
      </c>
      <c r="BA16" s="294">
        <f t="shared" ca="1" si="24"/>
        <v>0.56597222222222221</v>
      </c>
      <c r="BB16" s="294">
        <f t="shared" ca="1" si="25"/>
        <v>1</v>
      </c>
      <c r="BC16" s="295" t="str">
        <f t="shared" ca="1" si="26"/>
        <v>1. FC Riedwald</v>
      </c>
      <c r="BD16" s="44"/>
      <c r="BE16" s="296">
        <f t="shared" ca="1" si="63"/>
        <v>0</v>
      </c>
      <c r="BF16" s="293">
        <f t="shared" ca="1" si="27"/>
        <v>0.42708333333333331</v>
      </c>
      <c r="BG16" s="139">
        <f t="shared" ca="1" si="28"/>
        <v>1</v>
      </c>
      <c r="BH16" s="139">
        <f t="shared" ca="1" si="29"/>
        <v>1</v>
      </c>
      <c r="BI16" s="294">
        <f t="shared" ca="1" si="30"/>
        <v>0.54861111111111116</v>
      </c>
      <c r="BJ16" s="294">
        <f t="shared" ca="1" si="31"/>
        <v>1</v>
      </c>
      <c r="BK16" s="295" t="str">
        <f t="shared" ca="1" si="32"/>
        <v>1. FC Riedwald</v>
      </c>
      <c r="BL16" s="139"/>
      <c r="BM16" s="296">
        <f t="shared" ca="1" si="64"/>
        <v>0</v>
      </c>
      <c r="BN16" s="293">
        <f t="shared" ca="1" si="33"/>
        <v>99999</v>
      </c>
      <c r="BO16" s="139" t="str">
        <f t="shared" ca="1" si="34"/>
        <v/>
      </c>
      <c r="BP16" s="139" t="str">
        <f t="shared" ca="1" si="35"/>
        <v/>
      </c>
      <c r="BQ16" s="294">
        <f t="shared" ca="1" si="36"/>
        <v>0.56597222222222221</v>
      </c>
      <c r="BR16" s="294">
        <f t="shared" ca="1" si="37"/>
        <v>3</v>
      </c>
      <c r="BS16" s="295" t="str">
        <f t="shared" ca="1" si="38"/>
        <v>FC Barcelona</v>
      </c>
      <c r="BT16" s="44"/>
      <c r="BU16" s="296">
        <f t="shared" ca="1" si="65"/>
        <v>0</v>
      </c>
      <c r="BV16" s="293">
        <f t="shared" ca="1" si="39"/>
        <v>99999</v>
      </c>
      <c r="BW16" s="139" t="str">
        <f t="shared" ca="1" si="40"/>
        <v/>
      </c>
      <c r="BX16" s="139" t="str">
        <f t="shared" ca="1" si="41"/>
        <v/>
      </c>
      <c r="BY16" s="294">
        <f t="shared" ca="1" si="42"/>
        <v>0.54861111111111116</v>
      </c>
      <c r="BZ16" s="294">
        <f t="shared" ca="1" si="43"/>
        <v>3</v>
      </c>
      <c r="CA16" s="295" t="str">
        <f t="shared" ca="1" si="44"/>
        <v>Eintracht Frankfurt</v>
      </c>
      <c r="CB16" s="139"/>
      <c r="CC16" s="296">
        <f t="shared" ca="1" si="66"/>
        <v>0</v>
      </c>
      <c r="CD16" s="293">
        <f t="shared" ca="1" si="45"/>
        <v>99999</v>
      </c>
      <c r="CE16" s="139" t="str">
        <f t="shared" ca="1" si="46"/>
        <v/>
      </c>
      <c r="CF16" s="139" t="str">
        <f t="shared" ca="1" si="47"/>
        <v/>
      </c>
      <c r="CG16" s="294">
        <f t="shared" ca="1" si="48"/>
        <v>99999</v>
      </c>
      <c r="CH16" s="294" t="str">
        <f t="shared" ca="1" si="49"/>
        <v/>
      </c>
      <c r="CI16" s="295" t="str">
        <f t="shared" ca="1" si="50"/>
        <v/>
      </c>
      <c r="CJ16" s="44"/>
      <c r="CK16" s="296">
        <f t="shared" ca="1" si="67"/>
        <v>0</v>
      </c>
      <c r="CL16" s="293">
        <f t="shared" ca="1" si="51"/>
        <v>99999</v>
      </c>
      <c r="CM16" s="139" t="str">
        <f t="shared" ca="1" si="52"/>
        <v/>
      </c>
      <c r="CN16" s="139" t="str">
        <f t="shared" ca="1" si="53"/>
        <v/>
      </c>
      <c r="CO16" s="294">
        <f t="shared" ca="1" si="54"/>
        <v>99999</v>
      </c>
      <c r="CP16" s="294" t="str">
        <f t="shared" ca="1" si="55"/>
        <v/>
      </c>
      <c r="CQ16" s="295" t="str">
        <f t="shared" ca="1" si="56"/>
        <v/>
      </c>
      <c r="CR16" s="44"/>
      <c r="CS16" s="44"/>
    </row>
    <row r="17" spans="1:97" ht="15.95" customHeight="1" x14ac:dyDescent="0.25">
      <c r="A17" s="69"/>
      <c r="B17" s="589"/>
      <c r="C17" s="593"/>
      <c r="D17" s="114">
        <f t="shared" ca="1" si="57"/>
        <v>2</v>
      </c>
      <c r="E17" s="114">
        <f t="shared" ca="1" si="0"/>
        <v>46</v>
      </c>
      <c r="F17" s="114">
        <f ca="1">IF($E17="",0,COUNTIF($E$7:$E17,INDEX($E$79:$E$150,ROW($A11))))</f>
        <v>0</v>
      </c>
      <c r="G17" s="142"/>
      <c r="H17" s="137">
        <v>11</v>
      </c>
      <c r="I17" s="164">
        <f ca="1">IF(OR($Y$3,$H17&gt;Calc!$B$13/2*$D$6),"",$U$6+QUOTIENT(($H17-1),$U$22)*($U$8+$U$10)/1440+SUM($R$7:$R16)/1440)</f>
        <v>0.42708333333333331</v>
      </c>
      <c r="J17" s="166">
        <f ca="1">IF(OR($Y$3,$H17&gt;Calc!$B$13/2*$D$6),"",MOD(($H17-1),$U$22)+1)</f>
        <v>2</v>
      </c>
      <c r="K17" s="417">
        <f ca="1"/>
        <v>4</v>
      </c>
      <c r="L17" s="418" t="s">
        <v>4</v>
      </c>
      <c r="M17" s="419">
        <f ca="1"/>
        <v>6</v>
      </c>
      <c r="N17" s="47" t="str">
        <f t="shared" ca="1" si="1"/>
        <v>Maibach 1822 eV</v>
      </c>
      <c r="O17" s="45" t="s">
        <v>4</v>
      </c>
      <c r="P17" s="46" t="str">
        <f t="shared" ca="1" si="2"/>
        <v>Inter Mailand</v>
      </c>
      <c r="Q17" s="281"/>
      <c r="R17" s="427"/>
      <c r="S17" s="157"/>
      <c r="T17" s="619"/>
      <c r="U17" s="619"/>
      <c r="V17" s="619"/>
      <c r="W17" s="158"/>
      <c r="X17" s="139">
        <f t="shared" ca="1" si="58"/>
        <v>0</v>
      </c>
      <c r="Y17" s="296">
        <f t="shared" ca="1" si="59"/>
        <v>0</v>
      </c>
      <c r="Z17" s="293">
        <f t="shared" ca="1" si="3"/>
        <v>99999</v>
      </c>
      <c r="AA17" s="139" t="str">
        <f t="shared" ca="1" si="4"/>
        <v/>
      </c>
      <c r="AB17" s="139" t="str">
        <f t="shared" ca="1" si="5"/>
        <v/>
      </c>
      <c r="AC17" s="294">
        <f t="shared" ca="1" si="6"/>
        <v>0.58333333333333337</v>
      </c>
      <c r="AD17" s="294">
        <f t="shared" ca="1" si="7"/>
        <v>1</v>
      </c>
      <c r="AE17" s="295" t="str">
        <f t="shared" ca="1" si="8"/>
        <v>Eintracht Frankfurt</v>
      </c>
      <c r="AF17" s="139"/>
      <c r="AG17" s="296">
        <f t="shared" ca="1" si="60"/>
        <v>0</v>
      </c>
      <c r="AH17" s="293">
        <f t="shared" ca="1" si="9"/>
        <v>99999</v>
      </c>
      <c r="AI17" s="139" t="str">
        <f t="shared" ca="1" si="10"/>
        <v/>
      </c>
      <c r="AJ17" s="139" t="str">
        <f t="shared" ca="1" si="11"/>
        <v/>
      </c>
      <c r="AK17" s="294">
        <f t="shared" ca="1" si="12"/>
        <v>0.58333333333333337</v>
      </c>
      <c r="AL17" s="294">
        <f t="shared" ca="1" si="13"/>
        <v>2</v>
      </c>
      <c r="AM17" s="295" t="str">
        <f t="shared" ca="1" si="14"/>
        <v>Maibach 1822 eV</v>
      </c>
      <c r="AN17" s="44"/>
      <c r="AO17" s="296">
        <f t="shared" ca="1" si="61"/>
        <v>0</v>
      </c>
      <c r="AP17" s="293">
        <f t="shared" ca="1" si="15"/>
        <v>99999</v>
      </c>
      <c r="AQ17" s="139" t="str">
        <f t="shared" ca="1" si="16"/>
        <v/>
      </c>
      <c r="AR17" s="139" t="str">
        <f t="shared" ca="1" si="17"/>
        <v/>
      </c>
      <c r="AS17" s="294">
        <f t="shared" ca="1" si="18"/>
        <v>0.56597222222222221</v>
      </c>
      <c r="AT17" s="294">
        <f t="shared" ca="1" si="19"/>
        <v>2</v>
      </c>
      <c r="AU17" s="295" t="str">
        <f t="shared" ca="1" si="20"/>
        <v>VFB Essenheim</v>
      </c>
      <c r="AV17" s="139"/>
      <c r="AW17" s="296">
        <f t="shared" ca="1" si="62"/>
        <v>0</v>
      </c>
      <c r="AX17" s="293">
        <f t="shared" ca="1" si="21"/>
        <v>0.42708333333333331</v>
      </c>
      <c r="AY17" s="139">
        <f t="shared" ca="1" si="22"/>
        <v>6</v>
      </c>
      <c r="AZ17" s="139">
        <f t="shared" ca="1" si="23"/>
        <v>2</v>
      </c>
      <c r="BA17" s="294">
        <f t="shared" ca="1" si="24"/>
        <v>0.58333333333333337</v>
      </c>
      <c r="BB17" s="294">
        <f t="shared" ca="1" si="25"/>
        <v>2</v>
      </c>
      <c r="BC17" s="295" t="str">
        <f t="shared" ca="1" si="26"/>
        <v>FC Barcelona</v>
      </c>
      <c r="BD17" s="44"/>
      <c r="BE17" s="296">
        <f t="shared" ca="1" si="63"/>
        <v>0</v>
      </c>
      <c r="BF17" s="293">
        <f t="shared" ca="1" si="27"/>
        <v>99999</v>
      </c>
      <c r="BG17" s="139" t="str">
        <f t="shared" ca="1" si="28"/>
        <v/>
      </c>
      <c r="BH17" s="139" t="str">
        <f t="shared" ca="1" si="29"/>
        <v/>
      </c>
      <c r="BI17" s="294">
        <f t="shared" ca="1" si="30"/>
        <v>0.56597222222222221</v>
      </c>
      <c r="BJ17" s="294">
        <f t="shared" ca="1" si="31"/>
        <v>2</v>
      </c>
      <c r="BK17" s="295" t="str">
        <f t="shared" ca="1" si="32"/>
        <v>Eintracht Frankfurt</v>
      </c>
      <c r="BL17" s="139"/>
      <c r="BM17" s="296">
        <f t="shared" ca="1" si="64"/>
        <v>0</v>
      </c>
      <c r="BN17" s="293">
        <f t="shared" ca="1" si="33"/>
        <v>0.42708333333333331</v>
      </c>
      <c r="BO17" s="139">
        <f t="shared" ca="1" si="34"/>
        <v>4</v>
      </c>
      <c r="BP17" s="139">
        <f t="shared" ca="1" si="35"/>
        <v>2</v>
      </c>
      <c r="BQ17" s="294">
        <f t="shared" ca="1" si="36"/>
        <v>0.58333333333333337</v>
      </c>
      <c r="BR17" s="294">
        <f t="shared" ca="1" si="37"/>
        <v>3</v>
      </c>
      <c r="BS17" s="295" t="str">
        <f t="shared" ca="1" si="38"/>
        <v>SSV Wildbach</v>
      </c>
      <c r="BT17" s="44"/>
      <c r="BU17" s="296">
        <f t="shared" ca="1" si="65"/>
        <v>0</v>
      </c>
      <c r="BV17" s="293">
        <f t="shared" ca="1" si="39"/>
        <v>99999</v>
      </c>
      <c r="BW17" s="139" t="str">
        <f t="shared" ca="1" si="40"/>
        <v/>
      </c>
      <c r="BX17" s="139" t="str">
        <f t="shared" ca="1" si="41"/>
        <v/>
      </c>
      <c r="BY17" s="294">
        <f t="shared" ca="1" si="42"/>
        <v>0.58333333333333337</v>
      </c>
      <c r="BZ17" s="294">
        <f t="shared" ca="1" si="43"/>
        <v>3</v>
      </c>
      <c r="CA17" s="295" t="str">
        <f t="shared" ca="1" si="44"/>
        <v>Inter Mailand</v>
      </c>
      <c r="CB17" s="139"/>
      <c r="CC17" s="296">
        <f t="shared" ca="1" si="66"/>
        <v>0</v>
      </c>
      <c r="CD17" s="293">
        <f t="shared" ca="1" si="45"/>
        <v>99999</v>
      </c>
      <c r="CE17" s="139" t="str">
        <f t="shared" ca="1" si="46"/>
        <v/>
      </c>
      <c r="CF17" s="139" t="str">
        <f t="shared" ca="1" si="47"/>
        <v/>
      </c>
      <c r="CG17" s="294">
        <f t="shared" ca="1" si="48"/>
        <v>99999</v>
      </c>
      <c r="CH17" s="294" t="str">
        <f t="shared" ca="1" si="49"/>
        <v/>
      </c>
      <c r="CI17" s="295" t="str">
        <f t="shared" ca="1" si="50"/>
        <v/>
      </c>
      <c r="CJ17" s="44"/>
      <c r="CK17" s="296">
        <f t="shared" ca="1" si="67"/>
        <v>0</v>
      </c>
      <c r="CL17" s="293">
        <f t="shared" ca="1" si="51"/>
        <v>99999</v>
      </c>
      <c r="CM17" s="139" t="str">
        <f t="shared" ca="1" si="52"/>
        <v/>
      </c>
      <c r="CN17" s="139" t="str">
        <f t="shared" ca="1" si="53"/>
        <v/>
      </c>
      <c r="CO17" s="294">
        <f t="shared" ca="1" si="54"/>
        <v>99999</v>
      </c>
      <c r="CP17" s="294" t="str">
        <f t="shared" ca="1" si="55"/>
        <v/>
      </c>
      <c r="CQ17" s="295" t="str">
        <f t="shared" ca="1" si="56"/>
        <v/>
      </c>
      <c r="CR17" s="44"/>
      <c r="CS17" s="44"/>
    </row>
    <row r="18" spans="1:97" ht="15.95" customHeight="1" x14ac:dyDescent="0.25">
      <c r="A18" s="69">
        <f>COUNTIF($C$8:$C$25,$C$18)</f>
        <v>1</v>
      </c>
      <c r="B18" s="590">
        <v>6</v>
      </c>
      <c r="C18" s="592" t="s">
        <v>247</v>
      </c>
      <c r="D18" s="114">
        <f t="shared" ca="1" si="57"/>
        <v>2</v>
      </c>
      <c r="E18" s="114">
        <f t="shared" ca="1" si="0"/>
        <v>73</v>
      </c>
      <c r="F18" s="114">
        <f ca="1">IF($E18="",0,COUNTIF($E$7:$E18,INDEX($E$79:$E$150,ROW($A12))))</f>
        <v>0</v>
      </c>
      <c r="G18" s="142"/>
      <c r="H18" s="137">
        <v>12</v>
      </c>
      <c r="I18" s="164">
        <f ca="1">IF(OR($Y$3,$H18&gt;Calc!$B$13/2*$D$6),"",$U$6+QUOTIENT(($H18-1),$U$22)*($U$8+$U$10)/1440+SUM($R$7:$R17)/1440)</f>
        <v>0.42708333333333331</v>
      </c>
      <c r="J18" s="166">
        <f ca="1">IF(OR($Y$3,$H18&gt;Calc!$B$13/2*$D$6),"",MOD(($H18-1),$U$22)+1)</f>
        <v>3</v>
      </c>
      <c r="K18" s="417">
        <f ca="1"/>
        <v>7</v>
      </c>
      <c r="L18" s="418" t="s">
        <v>4</v>
      </c>
      <c r="M18" s="419">
        <f ca="1"/>
        <v>3</v>
      </c>
      <c r="N18" s="47" t="str">
        <f t="shared" ca="1" si="1"/>
        <v>SSV Wildbach</v>
      </c>
      <c r="O18" s="45" t="s">
        <v>4</v>
      </c>
      <c r="P18" s="46" t="str">
        <f t="shared" ca="1" si="2"/>
        <v>Eintracht Frankfurt</v>
      </c>
      <c r="Q18" s="281"/>
      <c r="R18" s="427"/>
      <c r="S18" s="157"/>
      <c r="T18" s="279">
        <f>QUOTIENT(Calc!$F$13,2)</f>
        <v>3</v>
      </c>
      <c r="U18" s="279" t="str">
        <f ca="1">IFERROR(proof!$E$3,"")</f>
        <v/>
      </c>
      <c r="V18" s="279" t="str">
        <f ca="1">IFERROR(proof!$E$4,"")</f>
        <v/>
      </c>
      <c r="W18" s="158"/>
      <c r="X18" s="139">
        <f t="shared" ca="1" si="58"/>
        <v>0</v>
      </c>
      <c r="Y18" s="296">
        <f t="shared" ca="1" si="59"/>
        <v>0</v>
      </c>
      <c r="Z18" s="293">
        <f t="shared" ca="1" si="3"/>
        <v>99999</v>
      </c>
      <c r="AA18" s="139" t="str">
        <f t="shared" ca="1" si="4"/>
        <v/>
      </c>
      <c r="AB18" s="139" t="str">
        <f t="shared" ca="1" si="5"/>
        <v/>
      </c>
      <c r="AC18" s="294">
        <f t="shared" ca="1" si="6"/>
        <v>0.60069444444444442</v>
      </c>
      <c r="AD18" s="294">
        <f t="shared" ca="1" si="7"/>
        <v>1</v>
      </c>
      <c r="AE18" s="295" t="str">
        <f t="shared" ca="1" si="8"/>
        <v>FC Barcelona</v>
      </c>
      <c r="AF18" s="139"/>
      <c r="AG18" s="296">
        <f t="shared" ca="1" si="60"/>
        <v>0</v>
      </c>
      <c r="AH18" s="293">
        <f t="shared" ca="1" si="9"/>
        <v>99999</v>
      </c>
      <c r="AI18" s="139" t="str">
        <f t="shared" ca="1" si="10"/>
        <v/>
      </c>
      <c r="AJ18" s="139" t="str">
        <f t="shared" ca="1" si="11"/>
        <v/>
      </c>
      <c r="AK18" s="294">
        <f t="shared" ca="1" si="12"/>
        <v>0.60069444444444442</v>
      </c>
      <c r="AL18" s="294">
        <f t="shared" ca="1" si="13"/>
        <v>1</v>
      </c>
      <c r="AM18" s="295" t="str">
        <f t="shared" ca="1" si="14"/>
        <v>1. FC Riedwald</v>
      </c>
      <c r="AN18" s="44"/>
      <c r="AO18" s="296">
        <f t="shared" ca="1" si="61"/>
        <v>0</v>
      </c>
      <c r="AP18" s="293">
        <f t="shared" ca="1" si="15"/>
        <v>0.42708333333333331</v>
      </c>
      <c r="AQ18" s="139">
        <f t="shared" ca="1" si="16"/>
        <v>7</v>
      </c>
      <c r="AR18" s="139">
        <f t="shared" ca="1" si="17"/>
        <v>3</v>
      </c>
      <c r="AS18" s="294">
        <f t="shared" ca="1" si="18"/>
        <v>0.58333333333333337</v>
      </c>
      <c r="AT18" s="294">
        <f t="shared" ca="1" si="19"/>
        <v>1</v>
      </c>
      <c r="AU18" s="295" t="str">
        <f t="shared" ca="1" si="20"/>
        <v>1. FC Riedwald</v>
      </c>
      <c r="AV18" s="139"/>
      <c r="AW18" s="296">
        <f t="shared" ca="1" si="62"/>
        <v>0</v>
      </c>
      <c r="AX18" s="293">
        <f t="shared" ca="1" si="21"/>
        <v>99999</v>
      </c>
      <c r="AY18" s="139" t="str">
        <f t="shared" ca="1" si="22"/>
        <v/>
      </c>
      <c r="AZ18" s="139" t="str">
        <f t="shared" ca="1" si="23"/>
        <v/>
      </c>
      <c r="BA18" s="294">
        <f t="shared" ca="1" si="24"/>
        <v>0.60069444444444442</v>
      </c>
      <c r="BB18" s="294">
        <f t="shared" ca="1" si="25"/>
        <v>2</v>
      </c>
      <c r="BC18" s="295" t="str">
        <f t="shared" ca="1" si="26"/>
        <v>SSV Wildbach</v>
      </c>
      <c r="BD18" s="44"/>
      <c r="BE18" s="296">
        <f t="shared" ca="1" si="63"/>
        <v>0</v>
      </c>
      <c r="BF18" s="293">
        <f t="shared" ca="1" si="27"/>
        <v>99999</v>
      </c>
      <c r="BG18" s="139" t="str">
        <f t="shared" ca="1" si="28"/>
        <v/>
      </c>
      <c r="BH18" s="139" t="str">
        <f t="shared" ca="1" si="29"/>
        <v/>
      </c>
      <c r="BI18" s="294">
        <f t="shared" ca="1" si="30"/>
        <v>0.60069444444444442</v>
      </c>
      <c r="BJ18" s="294">
        <f t="shared" ca="1" si="31"/>
        <v>3</v>
      </c>
      <c r="BK18" s="295" t="str">
        <f t="shared" ca="1" si="32"/>
        <v>Inter Mailand</v>
      </c>
      <c r="BL18" s="139"/>
      <c r="BM18" s="296">
        <f t="shared" ca="1" si="64"/>
        <v>0</v>
      </c>
      <c r="BN18" s="293">
        <f t="shared" ca="1" si="33"/>
        <v>99999</v>
      </c>
      <c r="BO18" s="139" t="str">
        <f t="shared" ca="1" si="34"/>
        <v/>
      </c>
      <c r="BP18" s="139" t="str">
        <f t="shared" ca="1" si="35"/>
        <v/>
      </c>
      <c r="BQ18" s="294">
        <f t="shared" ca="1" si="36"/>
        <v>0.60069444444444442</v>
      </c>
      <c r="BR18" s="294">
        <f t="shared" ca="1" si="37"/>
        <v>3</v>
      </c>
      <c r="BS18" s="295" t="str">
        <f t="shared" ca="1" si="38"/>
        <v>VFB Essenheim</v>
      </c>
      <c r="BT18" s="44"/>
      <c r="BU18" s="296">
        <f t="shared" ca="1" si="65"/>
        <v>0</v>
      </c>
      <c r="BV18" s="293">
        <f t="shared" ca="1" si="39"/>
        <v>0.42708333333333331</v>
      </c>
      <c r="BW18" s="139">
        <f t="shared" ca="1" si="40"/>
        <v>3</v>
      </c>
      <c r="BX18" s="139">
        <f t="shared" ca="1" si="41"/>
        <v>3</v>
      </c>
      <c r="BY18" s="294">
        <f t="shared" ca="1" si="42"/>
        <v>0.60069444444444442</v>
      </c>
      <c r="BZ18" s="294">
        <f t="shared" ca="1" si="43"/>
        <v>2</v>
      </c>
      <c r="CA18" s="295" t="str">
        <f t="shared" ca="1" si="44"/>
        <v>Maibach 1822 eV</v>
      </c>
      <c r="CB18" s="139"/>
      <c r="CC18" s="296">
        <f t="shared" ca="1" si="66"/>
        <v>0</v>
      </c>
      <c r="CD18" s="293">
        <f t="shared" ca="1" si="45"/>
        <v>99999</v>
      </c>
      <c r="CE18" s="139" t="str">
        <f t="shared" ca="1" si="46"/>
        <v/>
      </c>
      <c r="CF18" s="139" t="str">
        <f t="shared" ca="1" si="47"/>
        <v/>
      </c>
      <c r="CG18" s="294">
        <f t="shared" ca="1" si="48"/>
        <v>99999</v>
      </c>
      <c r="CH18" s="294" t="str">
        <f t="shared" ca="1" si="49"/>
        <v/>
      </c>
      <c r="CI18" s="295" t="str">
        <f t="shared" ca="1" si="50"/>
        <v/>
      </c>
      <c r="CJ18" s="44"/>
      <c r="CK18" s="296">
        <f t="shared" ca="1" si="67"/>
        <v>0</v>
      </c>
      <c r="CL18" s="293">
        <f t="shared" ca="1" si="51"/>
        <v>99999</v>
      </c>
      <c r="CM18" s="139" t="str">
        <f t="shared" ca="1" si="52"/>
        <v/>
      </c>
      <c r="CN18" s="139" t="str">
        <f t="shared" ca="1" si="53"/>
        <v/>
      </c>
      <c r="CO18" s="294">
        <f t="shared" ca="1" si="54"/>
        <v>99999</v>
      </c>
      <c r="CP18" s="294" t="str">
        <f t="shared" ca="1" si="55"/>
        <v/>
      </c>
      <c r="CQ18" s="295" t="str">
        <f t="shared" ca="1" si="56"/>
        <v/>
      </c>
      <c r="CR18" s="44"/>
      <c r="CS18" s="44"/>
    </row>
    <row r="19" spans="1:97" ht="15.95" customHeight="1" x14ac:dyDescent="0.25">
      <c r="A19" s="69"/>
      <c r="B19" s="589"/>
      <c r="C19" s="593"/>
      <c r="D19" s="114">
        <f t="shared" ca="1" si="57"/>
        <v>2</v>
      </c>
      <c r="E19" s="114">
        <f t="shared" ca="1" si="0"/>
        <v>14</v>
      </c>
      <c r="F19" s="114">
        <f ca="1">IF($E19="",0,COUNTIF($E$7:$E19,INDEX($E$79:$E$150,ROW($A13))))</f>
        <v>0</v>
      </c>
      <c r="G19" s="142"/>
      <c r="H19" s="137">
        <v>13</v>
      </c>
      <c r="I19" s="164">
        <f ca="1">IF(OR($Y$3,$H19&gt;Calc!$B$13/2*$D$6),"",$U$6+QUOTIENT(($H19-1),$U$22)*($U$8+$U$10)/1440+SUM($R$7:$R18)/1440)</f>
        <v>0.44444444444444442</v>
      </c>
      <c r="J19" s="166">
        <f ca="1">IF(OR($Y$3,$H19&gt;Calc!$B$13/2*$D$6),"",MOD(($H19-1),$U$22)+1)</f>
        <v>1</v>
      </c>
      <c r="K19" s="417">
        <f ca="1"/>
        <v>1</v>
      </c>
      <c r="L19" s="418" t="s">
        <v>4</v>
      </c>
      <c r="M19" s="419">
        <f ca="1"/>
        <v>4</v>
      </c>
      <c r="N19" s="47" t="str">
        <f t="shared" ca="1" si="1"/>
        <v>1. FC Riedwald</v>
      </c>
      <c r="O19" s="45" t="s">
        <v>4</v>
      </c>
      <c r="P19" s="46" t="str">
        <f t="shared" ca="1" si="2"/>
        <v>Maibach 1822 eV</v>
      </c>
      <c r="Q19" s="281"/>
      <c r="R19" s="427"/>
      <c r="S19" s="157"/>
      <c r="T19" s="617" t="str">
        <f ca="1">IF($Y$3,"",IF(proof!$G$2="FEHLER",Language!$E$96&amp;VLOOKUP(proof!$E$6,$B$8:$C$24,2,0),""))</f>
        <v/>
      </c>
      <c r="U19" s="617"/>
      <c r="V19" s="617"/>
      <c r="W19" s="158"/>
      <c r="X19" s="139">
        <f t="shared" ca="1" si="58"/>
        <v>0</v>
      </c>
      <c r="Y19" s="296">
        <f t="shared" ca="1" si="59"/>
        <v>0</v>
      </c>
      <c r="Z19" s="293">
        <f t="shared" ca="1" si="3"/>
        <v>0.44444444444444442</v>
      </c>
      <c r="AA19" s="139">
        <f t="shared" ca="1" si="4"/>
        <v>4</v>
      </c>
      <c r="AB19" s="139">
        <f t="shared" ca="1" si="5"/>
        <v>1</v>
      </c>
      <c r="AC19" s="294">
        <f t="shared" ca="1" si="6"/>
        <v>99999</v>
      </c>
      <c r="AD19" s="294" t="str">
        <f t="shared" ca="1" si="7"/>
        <v/>
      </c>
      <c r="AE19" s="295" t="str">
        <f t="shared" ca="1" si="8"/>
        <v/>
      </c>
      <c r="AF19" s="139"/>
      <c r="AG19" s="296">
        <f t="shared" ca="1" si="60"/>
        <v>0</v>
      </c>
      <c r="AH19" s="293">
        <f t="shared" ca="1" si="9"/>
        <v>99999</v>
      </c>
      <c r="AI19" s="139" t="str">
        <f t="shared" ca="1" si="10"/>
        <v/>
      </c>
      <c r="AJ19" s="139" t="str">
        <f t="shared" ca="1" si="11"/>
        <v/>
      </c>
      <c r="AK19" s="294">
        <f t="shared" ca="1" si="12"/>
        <v>99999</v>
      </c>
      <c r="AL19" s="294" t="str">
        <f t="shared" ca="1" si="13"/>
        <v/>
      </c>
      <c r="AM19" s="295" t="str">
        <f t="shared" ca="1" si="14"/>
        <v/>
      </c>
      <c r="AN19" s="44"/>
      <c r="AO19" s="296">
        <f t="shared" ca="1" si="61"/>
        <v>0</v>
      </c>
      <c r="AP19" s="293">
        <f t="shared" ca="1" si="15"/>
        <v>99999</v>
      </c>
      <c r="AQ19" s="139" t="str">
        <f t="shared" ca="1" si="16"/>
        <v/>
      </c>
      <c r="AR19" s="139" t="str">
        <f t="shared" ca="1" si="17"/>
        <v/>
      </c>
      <c r="AS19" s="294">
        <f t="shared" ca="1" si="18"/>
        <v>99999</v>
      </c>
      <c r="AT19" s="294" t="str">
        <f t="shared" ca="1" si="19"/>
        <v/>
      </c>
      <c r="AU19" s="295" t="str">
        <f t="shared" ca="1" si="20"/>
        <v/>
      </c>
      <c r="AV19" s="139"/>
      <c r="AW19" s="296">
        <f t="shared" ca="1" si="62"/>
        <v>0</v>
      </c>
      <c r="AX19" s="293">
        <f t="shared" ca="1" si="21"/>
        <v>0.44444444444444442</v>
      </c>
      <c r="AY19" s="139">
        <f t="shared" ca="1" si="22"/>
        <v>1</v>
      </c>
      <c r="AZ19" s="139">
        <f t="shared" ca="1" si="23"/>
        <v>1</v>
      </c>
      <c r="BA19" s="294">
        <f t="shared" ca="1" si="24"/>
        <v>99999</v>
      </c>
      <c r="BB19" s="294" t="str">
        <f t="shared" ca="1" si="25"/>
        <v/>
      </c>
      <c r="BC19" s="295" t="str">
        <f t="shared" ca="1" si="26"/>
        <v/>
      </c>
      <c r="BD19" s="44"/>
      <c r="BE19" s="296">
        <f t="shared" ca="1" si="63"/>
        <v>0</v>
      </c>
      <c r="BF19" s="293">
        <f t="shared" ca="1" si="27"/>
        <v>99999</v>
      </c>
      <c r="BG19" s="139" t="str">
        <f t="shared" ca="1" si="28"/>
        <v/>
      </c>
      <c r="BH19" s="139" t="str">
        <f t="shared" ca="1" si="29"/>
        <v/>
      </c>
      <c r="BI19" s="294">
        <f t="shared" ca="1" si="30"/>
        <v>99999</v>
      </c>
      <c r="BJ19" s="294" t="str">
        <f t="shared" ca="1" si="31"/>
        <v/>
      </c>
      <c r="BK19" s="295" t="str">
        <f t="shared" ca="1" si="32"/>
        <v/>
      </c>
      <c r="BL19" s="139"/>
      <c r="BM19" s="296">
        <f t="shared" ca="1" si="64"/>
        <v>0</v>
      </c>
      <c r="BN19" s="293">
        <f t="shared" ca="1" si="33"/>
        <v>99999</v>
      </c>
      <c r="BO19" s="139" t="str">
        <f t="shared" ca="1" si="34"/>
        <v/>
      </c>
      <c r="BP19" s="139" t="str">
        <f t="shared" ca="1" si="35"/>
        <v/>
      </c>
      <c r="BQ19" s="294">
        <f t="shared" ca="1" si="36"/>
        <v>99999</v>
      </c>
      <c r="BR19" s="294" t="str">
        <f t="shared" ca="1" si="37"/>
        <v/>
      </c>
      <c r="BS19" s="295" t="str">
        <f t="shared" ca="1" si="38"/>
        <v/>
      </c>
      <c r="BT19" s="44"/>
      <c r="BU19" s="296">
        <f t="shared" ca="1" si="65"/>
        <v>0</v>
      </c>
      <c r="BV19" s="293">
        <f t="shared" ca="1" si="39"/>
        <v>99999</v>
      </c>
      <c r="BW19" s="139" t="str">
        <f t="shared" ca="1" si="40"/>
        <v/>
      </c>
      <c r="BX19" s="139" t="str">
        <f t="shared" ca="1" si="41"/>
        <v/>
      </c>
      <c r="BY19" s="294">
        <f t="shared" ca="1" si="42"/>
        <v>99999</v>
      </c>
      <c r="BZ19" s="294" t="str">
        <f t="shared" ca="1" si="43"/>
        <v/>
      </c>
      <c r="CA19" s="295" t="str">
        <f t="shared" ca="1" si="44"/>
        <v/>
      </c>
      <c r="CB19" s="139"/>
      <c r="CC19" s="296">
        <f t="shared" ca="1" si="66"/>
        <v>0</v>
      </c>
      <c r="CD19" s="293">
        <f t="shared" ca="1" si="45"/>
        <v>99999</v>
      </c>
      <c r="CE19" s="139" t="str">
        <f t="shared" ca="1" si="46"/>
        <v/>
      </c>
      <c r="CF19" s="139" t="str">
        <f t="shared" ca="1" si="47"/>
        <v/>
      </c>
      <c r="CG19" s="294">
        <f t="shared" ca="1" si="48"/>
        <v>99999</v>
      </c>
      <c r="CH19" s="294" t="str">
        <f t="shared" ca="1" si="49"/>
        <v/>
      </c>
      <c r="CI19" s="295" t="str">
        <f t="shared" ca="1" si="50"/>
        <v/>
      </c>
      <c r="CJ19" s="44"/>
      <c r="CK19" s="296">
        <f t="shared" ca="1" si="67"/>
        <v>0</v>
      </c>
      <c r="CL19" s="293">
        <f t="shared" ca="1" si="51"/>
        <v>99999</v>
      </c>
      <c r="CM19" s="139" t="str">
        <f t="shared" ca="1" si="52"/>
        <v/>
      </c>
      <c r="CN19" s="139" t="str">
        <f t="shared" ca="1" si="53"/>
        <v/>
      </c>
      <c r="CO19" s="294">
        <f t="shared" ca="1" si="54"/>
        <v>99999</v>
      </c>
      <c r="CP19" s="294" t="str">
        <f t="shared" ca="1" si="55"/>
        <v/>
      </c>
      <c r="CQ19" s="295" t="str">
        <f t="shared" ca="1" si="56"/>
        <v/>
      </c>
      <c r="CR19" s="44"/>
      <c r="CS19" s="44"/>
    </row>
    <row r="20" spans="1:97" ht="15.95" customHeight="1" x14ac:dyDescent="0.25">
      <c r="A20" s="69">
        <f>COUNTIF($C$8:$C$25,$C$20)</f>
        <v>1</v>
      </c>
      <c r="B20" s="590">
        <v>7</v>
      </c>
      <c r="C20" s="592" t="s">
        <v>248</v>
      </c>
      <c r="D20" s="114">
        <f t="shared" ca="1" si="57"/>
        <v>2</v>
      </c>
      <c r="E20" s="114">
        <f t="shared" ca="1" si="0"/>
        <v>35</v>
      </c>
      <c r="F20" s="114">
        <f ca="1">IF($E20="",0,COUNTIF($E$7:$E20,INDEX($E$79:$E$150,ROW($A14))))</f>
        <v>0</v>
      </c>
      <c r="G20" s="142"/>
      <c r="H20" s="137">
        <v>14</v>
      </c>
      <c r="I20" s="164">
        <f ca="1">IF(OR($Y$3,$H20&gt;Calc!$B$13/2*$D$6),"",$U$6+QUOTIENT(($H20-1),$U$22)*($U$8+$U$10)/1440+SUM($R$7:$R19)/1440)</f>
        <v>0.44444444444444442</v>
      </c>
      <c r="J20" s="166">
        <f ca="1">IF(OR($Y$3,$H20&gt;Calc!$B$13/2*$D$6),"",MOD(($H20-1),$U$22)+1)</f>
        <v>2</v>
      </c>
      <c r="K20" s="417">
        <f ca="1"/>
        <v>3</v>
      </c>
      <c r="L20" s="418" t="s">
        <v>4</v>
      </c>
      <c r="M20" s="419">
        <f ca="1"/>
        <v>5</v>
      </c>
      <c r="N20" s="47" t="str">
        <f t="shared" ca="1" si="1"/>
        <v>Eintracht Frankfurt</v>
      </c>
      <c r="O20" s="45" t="s">
        <v>4</v>
      </c>
      <c r="P20" s="46" t="str">
        <f t="shared" ca="1" si="2"/>
        <v>VFB Essenheim</v>
      </c>
      <c r="Q20" s="281"/>
      <c r="R20" s="427"/>
      <c r="S20" s="157"/>
      <c r="T20" s="617" t="str">
        <f ca="1">IF($Y$3,"",IF(proof!$G$2="FEHLER",Language!$E$97&amp;$U$18&amp;Language!$E$98&amp;$V$18,""))</f>
        <v/>
      </c>
      <c r="U20" s="617"/>
      <c r="V20" s="617"/>
      <c r="W20" s="158"/>
      <c r="X20" s="139">
        <f t="shared" ca="1" si="58"/>
        <v>0</v>
      </c>
      <c r="Y20" s="296">
        <f t="shared" ca="1" si="59"/>
        <v>0</v>
      </c>
      <c r="Z20" s="293">
        <f t="shared" ca="1" si="3"/>
        <v>99999</v>
      </c>
      <c r="AA20" s="139" t="str">
        <f t="shared" ca="1" si="4"/>
        <v/>
      </c>
      <c r="AB20" s="139" t="str">
        <f t="shared" ca="1" si="5"/>
        <v/>
      </c>
      <c r="AC20" s="294">
        <f t="shared" ca="1" si="6"/>
        <v>99999</v>
      </c>
      <c r="AD20" s="294" t="str">
        <f t="shared" ca="1" si="7"/>
        <v/>
      </c>
      <c r="AE20" s="295" t="str">
        <f t="shared" ca="1" si="8"/>
        <v/>
      </c>
      <c r="AF20" s="139"/>
      <c r="AG20" s="296">
        <f t="shared" ca="1" si="60"/>
        <v>0</v>
      </c>
      <c r="AH20" s="293">
        <f t="shared" ca="1" si="9"/>
        <v>99999</v>
      </c>
      <c r="AI20" s="139" t="str">
        <f t="shared" ca="1" si="10"/>
        <v/>
      </c>
      <c r="AJ20" s="139" t="str">
        <f t="shared" ca="1" si="11"/>
        <v/>
      </c>
      <c r="AK20" s="294">
        <f t="shared" ca="1" si="12"/>
        <v>99999</v>
      </c>
      <c r="AL20" s="294" t="str">
        <f t="shared" ca="1" si="13"/>
        <v/>
      </c>
      <c r="AM20" s="295" t="str">
        <f t="shared" ca="1" si="14"/>
        <v/>
      </c>
      <c r="AN20" s="44"/>
      <c r="AO20" s="296">
        <f t="shared" ca="1" si="61"/>
        <v>0</v>
      </c>
      <c r="AP20" s="293">
        <f t="shared" ca="1" si="15"/>
        <v>0.44444444444444442</v>
      </c>
      <c r="AQ20" s="139">
        <f t="shared" ca="1" si="16"/>
        <v>5</v>
      </c>
      <c r="AR20" s="139">
        <f t="shared" ca="1" si="17"/>
        <v>2</v>
      </c>
      <c r="AS20" s="294">
        <f t="shared" ca="1" si="18"/>
        <v>99999</v>
      </c>
      <c r="AT20" s="294" t="str">
        <f t="shared" ca="1" si="19"/>
        <v/>
      </c>
      <c r="AU20" s="295" t="str">
        <f t="shared" ca="1" si="20"/>
        <v/>
      </c>
      <c r="AV20" s="139"/>
      <c r="AW20" s="296">
        <f t="shared" ca="1" si="62"/>
        <v>0</v>
      </c>
      <c r="AX20" s="293">
        <f t="shared" ca="1" si="21"/>
        <v>99999</v>
      </c>
      <c r="AY20" s="139" t="str">
        <f t="shared" ca="1" si="22"/>
        <v/>
      </c>
      <c r="AZ20" s="139" t="str">
        <f t="shared" ca="1" si="23"/>
        <v/>
      </c>
      <c r="BA20" s="294">
        <f t="shared" ca="1" si="24"/>
        <v>99999</v>
      </c>
      <c r="BB20" s="294" t="str">
        <f t="shared" ca="1" si="25"/>
        <v/>
      </c>
      <c r="BC20" s="295" t="str">
        <f t="shared" ca="1" si="26"/>
        <v/>
      </c>
      <c r="BD20" s="44"/>
      <c r="BE20" s="296">
        <f t="shared" ca="1" si="63"/>
        <v>0</v>
      </c>
      <c r="BF20" s="293">
        <f t="shared" ca="1" si="27"/>
        <v>0.44444444444444442</v>
      </c>
      <c r="BG20" s="139">
        <f t="shared" ca="1" si="28"/>
        <v>3</v>
      </c>
      <c r="BH20" s="139">
        <f t="shared" ca="1" si="29"/>
        <v>2</v>
      </c>
      <c r="BI20" s="294">
        <f t="shared" ca="1" si="30"/>
        <v>99999</v>
      </c>
      <c r="BJ20" s="294" t="str">
        <f t="shared" ca="1" si="31"/>
        <v/>
      </c>
      <c r="BK20" s="295" t="str">
        <f t="shared" ca="1" si="32"/>
        <v/>
      </c>
      <c r="BL20" s="139"/>
      <c r="BM20" s="296">
        <f t="shared" ca="1" si="64"/>
        <v>0</v>
      </c>
      <c r="BN20" s="293">
        <f t="shared" ca="1" si="33"/>
        <v>99999</v>
      </c>
      <c r="BO20" s="139" t="str">
        <f t="shared" ca="1" si="34"/>
        <v/>
      </c>
      <c r="BP20" s="139" t="str">
        <f t="shared" ca="1" si="35"/>
        <v/>
      </c>
      <c r="BQ20" s="294">
        <f t="shared" ca="1" si="36"/>
        <v>99999</v>
      </c>
      <c r="BR20" s="294" t="str">
        <f t="shared" ca="1" si="37"/>
        <v/>
      </c>
      <c r="BS20" s="295" t="str">
        <f t="shared" ca="1" si="38"/>
        <v/>
      </c>
      <c r="BT20" s="44"/>
      <c r="BU20" s="296">
        <f t="shared" ca="1" si="65"/>
        <v>0</v>
      </c>
      <c r="BV20" s="293">
        <f t="shared" ca="1" si="39"/>
        <v>99999</v>
      </c>
      <c r="BW20" s="139" t="str">
        <f t="shared" ca="1" si="40"/>
        <v/>
      </c>
      <c r="BX20" s="139" t="str">
        <f t="shared" ca="1" si="41"/>
        <v/>
      </c>
      <c r="BY20" s="294">
        <f t="shared" ca="1" si="42"/>
        <v>99999</v>
      </c>
      <c r="BZ20" s="294" t="str">
        <f t="shared" ca="1" si="43"/>
        <v/>
      </c>
      <c r="CA20" s="295" t="str">
        <f t="shared" ca="1" si="44"/>
        <v/>
      </c>
      <c r="CB20" s="139"/>
      <c r="CC20" s="296">
        <f t="shared" ca="1" si="66"/>
        <v>0</v>
      </c>
      <c r="CD20" s="293">
        <f t="shared" ca="1" si="45"/>
        <v>99999</v>
      </c>
      <c r="CE20" s="139" t="str">
        <f t="shared" ca="1" si="46"/>
        <v/>
      </c>
      <c r="CF20" s="139" t="str">
        <f t="shared" ca="1" si="47"/>
        <v/>
      </c>
      <c r="CG20" s="294">
        <f t="shared" ca="1" si="48"/>
        <v>99999</v>
      </c>
      <c r="CH20" s="294" t="str">
        <f t="shared" ca="1" si="49"/>
        <v/>
      </c>
      <c r="CI20" s="295" t="str">
        <f t="shared" ca="1" si="50"/>
        <v/>
      </c>
      <c r="CJ20" s="44"/>
      <c r="CK20" s="296">
        <f t="shared" ca="1" si="67"/>
        <v>0</v>
      </c>
      <c r="CL20" s="293">
        <f t="shared" ca="1" si="51"/>
        <v>99999</v>
      </c>
      <c r="CM20" s="139" t="str">
        <f t="shared" ca="1" si="52"/>
        <v/>
      </c>
      <c r="CN20" s="139" t="str">
        <f t="shared" ca="1" si="53"/>
        <v/>
      </c>
      <c r="CO20" s="294">
        <f t="shared" ca="1" si="54"/>
        <v>99999</v>
      </c>
      <c r="CP20" s="294" t="str">
        <f t="shared" ca="1" si="55"/>
        <v/>
      </c>
      <c r="CQ20" s="295" t="str">
        <f t="shared" ca="1" si="56"/>
        <v/>
      </c>
      <c r="CR20" s="44"/>
      <c r="CS20" s="44"/>
    </row>
    <row r="21" spans="1:97" ht="15.95" customHeight="1" x14ac:dyDescent="0.25">
      <c r="A21" s="69"/>
      <c r="B21" s="589"/>
      <c r="C21" s="593"/>
      <c r="D21" s="114">
        <f t="shared" ca="1" si="57"/>
        <v>2</v>
      </c>
      <c r="E21" s="114">
        <f t="shared" ca="1" si="0"/>
        <v>62</v>
      </c>
      <c r="F21" s="114">
        <f ca="1">IF($E21="",0,COUNTIF($E$7:$E21,INDEX($E$79:$E$150,ROW($A15))))</f>
        <v>0</v>
      </c>
      <c r="G21" s="142"/>
      <c r="H21" s="137">
        <v>15</v>
      </c>
      <c r="I21" s="164">
        <f ca="1">IF(OR($Y$3,$H21&gt;Calc!$B$13/2*$D$6),"",$U$6+QUOTIENT(($H21-1),$U$22)*($U$8+$U$10)/1440+SUM($R$7:$R20)/1440)</f>
        <v>0.44444444444444442</v>
      </c>
      <c r="J21" s="166">
        <f ca="1">IF(OR($Y$3,$H21&gt;Calc!$B$13/2*$D$6),"",MOD(($H21-1),$U$22)+1)</f>
        <v>3</v>
      </c>
      <c r="K21" s="417">
        <f ca="1"/>
        <v>6</v>
      </c>
      <c r="L21" s="418" t="s">
        <v>4</v>
      </c>
      <c r="M21" s="419">
        <f ca="1"/>
        <v>2</v>
      </c>
      <c r="N21" s="47" t="str">
        <f t="shared" ca="1" si="1"/>
        <v>Inter Mailand</v>
      </c>
      <c r="O21" s="45" t="s">
        <v>4</v>
      </c>
      <c r="P21" s="46" t="str">
        <f t="shared" ca="1" si="2"/>
        <v>FC Barcelona</v>
      </c>
      <c r="Q21" s="281"/>
      <c r="R21" s="427"/>
      <c r="S21" s="157"/>
      <c r="T21" s="158"/>
      <c r="U21" s="158"/>
      <c r="V21" s="158"/>
      <c r="W21" s="158"/>
      <c r="X21" s="139">
        <f t="shared" ca="1" si="58"/>
        <v>0</v>
      </c>
      <c r="Y21" s="296">
        <f t="shared" ca="1" si="59"/>
        <v>0</v>
      </c>
      <c r="Z21" s="293">
        <f t="shared" ca="1" si="3"/>
        <v>99999</v>
      </c>
      <c r="AA21" s="139" t="str">
        <f t="shared" ca="1" si="4"/>
        <v/>
      </c>
      <c r="AB21" s="139" t="str">
        <f t="shared" ca="1" si="5"/>
        <v/>
      </c>
      <c r="AC21" s="294">
        <f t="shared" ca="1" si="6"/>
        <v>99999</v>
      </c>
      <c r="AD21" s="294" t="str">
        <f t="shared" ca="1" si="7"/>
        <v/>
      </c>
      <c r="AE21" s="295" t="str">
        <f t="shared" ca="1" si="8"/>
        <v/>
      </c>
      <c r="AF21" s="139"/>
      <c r="AG21" s="296">
        <f t="shared" ca="1" si="60"/>
        <v>0</v>
      </c>
      <c r="AH21" s="293">
        <f t="shared" ca="1" si="9"/>
        <v>0.44444444444444442</v>
      </c>
      <c r="AI21" s="139">
        <f t="shared" ca="1" si="10"/>
        <v>6</v>
      </c>
      <c r="AJ21" s="139">
        <f t="shared" ca="1" si="11"/>
        <v>3</v>
      </c>
      <c r="AK21" s="294">
        <f t="shared" ca="1" si="12"/>
        <v>99999</v>
      </c>
      <c r="AL21" s="294" t="str">
        <f t="shared" ca="1" si="13"/>
        <v/>
      </c>
      <c r="AM21" s="295" t="str">
        <f t="shared" ca="1" si="14"/>
        <v/>
      </c>
      <c r="AN21" s="44"/>
      <c r="AO21" s="296">
        <f t="shared" ca="1" si="61"/>
        <v>0</v>
      </c>
      <c r="AP21" s="293">
        <f t="shared" ca="1" si="15"/>
        <v>99999</v>
      </c>
      <c r="AQ21" s="139" t="str">
        <f t="shared" ca="1" si="16"/>
        <v/>
      </c>
      <c r="AR21" s="139" t="str">
        <f t="shared" ca="1" si="17"/>
        <v/>
      </c>
      <c r="AS21" s="294">
        <f t="shared" ca="1" si="18"/>
        <v>99999</v>
      </c>
      <c r="AT21" s="294" t="str">
        <f t="shared" ca="1" si="19"/>
        <v/>
      </c>
      <c r="AU21" s="295" t="str">
        <f t="shared" ca="1" si="20"/>
        <v/>
      </c>
      <c r="AV21" s="139"/>
      <c r="AW21" s="296">
        <f t="shared" ca="1" si="62"/>
        <v>0</v>
      </c>
      <c r="AX21" s="293">
        <f t="shared" ca="1" si="21"/>
        <v>99999</v>
      </c>
      <c r="AY21" s="139" t="str">
        <f t="shared" ca="1" si="22"/>
        <v/>
      </c>
      <c r="AZ21" s="139" t="str">
        <f t="shared" ca="1" si="23"/>
        <v/>
      </c>
      <c r="BA21" s="294">
        <f t="shared" ca="1" si="24"/>
        <v>99999</v>
      </c>
      <c r="BB21" s="294" t="str">
        <f t="shared" ca="1" si="25"/>
        <v/>
      </c>
      <c r="BC21" s="295" t="str">
        <f t="shared" ca="1" si="26"/>
        <v/>
      </c>
      <c r="BD21" s="44"/>
      <c r="BE21" s="296">
        <f t="shared" ca="1" si="63"/>
        <v>0</v>
      </c>
      <c r="BF21" s="293">
        <f t="shared" ca="1" si="27"/>
        <v>99999</v>
      </c>
      <c r="BG21" s="139" t="str">
        <f t="shared" ca="1" si="28"/>
        <v/>
      </c>
      <c r="BH21" s="139" t="str">
        <f t="shared" ca="1" si="29"/>
        <v/>
      </c>
      <c r="BI21" s="294">
        <f t="shared" ca="1" si="30"/>
        <v>99999</v>
      </c>
      <c r="BJ21" s="294" t="str">
        <f t="shared" ca="1" si="31"/>
        <v/>
      </c>
      <c r="BK21" s="295" t="str">
        <f t="shared" ca="1" si="32"/>
        <v/>
      </c>
      <c r="BL21" s="139"/>
      <c r="BM21" s="296">
        <f t="shared" ca="1" si="64"/>
        <v>0</v>
      </c>
      <c r="BN21" s="293">
        <f t="shared" ca="1" si="33"/>
        <v>0.44444444444444442</v>
      </c>
      <c r="BO21" s="139">
        <f t="shared" ca="1" si="34"/>
        <v>2</v>
      </c>
      <c r="BP21" s="139">
        <f t="shared" ca="1" si="35"/>
        <v>3</v>
      </c>
      <c r="BQ21" s="294">
        <f t="shared" ca="1" si="36"/>
        <v>99999</v>
      </c>
      <c r="BR21" s="294" t="str">
        <f t="shared" ca="1" si="37"/>
        <v/>
      </c>
      <c r="BS21" s="295" t="str">
        <f t="shared" ca="1" si="38"/>
        <v/>
      </c>
      <c r="BT21" s="44"/>
      <c r="BU21" s="296">
        <f t="shared" ca="1" si="65"/>
        <v>0</v>
      </c>
      <c r="BV21" s="293">
        <f t="shared" ca="1" si="39"/>
        <v>99999</v>
      </c>
      <c r="BW21" s="139" t="str">
        <f t="shared" ca="1" si="40"/>
        <v/>
      </c>
      <c r="BX21" s="139" t="str">
        <f t="shared" ca="1" si="41"/>
        <v/>
      </c>
      <c r="BY21" s="294">
        <f t="shared" ca="1" si="42"/>
        <v>99999</v>
      </c>
      <c r="BZ21" s="294" t="str">
        <f t="shared" ca="1" si="43"/>
        <v/>
      </c>
      <c r="CA21" s="295" t="str">
        <f t="shared" ca="1" si="44"/>
        <v/>
      </c>
      <c r="CB21" s="139"/>
      <c r="CC21" s="296">
        <f t="shared" ca="1" si="66"/>
        <v>0</v>
      </c>
      <c r="CD21" s="293">
        <f t="shared" ca="1" si="45"/>
        <v>99999</v>
      </c>
      <c r="CE21" s="139" t="str">
        <f t="shared" ca="1" si="46"/>
        <v/>
      </c>
      <c r="CF21" s="139" t="str">
        <f t="shared" ca="1" si="47"/>
        <v/>
      </c>
      <c r="CG21" s="294">
        <f t="shared" ca="1" si="48"/>
        <v>99999</v>
      </c>
      <c r="CH21" s="294" t="str">
        <f t="shared" ca="1" si="49"/>
        <v/>
      </c>
      <c r="CI21" s="295" t="str">
        <f t="shared" ca="1" si="50"/>
        <v/>
      </c>
      <c r="CJ21" s="44"/>
      <c r="CK21" s="296">
        <f t="shared" ca="1" si="67"/>
        <v>0</v>
      </c>
      <c r="CL21" s="293">
        <f t="shared" ca="1" si="51"/>
        <v>99999</v>
      </c>
      <c r="CM21" s="139" t="str">
        <f t="shared" ca="1" si="52"/>
        <v/>
      </c>
      <c r="CN21" s="139" t="str">
        <f t="shared" ca="1" si="53"/>
        <v/>
      </c>
      <c r="CO21" s="294">
        <f t="shared" ca="1" si="54"/>
        <v>99999</v>
      </c>
      <c r="CP21" s="294" t="str">
        <f t="shared" ca="1" si="55"/>
        <v/>
      </c>
      <c r="CQ21" s="295" t="str">
        <f t="shared" ca="1" si="56"/>
        <v/>
      </c>
      <c r="CR21" s="44"/>
      <c r="CS21" s="44"/>
    </row>
    <row r="22" spans="1:97" ht="15.95" customHeight="1" x14ac:dyDescent="0.25">
      <c r="A22" s="69">
        <f>COUNTIF($C$8:$C$25,$C$22)</f>
        <v>0</v>
      </c>
      <c r="B22" s="590">
        <v>8</v>
      </c>
      <c r="C22" s="592"/>
      <c r="D22" s="114">
        <f t="shared" ca="1" si="57"/>
        <v>2</v>
      </c>
      <c r="E22" s="114">
        <f t="shared" ca="1" si="0"/>
        <v>31</v>
      </c>
      <c r="F22" s="114">
        <f ca="1">IF($E22="",0,COUNTIF($E$7:$E22,INDEX($E$79:$E$150,ROW($A16))))</f>
        <v>0</v>
      </c>
      <c r="G22" s="142"/>
      <c r="H22" s="137">
        <v>16</v>
      </c>
      <c r="I22" s="164">
        <f ca="1">IF(OR($Y$3,$H22&gt;Calc!$B$13/2*$D$6),"",$U$6+QUOTIENT(($H22-1),$U$22)*($U$8+$U$10)/1440+SUM($R$7:$R21)/1440)</f>
        <v>0.46180555555555558</v>
      </c>
      <c r="J22" s="166">
        <f ca="1">IF(OR($Y$3,$H22&gt;Calc!$B$13/2*$D$6),"",MOD(($H22-1),$U$22)+1)</f>
        <v>1</v>
      </c>
      <c r="K22" s="417">
        <f ca="1"/>
        <v>3</v>
      </c>
      <c r="L22" s="418" t="s">
        <v>4</v>
      </c>
      <c r="M22" s="419">
        <f ca="1"/>
        <v>1</v>
      </c>
      <c r="N22" s="47" t="str">
        <f t="shared" ca="1" si="1"/>
        <v>Eintracht Frankfurt</v>
      </c>
      <c r="O22" s="45" t="s">
        <v>4</v>
      </c>
      <c r="P22" s="46" t="str">
        <f t="shared" ca="1" si="2"/>
        <v>1. FC Riedwald</v>
      </c>
      <c r="Q22" s="281"/>
      <c r="R22" s="427"/>
      <c r="S22" s="157"/>
      <c r="T22" s="134"/>
      <c r="U22" s="279">
        <f>MIN($U$12,$T$18)</f>
        <v>3</v>
      </c>
      <c r="V22" s="158"/>
      <c r="W22" s="158"/>
      <c r="X22" s="139">
        <f t="shared" ca="1" si="58"/>
        <v>0</v>
      </c>
      <c r="Y22" s="296">
        <f t="shared" ca="1" si="59"/>
        <v>0</v>
      </c>
      <c r="Z22" s="293">
        <f t="shared" ca="1" si="3"/>
        <v>0.46180555555555558</v>
      </c>
      <c r="AA22" s="139">
        <f t="shared" ca="1" si="4"/>
        <v>3</v>
      </c>
      <c r="AB22" s="139">
        <f t="shared" ca="1" si="5"/>
        <v>1</v>
      </c>
      <c r="AC22" s="294">
        <f t="shared" ca="1" si="6"/>
        <v>99999</v>
      </c>
      <c r="AD22" s="294" t="str">
        <f t="shared" ca="1" si="7"/>
        <v/>
      </c>
      <c r="AE22" s="295" t="str">
        <f t="shared" ca="1" si="8"/>
        <v/>
      </c>
      <c r="AF22" s="139"/>
      <c r="AG22" s="296">
        <f t="shared" ca="1" si="60"/>
        <v>0</v>
      </c>
      <c r="AH22" s="293">
        <f t="shared" ca="1" si="9"/>
        <v>99999</v>
      </c>
      <c r="AI22" s="139" t="str">
        <f t="shared" ca="1" si="10"/>
        <v/>
      </c>
      <c r="AJ22" s="139" t="str">
        <f t="shared" ca="1" si="11"/>
        <v/>
      </c>
      <c r="AK22" s="294">
        <f t="shared" ca="1" si="12"/>
        <v>99999</v>
      </c>
      <c r="AL22" s="294" t="str">
        <f t="shared" ca="1" si="13"/>
        <v/>
      </c>
      <c r="AM22" s="295" t="str">
        <f t="shared" ca="1" si="14"/>
        <v/>
      </c>
      <c r="AN22" s="44"/>
      <c r="AO22" s="296">
        <f t="shared" ca="1" si="61"/>
        <v>0</v>
      </c>
      <c r="AP22" s="293">
        <f t="shared" ca="1" si="15"/>
        <v>0.46180555555555558</v>
      </c>
      <c r="AQ22" s="139">
        <f t="shared" ca="1" si="16"/>
        <v>1</v>
      </c>
      <c r="AR22" s="139">
        <f t="shared" ca="1" si="17"/>
        <v>1</v>
      </c>
      <c r="AS22" s="294">
        <f t="shared" ca="1" si="18"/>
        <v>99999</v>
      </c>
      <c r="AT22" s="294" t="str">
        <f t="shared" ca="1" si="19"/>
        <v/>
      </c>
      <c r="AU22" s="295" t="str">
        <f t="shared" ca="1" si="20"/>
        <v/>
      </c>
      <c r="AV22" s="139"/>
      <c r="AW22" s="296">
        <f t="shared" ca="1" si="62"/>
        <v>0</v>
      </c>
      <c r="AX22" s="293">
        <f t="shared" ca="1" si="21"/>
        <v>99999</v>
      </c>
      <c r="AY22" s="139" t="str">
        <f t="shared" ca="1" si="22"/>
        <v/>
      </c>
      <c r="AZ22" s="139" t="str">
        <f t="shared" ca="1" si="23"/>
        <v/>
      </c>
      <c r="BA22" s="294">
        <f t="shared" ca="1" si="24"/>
        <v>99999</v>
      </c>
      <c r="BB22" s="294" t="str">
        <f t="shared" ca="1" si="25"/>
        <v/>
      </c>
      <c r="BC22" s="295" t="str">
        <f t="shared" ca="1" si="26"/>
        <v/>
      </c>
      <c r="BD22" s="44"/>
      <c r="BE22" s="296">
        <f t="shared" ca="1" si="63"/>
        <v>0</v>
      </c>
      <c r="BF22" s="293">
        <f t="shared" ca="1" si="27"/>
        <v>99999</v>
      </c>
      <c r="BG22" s="139" t="str">
        <f t="shared" ca="1" si="28"/>
        <v/>
      </c>
      <c r="BH22" s="139" t="str">
        <f t="shared" ca="1" si="29"/>
        <v/>
      </c>
      <c r="BI22" s="294">
        <f t="shared" ca="1" si="30"/>
        <v>99999</v>
      </c>
      <c r="BJ22" s="294" t="str">
        <f t="shared" ca="1" si="31"/>
        <v/>
      </c>
      <c r="BK22" s="295" t="str">
        <f t="shared" ca="1" si="32"/>
        <v/>
      </c>
      <c r="BL22" s="139"/>
      <c r="BM22" s="296">
        <f t="shared" ca="1" si="64"/>
        <v>0</v>
      </c>
      <c r="BN22" s="293">
        <f t="shared" ca="1" si="33"/>
        <v>99999</v>
      </c>
      <c r="BO22" s="139" t="str">
        <f t="shared" ca="1" si="34"/>
        <v/>
      </c>
      <c r="BP22" s="139" t="str">
        <f t="shared" ca="1" si="35"/>
        <v/>
      </c>
      <c r="BQ22" s="294">
        <f t="shared" ca="1" si="36"/>
        <v>99999</v>
      </c>
      <c r="BR22" s="294" t="str">
        <f t="shared" ca="1" si="37"/>
        <v/>
      </c>
      <c r="BS22" s="295" t="str">
        <f t="shared" ca="1" si="38"/>
        <v/>
      </c>
      <c r="BT22" s="44"/>
      <c r="BU22" s="296">
        <f t="shared" ca="1" si="65"/>
        <v>0</v>
      </c>
      <c r="BV22" s="293">
        <f t="shared" ca="1" si="39"/>
        <v>99999</v>
      </c>
      <c r="BW22" s="139" t="str">
        <f t="shared" ca="1" si="40"/>
        <v/>
      </c>
      <c r="BX22" s="139" t="str">
        <f t="shared" ca="1" si="41"/>
        <v/>
      </c>
      <c r="BY22" s="294">
        <f t="shared" ca="1" si="42"/>
        <v>99999</v>
      </c>
      <c r="BZ22" s="294" t="str">
        <f t="shared" ca="1" si="43"/>
        <v/>
      </c>
      <c r="CA22" s="295" t="str">
        <f t="shared" ca="1" si="44"/>
        <v/>
      </c>
      <c r="CB22" s="139"/>
      <c r="CC22" s="296">
        <f t="shared" ca="1" si="66"/>
        <v>0</v>
      </c>
      <c r="CD22" s="293">
        <f t="shared" ca="1" si="45"/>
        <v>99999</v>
      </c>
      <c r="CE22" s="139" t="str">
        <f t="shared" ca="1" si="46"/>
        <v/>
      </c>
      <c r="CF22" s="139" t="str">
        <f t="shared" ca="1" si="47"/>
        <v/>
      </c>
      <c r="CG22" s="294">
        <f t="shared" ca="1" si="48"/>
        <v>99999</v>
      </c>
      <c r="CH22" s="294" t="str">
        <f t="shared" ca="1" si="49"/>
        <v/>
      </c>
      <c r="CI22" s="295" t="str">
        <f t="shared" ca="1" si="50"/>
        <v/>
      </c>
      <c r="CJ22" s="44"/>
      <c r="CK22" s="296">
        <f t="shared" ca="1" si="67"/>
        <v>0</v>
      </c>
      <c r="CL22" s="293">
        <f t="shared" ca="1" si="51"/>
        <v>99999</v>
      </c>
      <c r="CM22" s="139" t="str">
        <f t="shared" ca="1" si="52"/>
        <v/>
      </c>
      <c r="CN22" s="139" t="str">
        <f t="shared" ca="1" si="53"/>
        <v/>
      </c>
      <c r="CO22" s="294">
        <f t="shared" ca="1" si="54"/>
        <v>99999</v>
      </c>
      <c r="CP22" s="294" t="str">
        <f t="shared" ca="1" si="55"/>
        <v/>
      </c>
      <c r="CQ22" s="295" t="str">
        <f t="shared" ca="1" si="56"/>
        <v/>
      </c>
      <c r="CR22" s="44"/>
      <c r="CS22" s="44"/>
    </row>
    <row r="23" spans="1:97" ht="15.95" customHeight="1" x14ac:dyDescent="0.25">
      <c r="A23" s="69"/>
      <c r="B23" s="589"/>
      <c r="C23" s="593"/>
      <c r="D23" s="114">
        <f t="shared" ca="1" si="57"/>
        <v>2</v>
      </c>
      <c r="E23" s="114">
        <f t="shared" ca="1" si="0"/>
        <v>24</v>
      </c>
      <c r="F23" s="114">
        <f ca="1">IF($E23="",0,COUNTIF($E$7:$E23,INDEX($E$79:$E$150,ROW($A17))))</f>
        <v>0</v>
      </c>
      <c r="G23" s="142"/>
      <c r="H23" s="137">
        <v>17</v>
      </c>
      <c r="I23" s="164">
        <f ca="1">IF(OR($Y$3,$H23&gt;Calc!$B$13/2*$D$6),"",$U$6+QUOTIENT(($H23-1),$U$22)*($U$8+$U$10)/1440+SUM($R$7:$R22)/1440)</f>
        <v>0.46180555555555558</v>
      </c>
      <c r="J23" s="166">
        <f ca="1">IF(OR($Y$3,$H23&gt;Calc!$B$13/2*$D$6),"",MOD(($H23-1),$U$22)+1)</f>
        <v>2</v>
      </c>
      <c r="K23" s="417">
        <f ca="1"/>
        <v>2</v>
      </c>
      <c r="L23" s="418" t="s">
        <v>4</v>
      </c>
      <c r="M23" s="419">
        <f ca="1"/>
        <v>4</v>
      </c>
      <c r="N23" s="47" t="str">
        <f t="shared" ca="1" si="1"/>
        <v>FC Barcelona</v>
      </c>
      <c r="O23" s="45" t="s">
        <v>4</v>
      </c>
      <c r="P23" s="46" t="str">
        <f t="shared" ca="1" si="2"/>
        <v>Maibach 1822 eV</v>
      </c>
      <c r="Q23" s="281"/>
      <c r="R23" s="427"/>
      <c r="S23" s="157"/>
      <c r="T23" s="158"/>
      <c r="U23" s="158"/>
      <c r="V23" s="158"/>
      <c r="W23" s="158"/>
      <c r="X23" s="139">
        <f t="shared" ca="1" si="58"/>
        <v>0</v>
      </c>
      <c r="Y23" s="296">
        <f t="shared" ca="1" si="59"/>
        <v>0</v>
      </c>
      <c r="Z23" s="293">
        <f t="shared" ca="1" si="3"/>
        <v>99999</v>
      </c>
      <c r="AA23" s="139" t="str">
        <f t="shared" ca="1" si="4"/>
        <v/>
      </c>
      <c r="AB23" s="139" t="str">
        <f t="shared" ca="1" si="5"/>
        <v/>
      </c>
      <c r="AC23" s="294">
        <f t="shared" ca="1" si="6"/>
        <v>99999</v>
      </c>
      <c r="AD23" s="294" t="str">
        <f t="shared" ca="1" si="7"/>
        <v/>
      </c>
      <c r="AE23" s="295" t="str">
        <f t="shared" ca="1" si="8"/>
        <v/>
      </c>
      <c r="AF23" s="139"/>
      <c r="AG23" s="296">
        <f t="shared" ca="1" si="60"/>
        <v>0</v>
      </c>
      <c r="AH23" s="293">
        <f t="shared" ca="1" si="9"/>
        <v>0.46180555555555558</v>
      </c>
      <c r="AI23" s="139">
        <f t="shared" ca="1" si="10"/>
        <v>4</v>
      </c>
      <c r="AJ23" s="139">
        <f t="shared" ca="1" si="11"/>
        <v>2</v>
      </c>
      <c r="AK23" s="294">
        <f t="shared" ca="1" si="12"/>
        <v>99999</v>
      </c>
      <c r="AL23" s="294" t="str">
        <f t="shared" ca="1" si="13"/>
        <v/>
      </c>
      <c r="AM23" s="295" t="str">
        <f t="shared" ca="1" si="14"/>
        <v/>
      </c>
      <c r="AN23" s="44"/>
      <c r="AO23" s="296">
        <f t="shared" ca="1" si="61"/>
        <v>0</v>
      </c>
      <c r="AP23" s="293">
        <f t="shared" ca="1" si="15"/>
        <v>99999</v>
      </c>
      <c r="AQ23" s="139" t="str">
        <f t="shared" ca="1" si="16"/>
        <v/>
      </c>
      <c r="AR23" s="139" t="str">
        <f t="shared" ca="1" si="17"/>
        <v/>
      </c>
      <c r="AS23" s="294">
        <f t="shared" ca="1" si="18"/>
        <v>99999</v>
      </c>
      <c r="AT23" s="294" t="str">
        <f t="shared" ca="1" si="19"/>
        <v/>
      </c>
      <c r="AU23" s="295" t="str">
        <f t="shared" ca="1" si="20"/>
        <v/>
      </c>
      <c r="AV23" s="139"/>
      <c r="AW23" s="296">
        <f t="shared" ca="1" si="62"/>
        <v>0</v>
      </c>
      <c r="AX23" s="293">
        <f t="shared" ca="1" si="21"/>
        <v>0.46180555555555558</v>
      </c>
      <c r="AY23" s="139">
        <f t="shared" ca="1" si="22"/>
        <v>2</v>
      </c>
      <c r="AZ23" s="139">
        <f t="shared" ca="1" si="23"/>
        <v>2</v>
      </c>
      <c r="BA23" s="294">
        <f t="shared" ca="1" si="24"/>
        <v>99999</v>
      </c>
      <c r="BB23" s="294" t="str">
        <f t="shared" ca="1" si="25"/>
        <v/>
      </c>
      <c r="BC23" s="295" t="str">
        <f t="shared" ca="1" si="26"/>
        <v/>
      </c>
      <c r="BD23" s="44"/>
      <c r="BE23" s="296">
        <f t="shared" ca="1" si="63"/>
        <v>0</v>
      </c>
      <c r="BF23" s="293">
        <f t="shared" ca="1" si="27"/>
        <v>99999</v>
      </c>
      <c r="BG23" s="139" t="str">
        <f t="shared" ca="1" si="28"/>
        <v/>
      </c>
      <c r="BH23" s="139" t="str">
        <f t="shared" ca="1" si="29"/>
        <v/>
      </c>
      <c r="BI23" s="294">
        <f t="shared" ca="1" si="30"/>
        <v>99999</v>
      </c>
      <c r="BJ23" s="294" t="str">
        <f t="shared" ca="1" si="31"/>
        <v/>
      </c>
      <c r="BK23" s="295" t="str">
        <f t="shared" ca="1" si="32"/>
        <v/>
      </c>
      <c r="BL23" s="139"/>
      <c r="BM23" s="296">
        <f t="shared" ca="1" si="64"/>
        <v>0</v>
      </c>
      <c r="BN23" s="293">
        <f t="shared" ca="1" si="33"/>
        <v>99999</v>
      </c>
      <c r="BO23" s="139" t="str">
        <f t="shared" ca="1" si="34"/>
        <v/>
      </c>
      <c r="BP23" s="139" t="str">
        <f t="shared" ca="1" si="35"/>
        <v/>
      </c>
      <c r="BQ23" s="294">
        <f t="shared" ca="1" si="36"/>
        <v>99999</v>
      </c>
      <c r="BR23" s="294" t="str">
        <f t="shared" ca="1" si="37"/>
        <v/>
      </c>
      <c r="BS23" s="295" t="str">
        <f t="shared" ca="1" si="38"/>
        <v/>
      </c>
      <c r="BT23" s="44"/>
      <c r="BU23" s="296">
        <f t="shared" ca="1" si="65"/>
        <v>0</v>
      </c>
      <c r="BV23" s="293">
        <f t="shared" ca="1" si="39"/>
        <v>99999</v>
      </c>
      <c r="BW23" s="139" t="str">
        <f t="shared" ca="1" si="40"/>
        <v/>
      </c>
      <c r="BX23" s="139" t="str">
        <f t="shared" ca="1" si="41"/>
        <v/>
      </c>
      <c r="BY23" s="294">
        <f t="shared" ca="1" si="42"/>
        <v>99999</v>
      </c>
      <c r="BZ23" s="294" t="str">
        <f t="shared" ca="1" si="43"/>
        <v/>
      </c>
      <c r="CA23" s="295" t="str">
        <f t="shared" ca="1" si="44"/>
        <v/>
      </c>
      <c r="CB23" s="139"/>
      <c r="CC23" s="296">
        <f t="shared" ca="1" si="66"/>
        <v>0</v>
      </c>
      <c r="CD23" s="293">
        <f t="shared" ca="1" si="45"/>
        <v>99999</v>
      </c>
      <c r="CE23" s="139" t="str">
        <f t="shared" ca="1" si="46"/>
        <v/>
      </c>
      <c r="CF23" s="139" t="str">
        <f t="shared" ca="1" si="47"/>
        <v/>
      </c>
      <c r="CG23" s="294">
        <f t="shared" ca="1" si="48"/>
        <v>99999</v>
      </c>
      <c r="CH23" s="294" t="str">
        <f t="shared" ca="1" si="49"/>
        <v/>
      </c>
      <c r="CI23" s="295" t="str">
        <f t="shared" ca="1" si="50"/>
        <v/>
      </c>
      <c r="CJ23" s="44"/>
      <c r="CK23" s="296">
        <f t="shared" ca="1" si="67"/>
        <v>0</v>
      </c>
      <c r="CL23" s="293">
        <f t="shared" ca="1" si="51"/>
        <v>99999</v>
      </c>
      <c r="CM23" s="139" t="str">
        <f t="shared" ca="1" si="52"/>
        <v/>
      </c>
      <c r="CN23" s="139" t="str">
        <f t="shared" ca="1" si="53"/>
        <v/>
      </c>
      <c r="CO23" s="294">
        <f t="shared" ca="1" si="54"/>
        <v>99999</v>
      </c>
      <c r="CP23" s="294" t="str">
        <f t="shared" ca="1" si="55"/>
        <v/>
      </c>
      <c r="CQ23" s="295" t="str">
        <f t="shared" ca="1" si="56"/>
        <v/>
      </c>
      <c r="CR23" s="44"/>
      <c r="CS23" s="44"/>
    </row>
    <row r="24" spans="1:97" ht="15.95" customHeight="1" x14ac:dyDescent="0.25">
      <c r="A24" s="69">
        <f>COUNTIF($C$8:$C$25,$C$24)</f>
        <v>0</v>
      </c>
      <c r="B24" s="590">
        <v>9</v>
      </c>
      <c r="C24" s="592"/>
      <c r="D24" s="114">
        <f t="shared" ca="1" si="57"/>
        <v>2</v>
      </c>
      <c r="E24" s="114">
        <f t="shared" ca="1" si="0"/>
        <v>76</v>
      </c>
      <c r="F24" s="114">
        <f ca="1">IF($E24="",0,COUNTIF($E$7:$E24,INDEX($E$79:$E$150,ROW($A18))))</f>
        <v>0</v>
      </c>
      <c r="G24" s="142"/>
      <c r="H24" s="137">
        <v>18</v>
      </c>
      <c r="I24" s="164">
        <f ca="1">IF(OR($Y$3,$H24&gt;Calc!$B$13/2*$D$6),"",$U$6+QUOTIENT(($H24-1),$U$22)*($U$8+$U$10)/1440+SUM($R$7:$R23)/1440)</f>
        <v>0.46180555555555558</v>
      </c>
      <c r="J24" s="166">
        <f ca="1">IF(OR($Y$3,$H24&gt;Calc!$B$13/2*$D$6),"",MOD(($H24-1),$U$22)+1)</f>
        <v>3</v>
      </c>
      <c r="K24" s="417">
        <f ca="1"/>
        <v>7</v>
      </c>
      <c r="L24" s="418" t="s">
        <v>4</v>
      </c>
      <c r="M24" s="419">
        <f ca="1"/>
        <v>6</v>
      </c>
      <c r="N24" s="47" t="str">
        <f t="shared" ca="1" si="1"/>
        <v>SSV Wildbach</v>
      </c>
      <c r="O24" s="45" t="s">
        <v>4</v>
      </c>
      <c r="P24" s="46" t="str">
        <f t="shared" ca="1" si="2"/>
        <v>Inter Mailand</v>
      </c>
      <c r="Q24" s="281"/>
      <c r="R24" s="427"/>
      <c r="S24" s="157"/>
      <c r="T24" s="158"/>
      <c r="U24" s="158"/>
      <c r="V24" s="158"/>
      <c r="W24" s="158"/>
      <c r="X24" s="139">
        <f t="shared" ca="1" si="58"/>
        <v>0</v>
      </c>
      <c r="Y24" s="296">
        <f t="shared" ca="1" si="59"/>
        <v>0</v>
      </c>
      <c r="Z24" s="293">
        <f t="shared" ca="1" si="3"/>
        <v>99999</v>
      </c>
      <c r="AA24" s="139" t="str">
        <f t="shared" ca="1" si="4"/>
        <v/>
      </c>
      <c r="AB24" s="139" t="str">
        <f t="shared" ca="1" si="5"/>
        <v/>
      </c>
      <c r="AC24" s="294">
        <f t="shared" ca="1" si="6"/>
        <v>99999</v>
      </c>
      <c r="AD24" s="294" t="str">
        <f t="shared" ca="1" si="7"/>
        <v/>
      </c>
      <c r="AE24" s="295" t="str">
        <f t="shared" ca="1" si="8"/>
        <v/>
      </c>
      <c r="AF24" s="139"/>
      <c r="AG24" s="296">
        <f t="shared" ca="1" si="60"/>
        <v>0</v>
      </c>
      <c r="AH24" s="293">
        <f t="shared" ca="1" si="9"/>
        <v>99999</v>
      </c>
      <c r="AI24" s="139" t="str">
        <f t="shared" ca="1" si="10"/>
        <v/>
      </c>
      <c r="AJ24" s="139" t="str">
        <f t="shared" ca="1" si="11"/>
        <v/>
      </c>
      <c r="AK24" s="294">
        <f t="shared" ca="1" si="12"/>
        <v>99999</v>
      </c>
      <c r="AL24" s="294" t="str">
        <f t="shared" ca="1" si="13"/>
        <v/>
      </c>
      <c r="AM24" s="295" t="str">
        <f t="shared" ca="1" si="14"/>
        <v/>
      </c>
      <c r="AN24" s="44"/>
      <c r="AO24" s="296">
        <f t="shared" ca="1" si="61"/>
        <v>0</v>
      </c>
      <c r="AP24" s="293">
        <f t="shared" ca="1" si="15"/>
        <v>99999</v>
      </c>
      <c r="AQ24" s="139" t="str">
        <f t="shared" ca="1" si="16"/>
        <v/>
      </c>
      <c r="AR24" s="139" t="str">
        <f t="shared" ca="1" si="17"/>
        <v/>
      </c>
      <c r="AS24" s="294">
        <f t="shared" ca="1" si="18"/>
        <v>99999</v>
      </c>
      <c r="AT24" s="294" t="str">
        <f t="shared" ca="1" si="19"/>
        <v/>
      </c>
      <c r="AU24" s="295" t="str">
        <f t="shared" ca="1" si="20"/>
        <v/>
      </c>
      <c r="AV24" s="139"/>
      <c r="AW24" s="296">
        <f t="shared" ca="1" si="62"/>
        <v>0</v>
      </c>
      <c r="AX24" s="293">
        <f t="shared" ca="1" si="21"/>
        <v>99999</v>
      </c>
      <c r="AY24" s="139" t="str">
        <f t="shared" ca="1" si="22"/>
        <v/>
      </c>
      <c r="AZ24" s="139" t="str">
        <f t="shared" ca="1" si="23"/>
        <v/>
      </c>
      <c r="BA24" s="294">
        <f t="shared" ca="1" si="24"/>
        <v>99999</v>
      </c>
      <c r="BB24" s="294" t="str">
        <f t="shared" ca="1" si="25"/>
        <v/>
      </c>
      <c r="BC24" s="295" t="str">
        <f t="shared" ca="1" si="26"/>
        <v/>
      </c>
      <c r="BD24" s="44"/>
      <c r="BE24" s="296">
        <f t="shared" ca="1" si="63"/>
        <v>0</v>
      </c>
      <c r="BF24" s="293">
        <f t="shared" ca="1" si="27"/>
        <v>99999</v>
      </c>
      <c r="BG24" s="139" t="str">
        <f t="shared" ca="1" si="28"/>
        <v/>
      </c>
      <c r="BH24" s="139" t="str">
        <f t="shared" ca="1" si="29"/>
        <v/>
      </c>
      <c r="BI24" s="294">
        <f t="shared" ca="1" si="30"/>
        <v>99999</v>
      </c>
      <c r="BJ24" s="294" t="str">
        <f t="shared" ca="1" si="31"/>
        <v/>
      </c>
      <c r="BK24" s="295" t="str">
        <f t="shared" ca="1" si="32"/>
        <v/>
      </c>
      <c r="BL24" s="139"/>
      <c r="BM24" s="296">
        <f t="shared" ca="1" si="64"/>
        <v>0</v>
      </c>
      <c r="BN24" s="293">
        <f t="shared" ca="1" si="33"/>
        <v>0.46180555555555558</v>
      </c>
      <c r="BO24" s="139">
        <f t="shared" ca="1" si="34"/>
        <v>7</v>
      </c>
      <c r="BP24" s="139">
        <f t="shared" ca="1" si="35"/>
        <v>3</v>
      </c>
      <c r="BQ24" s="294">
        <f t="shared" ca="1" si="36"/>
        <v>99999</v>
      </c>
      <c r="BR24" s="294" t="str">
        <f t="shared" ca="1" si="37"/>
        <v/>
      </c>
      <c r="BS24" s="295" t="str">
        <f t="shared" ca="1" si="38"/>
        <v/>
      </c>
      <c r="BT24" s="44"/>
      <c r="BU24" s="296">
        <f t="shared" ca="1" si="65"/>
        <v>0</v>
      </c>
      <c r="BV24" s="293">
        <f t="shared" ca="1" si="39"/>
        <v>0.46180555555555558</v>
      </c>
      <c r="BW24" s="139">
        <f t="shared" ca="1" si="40"/>
        <v>6</v>
      </c>
      <c r="BX24" s="139">
        <f t="shared" ca="1" si="41"/>
        <v>3</v>
      </c>
      <c r="BY24" s="294">
        <f t="shared" ca="1" si="42"/>
        <v>99999</v>
      </c>
      <c r="BZ24" s="294" t="str">
        <f t="shared" ca="1" si="43"/>
        <v/>
      </c>
      <c r="CA24" s="295" t="str">
        <f t="shared" ca="1" si="44"/>
        <v/>
      </c>
      <c r="CB24" s="139"/>
      <c r="CC24" s="296">
        <f t="shared" ca="1" si="66"/>
        <v>0</v>
      </c>
      <c r="CD24" s="293">
        <f t="shared" ca="1" si="45"/>
        <v>99999</v>
      </c>
      <c r="CE24" s="139" t="str">
        <f t="shared" ca="1" si="46"/>
        <v/>
      </c>
      <c r="CF24" s="139" t="str">
        <f t="shared" ca="1" si="47"/>
        <v/>
      </c>
      <c r="CG24" s="294">
        <f t="shared" ca="1" si="48"/>
        <v>99999</v>
      </c>
      <c r="CH24" s="294" t="str">
        <f t="shared" ca="1" si="49"/>
        <v/>
      </c>
      <c r="CI24" s="295" t="str">
        <f t="shared" ca="1" si="50"/>
        <v/>
      </c>
      <c r="CJ24" s="44"/>
      <c r="CK24" s="296">
        <f t="shared" ca="1" si="67"/>
        <v>0</v>
      </c>
      <c r="CL24" s="293">
        <f t="shared" ca="1" si="51"/>
        <v>99999</v>
      </c>
      <c r="CM24" s="139" t="str">
        <f t="shared" ca="1" si="52"/>
        <v/>
      </c>
      <c r="CN24" s="139" t="str">
        <f t="shared" ca="1" si="53"/>
        <v/>
      </c>
      <c r="CO24" s="294">
        <f t="shared" ca="1" si="54"/>
        <v>99999</v>
      </c>
      <c r="CP24" s="294" t="str">
        <f t="shared" ca="1" si="55"/>
        <v/>
      </c>
      <c r="CQ24" s="295" t="str">
        <f t="shared" ca="1" si="56"/>
        <v/>
      </c>
      <c r="CR24" s="44"/>
      <c r="CS24" s="44"/>
    </row>
    <row r="25" spans="1:97" ht="15.95" customHeight="1" thickBot="1" x14ac:dyDescent="0.3">
      <c r="A25" s="69"/>
      <c r="B25" s="595"/>
      <c r="C25" s="594"/>
      <c r="D25" s="114">
        <f t="shared" ca="1" si="57"/>
        <v>2</v>
      </c>
      <c r="E25" s="114">
        <f t="shared" ca="1" si="0"/>
        <v>12</v>
      </c>
      <c r="F25" s="114">
        <f ca="1">IF($E25="",0,COUNTIF($E$7:$E25,INDEX($E$79:$E$150,ROW($A19))))</f>
        <v>0</v>
      </c>
      <c r="G25" s="142"/>
      <c r="H25" s="137">
        <v>19</v>
      </c>
      <c r="I25" s="164">
        <f ca="1">IF(OR($Y$3,$H25&gt;Calc!$B$13/2*$D$6),"",$U$6+QUOTIENT(($H25-1),$U$22)*($U$8+$U$10)/1440+SUM($R$7:$R24)/1440)</f>
        <v>0.47916666666666669</v>
      </c>
      <c r="J25" s="166">
        <f ca="1">IF(OR($Y$3,$H25&gt;Calc!$B$13/2*$D$6),"",MOD(($H25-1),$U$22)+1)</f>
        <v>1</v>
      </c>
      <c r="K25" s="417">
        <f ca="1"/>
        <v>1</v>
      </c>
      <c r="L25" s="418" t="s">
        <v>4</v>
      </c>
      <c r="M25" s="419">
        <f ca="1"/>
        <v>2</v>
      </c>
      <c r="N25" s="47" t="str">
        <f t="shared" ca="1" si="1"/>
        <v>1. FC Riedwald</v>
      </c>
      <c r="O25" s="45" t="s">
        <v>4</v>
      </c>
      <c r="P25" s="46" t="str">
        <f t="shared" ca="1" si="2"/>
        <v>FC Barcelona</v>
      </c>
      <c r="Q25" s="281"/>
      <c r="R25" s="427"/>
      <c r="S25" s="157"/>
      <c r="T25" s="303"/>
      <c r="U25" s="158"/>
      <c r="V25" s="158"/>
      <c r="W25" s="158"/>
      <c r="X25" s="139">
        <f t="shared" ca="1" si="58"/>
        <v>0</v>
      </c>
      <c r="Y25" s="296">
        <f t="shared" ca="1" si="59"/>
        <v>0</v>
      </c>
      <c r="Z25" s="293">
        <f t="shared" ca="1" si="3"/>
        <v>0.47916666666666669</v>
      </c>
      <c r="AA25" s="139">
        <f t="shared" ca="1" si="4"/>
        <v>2</v>
      </c>
      <c r="AB25" s="139">
        <f t="shared" ca="1" si="5"/>
        <v>1</v>
      </c>
      <c r="AC25" s="294">
        <f t="shared" ca="1" si="6"/>
        <v>99999</v>
      </c>
      <c r="AD25" s="294" t="str">
        <f t="shared" ca="1" si="7"/>
        <v/>
      </c>
      <c r="AE25" s="295" t="str">
        <f t="shared" ca="1" si="8"/>
        <v/>
      </c>
      <c r="AF25" s="139"/>
      <c r="AG25" s="296">
        <f t="shared" ca="1" si="60"/>
        <v>0</v>
      </c>
      <c r="AH25" s="293">
        <f t="shared" ca="1" si="9"/>
        <v>0.47916666666666669</v>
      </c>
      <c r="AI25" s="139">
        <f t="shared" ca="1" si="10"/>
        <v>1</v>
      </c>
      <c r="AJ25" s="139">
        <f t="shared" ca="1" si="11"/>
        <v>1</v>
      </c>
      <c r="AK25" s="294">
        <f t="shared" ca="1" si="12"/>
        <v>99999</v>
      </c>
      <c r="AL25" s="294" t="str">
        <f t="shared" ca="1" si="13"/>
        <v/>
      </c>
      <c r="AM25" s="295" t="str">
        <f t="shared" ca="1" si="14"/>
        <v/>
      </c>
      <c r="AN25" s="44"/>
      <c r="AO25" s="296">
        <f t="shared" ca="1" si="61"/>
        <v>0</v>
      </c>
      <c r="AP25" s="293">
        <f t="shared" ca="1" si="15"/>
        <v>99999</v>
      </c>
      <c r="AQ25" s="139" t="str">
        <f t="shared" ca="1" si="16"/>
        <v/>
      </c>
      <c r="AR25" s="139" t="str">
        <f t="shared" ca="1" si="17"/>
        <v/>
      </c>
      <c r="AS25" s="294">
        <f t="shared" ca="1" si="18"/>
        <v>99999</v>
      </c>
      <c r="AT25" s="294" t="str">
        <f t="shared" ca="1" si="19"/>
        <v/>
      </c>
      <c r="AU25" s="295" t="str">
        <f t="shared" ca="1" si="20"/>
        <v/>
      </c>
      <c r="AV25" s="139"/>
      <c r="AW25" s="296">
        <f t="shared" ca="1" si="62"/>
        <v>0</v>
      </c>
      <c r="AX25" s="293">
        <f t="shared" ca="1" si="21"/>
        <v>99999</v>
      </c>
      <c r="AY25" s="139" t="str">
        <f t="shared" ca="1" si="22"/>
        <v/>
      </c>
      <c r="AZ25" s="139" t="str">
        <f t="shared" ca="1" si="23"/>
        <v/>
      </c>
      <c r="BA25" s="294">
        <f t="shared" ca="1" si="24"/>
        <v>99999</v>
      </c>
      <c r="BB25" s="294" t="str">
        <f t="shared" ca="1" si="25"/>
        <v/>
      </c>
      <c r="BC25" s="295" t="str">
        <f t="shared" ca="1" si="26"/>
        <v/>
      </c>
      <c r="BD25" s="44"/>
      <c r="BE25" s="296">
        <f t="shared" ca="1" si="63"/>
        <v>0</v>
      </c>
      <c r="BF25" s="293">
        <f t="shared" ca="1" si="27"/>
        <v>99999</v>
      </c>
      <c r="BG25" s="139" t="str">
        <f t="shared" ca="1" si="28"/>
        <v/>
      </c>
      <c r="BH25" s="139" t="str">
        <f t="shared" ca="1" si="29"/>
        <v/>
      </c>
      <c r="BI25" s="294">
        <f t="shared" ca="1" si="30"/>
        <v>99999</v>
      </c>
      <c r="BJ25" s="294" t="str">
        <f t="shared" ca="1" si="31"/>
        <v/>
      </c>
      <c r="BK25" s="295" t="str">
        <f t="shared" ca="1" si="32"/>
        <v/>
      </c>
      <c r="BL25" s="139"/>
      <c r="BM25" s="296">
        <f t="shared" ca="1" si="64"/>
        <v>0</v>
      </c>
      <c r="BN25" s="293">
        <f t="shared" ca="1" si="33"/>
        <v>99999</v>
      </c>
      <c r="BO25" s="139" t="str">
        <f t="shared" ca="1" si="34"/>
        <v/>
      </c>
      <c r="BP25" s="139" t="str">
        <f t="shared" ca="1" si="35"/>
        <v/>
      </c>
      <c r="BQ25" s="294">
        <f t="shared" ca="1" si="36"/>
        <v>99999</v>
      </c>
      <c r="BR25" s="294" t="str">
        <f t="shared" ca="1" si="37"/>
        <v/>
      </c>
      <c r="BS25" s="295" t="str">
        <f t="shared" ca="1" si="38"/>
        <v/>
      </c>
      <c r="BT25" s="44"/>
      <c r="BU25" s="296">
        <f t="shared" ca="1" si="65"/>
        <v>0</v>
      </c>
      <c r="BV25" s="293">
        <f t="shared" ca="1" si="39"/>
        <v>99999</v>
      </c>
      <c r="BW25" s="139" t="str">
        <f t="shared" ca="1" si="40"/>
        <v/>
      </c>
      <c r="BX25" s="139" t="str">
        <f t="shared" ca="1" si="41"/>
        <v/>
      </c>
      <c r="BY25" s="294">
        <f t="shared" ca="1" si="42"/>
        <v>99999</v>
      </c>
      <c r="BZ25" s="294" t="str">
        <f t="shared" ca="1" si="43"/>
        <v/>
      </c>
      <c r="CA25" s="295" t="str">
        <f t="shared" ca="1" si="44"/>
        <v/>
      </c>
      <c r="CB25" s="139"/>
      <c r="CC25" s="296">
        <f t="shared" ca="1" si="66"/>
        <v>0</v>
      </c>
      <c r="CD25" s="293">
        <f t="shared" ca="1" si="45"/>
        <v>99999</v>
      </c>
      <c r="CE25" s="139" t="str">
        <f t="shared" ca="1" si="46"/>
        <v/>
      </c>
      <c r="CF25" s="139" t="str">
        <f t="shared" ca="1" si="47"/>
        <v/>
      </c>
      <c r="CG25" s="294">
        <f t="shared" ca="1" si="48"/>
        <v>99999</v>
      </c>
      <c r="CH25" s="294" t="str">
        <f t="shared" ca="1" si="49"/>
        <v/>
      </c>
      <c r="CI25" s="295" t="str">
        <f t="shared" ca="1" si="50"/>
        <v/>
      </c>
      <c r="CJ25" s="44"/>
      <c r="CK25" s="296">
        <f t="shared" ca="1" si="67"/>
        <v>0</v>
      </c>
      <c r="CL25" s="293">
        <f t="shared" ca="1" si="51"/>
        <v>99999</v>
      </c>
      <c r="CM25" s="139" t="str">
        <f t="shared" ca="1" si="52"/>
        <v/>
      </c>
      <c r="CN25" s="139" t="str">
        <f t="shared" ca="1" si="53"/>
        <v/>
      </c>
      <c r="CO25" s="294">
        <f t="shared" ca="1" si="54"/>
        <v>99999</v>
      </c>
      <c r="CP25" s="294" t="str">
        <f t="shared" ca="1" si="55"/>
        <v/>
      </c>
      <c r="CQ25" s="295" t="str">
        <f t="shared" ca="1" si="56"/>
        <v/>
      </c>
      <c r="CR25" s="44"/>
      <c r="CS25" s="44"/>
    </row>
    <row r="26" spans="1:97" ht="15.95" customHeight="1" thickTop="1" x14ac:dyDescent="0.25">
      <c r="A26" s="44"/>
      <c r="B26" s="44"/>
      <c r="C26" s="44"/>
      <c r="D26" s="114">
        <f t="shared" ca="1" si="57"/>
        <v>2</v>
      </c>
      <c r="E26" s="114">
        <f t="shared" ca="1" si="0"/>
        <v>47</v>
      </c>
      <c r="F26" s="114">
        <f ca="1">IF($E26="",0,COUNTIF($E$7:$E26,INDEX($E$79:$E$150,ROW($A20))))</f>
        <v>0</v>
      </c>
      <c r="G26" s="142"/>
      <c r="H26" s="137">
        <v>20</v>
      </c>
      <c r="I26" s="164">
        <f ca="1">IF(OR($Y$3,$H26&gt;Calc!$B$13/2*$D$6),"",$U$6+QUOTIENT(($H26-1),$U$22)*($U$8+$U$10)/1440+SUM($R$7:$R25)/1440)</f>
        <v>0.47916666666666669</v>
      </c>
      <c r="J26" s="166">
        <f ca="1">IF(OR($Y$3,$H26&gt;Calc!$B$13/2*$D$6),"",MOD(($H26-1),$U$22)+1)</f>
        <v>2</v>
      </c>
      <c r="K26" s="417">
        <f ca="1"/>
        <v>4</v>
      </c>
      <c r="L26" s="418" t="s">
        <v>4</v>
      </c>
      <c r="M26" s="419">
        <f ca="1"/>
        <v>7</v>
      </c>
      <c r="N26" s="47" t="str">
        <f t="shared" ca="1" si="1"/>
        <v>Maibach 1822 eV</v>
      </c>
      <c r="O26" s="45" t="s">
        <v>4</v>
      </c>
      <c r="P26" s="46" t="str">
        <f t="shared" ca="1" si="2"/>
        <v>SSV Wildbach</v>
      </c>
      <c r="Q26" s="281"/>
      <c r="R26" s="427"/>
      <c r="S26" s="157"/>
      <c r="T26" s="158"/>
      <c r="U26" s="158"/>
      <c r="V26" s="158"/>
      <c r="W26" s="158"/>
      <c r="X26" s="139">
        <f t="shared" ca="1" si="58"/>
        <v>0</v>
      </c>
      <c r="Y26" s="296">
        <f t="shared" ca="1" si="59"/>
        <v>0</v>
      </c>
      <c r="Z26" s="293">
        <f t="shared" ca="1" si="3"/>
        <v>99999</v>
      </c>
      <c r="AA26" s="139" t="str">
        <f t="shared" ca="1" si="4"/>
        <v/>
      </c>
      <c r="AB26" s="139" t="str">
        <f t="shared" ca="1" si="5"/>
        <v/>
      </c>
      <c r="AC26" s="294">
        <f t="shared" ca="1" si="6"/>
        <v>99999</v>
      </c>
      <c r="AD26" s="294" t="str">
        <f t="shared" ca="1" si="7"/>
        <v/>
      </c>
      <c r="AE26" s="295" t="str">
        <f t="shared" ca="1" si="8"/>
        <v/>
      </c>
      <c r="AF26" s="139"/>
      <c r="AG26" s="296">
        <f t="shared" ca="1" si="60"/>
        <v>0</v>
      </c>
      <c r="AH26" s="293">
        <f t="shared" ca="1" si="9"/>
        <v>99999</v>
      </c>
      <c r="AI26" s="139" t="str">
        <f t="shared" ca="1" si="10"/>
        <v/>
      </c>
      <c r="AJ26" s="139" t="str">
        <f t="shared" ca="1" si="11"/>
        <v/>
      </c>
      <c r="AK26" s="294">
        <f t="shared" ca="1" si="12"/>
        <v>99999</v>
      </c>
      <c r="AL26" s="294" t="str">
        <f t="shared" ca="1" si="13"/>
        <v/>
      </c>
      <c r="AM26" s="295" t="str">
        <f t="shared" ca="1" si="14"/>
        <v/>
      </c>
      <c r="AN26" s="44"/>
      <c r="AO26" s="296">
        <f t="shared" ca="1" si="61"/>
        <v>0</v>
      </c>
      <c r="AP26" s="293">
        <f t="shared" ca="1" si="15"/>
        <v>99999</v>
      </c>
      <c r="AQ26" s="139" t="str">
        <f t="shared" ca="1" si="16"/>
        <v/>
      </c>
      <c r="AR26" s="139" t="str">
        <f t="shared" ca="1" si="17"/>
        <v/>
      </c>
      <c r="AS26" s="294">
        <f t="shared" ca="1" si="18"/>
        <v>99999</v>
      </c>
      <c r="AT26" s="294" t="str">
        <f t="shared" ca="1" si="19"/>
        <v/>
      </c>
      <c r="AU26" s="295" t="str">
        <f t="shared" ca="1" si="20"/>
        <v/>
      </c>
      <c r="AV26" s="139"/>
      <c r="AW26" s="296">
        <f t="shared" ca="1" si="62"/>
        <v>0</v>
      </c>
      <c r="AX26" s="293">
        <f t="shared" ca="1" si="21"/>
        <v>0.47916666666666669</v>
      </c>
      <c r="AY26" s="139">
        <f t="shared" ca="1" si="22"/>
        <v>7</v>
      </c>
      <c r="AZ26" s="139">
        <f t="shared" ca="1" si="23"/>
        <v>2</v>
      </c>
      <c r="BA26" s="294">
        <f t="shared" ca="1" si="24"/>
        <v>99999</v>
      </c>
      <c r="BB26" s="294" t="str">
        <f t="shared" ca="1" si="25"/>
        <v/>
      </c>
      <c r="BC26" s="295" t="str">
        <f t="shared" ca="1" si="26"/>
        <v/>
      </c>
      <c r="BD26" s="44"/>
      <c r="BE26" s="296">
        <f t="shared" ca="1" si="63"/>
        <v>0</v>
      </c>
      <c r="BF26" s="293">
        <f t="shared" ca="1" si="27"/>
        <v>99999</v>
      </c>
      <c r="BG26" s="139" t="str">
        <f t="shared" ca="1" si="28"/>
        <v/>
      </c>
      <c r="BH26" s="139" t="str">
        <f t="shared" ca="1" si="29"/>
        <v/>
      </c>
      <c r="BI26" s="294">
        <f t="shared" ca="1" si="30"/>
        <v>99999</v>
      </c>
      <c r="BJ26" s="294" t="str">
        <f t="shared" ca="1" si="31"/>
        <v/>
      </c>
      <c r="BK26" s="295" t="str">
        <f t="shared" ca="1" si="32"/>
        <v/>
      </c>
      <c r="BL26" s="139"/>
      <c r="BM26" s="296">
        <f t="shared" ca="1" si="64"/>
        <v>0</v>
      </c>
      <c r="BN26" s="293">
        <f t="shared" ca="1" si="33"/>
        <v>99999</v>
      </c>
      <c r="BO26" s="139" t="str">
        <f t="shared" ca="1" si="34"/>
        <v/>
      </c>
      <c r="BP26" s="139" t="str">
        <f t="shared" ca="1" si="35"/>
        <v/>
      </c>
      <c r="BQ26" s="294">
        <f t="shared" ca="1" si="36"/>
        <v>99999</v>
      </c>
      <c r="BR26" s="294" t="str">
        <f t="shared" ca="1" si="37"/>
        <v/>
      </c>
      <c r="BS26" s="295" t="str">
        <f t="shared" ca="1" si="38"/>
        <v/>
      </c>
      <c r="BT26" s="44"/>
      <c r="BU26" s="296">
        <f t="shared" ca="1" si="65"/>
        <v>0</v>
      </c>
      <c r="BV26" s="293">
        <f t="shared" ca="1" si="39"/>
        <v>0.47916666666666669</v>
      </c>
      <c r="BW26" s="139">
        <f t="shared" ca="1" si="40"/>
        <v>4</v>
      </c>
      <c r="BX26" s="139">
        <f t="shared" ca="1" si="41"/>
        <v>2</v>
      </c>
      <c r="BY26" s="294">
        <f t="shared" ca="1" si="42"/>
        <v>99999</v>
      </c>
      <c r="BZ26" s="294" t="str">
        <f t="shared" ca="1" si="43"/>
        <v/>
      </c>
      <c r="CA26" s="295" t="str">
        <f t="shared" ca="1" si="44"/>
        <v/>
      </c>
      <c r="CB26" s="139"/>
      <c r="CC26" s="296">
        <f t="shared" ca="1" si="66"/>
        <v>0</v>
      </c>
      <c r="CD26" s="293">
        <f t="shared" ca="1" si="45"/>
        <v>99999</v>
      </c>
      <c r="CE26" s="139" t="str">
        <f t="shared" ca="1" si="46"/>
        <v/>
      </c>
      <c r="CF26" s="139" t="str">
        <f t="shared" ca="1" si="47"/>
        <v/>
      </c>
      <c r="CG26" s="294">
        <f t="shared" ca="1" si="48"/>
        <v>99999</v>
      </c>
      <c r="CH26" s="294" t="str">
        <f t="shared" ca="1" si="49"/>
        <v/>
      </c>
      <c r="CI26" s="295" t="str">
        <f t="shared" ca="1" si="50"/>
        <v/>
      </c>
      <c r="CJ26" s="44"/>
      <c r="CK26" s="296">
        <f t="shared" ca="1" si="67"/>
        <v>0</v>
      </c>
      <c r="CL26" s="293">
        <f t="shared" ca="1" si="51"/>
        <v>99999</v>
      </c>
      <c r="CM26" s="139" t="str">
        <f t="shared" ca="1" si="52"/>
        <v/>
      </c>
      <c r="CN26" s="139" t="str">
        <f t="shared" ca="1" si="53"/>
        <v/>
      </c>
      <c r="CO26" s="294">
        <f t="shared" ca="1" si="54"/>
        <v>99999</v>
      </c>
      <c r="CP26" s="294" t="str">
        <f t="shared" ca="1" si="55"/>
        <v/>
      </c>
      <c r="CQ26" s="295" t="str">
        <f t="shared" ca="1" si="56"/>
        <v/>
      </c>
      <c r="CR26" s="44"/>
      <c r="CS26" s="44"/>
    </row>
    <row r="27" spans="1:97" ht="15.95" customHeight="1" x14ac:dyDescent="0.25">
      <c r="A27" s="44"/>
      <c r="B27" s="591" t="str">
        <f>Language!$E$87</f>
        <v>Duplicate names lead to
incorrect table values</v>
      </c>
      <c r="C27" s="591"/>
      <c r="D27" s="114">
        <f t="shared" ca="1" si="57"/>
        <v>2</v>
      </c>
      <c r="E27" s="114">
        <f t="shared" ca="1" si="0"/>
        <v>65</v>
      </c>
      <c r="F27" s="114">
        <f ca="1">IF($E27="",0,COUNTIF($E$7:$E27,INDEX($E$79:$E$150,ROW($A21))))</f>
        <v>0</v>
      </c>
      <c r="G27" s="142"/>
      <c r="H27" s="137">
        <v>21</v>
      </c>
      <c r="I27" s="164">
        <f ca="1">IF(OR($Y$3,$H27&gt;Calc!$B$13/2*$D$6),"",$U$6+QUOTIENT(($H27-1),$U$22)*($U$8+$U$10)/1440+SUM($R$7:$R26)/1440)</f>
        <v>0.47916666666666669</v>
      </c>
      <c r="J27" s="166">
        <f ca="1">IF(OR($Y$3,$H27&gt;Calc!$B$13/2*$D$6),"",MOD(($H27-1),$U$22)+1)</f>
        <v>3</v>
      </c>
      <c r="K27" s="417">
        <f ca="1"/>
        <v>6</v>
      </c>
      <c r="L27" s="418" t="s">
        <v>4</v>
      </c>
      <c r="M27" s="419">
        <f ca="1"/>
        <v>5</v>
      </c>
      <c r="N27" s="47" t="str">
        <f t="shared" ca="1" si="1"/>
        <v>Inter Mailand</v>
      </c>
      <c r="O27" s="45" t="s">
        <v>4</v>
      </c>
      <c r="P27" s="46" t="str">
        <f t="shared" ca="1" si="2"/>
        <v>VFB Essenheim</v>
      </c>
      <c r="Q27" s="281"/>
      <c r="R27" s="427"/>
      <c r="S27" s="157"/>
      <c r="T27" s="158"/>
      <c r="U27" s="158"/>
      <c r="V27" s="158"/>
      <c r="W27" s="158"/>
      <c r="X27" s="139">
        <f t="shared" ca="1" si="58"/>
        <v>0</v>
      </c>
      <c r="Y27" s="296">
        <f t="shared" ca="1" si="59"/>
        <v>0</v>
      </c>
      <c r="Z27" s="293">
        <f t="shared" ca="1" si="3"/>
        <v>99999</v>
      </c>
      <c r="AA27" s="139" t="str">
        <f t="shared" ca="1" si="4"/>
        <v/>
      </c>
      <c r="AB27" s="139" t="str">
        <f t="shared" ca="1" si="5"/>
        <v/>
      </c>
      <c r="AC27" s="294">
        <f t="shared" ca="1" si="6"/>
        <v>99999</v>
      </c>
      <c r="AD27" s="294" t="str">
        <f t="shared" ca="1" si="7"/>
        <v/>
      </c>
      <c r="AE27" s="295" t="str">
        <f t="shared" ca="1" si="8"/>
        <v/>
      </c>
      <c r="AF27" s="139"/>
      <c r="AG27" s="296">
        <f t="shared" ca="1" si="60"/>
        <v>0</v>
      </c>
      <c r="AH27" s="293">
        <f t="shared" ca="1" si="9"/>
        <v>99999</v>
      </c>
      <c r="AI27" s="139" t="str">
        <f t="shared" ca="1" si="10"/>
        <v/>
      </c>
      <c r="AJ27" s="139" t="str">
        <f t="shared" ca="1" si="11"/>
        <v/>
      </c>
      <c r="AK27" s="294">
        <f t="shared" ca="1" si="12"/>
        <v>99999</v>
      </c>
      <c r="AL27" s="294" t="str">
        <f t="shared" ca="1" si="13"/>
        <v/>
      </c>
      <c r="AM27" s="295" t="str">
        <f t="shared" ca="1" si="14"/>
        <v/>
      </c>
      <c r="AN27" s="44"/>
      <c r="AO27" s="296">
        <f t="shared" ca="1" si="61"/>
        <v>0</v>
      </c>
      <c r="AP27" s="293">
        <f t="shared" ca="1" si="15"/>
        <v>99999</v>
      </c>
      <c r="AQ27" s="139" t="str">
        <f t="shared" ca="1" si="16"/>
        <v/>
      </c>
      <c r="AR27" s="139" t="str">
        <f t="shared" ca="1" si="17"/>
        <v/>
      </c>
      <c r="AS27" s="294">
        <f t="shared" ca="1" si="18"/>
        <v>99999</v>
      </c>
      <c r="AT27" s="294" t="str">
        <f t="shared" ca="1" si="19"/>
        <v/>
      </c>
      <c r="AU27" s="295" t="str">
        <f t="shared" ca="1" si="20"/>
        <v/>
      </c>
      <c r="AV27" s="139"/>
      <c r="AW27" s="296">
        <f t="shared" ca="1" si="62"/>
        <v>0</v>
      </c>
      <c r="AX27" s="293">
        <f t="shared" ca="1" si="21"/>
        <v>99999</v>
      </c>
      <c r="AY27" s="139" t="str">
        <f t="shared" ca="1" si="22"/>
        <v/>
      </c>
      <c r="AZ27" s="139" t="str">
        <f t="shared" ca="1" si="23"/>
        <v/>
      </c>
      <c r="BA27" s="294">
        <f t="shared" ca="1" si="24"/>
        <v>99999</v>
      </c>
      <c r="BB27" s="294" t="str">
        <f t="shared" ca="1" si="25"/>
        <v/>
      </c>
      <c r="BC27" s="295" t="str">
        <f t="shared" ca="1" si="26"/>
        <v/>
      </c>
      <c r="BD27" s="44"/>
      <c r="BE27" s="296">
        <f t="shared" ca="1" si="63"/>
        <v>0</v>
      </c>
      <c r="BF27" s="293">
        <f t="shared" ca="1" si="27"/>
        <v>0.47916666666666669</v>
      </c>
      <c r="BG27" s="139">
        <f t="shared" ca="1" si="28"/>
        <v>6</v>
      </c>
      <c r="BH27" s="139">
        <f t="shared" ca="1" si="29"/>
        <v>3</v>
      </c>
      <c r="BI27" s="294">
        <f t="shared" ca="1" si="30"/>
        <v>99999</v>
      </c>
      <c r="BJ27" s="294" t="str">
        <f t="shared" ca="1" si="31"/>
        <v/>
      </c>
      <c r="BK27" s="295" t="str">
        <f t="shared" ca="1" si="32"/>
        <v/>
      </c>
      <c r="BL27" s="139"/>
      <c r="BM27" s="296">
        <f t="shared" ca="1" si="64"/>
        <v>0</v>
      </c>
      <c r="BN27" s="293">
        <f t="shared" ca="1" si="33"/>
        <v>0.47916666666666669</v>
      </c>
      <c r="BO27" s="139">
        <f t="shared" ca="1" si="34"/>
        <v>5</v>
      </c>
      <c r="BP27" s="139">
        <f t="shared" ca="1" si="35"/>
        <v>3</v>
      </c>
      <c r="BQ27" s="294">
        <f t="shared" ca="1" si="36"/>
        <v>99999</v>
      </c>
      <c r="BR27" s="294" t="str">
        <f t="shared" ca="1" si="37"/>
        <v/>
      </c>
      <c r="BS27" s="295" t="str">
        <f t="shared" ca="1" si="38"/>
        <v/>
      </c>
      <c r="BT27" s="44"/>
      <c r="BU27" s="296">
        <f t="shared" ca="1" si="65"/>
        <v>0</v>
      </c>
      <c r="BV27" s="293">
        <f t="shared" ca="1" si="39"/>
        <v>99999</v>
      </c>
      <c r="BW27" s="139" t="str">
        <f t="shared" ca="1" si="40"/>
        <v/>
      </c>
      <c r="BX27" s="139" t="str">
        <f t="shared" ca="1" si="41"/>
        <v/>
      </c>
      <c r="BY27" s="294">
        <f t="shared" ca="1" si="42"/>
        <v>99999</v>
      </c>
      <c r="BZ27" s="294" t="str">
        <f t="shared" ca="1" si="43"/>
        <v/>
      </c>
      <c r="CA27" s="295" t="str">
        <f t="shared" ca="1" si="44"/>
        <v/>
      </c>
      <c r="CB27" s="139"/>
      <c r="CC27" s="296">
        <f t="shared" ca="1" si="66"/>
        <v>0</v>
      </c>
      <c r="CD27" s="293">
        <f t="shared" ca="1" si="45"/>
        <v>99999</v>
      </c>
      <c r="CE27" s="139" t="str">
        <f t="shared" ca="1" si="46"/>
        <v/>
      </c>
      <c r="CF27" s="139" t="str">
        <f t="shared" ca="1" si="47"/>
        <v/>
      </c>
      <c r="CG27" s="294">
        <f t="shared" ca="1" si="48"/>
        <v>99999</v>
      </c>
      <c r="CH27" s="294" t="str">
        <f t="shared" ca="1" si="49"/>
        <v/>
      </c>
      <c r="CI27" s="295" t="str">
        <f t="shared" ca="1" si="50"/>
        <v/>
      </c>
      <c r="CJ27" s="44"/>
      <c r="CK27" s="296">
        <f t="shared" ca="1" si="67"/>
        <v>0</v>
      </c>
      <c r="CL27" s="293">
        <f t="shared" ca="1" si="51"/>
        <v>99999</v>
      </c>
      <c r="CM27" s="139" t="str">
        <f t="shared" ca="1" si="52"/>
        <v/>
      </c>
      <c r="CN27" s="139" t="str">
        <f t="shared" ca="1" si="53"/>
        <v/>
      </c>
      <c r="CO27" s="294">
        <f t="shared" ca="1" si="54"/>
        <v>99999</v>
      </c>
      <c r="CP27" s="294" t="str">
        <f t="shared" ca="1" si="55"/>
        <v/>
      </c>
      <c r="CQ27" s="295" t="str">
        <f t="shared" ca="1" si="56"/>
        <v/>
      </c>
      <c r="CR27" s="44"/>
      <c r="CS27" s="44"/>
    </row>
    <row r="28" spans="1:97" ht="15.95" customHeight="1" x14ac:dyDescent="0.25">
      <c r="A28" s="44"/>
      <c r="B28" s="591"/>
      <c r="C28" s="591"/>
      <c r="D28" s="114">
        <f t="shared" ca="1" si="57"/>
        <v>2</v>
      </c>
      <c r="E28" s="114">
        <f t="shared" ca="1" si="0"/>
        <v>27</v>
      </c>
      <c r="F28" s="114">
        <f ca="1">IF($E28="",0,COUNTIF($E$7:$E28,INDEX($E$79:$E$150,ROW($A22))))</f>
        <v>1</v>
      </c>
      <c r="G28" s="142"/>
      <c r="H28" s="137">
        <v>22</v>
      </c>
      <c r="I28" s="164">
        <f ca="1">IF(OR($Y$3,$H28&gt;Calc!$B$13/2*$D$6),"",$U$6+QUOTIENT(($H28-1),$U$22)*($U$8+$U$10)/1440+SUM($R$7:$R27)/1440)</f>
        <v>0.49652777777777779</v>
      </c>
      <c r="J28" s="166">
        <f ca="1">IF(OR($Y$3,$H28&gt;Calc!$B$13/2*$D$6),"",MOD(($H28-1),$U$22)+1)</f>
        <v>1</v>
      </c>
      <c r="K28" s="417">
        <f ca="1"/>
        <v>2</v>
      </c>
      <c r="L28" s="418" t="s">
        <v>4</v>
      </c>
      <c r="M28" s="419">
        <f ca="1"/>
        <v>7</v>
      </c>
      <c r="N28" s="47" t="str">
        <f t="shared" ca="1" si="1"/>
        <v>FC Barcelona</v>
      </c>
      <c r="O28" s="45" t="s">
        <v>4</v>
      </c>
      <c r="P28" s="46" t="str">
        <f t="shared" ca="1" si="2"/>
        <v>SSV Wildbach</v>
      </c>
      <c r="Q28" s="281"/>
      <c r="R28" s="427"/>
      <c r="S28" s="157"/>
      <c r="T28" s="158"/>
      <c r="U28" s="158"/>
      <c r="V28" s="158"/>
      <c r="W28" s="158"/>
      <c r="X28" s="139">
        <f t="shared" ca="1" si="58"/>
        <v>0</v>
      </c>
      <c r="Y28" s="296">
        <f t="shared" ca="1" si="59"/>
        <v>0</v>
      </c>
      <c r="Z28" s="293">
        <f t="shared" ca="1" si="3"/>
        <v>99999</v>
      </c>
      <c r="AA28" s="139" t="str">
        <f t="shared" ca="1" si="4"/>
        <v/>
      </c>
      <c r="AB28" s="139" t="str">
        <f t="shared" ca="1" si="5"/>
        <v/>
      </c>
      <c r="AC28" s="294">
        <f t="shared" ca="1" si="6"/>
        <v>99999</v>
      </c>
      <c r="AD28" s="294" t="str">
        <f t="shared" ca="1" si="7"/>
        <v/>
      </c>
      <c r="AE28" s="295" t="str">
        <f t="shared" ca="1" si="8"/>
        <v/>
      </c>
      <c r="AF28" s="139"/>
      <c r="AG28" s="296">
        <f t="shared" ca="1" si="60"/>
        <v>0</v>
      </c>
      <c r="AH28" s="293">
        <f t="shared" ca="1" si="9"/>
        <v>0.49652777777777779</v>
      </c>
      <c r="AI28" s="139">
        <f t="shared" ca="1" si="10"/>
        <v>7</v>
      </c>
      <c r="AJ28" s="139">
        <f t="shared" ca="1" si="11"/>
        <v>1</v>
      </c>
      <c r="AK28" s="294">
        <f t="shared" ca="1" si="12"/>
        <v>99999</v>
      </c>
      <c r="AL28" s="294" t="str">
        <f t="shared" ca="1" si="13"/>
        <v/>
      </c>
      <c r="AM28" s="295" t="str">
        <f t="shared" ca="1" si="14"/>
        <v/>
      </c>
      <c r="AN28" s="44"/>
      <c r="AO28" s="296">
        <f t="shared" ca="1" si="61"/>
        <v>0</v>
      </c>
      <c r="AP28" s="293">
        <f t="shared" ca="1" si="15"/>
        <v>99999</v>
      </c>
      <c r="AQ28" s="139" t="str">
        <f t="shared" ca="1" si="16"/>
        <v/>
      </c>
      <c r="AR28" s="139" t="str">
        <f t="shared" ca="1" si="17"/>
        <v/>
      </c>
      <c r="AS28" s="294">
        <f t="shared" ca="1" si="18"/>
        <v>99999</v>
      </c>
      <c r="AT28" s="294" t="str">
        <f t="shared" ca="1" si="19"/>
        <v/>
      </c>
      <c r="AU28" s="295" t="str">
        <f t="shared" ca="1" si="20"/>
        <v/>
      </c>
      <c r="AV28" s="139"/>
      <c r="AW28" s="296">
        <f t="shared" ca="1" si="62"/>
        <v>0</v>
      </c>
      <c r="AX28" s="293">
        <f t="shared" ca="1" si="21"/>
        <v>99999</v>
      </c>
      <c r="AY28" s="139" t="str">
        <f t="shared" ca="1" si="22"/>
        <v/>
      </c>
      <c r="AZ28" s="139" t="str">
        <f t="shared" ca="1" si="23"/>
        <v/>
      </c>
      <c r="BA28" s="294">
        <f t="shared" ca="1" si="24"/>
        <v>99999</v>
      </c>
      <c r="BB28" s="294" t="str">
        <f t="shared" ca="1" si="25"/>
        <v/>
      </c>
      <c r="BC28" s="295" t="str">
        <f t="shared" ca="1" si="26"/>
        <v/>
      </c>
      <c r="BD28" s="44"/>
      <c r="BE28" s="296">
        <f t="shared" ca="1" si="63"/>
        <v>0</v>
      </c>
      <c r="BF28" s="293">
        <f t="shared" ca="1" si="27"/>
        <v>99999</v>
      </c>
      <c r="BG28" s="139" t="str">
        <f t="shared" ca="1" si="28"/>
        <v/>
      </c>
      <c r="BH28" s="139" t="str">
        <f t="shared" ca="1" si="29"/>
        <v/>
      </c>
      <c r="BI28" s="294">
        <f t="shared" ca="1" si="30"/>
        <v>99999</v>
      </c>
      <c r="BJ28" s="294" t="str">
        <f t="shared" ca="1" si="31"/>
        <v/>
      </c>
      <c r="BK28" s="295" t="str">
        <f t="shared" ca="1" si="32"/>
        <v/>
      </c>
      <c r="BL28" s="139"/>
      <c r="BM28" s="296">
        <f t="shared" ca="1" si="64"/>
        <v>0</v>
      </c>
      <c r="BN28" s="293">
        <f t="shared" ca="1" si="33"/>
        <v>99999</v>
      </c>
      <c r="BO28" s="139" t="str">
        <f t="shared" ca="1" si="34"/>
        <v/>
      </c>
      <c r="BP28" s="139" t="str">
        <f t="shared" ca="1" si="35"/>
        <v/>
      </c>
      <c r="BQ28" s="294">
        <f t="shared" ca="1" si="36"/>
        <v>99999</v>
      </c>
      <c r="BR28" s="294" t="str">
        <f t="shared" ca="1" si="37"/>
        <v/>
      </c>
      <c r="BS28" s="295" t="str">
        <f t="shared" ca="1" si="38"/>
        <v/>
      </c>
      <c r="BT28" s="44"/>
      <c r="BU28" s="296">
        <f t="shared" ca="1" si="65"/>
        <v>0</v>
      </c>
      <c r="BV28" s="293">
        <f t="shared" ca="1" si="39"/>
        <v>0.49652777777777779</v>
      </c>
      <c r="BW28" s="139">
        <f t="shared" ca="1" si="40"/>
        <v>2</v>
      </c>
      <c r="BX28" s="139">
        <f t="shared" ca="1" si="41"/>
        <v>1</v>
      </c>
      <c r="BY28" s="294">
        <f t="shared" ca="1" si="42"/>
        <v>99999</v>
      </c>
      <c r="BZ28" s="294" t="str">
        <f t="shared" ca="1" si="43"/>
        <v/>
      </c>
      <c r="CA28" s="295" t="str">
        <f t="shared" ca="1" si="44"/>
        <v/>
      </c>
      <c r="CB28" s="139"/>
      <c r="CC28" s="296">
        <f t="shared" ca="1" si="66"/>
        <v>0</v>
      </c>
      <c r="CD28" s="293">
        <f t="shared" ca="1" si="45"/>
        <v>99999</v>
      </c>
      <c r="CE28" s="139" t="str">
        <f t="shared" ca="1" si="46"/>
        <v/>
      </c>
      <c r="CF28" s="139" t="str">
        <f t="shared" ca="1" si="47"/>
        <v/>
      </c>
      <c r="CG28" s="294">
        <f t="shared" ca="1" si="48"/>
        <v>99999</v>
      </c>
      <c r="CH28" s="294" t="str">
        <f t="shared" ca="1" si="49"/>
        <v/>
      </c>
      <c r="CI28" s="295" t="str">
        <f t="shared" ca="1" si="50"/>
        <v/>
      </c>
      <c r="CJ28" s="44"/>
      <c r="CK28" s="296">
        <f t="shared" ca="1" si="67"/>
        <v>0</v>
      </c>
      <c r="CL28" s="293">
        <f t="shared" ca="1" si="51"/>
        <v>99999</v>
      </c>
      <c r="CM28" s="139" t="str">
        <f t="shared" ca="1" si="52"/>
        <v/>
      </c>
      <c r="CN28" s="139" t="str">
        <f t="shared" ca="1" si="53"/>
        <v/>
      </c>
      <c r="CO28" s="294">
        <f t="shared" ca="1" si="54"/>
        <v>99999</v>
      </c>
      <c r="CP28" s="294" t="str">
        <f t="shared" ca="1" si="55"/>
        <v/>
      </c>
      <c r="CQ28" s="295" t="str">
        <f t="shared" ca="1" si="56"/>
        <v/>
      </c>
      <c r="CR28" s="44"/>
      <c r="CS28" s="44"/>
    </row>
    <row r="29" spans="1:97" ht="15.95" customHeight="1" x14ac:dyDescent="0.25">
      <c r="A29" s="44"/>
      <c r="B29" s="591"/>
      <c r="C29" s="591"/>
      <c r="D29" s="114">
        <f t="shared" ca="1" si="57"/>
        <v>2</v>
      </c>
      <c r="E29" s="114">
        <f t="shared" ca="1" si="0"/>
        <v>63</v>
      </c>
      <c r="F29" s="114">
        <f ca="1">IF($E29="",0,COUNTIF($E$7:$E29,INDEX($E$79:$E$150,ROW($A23))))</f>
        <v>1</v>
      </c>
      <c r="G29" s="142"/>
      <c r="H29" s="137">
        <v>23</v>
      </c>
      <c r="I29" s="164">
        <f ca="1">IF(OR($Y$3,$H29&gt;Calc!$B$13/2*$D$6),"",$U$6+QUOTIENT(($H29-1),$U$22)*($U$8+$U$10)/1440+SUM($R$7:$R28)/1440)</f>
        <v>0.49652777777777779</v>
      </c>
      <c r="J29" s="166">
        <f ca="1">IF(OR($Y$3,$H29&gt;Calc!$B$13/2*$D$6),"",MOD(($H29-1),$U$22)+1)</f>
        <v>2</v>
      </c>
      <c r="K29" s="417">
        <f ca="1"/>
        <v>6</v>
      </c>
      <c r="L29" s="418" t="s">
        <v>4</v>
      </c>
      <c r="M29" s="419">
        <f ca="1"/>
        <v>3</v>
      </c>
      <c r="N29" s="47" t="str">
        <f t="shared" ca="1" si="1"/>
        <v>Inter Mailand</v>
      </c>
      <c r="O29" s="45" t="s">
        <v>4</v>
      </c>
      <c r="P29" s="46" t="str">
        <f t="shared" ca="1" si="2"/>
        <v>Eintracht Frankfurt</v>
      </c>
      <c r="Q29" s="281"/>
      <c r="R29" s="427"/>
      <c r="S29" s="157"/>
      <c r="T29" s="158"/>
      <c r="U29" s="158"/>
      <c r="V29" s="158"/>
      <c r="W29" s="158"/>
      <c r="X29" s="139">
        <f t="shared" ca="1" si="58"/>
        <v>0</v>
      </c>
      <c r="Y29" s="296">
        <f t="shared" ca="1" si="59"/>
        <v>0</v>
      </c>
      <c r="Z29" s="293">
        <f t="shared" ca="1" si="3"/>
        <v>99999</v>
      </c>
      <c r="AA29" s="139" t="str">
        <f t="shared" ca="1" si="4"/>
        <v/>
      </c>
      <c r="AB29" s="139" t="str">
        <f t="shared" ca="1" si="5"/>
        <v/>
      </c>
      <c r="AC29" s="294">
        <f t="shared" ca="1" si="6"/>
        <v>99999</v>
      </c>
      <c r="AD29" s="294" t="str">
        <f t="shared" ca="1" si="7"/>
        <v/>
      </c>
      <c r="AE29" s="295" t="str">
        <f t="shared" ca="1" si="8"/>
        <v/>
      </c>
      <c r="AF29" s="139"/>
      <c r="AG29" s="296">
        <f t="shared" ca="1" si="60"/>
        <v>0</v>
      </c>
      <c r="AH29" s="293">
        <f t="shared" ca="1" si="9"/>
        <v>99999</v>
      </c>
      <c r="AI29" s="139" t="str">
        <f t="shared" ca="1" si="10"/>
        <v/>
      </c>
      <c r="AJ29" s="139" t="str">
        <f t="shared" ca="1" si="11"/>
        <v/>
      </c>
      <c r="AK29" s="294">
        <f t="shared" ca="1" si="12"/>
        <v>99999</v>
      </c>
      <c r="AL29" s="294" t="str">
        <f t="shared" ca="1" si="13"/>
        <v/>
      </c>
      <c r="AM29" s="295" t="str">
        <f t="shared" ca="1" si="14"/>
        <v/>
      </c>
      <c r="AN29" s="44"/>
      <c r="AO29" s="296">
        <f t="shared" ca="1" si="61"/>
        <v>0</v>
      </c>
      <c r="AP29" s="293">
        <f t="shared" ca="1" si="15"/>
        <v>0.49652777777777779</v>
      </c>
      <c r="AQ29" s="139">
        <f t="shared" ca="1" si="16"/>
        <v>6</v>
      </c>
      <c r="AR29" s="139">
        <f t="shared" ca="1" si="17"/>
        <v>2</v>
      </c>
      <c r="AS29" s="294">
        <f t="shared" ca="1" si="18"/>
        <v>99999</v>
      </c>
      <c r="AT29" s="294" t="str">
        <f t="shared" ca="1" si="19"/>
        <v/>
      </c>
      <c r="AU29" s="295" t="str">
        <f t="shared" ca="1" si="20"/>
        <v/>
      </c>
      <c r="AV29" s="139"/>
      <c r="AW29" s="296">
        <f t="shared" ca="1" si="62"/>
        <v>0</v>
      </c>
      <c r="AX29" s="293">
        <f t="shared" ca="1" si="21"/>
        <v>99999</v>
      </c>
      <c r="AY29" s="139" t="str">
        <f t="shared" ca="1" si="22"/>
        <v/>
      </c>
      <c r="AZ29" s="139" t="str">
        <f t="shared" ca="1" si="23"/>
        <v/>
      </c>
      <c r="BA29" s="294">
        <f t="shared" ca="1" si="24"/>
        <v>99999</v>
      </c>
      <c r="BB29" s="294" t="str">
        <f t="shared" ca="1" si="25"/>
        <v/>
      </c>
      <c r="BC29" s="295" t="str">
        <f t="shared" ca="1" si="26"/>
        <v/>
      </c>
      <c r="BD29" s="44"/>
      <c r="BE29" s="296">
        <f t="shared" ca="1" si="63"/>
        <v>0</v>
      </c>
      <c r="BF29" s="293">
        <f t="shared" ca="1" si="27"/>
        <v>99999</v>
      </c>
      <c r="BG29" s="139" t="str">
        <f t="shared" ca="1" si="28"/>
        <v/>
      </c>
      <c r="BH29" s="139" t="str">
        <f t="shared" ca="1" si="29"/>
        <v/>
      </c>
      <c r="BI29" s="294">
        <f t="shared" ca="1" si="30"/>
        <v>99999</v>
      </c>
      <c r="BJ29" s="294" t="str">
        <f t="shared" ca="1" si="31"/>
        <v/>
      </c>
      <c r="BK29" s="295" t="str">
        <f t="shared" ca="1" si="32"/>
        <v/>
      </c>
      <c r="BL29" s="139"/>
      <c r="BM29" s="296">
        <f t="shared" ca="1" si="64"/>
        <v>0</v>
      </c>
      <c r="BN29" s="293">
        <f t="shared" ca="1" si="33"/>
        <v>0.49652777777777779</v>
      </c>
      <c r="BO29" s="139">
        <f t="shared" ca="1" si="34"/>
        <v>3</v>
      </c>
      <c r="BP29" s="139">
        <f t="shared" ca="1" si="35"/>
        <v>2</v>
      </c>
      <c r="BQ29" s="294">
        <f t="shared" ca="1" si="36"/>
        <v>99999</v>
      </c>
      <c r="BR29" s="294" t="str">
        <f t="shared" ca="1" si="37"/>
        <v/>
      </c>
      <c r="BS29" s="295" t="str">
        <f t="shared" ca="1" si="38"/>
        <v/>
      </c>
      <c r="BT29" s="44"/>
      <c r="BU29" s="296">
        <f t="shared" ca="1" si="65"/>
        <v>0</v>
      </c>
      <c r="BV29" s="293">
        <f t="shared" ca="1" si="39"/>
        <v>99999</v>
      </c>
      <c r="BW29" s="139" t="str">
        <f t="shared" ca="1" si="40"/>
        <v/>
      </c>
      <c r="BX29" s="139" t="str">
        <f t="shared" ca="1" si="41"/>
        <v/>
      </c>
      <c r="BY29" s="294">
        <f t="shared" ca="1" si="42"/>
        <v>99999</v>
      </c>
      <c r="BZ29" s="294" t="str">
        <f t="shared" ca="1" si="43"/>
        <v/>
      </c>
      <c r="CA29" s="295" t="str">
        <f t="shared" ca="1" si="44"/>
        <v/>
      </c>
      <c r="CB29" s="139"/>
      <c r="CC29" s="296">
        <f t="shared" ca="1" si="66"/>
        <v>0</v>
      </c>
      <c r="CD29" s="293">
        <f t="shared" ca="1" si="45"/>
        <v>99999</v>
      </c>
      <c r="CE29" s="139" t="str">
        <f t="shared" ca="1" si="46"/>
        <v/>
      </c>
      <c r="CF29" s="139" t="str">
        <f t="shared" ca="1" si="47"/>
        <v/>
      </c>
      <c r="CG29" s="294">
        <f t="shared" ca="1" si="48"/>
        <v>99999</v>
      </c>
      <c r="CH29" s="294" t="str">
        <f t="shared" ca="1" si="49"/>
        <v/>
      </c>
      <c r="CI29" s="295" t="str">
        <f t="shared" ca="1" si="50"/>
        <v/>
      </c>
      <c r="CJ29" s="44"/>
      <c r="CK29" s="296">
        <f t="shared" ca="1" si="67"/>
        <v>0</v>
      </c>
      <c r="CL29" s="293">
        <f t="shared" ca="1" si="51"/>
        <v>99999</v>
      </c>
      <c r="CM29" s="139" t="str">
        <f t="shared" ca="1" si="52"/>
        <v/>
      </c>
      <c r="CN29" s="139" t="str">
        <f t="shared" ca="1" si="53"/>
        <v/>
      </c>
      <c r="CO29" s="294">
        <f t="shared" ca="1" si="54"/>
        <v>99999</v>
      </c>
      <c r="CP29" s="294" t="str">
        <f t="shared" ca="1" si="55"/>
        <v/>
      </c>
      <c r="CQ29" s="295" t="str">
        <f t="shared" ca="1" si="56"/>
        <v/>
      </c>
      <c r="CR29" s="44"/>
      <c r="CS29" s="44"/>
    </row>
    <row r="30" spans="1:97" ht="15.95" customHeight="1" x14ac:dyDescent="0.25">
      <c r="A30" s="44"/>
      <c r="B30" s="44"/>
      <c r="C30" s="44"/>
      <c r="D30" s="114">
        <f t="shared" ca="1" si="57"/>
        <v>2</v>
      </c>
      <c r="E30" s="114">
        <f t="shared" ca="1" si="0"/>
        <v>45</v>
      </c>
      <c r="F30" s="114">
        <f ca="1">IF($E30="",0,COUNTIF($E$7:$E30,INDEX($E$79:$E$150,ROW($A24))))</f>
        <v>1</v>
      </c>
      <c r="G30" s="142"/>
      <c r="H30" s="137">
        <v>24</v>
      </c>
      <c r="I30" s="164">
        <f ca="1">IF(OR($Y$3,$H30&gt;Calc!$B$13/2*$D$6),"",$U$6+QUOTIENT(($H30-1),$U$22)*($U$8+$U$10)/1440+SUM($R$7:$R29)/1440)</f>
        <v>0.49652777777777779</v>
      </c>
      <c r="J30" s="166">
        <f ca="1">IF(OR($Y$3,$H30&gt;Calc!$B$13/2*$D$6),"",MOD(($H30-1),$U$22)+1)</f>
        <v>3</v>
      </c>
      <c r="K30" s="417">
        <f ca="1"/>
        <v>4</v>
      </c>
      <c r="L30" s="418" t="s">
        <v>4</v>
      </c>
      <c r="M30" s="419">
        <f ca="1"/>
        <v>5</v>
      </c>
      <c r="N30" s="47" t="str">
        <f t="shared" ca="1" si="1"/>
        <v>Maibach 1822 eV</v>
      </c>
      <c r="O30" s="45" t="s">
        <v>4</v>
      </c>
      <c r="P30" s="46" t="str">
        <f t="shared" ca="1" si="2"/>
        <v>VFB Essenheim</v>
      </c>
      <c r="Q30" s="281"/>
      <c r="R30" s="427"/>
      <c r="S30" s="157"/>
      <c r="T30" s="158"/>
      <c r="U30" s="158"/>
      <c r="V30" s="158"/>
      <c r="W30" s="158"/>
      <c r="X30" s="139">
        <f t="shared" ca="1" si="58"/>
        <v>0</v>
      </c>
      <c r="Y30" s="296">
        <f t="shared" ca="1" si="59"/>
        <v>0</v>
      </c>
      <c r="Z30" s="293">
        <f t="shared" ca="1" si="3"/>
        <v>99999</v>
      </c>
      <c r="AA30" s="139" t="str">
        <f t="shared" ca="1" si="4"/>
        <v/>
      </c>
      <c r="AB30" s="139" t="str">
        <f t="shared" ca="1" si="5"/>
        <v/>
      </c>
      <c r="AC30" s="294">
        <f t="shared" ca="1" si="6"/>
        <v>99999</v>
      </c>
      <c r="AD30" s="294" t="str">
        <f t="shared" ca="1" si="7"/>
        <v/>
      </c>
      <c r="AE30" s="295" t="str">
        <f t="shared" ca="1" si="8"/>
        <v/>
      </c>
      <c r="AF30" s="139"/>
      <c r="AG30" s="296">
        <f t="shared" ca="1" si="60"/>
        <v>0</v>
      </c>
      <c r="AH30" s="293">
        <f t="shared" ca="1" si="9"/>
        <v>99999</v>
      </c>
      <c r="AI30" s="139" t="str">
        <f t="shared" ca="1" si="10"/>
        <v/>
      </c>
      <c r="AJ30" s="139" t="str">
        <f t="shared" ca="1" si="11"/>
        <v/>
      </c>
      <c r="AK30" s="294">
        <f t="shared" ca="1" si="12"/>
        <v>99999</v>
      </c>
      <c r="AL30" s="294" t="str">
        <f t="shared" ca="1" si="13"/>
        <v/>
      </c>
      <c r="AM30" s="295" t="str">
        <f t="shared" ca="1" si="14"/>
        <v/>
      </c>
      <c r="AN30" s="44"/>
      <c r="AO30" s="296">
        <f t="shared" ca="1" si="61"/>
        <v>0</v>
      </c>
      <c r="AP30" s="293">
        <f t="shared" ca="1" si="15"/>
        <v>99999</v>
      </c>
      <c r="AQ30" s="139" t="str">
        <f t="shared" ca="1" si="16"/>
        <v/>
      </c>
      <c r="AR30" s="139" t="str">
        <f t="shared" ca="1" si="17"/>
        <v/>
      </c>
      <c r="AS30" s="294">
        <f t="shared" ca="1" si="18"/>
        <v>99999</v>
      </c>
      <c r="AT30" s="294" t="str">
        <f t="shared" ca="1" si="19"/>
        <v/>
      </c>
      <c r="AU30" s="295" t="str">
        <f t="shared" ca="1" si="20"/>
        <v/>
      </c>
      <c r="AV30" s="139"/>
      <c r="AW30" s="296">
        <f t="shared" ca="1" si="62"/>
        <v>0</v>
      </c>
      <c r="AX30" s="293">
        <f t="shared" ca="1" si="21"/>
        <v>0.49652777777777779</v>
      </c>
      <c r="AY30" s="139">
        <f t="shared" ca="1" si="22"/>
        <v>5</v>
      </c>
      <c r="AZ30" s="139">
        <f t="shared" ca="1" si="23"/>
        <v>3</v>
      </c>
      <c r="BA30" s="294">
        <f t="shared" ca="1" si="24"/>
        <v>99999</v>
      </c>
      <c r="BB30" s="294" t="str">
        <f t="shared" ca="1" si="25"/>
        <v/>
      </c>
      <c r="BC30" s="295" t="str">
        <f t="shared" ca="1" si="26"/>
        <v/>
      </c>
      <c r="BD30" s="44"/>
      <c r="BE30" s="296">
        <f t="shared" ca="1" si="63"/>
        <v>0</v>
      </c>
      <c r="BF30" s="293">
        <f t="shared" ca="1" si="27"/>
        <v>0.49652777777777779</v>
      </c>
      <c r="BG30" s="139">
        <f t="shared" ca="1" si="28"/>
        <v>4</v>
      </c>
      <c r="BH30" s="139">
        <f t="shared" ca="1" si="29"/>
        <v>3</v>
      </c>
      <c r="BI30" s="294">
        <f t="shared" ca="1" si="30"/>
        <v>99999</v>
      </c>
      <c r="BJ30" s="294" t="str">
        <f t="shared" ca="1" si="31"/>
        <v/>
      </c>
      <c r="BK30" s="295" t="str">
        <f t="shared" ca="1" si="32"/>
        <v/>
      </c>
      <c r="BL30" s="139"/>
      <c r="BM30" s="296">
        <f t="shared" ca="1" si="64"/>
        <v>0</v>
      </c>
      <c r="BN30" s="293">
        <f t="shared" ca="1" si="33"/>
        <v>99999</v>
      </c>
      <c r="BO30" s="139" t="str">
        <f t="shared" ca="1" si="34"/>
        <v/>
      </c>
      <c r="BP30" s="139" t="str">
        <f t="shared" ca="1" si="35"/>
        <v/>
      </c>
      <c r="BQ30" s="294">
        <f t="shared" ca="1" si="36"/>
        <v>99999</v>
      </c>
      <c r="BR30" s="294" t="str">
        <f t="shared" ca="1" si="37"/>
        <v/>
      </c>
      <c r="BS30" s="295" t="str">
        <f t="shared" ca="1" si="38"/>
        <v/>
      </c>
      <c r="BT30" s="44"/>
      <c r="BU30" s="296">
        <f t="shared" ca="1" si="65"/>
        <v>0</v>
      </c>
      <c r="BV30" s="293">
        <f t="shared" ca="1" si="39"/>
        <v>99999</v>
      </c>
      <c r="BW30" s="139" t="str">
        <f t="shared" ca="1" si="40"/>
        <v/>
      </c>
      <c r="BX30" s="139" t="str">
        <f t="shared" ca="1" si="41"/>
        <v/>
      </c>
      <c r="BY30" s="294">
        <f t="shared" ca="1" si="42"/>
        <v>99999</v>
      </c>
      <c r="BZ30" s="294" t="str">
        <f t="shared" ca="1" si="43"/>
        <v/>
      </c>
      <c r="CA30" s="295" t="str">
        <f t="shared" ca="1" si="44"/>
        <v/>
      </c>
      <c r="CB30" s="139"/>
      <c r="CC30" s="296">
        <f t="shared" ca="1" si="66"/>
        <v>0</v>
      </c>
      <c r="CD30" s="293">
        <f t="shared" ca="1" si="45"/>
        <v>99999</v>
      </c>
      <c r="CE30" s="139" t="str">
        <f t="shared" ca="1" si="46"/>
        <v/>
      </c>
      <c r="CF30" s="139" t="str">
        <f t="shared" ca="1" si="47"/>
        <v/>
      </c>
      <c r="CG30" s="294">
        <f t="shared" ca="1" si="48"/>
        <v>99999</v>
      </c>
      <c r="CH30" s="294" t="str">
        <f t="shared" ca="1" si="49"/>
        <v/>
      </c>
      <c r="CI30" s="295" t="str">
        <f t="shared" ca="1" si="50"/>
        <v/>
      </c>
      <c r="CJ30" s="44"/>
      <c r="CK30" s="296">
        <f t="shared" ca="1" si="67"/>
        <v>0</v>
      </c>
      <c r="CL30" s="293">
        <f t="shared" ca="1" si="51"/>
        <v>99999</v>
      </c>
      <c r="CM30" s="139" t="str">
        <f t="shared" ca="1" si="52"/>
        <v/>
      </c>
      <c r="CN30" s="139" t="str">
        <f t="shared" ca="1" si="53"/>
        <v/>
      </c>
      <c r="CO30" s="294">
        <f t="shared" ca="1" si="54"/>
        <v>99999</v>
      </c>
      <c r="CP30" s="294" t="str">
        <f t="shared" ca="1" si="55"/>
        <v/>
      </c>
      <c r="CQ30" s="295" t="str">
        <f t="shared" ca="1" si="56"/>
        <v/>
      </c>
      <c r="CR30" s="44"/>
      <c r="CS30" s="44"/>
    </row>
    <row r="31" spans="1:97" ht="15.95" customHeight="1" x14ac:dyDescent="0.25">
      <c r="A31" s="44"/>
      <c r="B31" s="44"/>
      <c r="C31" s="44"/>
      <c r="D31" s="114">
        <f t="shared" ca="1" si="57"/>
        <v>2</v>
      </c>
      <c r="E31" s="114">
        <f t="shared" ca="1" si="0"/>
        <v>17</v>
      </c>
      <c r="F31" s="114">
        <f ca="1">IF($E31="",0,COUNTIF($E$7:$E31,INDEX($E$79:$E$150,ROW($A25))))</f>
        <v>1</v>
      </c>
      <c r="G31" s="142"/>
      <c r="H31" s="137">
        <v>25</v>
      </c>
      <c r="I31" s="164">
        <f ca="1">IF(OR($Y$3,$H31&gt;Calc!$B$13/2*$D$6),"",$U$6+QUOTIENT(($H31-1),$U$22)*($U$8+$U$10)/1440+SUM($R$7:$R30)/1440)</f>
        <v>0.51388888888888884</v>
      </c>
      <c r="J31" s="166">
        <f ca="1">IF(OR($Y$3,$H31&gt;Calc!$B$13/2*$D$6),"",MOD(($H31-1),$U$22)+1)</f>
        <v>1</v>
      </c>
      <c r="K31" s="417">
        <f ca="1"/>
        <v>1</v>
      </c>
      <c r="L31" s="418" t="s">
        <v>4</v>
      </c>
      <c r="M31" s="419">
        <f ca="1"/>
        <v>7</v>
      </c>
      <c r="N31" s="47" t="str">
        <f t="shared" ca="1" si="1"/>
        <v>1. FC Riedwald</v>
      </c>
      <c r="O31" s="45" t="s">
        <v>4</v>
      </c>
      <c r="P31" s="46" t="str">
        <f t="shared" ca="1" si="2"/>
        <v>SSV Wildbach</v>
      </c>
      <c r="Q31" s="281"/>
      <c r="R31" s="427"/>
      <c r="S31" s="157"/>
      <c r="T31" s="158"/>
      <c r="U31" s="158"/>
      <c r="V31" s="158"/>
      <c r="W31" s="158"/>
      <c r="X31" s="139">
        <f t="shared" ca="1" si="58"/>
        <v>0</v>
      </c>
      <c r="Y31" s="296">
        <f t="shared" ca="1" si="59"/>
        <v>0</v>
      </c>
      <c r="Z31" s="293">
        <f t="shared" ca="1" si="3"/>
        <v>0.51388888888888884</v>
      </c>
      <c r="AA31" s="139">
        <f t="shared" ca="1" si="4"/>
        <v>7</v>
      </c>
      <c r="AB31" s="139">
        <f t="shared" ca="1" si="5"/>
        <v>1</v>
      </c>
      <c r="AC31" s="294">
        <f t="shared" ca="1" si="6"/>
        <v>99999</v>
      </c>
      <c r="AD31" s="294" t="str">
        <f t="shared" ca="1" si="7"/>
        <v/>
      </c>
      <c r="AE31" s="295" t="str">
        <f t="shared" ca="1" si="8"/>
        <v/>
      </c>
      <c r="AF31" s="139"/>
      <c r="AG31" s="296">
        <f t="shared" ca="1" si="60"/>
        <v>0</v>
      </c>
      <c r="AH31" s="293">
        <f t="shared" ca="1" si="9"/>
        <v>99999</v>
      </c>
      <c r="AI31" s="139" t="str">
        <f t="shared" ca="1" si="10"/>
        <v/>
      </c>
      <c r="AJ31" s="139" t="str">
        <f t="shared" ca="1" si="11"/>
        <v/>
      </c>
      <c r="AK31" s="294">
        <f t="shared" ca="1" si="12"/>
        <v>99999</v>
      </c>
      <c r="AL31" s="294" t="str">
        <f t="shared" ca="1" si="13"/>
        <v/>
      </c>
      <c r="AM31" s="295" t="str">
        <f t="shared" ca="1" si="14"/>
        <v/>
      </c>
      <c r="AN31" s="44"/>
      <c r="AO31" s="296">
        <f t="shared" ca="1" si="61"/>
        <v>0</v>
      </c>
      <c r="AP31" s="293">
        <f t="shared" ca="1" si="15"/>
        <v>99999</v>
      </c>
      <c r="AQ31" s="139" t="str">
        <f t="shared" ca="1" si="16"/>
        <v/>
      </c>
      <c r="AR31" s="139" t="str">
        <f t="shared" ca="1" si="17"/>
        <v/>
      </c>
      <c r="AS31" s="294">
        <f t="shared" ca="1" si="18"/>
        <v>99999</v>
      </c>
      <c r="AT31" s="294" t="str">
        <f t="shared" ca="1" si="19"/>
        <v/>
      </c>
      <c r="AU31" s="295" t="str">
        <f t="shared" ca="1" si="20"/>
        <v/>
      </c>
      <c r="AV31" s="139"/>
      <c r="AW31" s="296">
        <f t="shared" ca="1" si="62"/>
        <v>0</v>
      </c>
      <c r="AX31" s="293">
        <f t="shared" ca="1" si="21"/>
        <v>99999</v>
      </c>
      <c r="AY31" s="139" t="str">
        <f t="shared" ca="1" si="22"/>
        <v/>
      </c>
      <c r="AZ31" s="139" t="str">
        <f t="shared" ca="1" si="23"/>
        <v/>
      </c>
      <c r="BA31" s="294">
        <f t="shared" ca="1" si="24"/>
        <v>99999</v>
      </c>
      <c r="BB31" s="294" t="str">
        <f t="shared" ca="1" si="25"/>
        <v/>
      </c>
      <c r="BC31" s="295" t="str">
        <f t="shared" ca="1" si="26"/>
        <v/>
      </c>
      <c r="BD31" s="44"/>
      <c r="BE31" s="296">
        <f t="shared" ca="1" si="63"/>
        <v>0</v>
      </c>
      <c r="BF31" s="293">
        <f t="shared" ca="1" si="27"/>
        <v>99999</v>
      </c>
      <c r="BG31" s="139" t="str">
        <f t="shared" ca="1" si="28"/>
        <v/>
      </c>
      <c r="BH31" s="139" t="str">
        <f t="shared" ca="1" si="29"/>
        <v/>
      </c>
      <c r="BI31" s="294">
        <f t="shared" ca="1" si="30"/>
        <v>99999</v>
      </c>
      <c r="BJ31" s="294" t="str">
        <f t="shared" ca="1" si="31"/>
        <v/>
      </c>
      <c r="BK31" s="295" t="str">
        <f t="shared" ca="1" si="32"/>
        <v/>
      </c>
      <c r="BL31" s="139"/>
      <c r="BM31" s="296">
        <f t="shared" ca="1" si="64"/>
        <v>0</v>
      </c>
      <c r="BN31" s="293">
        <f t="shared" ca="1" si="33"/>
        <v>99999</v>
      </c>
      <c r="BO31" s="139" t="str">
        <f t="shared" ca="1" si="34"/>
        <v/>
      </c>
      <c r="BP31" s="139" t="str">
        <f t="shared" ca="1" si="35"/>
        <v/>
      </c>
      <c r="BQ31" s="294">
        <f t="shared" ca="1" si="36"/>
        <v>99999</v>
      </c>
      <c r="BR31" s="294" t="str">
        <f t="shared" ca="1" si="37"/>
        <v/>
      </c>
      <c r="BS31" s="295" t="str">
        <f t="shared" ca="1" si="38"/>
        <v/>
      </c>
      <c r="BT31" s="44"/>
      <c r="BU31" s="296">
        <f t="shared" ca="1" si="65"/>
        <v>0</v>
      </c>
      <c r="BV31" s="293">
        <f t="shared" ca="1" si="39"/>
        <v>0.51388888888888884</v>
      </c>
      <c r="BW31" s="139">
        <f t="shared" ca="1" si="40"/>
        <v>1</v>
      </c>
      <c r="BX31" s="139">
        <f t="shared" ca="1" si="41"/>
        <v>1</v>
      </c>
      <c r="BY31" s="294">
        <f t="shared" ca="1" si="42"/>
        <v>99999</v>
      </c>
      <c r="BZ31" s="294" t="str">
        <f t="shared" ca="1" si="43"/>
        <v/>
      </c>
      <c r="CA31" s="295" t="str">
        <f t="shared" ca="1" si="44"/>
        <v/>
      </c>
      <c r="CB31" s="139"/>
      <c r="CC31" s="296">
        <f t="shared" ca="1" si="66"/>
        <v>0</v>
      </c>
      <c r="CD31" s="293">
        <f t="shared" ca="1" si="45"/>
        <v>99999</v>
      </c>
      <c r="CE31" s="139" t="str">
        <f t="shared" ca="1" si="46"/>
        <v/>
      </c>
      <c r="CF31" s="139" t="str">
        <f t="shared" ca="1" si="47"/>
        <v/>
      </c>
      <c r="CG31" s="294">
        <f t="shared" ca="1" si="48"/>
        <v>99999</v>
      </c>
      <c r="CH31" s="294" t="str">
        <f t="shared" ca="1" si="49"/>
        <v/>
      </c>
      <c r="CI31" s="295" t="str">
        <f t="shared" ca="1" si="50"/>
        <v/>
      </c>
      <c r="CJ31" s="44"/>
      <c r="CK31" s="296">
        <f t="shared" ca="1" si="67"/>
        <v>0</v>
      </c>
      <c r="CL31" s="293">
        <f t="shared" ca="1" si="51"/>
        <v>99999</v>
      </c>
      <c r="CM31" s="139" t="str">
        <f t="shared" ca="1" si="52"/>
        <v/>
      </c>
      <c r="CN31" s="139" t="str">
        <f t="shared" ca="1" si="53"/>
        <v/>
      </c>
      <c r="CO31" s="294">
        <f t="shared" ca="1" si="54"/>
        <v>99999</v>
      </c>
      <c r="CP31" s="294" t="str">
        <f t="shared" ca="1" si="55"/>
        <v/>
      </c>
      <c r="CQ31" s="295" t="str">
        <f t="shared" ca="1" si="56"/>
        <v/>
      </c>
      <c r="CR31" s="44"/>
      <c r="CS31" s="44"/>
    </row>
    <row r="32" spans="1:97" ht="15.95" customHeight="1" x14ac:dyDescent="0.25">
      <c r="A32" s="44"/>
      <c r="B32" s="44"/>
      <c r="C32" s="44"/>
      <c r="D32" s="114">
        <f t="shared" ca="1" si="57"/>
        <v>2</v>
      </c>
      <c r="E32" s="114">
        <f t="shared" ca="1" si="0"/>
        <v>52</v>
      </c>
      <c r="F32" s="114">
        <f ca="1">IF($E32="",0,COUNTIF($E$7:$E32,INDEX($E$79:$E$150,ROW($A26))))</f>
        <v>1</v>
      </c>
      <c r="G32" s="142"/>
      <c r="H32" s="137">
        <v>26</v>
      </c>
      <c r="I32" s="164">
        <f ca="1">IF(OR($Y$3,$H32&gt;Calc!$B$13/2*$D$6),"",$U$6+QUOTIENT(($H32-1),$U$22)*($U$8+$U$10)/1440+SUM($R$7:$R31)/1440)</f>
        <v>0.51388888888888884</v>
      </c>
      <c r="J32" s="166">
        <f ca="1">IF(OR($Y$3,$H32&gt;Calc!$B$13/2*$D$6),"",MOD(($H32-1),$U$22)+1)</f>
        <v>2</v>
      </c>
      <c r="K32" s="417">
        <f ca="1"/>
        <v>5</v>
      </c>
      <c r="L32" s="418" t="s">
        <v>4</v>
      </c>
      <c r="M32" s="419">
        <f ca="1"/>
        <v>2</v>
      </c>
      <c r="N32" s="47" t="str">
        <f t="shared" ca="1" si="1"/>
        <v>VFB Essenheim</v>
      </c>
      <c r="O32" s="45" t="s">
        <v>4</v>
      </c>
      <c r="P32" s="46" t="str">
        <f t="shared" ca="1" si="2"/>
        <v>FC Barcelona</v>
      </c>
      <c r="Q32" s="281"/>
      <c r="R32" s="427"/>
      <c r="S32" s="157"/>
      <c r="T32" s="158"/>
      <c r="U32" s="158"/>
      <c r="V32" s="158"/>
      <c r="W32" s="158"/>
      <c r="X32" s="139">
        <f t="shared" ca="1" si="58"/>
        <v>0</v>
      </c>
      <c r="Y32" s="296">
        <f t="shared" ca="1" si="59"/>
        <v>0</v>
      </c>
      <c r="Z32" s="293">
        <f t="shared" ca="1" si="3"/>
        <v>99999</v>
      </c>
      <c r="AA32" s="139" t="str">
        <f t="shared" ca="1" si="4"/>
        <v/>
      </c>
      <c r="AB32" s="139" t="str">
        <f t="shared" ca="1" si="5"/>
        <v/>
      </c>
      <c r="AC32" s="294">
        <f t="shared" ca="1" si="6"/>
        <v>99999</v>
      </c>
      <c r="AD32" s="294" t="str">
        <f t="shared" ca="1" si="7"/>
        <v/>
      </c>
      <c r="AE32" s="295" t="str">
        <f t="shared" ca="1" si="8"/>
        <v/>
      </c>
      <c r="AF32" s="139"/>
      <c r="AG32" s="296">
        <f t="shared" ca="1" si="60"/>
        <v>0</v>
      </c>
      <c r="AH32" s="293">
        <f t="shared" ca="1" si="9"/>
        <v>0.51388888888888884</v>
      </c>
      <c r="AI32" s="139">
        <f t="shared" ca="1" si="10"/>
        <v>5</v>
      </c>
      <c r="AJ32" s="139">
        <f t="shared" ca="1" si="11"/>
        <v>2</v>
      </c>
      <c r="AK32" s="294">
        <f t="shared" ca="1" si="12"/>
        <v>99999</v>
      </c>
      <c r="AL32" s="294" t="str">
        <f t="shared" ca="1" si="13"/>
        <v/>
      </c>
      <c r="AM32" s="295" t="str">
        <f t="shared" ca="1" si="14"/>
        <v/>
      </c>
      <c r="AN32" s="44"/>
      <c r="AO32" s="296">
        <f t="shared" ca="1" si="61"/>
        <v>0</v>
      </c>
      <c r="AP32" s="293">
        <f t="shared" ca="1" si="15"/>
        <v>99999</v>
      </c>
      <c r="AQ32" s="139" t="str">
        <f t="shared" ca="1" si="16"/>
        <v/>
      </c>
      <c r="AR32" s="139" t="str">
        <f t="shared" ca="1" si="17"/>
        <v/>
      </c>
      <c r="AS32" s="294">
        <f t="shared" ca="1" si="18"/>
        <v>99999</v>
      </c>
      <c r="AT32" s="294" t="str">
        <f t="shared" ca="1" si="19"/>
        <v/>
      </c>
      <c r="AU32" s="295" t="str">
        <f t="shared" ca="1" si="20"/>
        <v/>
      </c>
      <c r="AV32" s="139"/>
      <c r="AW32" s="296">
        <f t="shared" ca="1" si="62"/>
        <v>0</v>
      </c>
      <c r="AX32" s="293">
        <f t="shared" ca="1" si="21"/>
        <v>99999</v>
      </c>
      <c r="AY32" s="139" t="str">
        <f t="shared" ca="1" si="22"/>
        <v/>
      </c>
      <c r="AZ32" s="139" t="str">
        <f t="shared" ca="1" si="23"/>
        <v/>
      </c>
      <c r="BA32" s="294">
        <f t="shared" ca="1" si="24"/>
        <v>99999</v>
      </c>
      <c r="BB32" s="294" t="str">
        <f t="shared" ca="1" si="25"/>
        <v/>
      </c>
      <c r="BC32" s="295" t="str">
        <f t="shared" ca="1" si="26"/>
        <v/>
      </c>
      <c r="BD32" s="44"/>
      <c r="BE32" s="296">
        <f t="shared" ca="1" si="63"/>
        <v>0</v>
      </c>
      <c r="BF32" s="293">
        <f t="shared" ca="1" si="27"/>
        <v>0.51388888888888884</v>
      </c>
      <c r="BG32" s="139">
        <f t="shared" ca="1" si="28"/>
        <v>2</v>
      </c>
      <c r="BH32" s="139">
        <f t="shared" ca="1" si="29"/>
        <v>2</v>
      </c>
      <c r="BI32" s="294">
        <f t="shared" ca="1" si="30"/>
        <v>99999</v>
      </c>
      <c r="BJ32" s="294" t="str">
        <f t="shared" ca="1" si="31"/>
        <v/>
      </c>
      <c r="BK32" s="295" t="str">
        <f t="shared" ca="1" si="32"/>
        <v/>
      </c>
      <c r="BL32" s="139"/>
      <c r="BM32" s="296">
        <f t="shared" ca="1" si="64"/>
        <v>0</v>
      </c>
      <c r="BN32" s="293">
        <f t="shared" ca="1" si="33"/>
        <v>99999</v>
      </c>
      <c r="BO32" s="139" t="str">
        <f t="shared" ca="1" si="34"/>
        <v/>
      </c>
      <c r="BP32" s="139" t="str">
        <f t="shared" ca="1" si="35"/>
        <v/>
      </c>
      <c r="BQ32" s="294">
        <f t="shared" ca="1" si="36"/>
        <v>99999</v>
      </c>
      <c r="BR32" s="294" t="str">
        <f t="shared" ca="1" si="37"/>
        <v/>
      </c>
      <c r="BS32" s="295" t="str">
        <f t="shared" ca="1" si="38"/>
        <v/>
      </c>
      <c r="BT32" s="44"/>
      <c r="BU32" s="296">
        <f t="shared" ca="1" si="65"/>
        <v>0</v>
      </c>
      <c r="BV32" s="293">
        <f t="shared" ca="1" si="39"/>
        <v>99999</v>
      </c>
      <c r="BW32" s="139" t="str">
        <f t="shared" ca="1" si="40"/>
        <v/>
      </c>
      <c r="BX32" s="139" t="str">
        <f t="shared" ca="1" si="41"/>
        <v/>
      </c>
      <c r="BY32" s="294">
        <f t="shared" ca="1" si="42"/>
        <v>99999</v>
      </c>
      <c r="BZ32" s="294" t="str">
        <f t="shared" ca="1" si="43"/>
        <v/>
      </c>
      <c r="CA32" s="295" t="str">
        <f t="shared" ca="1" si="44"/>
        <v/>
      </c>
      <c r="CB32" s="139"/>
      <c r="CC32" s="296">
        <f t="shared" ca="1" si="66"/>
        <v>0</v>
      </c>
      <c r="CD32" s="293">
        <f t="shared" ca="1" si="45"/>
        <v>99999</v>
      </c>
      <c r="CE32" s="139" t="str">
        <f t="shared" ca="1" si="46"/>
        <v/>
      </c>
      <c r="CF32" s="139" t="str">
        <f t="shared" ca="1" si="47"/>
        <v/>
      </c>
      <c r="CG32" s="294">
        <f t="shared" ca="1" si="48"/>
        <v>99999</v>
      </c>
      <c r="CH32" s="294" t="str">
        <f t="shared" ca="1" si="49"/>
        <v/>
      </c>
      <c r="CI32" s="295" t="str">
        <f t="shared" ca="1" si="50"/>
        <v/>
      </c>
      <c r="CJ32" s="44"/>
      <c r="CK32" s="296">
        <f t="shared" ca="1" si="67"/>
        <v>0</v>
      </c>
      <c r="CL32" s="293">
        <f t="shared" ca="1" si="51"/>
        <v>99999</v>
      </c>
      <c r="CM32" s="139" t="str">
        <f t="shared" ca="1" si="52"/>
        <v/>
      </c>
      <c r="CN32" s="139" t="str">
        <f t="shared" ca="1" si="53"/>
        <v/>
      </c>
      <c r="CO32" s="294">
        <f t="shared" ca="1" si="54"/>
        <v>99999</v>
      </c>
      <c r="CP32" s="294" t="str">
        <f t="shared" ca="1" si="55"/>
        <v/>
      </c>
      <c r="CQ32" s="295" t="str">
        <f t="shared" ca="1" si="56"/>
        <v/>
      </c>
      <c r="CR32" s="44"/>
      <c r="CS32" s="44"/>
    </row>
    <row r="33" spans="1:97" ht="15.95" customHeight="1" x14ac:dyDescent="0.25">
      <c r="A33" s="44"/>
      <c r="B33" s="44"/>
      <c r="C33" s="44"/>
      <c r="D33" s="114">
        <f t="shared" ca="1" si="57"/>
        <v>2</v>
      </c>
      <c r="E33" s="114">
        <f t="shared" ca="1" si="0"/>
        <v>34</v>
      </c>
      <c r="F33" s="114">
        <f ca="1">IF($E33="",0,COUNTIF($E$7:$E33,INDEX($E$79:$E$150,ROW($A27))))</f>
        <v>1</v>
      </c>
      <c r="G33" s="142"/>
      <c r="H33" s="137">
        <v>27</v>
      </c>
      <c r="I33" s="164">
        <f ca="1">IF(OR($Y$3,$H33&gt;Calc!$B$13/2*$D$6),"",$U$6+QUOTIENT(($H33-1),$U$22)*($U$8+$U$10)/1440+SUM($R$7:$R32)/1440)</f>
        <v>0.51388888888888884</v>
      </c>
      <c r="J33" s="166">
        <f ca="1">IF(OR($Y$3,$H33&gt;Calc!$B$13/2*$D$6),"",MOD(($H33-1),$U$22)+1)</f>
        <v>3</v>
      </c>
      <c r="K33" s="417">
        <f ca="1"/>
        <v>3</v>
      </c>
      <c r="L33" s="418" t="s">
        <v>4</v>
      </c>
      <c r="M33" s="419">
        <f ca="1"/>
        <v>4</v>
      </c>
      <c r="N33" s="47" t="str">
        <f t="shared" ca="1" si="1"/>
        <v>Eintracht Frankfurt</v>
      </c>
      <c r="O33" s="45" t="s">
        <v>4</v>
      </c>
      <c r="P33" s="46" t="str">
        <f t="shared" ca="1" si="2"/>
        <v>Maibach 1822 eV</v>
      </c>
      <c r="Q33" s="281"/>
      <c r="R33" s="427"/>
      <c r="S33" s="157"/>
      <c r="T33" s="158"/>
      <c r="U33" s="158"/>
      <c r="V33" s="158"/>
      <c r="W33" s="158"/>
      <c r="X33" s="139">
        <f t="shared" ca="1" si="58"/>
        <v>0</v>
      </c>
      <c r="Y33" s="296">
        <f t="shared" ca="1" si="59"/>
        <v>0</v>
      </c>
      <c r="Z33" s="293">
        <f t="shared" ca="1" si="3"/>
        <v>99999</v>
      </c>
      <c r="AA33" s="139" t="str">
        <f t="shared" ca="1" si="4"/>
        <v/>
      </c>
      <c r="AB33" s="139" t="str">
        <f t="shared" ca="1" si="5"/>
        <v/>
      </c>
      <c r="AC33" s="294">
        <f t="shared" ca="1" si="6"/>
        <v>99999</v>
      </c>
      <c r="AD33" s="294" t="str">
        <f t="shared" ca="1" si="7"/>
        <v/>
      </c>
      <c r="AE33" s="295" t="str">
        <f t="shared" ca="1" si="8"/>
        <v/>
      </c>
      <c r="AF33" s="139"/>
      <c r="AG33" s="296">
        <f t="shared" ca="1" si="60"/>
        <v>0</v>
      </c>
      <c r="AH33" s="293">
        <f t="shared" ca="1" si="9"/>
        <v>99999</v>
      </c>
      <c r="AI33" s="139" t="str">
        <f t="shared" ca="1" si="10"/>
        <v/>
      </c>
      <c r="AJ33" s="139" t="str">
        <f t="shared" ca="1" si="11"/>
        <v/>
      </c>
      <c r="AK33" s="294">
        <f t="shared" ca="1" si="12"/>
        <v>99999</v>
      </c>
      <c r="AL33" s="294" t="str">
        <f t="shared" ca="1" si="13"/>
        <v/>
      </c>
      <c r="AM33" s="295" t="str">
        <f t="shared" ca="1" si="14"/>
        <v/>
      </c>
      <c r="AN33" s="44"/>
      <c r="AO33" s="296">
        <f t="shared" ca="1" si="61"/>
        <v>0</v>
      </c>
      <c r="AP33" s="293">
        <f t="shared" ca="1" si="15"/>
        <v>0.51388888888888884</v>
      </c>
      <c r="AQ33" s="139">
        <f t="shared" ca="1" si="16"/>
        <v>4</v>
      </c>
      <c r="AR33" s="139">
        <f t="shared" ca="1" si="17"/>
        <v>3</v>
      </c>
      <c r="AS33" s="294">
        <f t="shared" ca="1" si="18"/>
        <v>99999</v>
      </c>
      <c r="AT33" s="294" t="str">
        <f t="shared" ca="1" si="19"/>
        <v/>
      </c>
      <c r="AU33" s="295" t="str">
        <f t="shared" ca="1" si="20"/>
        <v/>
      </c>
      <c r="AV33" s="139"/>
      <c r="AW33" s="296">
        <f t="shared" ca="1" si="62"/>
        <v>0</v>
      </c>
      <c r="AX33" s="293">
        <f t="shared" ca="1" si="21"/>
        <v>0.51388888888888884</v>
      </c>
      <c r="AY33" s="139">
        <f t="shared" ca="1" si="22"/>
        <v>3</v>
      </c>
      <c r="AZ33" s="139">
        <f t="shared" ca="1" si="23"/>
        <v>3</v>
      </c>
      <c r="BA33" s="294">
        <f t="shared" ca="1" si="24"/>
        <v>99999</v>
      </c>
      <c r="BB33" s="294" t="str">
        <f t="shared" ca="1" si="25"/>
        <v/>
      </c>
      <c r="BC33" s="295" t="str">
        <f t="shared" ca="1" si="26"/>
        <v/>
      </c>
      <c r="BD33" s="44"/>
      <c r="BE33" s="296">
        <f t="shared" ca="1" si="63"/>
        <v>0</v>
      </c>
      <c r="BF33" s="293">
        <f t="shared" ca="1" si="27"/>
        <v>99999</v>
      </c>
      <c r="BG33" s="139" t="str">
        <f t="shared" ca="1" si="28"/>
        <v/>
      </c>
      <c r="BH33" s="139" t="str">
        <f t="shared" ca="1" si="29"/>
        <v/>
      </c>
      <c r="BI33" s="294">
        <f t="shared" ca="1" si="30"/>
        <v>99999</v>
      </c>
      <c r="BJ33" s="294" t="str">
        <f t="shared" ca="1" si="31"/>
        <v/>
      </c>
      <c r="BK33" s="295" t="str">
        <f t="shared" ca="1" si="32"/>
        <v/>
      </c>
      <c r="BL33" s="139"/>
      <c r="BM33" s="296">
        <f t="shared" ca="1" si="64"/>
        <v>0</v>
      </c>
      <c r="BN33" s="293">
        <f t="shared" ca="1" si="33"/>
        <v>99999</v>
      </c>
      <c r="BO33" s="139" t="str">
        <f t="shared" ca="1" si="34"/>
        <v/>
      </c>
      <c r="BP33" s="139" t="str">
        <f t="shared" ca="1" si="35"/>
        <v/>
      </c>
      <c r="BQ33" s="294">
        <f t="shared" ca="1" si="36"/>
        <v>99999</v>
      </c>
      <c r="BR33" s="294" t="str">
        <f t="shared" ca="1" si="37"/>
        <v/>
      </c>
      <c r="BS33" s="295" t="str">
        <f t="shared" ca="1" si="38"/>
        <v/>
      </c>
      <c r="BT33" s="44"/>
      <c r="BU33" s="296">
        <f t="shared" ca="1" si="65"/>
        <v>0</v>
      </c>
      <c r="BV33" s="293">
        <f t="shared" ca="1" si="39"/>
        <v>99999</v>
      </c>
      <c r="BW33" s="139" t="str">
        <f t="shared" ca="1" si="40"/>
        <v/>
      </c>
      <c r="BX33" s="139" t="str">
        <f t="shared" ca="1" si="41"/>
        <v/>
      </c>
      <c r="BY33" s="294">
        <f t="shared" ca="1" si="42"/>
        <v>99999</v>
      </c>
      <c r="BZ33" s="294" t="str">
        <f t="shared" ca="1" si="43"/>
        <v/>
      </c>
      <c r="CA33" s="295" t="str">
        <f t="shared" ca="1" si="44"/>
        <v/>
      </c>
      <c r="CB33" s="139"/>
      <c r="CC33" s="296">
        <f t="shared" ca="1" si="66"/>
        <v>0</v>
      </c>
      <c r="CD33" s="293">
        <f t="shared" ca="1" si="45"/>
        <v>99999</v>
      </c>
      <c r="CE33" s="139" t="str">
        <f t="shared" ca="1" si="46"/>
        <v/>
      </c>
      <c r="CF33" s="139" t="str">
        <f t="shared" ca="1" si="47"/>
        <v/>
      </c>
      <c r="CG33" s="294">
        <f t="shared" ca="1" si="48"/>
        <v>99999</v>
      </c>
      <c r="CH33" s="294" t="str">
        <f t="shared" ca="1" si="49"/>
        <v/>
      </c>
      <c r="CI33" s="295" t="str">
        <f t="shared" ca="1" si="50"/>
        <v/>
      </c>
      <c r="CJ33" s="44"/>
      <c r="CK33" s="296">
        <f t="shared" ca="1" si="67"/>
        <v>0</v>
      </c>
      <c r="CL33" s="293">
        <f t="shared" ca="1" si="51"/>
        <v>99999</v>
      </c>
      <c r="CM33" s="139" t="str">
        <f t="shared" ca="1" si="52"/>
        <v/>
      </c>
      <c r="CN33" s="139" t="str">
        <f t="shared" ca="1" si="53"/>
        <v/>
      </c>
      <c r="CO33" s="294">
        <f t="shared" ca="1" si="54"/>
        <v>99999</v>
      </c>
      <c r="CP33" s="294" t="str">
        <f t="shared" ca="1" si="55"/>
        <v/>
      </c>
      <c r="CQ33" s="295" t="str">
        <f t="shared" ca="1" si="56"/>
        <v/>
      </c>
      <c r="CR33" s="44"/>
      <c r="CS33" s="44"/>
    </row>
    <row r="34" spans="1:97" ht="15.95" customHeight="1" x14ac:dyDescent="0.25">
      <c r="A34" s="44"/>
      <c r="B34" s="44"/>
      <c r="C34" s="44"/>
      <c r="D34" s="114">
        <f t="shared" ca="1" si="57"/>
        <v>2</v>
      </c>
      <c r="E34" s="114">
        <f t="shared" ca="1" si="0"/>
        <v>61</v>
      </c>
      <c r="F34" s="114">
        <f ca="1">IF($E34="",0,COUNTIF($E$7:$E34,INDEX($E$79:$E$150,ROW($A28))))</f>
        <v>1</v>
      </c>
      <c r="G34" s="142"/>
      <c r="H34" s="137">
        <v>28</v>
      </c>
      <c r="I34" s="164">
        <f ca="1">IF(OR($Y$3,$H34&gt;Calc!$B$13/2*$D$6),"",$U$6+QUOTIENT(($H34-1),$U$22)*($U$8+$U$10)/1440+SUM($R$7:$R33)/1440)</f>
        <v>0.53125</v>
      </c>
      <c r="J34" s="166">
        <f ca="1">IF(OR($Y$3,$H34&gt;Calc!$B$13/2*$D$6),"",MOD(($H34-1),$U$22)+1)</f>
        <v>1</v>
      </c>
      <c r="K34" s="417">
        <f ca="1"/>
        <v>6</v>
      </c>
      <c r="L34" s="418" t="s">
        <v>4</v>
      </c>
      <c r="M34" s="419">
        <f ca="1"/>
        <v>1</v>
      </c>
      <c r="N34" s="47" t="str">
        <f t="shared" ca="1" si="1"/>
        <v>Inter Mailand</v>
      </c>
      <c r="O34" s="45" t="s">
        <v>4</v>
      </c>
      <c r="P34" s="46" t="str">
        <f t="shared" ca="1" si="2"/>
        <v>1. FC Riedwald</v>
      </c>
      <c r="Q34" s="281"/>
      <c r="R34" s="427"/>
      <c r="S34" s="157"/>
      <c r="T34" s="158"/>
      <c r="U34" s="158"/>
      <c r="V34" s="158"/>
      <c r="W34" s="158"/>
      <c r="X34" s="139">
        <f t="shared" ca="1" si="58"/>
        <v>0</v>
      </c>
      <c r="Y34" s="296">
        <f t="shared" ca="1" si="59"/>
        <v>0</v>
      </c>
      <c r="Z34" s="293">
        <f t="shared" ca="1" si="3"/>
        <v>0.53125</v>
      </c>
      <c r="AA34" s="139">
        <f t="shared" ca="1" si="4"/>
        <v>6</v>
      </c>
      <c r="AB34" s="139">
        <f t="shared" ca="1" si="5"/>
        <v>1</v>
      </c>
      <c r="AC34" s="294">
        <f t="shared" ca="1" si="6"/>
        <v>99999</v>
      </c>
      <c r="AD34" s="294" t="str">
        <f t="shared" ca="1" si="7"/>
        <v/>
      </c>
      <c r="AE34" s="295" t="str">
        <f t="shared" ca="1" si="8"/>
        <v/>
      </c>
      <c r="AF34" s="139"/>
      <c r="AG34" s="296">
        <f t="shared" ca="1" si="60"/>
        <v>0</v>
      </c>
      <c r="AH34" s="293">
        <f t="shared" ca="1" si="9"/>
        <v>99999</v>
      </c>
      <c r="AI34" s="139" t="str">
        <f t="shared" ca="1" si="10"/>
        <v/>
      </c>
      <c r="AJ34" s="139" t="str">
        <f t="shared" ca="1" si="11"/>
        <v/>
      </c>
      <c r="AK34" s="294">
        <f t="shared" ca="1" si="12"/>
        <v>99999</v>
      </c>
      <c r="AL34" s="294" t="str">
        <f t="shared" ca="1" si="13"/>
        <v/>
      </c>
      <c r="AM34" s="295" t="str">
        <f t="shared" ca="1" si="14"/>
        <v/>
      </c>
      <c r="AN34" s="44"/>
      <c r="AO34" s="296">
        <f t="shared" ca="1" si="61"/>
        <v>0</v>
      </c>
      <c r="AP34" s="293">
        <f t="shared" ca="1" si="15"/>
        <v>99999</v>
      </c>
      <c r="AQ34" s="139" t="str">
        <f t="shared" ca="1" si="16"/>
        <v/>
      </c>
      <c r="AR34" s="139" t="str">
        <f t="shared" ca="1" si="17"/>
        <v/>
      </c>
      <c r="AS34" s="294">
        <f t="shared" ca="1" si="18"/>
        <v>99999</v>
      </c>
      <c r="AT34" s="294" t="str">
        <f t="shared" ca="1" si="19"/>
        <v/>
      </c>
      <c r="AU34" s="295" t="str">
        <f t="shared" ca="1" si="20"/>
        <v/>
      </c>
      <c r="AV34" s="139"/>
      <c r="AW34" s="296">
        <f t="shared" ca="1" si="62"/>
        <v>0</v>
      </c>
      <c r="AX34" s="293">
        <f t="shared" ca="1" si="21"/>
        <v>99999</v>
      </c>
      <c r="AY34" s="139" t="str">
        <f t="shared" ca="1" si="22"/>
        <v/>
      </c>
      <c r="AZ34" s="139" t="str">
        <f t="shared" ca="1" si="23"/>
        <v/>
      </c>
      <c r="BA34" s="294">
        <f t="shared" ca="1" si="24"/>
        <v>99999</v>
      </c>
      <c r="BB34" s="294" t="str">
        <f t="shared" ca="1" si="25"/>
        <v/>
      </c>
      <c r="BC34" s="295" t="str">
        <f t="shared" ca="1" si="26"/>
        <v/>
      </c>
      <c r="BD34" s="44"/>
      <c r="BE34" s="296">
        <f t="shared" ca="1" si="63"/>
        <v>0</v>
      </c>
      <c r="BF34" s="293">
        <f t="shared" ca="1" si="27"/>
        <v>99999</v>
      </c>
      <c r="BG34" s="139" t="str">
        <f t="shared" ca="1" si="28"/>
        <v/>
      </c>
      <c r="BH34" s="139" t="str">
        <f t="shared" ca="1" si="29"/>
        <v/>
      </c>
      <c r="BI34" s="294">
        <f t="shared" ca="1" si="30"/>
        <v>99999</v>
      </c>
      <c r="BJ34" s="294" t="str">
        <f t="shared" ca="1" si="31"/>
        <v/>
      </c>
      <c r="BK34" s="295" t="str">
        <f t="shared" ca="1" si="32"/>
        <v/>
      </c>
      <c r="BL34" s="139"/>
      <c r="BM34" s="296">
        <f t="shared" ca="1" si="64"/>
        <v>0</v>
      </c>
      <c r="BN34" s="293">
        <f t="shared" ca="1" si="33"/>
        <v>0.53125</v>
      </c>
      <c r="BO34" s="139">
        <f t="shared" ca="1" si="34"/>
        <v>1</v>
      </c>
      <c r="BP34" s="139">
        <f t="shared" ca="1" si="35"/>
        <v>1</v>
      </c>
      <c r="BQ34" s="294">
        <f t="shared" ca="1" si="36"/>
        <v>99999</v>
      </c>
      <c r="BR34" s="294" t="str">
        <f t="shared" ca="1" si="37"/>
        <v/>
      </c>
      <c r="BS34" s="295" t="str">
        <f t="shared" ca="1" si="38"/>
        <v/>
      </c>
      <c r="BT34" s="44"/>
      <c r="BU34" s="296">
        <f t="shared" ca="1" si="65"/>
        <v>0</v>
      </c>
      <c r="BV34" s="293">
        <f t="shared" ca="1" si="39"/>
        <v>99999</v>
      </c>
      <c r="BW34" s="139" t="str">
        <f t="shared" ca="1" si="40"/>
        <v/>
      </c>
      <c r="BX34" s="139" t="str">
        <f t="shared" ca="1" si="41"/>
        <v/>
      </c>
      <c r="BY34" s="294">
        <f t="shared" ca="1" si="42"/>
        <v>99999</v>
      </c>
      <c r="BZ34" s="294" t="str">
        <f t="shared" ca="1" si="43"/>
        <v/>
      </c>
      <c r="CA34" s="295" t="str">
        <f t="shared" ca="1" si="44"/>
        <v/>
      </c>
      <c r="CB34" s="139"/>
      <c r="CC34" s="296">
        <f t="shared" ca="1" si="66"/>
        <v>0</v>
      </c>
      <c r="CD34" s="293">
        <f t="shared" ca="1" si="45"/>
        <v>99999</v>
      </c>
      <c r="CE34" s="139" t="str">
        <f t="shared" ca="1" si="46"/>
        <v/>
      </c>
      <c r="CF34" s="139" t="str">
        <f t="shared" ca="1" si="47"/>
        <v/>
      </c>
      <c r="CG34" s="294">
        <f t="shared" ca="1" si="48"/>
        <v>99999</v>
      </c>
      <c r="CH34" s="294" t="str">
        <f t="shared" ca="1" si="49"/>
        <v/>
      </c>
      <c r="CI34" s="295" t="str">
        <f t="shared" ca="1" si="50"/>
        <v/>
      </c>
      <c r="CJ34" s="44"/>
      <c r="CK34" s="296">
        <f t="shared" ca="1" si="67"/>
        <v>0</v>
      </c>
      <c r="CL34" s="293">
        <f t="shared" ca="1" si="51"/>
        <v>99999</v>
      </c>
      <c r="CM34" s="139" t="str">
        <f t="shared" ca="1" si="52"/>
        <v/>
      </c>
      <c r="CN34" s="139" t="str">
        <f t="shared" ca="1" si="53"/>
        <v/>
      </c>
      <c r="CO34" s="294">
        <f t="shared" ca="1" si="54"/>
        <v>99999</v>
      </c>
      <c r="CP34" s="294" t="str">
        <f t="shared" ca="1" si="55"/>
        <v/>
      </c>
      <c r="CQ34" s="295" t="str">
        <f t="shared" ca="1" si="56"/>
        <v/>
      </c>
      <c r="CR34" s="44"/>
      <c r="CS34" s="44"/>
    </row>
    <row r="35" spans="1:97" ht="15.95" customHeight="1" x14ac:dyDescent="0.25">
      <c r="A35" s="44"/>
      <c r="B35" s="44"/>
      <c r="C35" s="44"/>
      <c r="D35" s="114">
        <f t="shared" ca="1" si="57"/>
        <v>2</v>
      </c>
      <c r="E35" s="114">
        <f t="shared" ca="1" si="0"/>
        <v>75</v>
      </c>
      <c r="F35" s="114">
        <f ca="1">IF($E35="",0,COUNTIF($E$7:$E35,INDEX($E$79:$E$150,ROW($A29))))</f>
        <v>1</v>
      </c>
      <c r="G35" s="142"/>
      <c r="H35" s="137">
        <v>29</v>
      </c>
      <c r="I35" s="164">
        <f ca="1">IF(OR($Y$3,$H35&gt;Calc!$B$13/2*$D$6),"",$U$6+QUOTIENT(($H35-1),$U$22)*($U$8+$U$10)/1440+SUM($R$7:$R34)/1440)</f>
        <v>0.53125</v>
      </c>
      <c r="J35" s="166">
        <f ca="1">IF(OR($Y$3,$H35&gt;Calc!$B$13/2*$D$6),"",MOD(($H35-1),$U$22)+1)</f>
        <v>2</v>
      </c>
      <c r="K35" s="417">
        <f ca="1"/>
        <v>7</v>
      </c>
      <c r="L35" s="418" t="s">
        <v>4</v>
      </c>
      <c r="M35" s="419">
        <f ca="1"/>
        <v>5</v>
      </c>
      <c r="N35" s="47" t="str">
        <f t="shared" ca="1" si="1"/>
        <v>SSV Wildbach</v>
      </c>
      <c r="O35" s="45" t="s">
        <v>4</v>
      </c>
      <c r="P35" s="46" t="str">
        <f t="shared" ca="1" si="2"/>
        <v>VFB Essenheim</v>
      </c>
      <c r="Q35" s="281"/>
      <c r="R35" s="427"/>
      <c r="S35" s="157"/>
      <c r="T35" s="158"/>
      <c r="U35" s="158"/>
      <c r="V35" s="158"/>
      <c r="W35" s="158"/>
      <c r="X35" s="139">
        <f t="shared" ca="1" si="58"/>
        <v>0</v>
      </c>
      <c r="Y35" s="296">
        <f t="shared" ca="1" si="59"/>
        <v>0</v>
      </c>
      <c r="Z35" s="293">
        <f t="shared" ca="1" si="3"/>
        <v>99999</v>
      </c>
      <c r="AA35" s="139" t="str">
        <f t="shared" ca="1" si="4"/>
        <v/>
      </c>
      <c r="AB35" s="139" t="str">
        <f t="shared" ca="1" si="5"/>
        <v/>
      </c>
      <c r="AC35" s="294">
        <f t="shared" ca="1" si="6"/>
        <v>99999</v>
      </c>
      <c r="AD35" s="294" t="str">
        <f t="shared" ca="1" si="7"/>
        <v/>
      </c>
      <c r="AE35" s="295" t="str">
        <f t="shared" ca="1" si="8"/>
        <v/>
      </c>
      <c r="AF35" s="139"/>
      <c r="AG35" s="296">
        <f t="shared" ca="1" si="60"/>
        <v>0</v>
      </c>
      <c r="AH35" s="293">
        <f t="shared" ca="1" si="9"/>
        <v>99999</v>
      </c>
      <c r="AI35" s="139" t="str">
        <f t="shared" ca="1" si="10"/>
        <v/>
      </c>
      <c r="AJ35" s="139" t="str">
        <f t="shared" ca="1" si="11"/>
        <v/>
      </c>
      <c r="AK35" s="294">
        <f t="shared" ca="1" si="12"/>
        <v>99999</v>
      </c>
      <c r="AL35" s="294" t="str">
        <f t="shared" ca="1" si="13"/>
        <v/>
      </c>
      <c r="AM35" s="295" t="str">
        <f t="shared" ca="1" si="14"/>
        <v/>
      </c>
      <c r="AN35" s="44"/>
      <c r="AO35" s="296">
        <f t="shared" ca="1" si="61"/>
        <v>0</v>
      </c>
      <c r="AP35" s="293">
        <f t="shared" ca="1" si="15"/>
        <v>99999</v>
      </c>
      <c r="AQ35" s="139" t="str">
        <f t="shared" ca="1" si="16"/>
        <v/>
      </c>
      <c r="AR35" s="139" t="str">
        <f t="shared" ca="1" si="17"/>
        <v/>
      </c>
      <c r="AS35" s="294">
        <f t="shared" ca="1" si="18"/>
        <v>99999</v>
      </c>
      <c r="AT35" s="294" t="str">
        <f t="shared" ca="1" si="19"/>
        <v/>
      </c>
      <c r="AU35" s="295" t="str">
        <f t="shared" ca="1" si="20"/>
        <v/>
      </c>
      <c r="AV35" s="139"/>
      <c r="AW35" s="296">
        <f t="shared" ca="1" si="62"/>
        <v>0</v>
      </c>
      <c r="AX35" s="293">
        <f t="shared" ca="1" si="21"/>
        <v>99999</v>
      </c>
      <c r="AY35" s="139" t="str">
        <f t="shared" ca="1" si="22"/>
        <v/>
      </c>
      <c r="AZ35" s="139" t="str">
        <f t="shared" ca="1" si="23"/>
        <v/>
      </c>
      <c r="BA35" s="294">
        <f t="shared" ca="1" si="24"/>
        <v>99999</v>
      </c>
      <c r="BB35" s="294" t="str">
        <f t="shared" ca="1" si="25"/>
        <v/>
      </c>
      <c r="BC35" s="295" t="str">
        <f t="shared" ca="1" si="26"/>
        <v/>
      </c>
      <c r="BD35" s="44"/>
      <c r="BE35" s="296">
        <f t="shared" ca="1" si="63"/>
        <v>0</v>
      </c>
      <c r="BF35" s="293">
        <f t="shared" ca="1" si="27"/>
        <v>0.53125</v>
      </c>
      <c r="BG35" s="139">
        <f t="shared" ca="1" si="28"/>
        <v>7</v>
      </c>
      <c r="BH35" s="139">
        <f t="shared" ca="1" si="29"/>
        <v>2</v>
      </c>
      <c r="BI35" s="294">
        <f t="shared" ca="1" si="30"/>
        <v>99999</v>
      </c>
      <c r="BJ35" s="294" t="str">
        <f t="shared" ca="1" si="31"/>
        <v/>
      </c>
      <c r="BK35" s="295" t="str">
        <f t="shared" ca="1" si="32"/>
        <v/>
      </c>
      <c r="BL35" s="139"/>
      <c r="BM35" s="296">
        <f t="shared" ca="1" si="64"/>
        <v>0</v>
      </c>
      <c r="BN35" s="293">
        <f t="shared" ca="1" si="33"/>
        <v>99999</v>
      </c>
      <c r="BO35" s="139" t="str">
        <f t="shared" ca="1" si="34"/>
        <v/>
      </c>
      <c r="BP35" s="139" t="str">
        <f t="shared" ca="1" si="35"/>
        <v/>
      </c>
      <c r="BQ35" s="294">
        <f t="shared" ca="1" si="36"/>
        <v>99999</v>
      </c>
      <c r="BR35" s="294" t="str">
        <f t="shared" ca="1" si="37"/>
        <v/>
      </c>
      <c r="BS35" s="295" t="str">
        <f t="shared" ca="1" si="38"/>
        <v/>
      </c>
      <c r="BT35" s="44"/>
      <c r="BU35" s="296">
        <f t="shared" ca="1" si="65"/>
        <v>0</v>
      </c>
      <c r="BV35" s="293">
        <f t="shared" ca="1" si="39"/>
        <v>0.53125</v>
      </c>
      <c r="BW35" s="139">
        <f t="shared" ca="1" si="40"/>
        <v>5</v>
      </c>
      <c r="BX35" s="139">
        <f t="shared" ca="1" si="41"/>
        <v>2</v>
      </c>
      <c r="BY35" s="294">
        <f t="shared" ca="1" si="42"/>
        <v>99999</v>
      </c>
      <c r="BZ35" s="294" t="str">
        <f t="shared" ca="1" si="43"/>
        <v/>
      </c>
      <c r="CA35" s="295" t="str">
        <f t="shared" ca="1" si="44"/>
        <v/>
      </c>
      <c r="CB35" s="139"/>
      <c r="CC35" s="296">
        <f t="shared" ca="1" si="66"/>
        <v>0</v>
      </c>
      <c r="CD35" s="293">
        <f t="shared" ca="1" si="45"/>
        <v>99999</v>
      </c>
      <c r="CE35" s="139" t="str">
        <f t="shared" ca="1" si="46"/>
        <v/>
      </c>
      <c r="CF35" s="139" t="str">
        <f t="shared" ca="1" si="47"/>
        <v/>
      </c>
      <c r="CG35" s="294">
        <f t="shared" ca="1" si="48"/>
        <v>99999</v>
      </c>
      <c r="CH35" s="294" t="str">
        <f t="shared" ca="1" si="49"/>
        <v/>
      </c>
      <c r="CI35" s="295" t="str">
        <f t="shared" ca="1" si="50"/>
        <v/>
      </c>
      <c r="CJ35" s="44"/>
      <c r="CK35" s="296">
        <f t="shared" ca="1" si="67"/>
        <v>0</v>
      </c>
      <c r="CL35" s="293">
        <f t="shared" ca="1" si="51"/>
        <v>99999</v>
      </c>
      <c r="CM35" s="139" t="str">
        <f t="shared" ca="1" si="52"/>
        <v/>
      </c>
      <c r="CN35" s="139" t="str">
        <f t="shared" ca="1" si="53"/>
        <v/>
      </c>
      <c r="CO35" s="294">
        <f t="shared" ca="1" si="54"/>
        <v>99999</v>
      </c>
      <c r="CP35" s="294" t="str">
        <f t="shared" ca="1" si="55"/>
        <v/>
      </c>
      <c r="CQ35" s="295" t="str">
        <f t="shared" ca="1" si="56"/>
        <v/>
      </c>
      <c r="CR35" s="44"/>
      <c r="CS35" s="44"/>
    </row>
    <row r="36" spans="1:97" ht="15.95" customHeight="1" x14ac:dyDescent="0.25">
      <c r="A36" s="44"/>
      <c r="B36" s="44"/>
      <c r="C36" s="44"/>
      <c r="D36" s="114">
        <f t="shared" ca="1" si="57"/>
        <v>2</v>
      </c>
      <c r="E36" s="114">
        <f t="shared" ca="1" si="0"/>
        <v>23</v>
      </c>
      <c r="F36" s="114">
        <f ca="1">IF($E36="",0,COUNTIF($E$7:$E36,INDEX($E$79:$E$150,ROW($A30))))</f>
        <v>1</v>
      </c>
      <c r="G36" s="142"/>
      <c r="H36" s="137">
        <v>30</v>
      </c>
      <c r="I36" s="164">
        <f ca="1">IF(OR($Y$3,$H36&gt;Calc!$B$13/2*$D$6),"",$U$6+QUOTIENT(($H36-1),$U$22)*($U$8+$U$10)/1440+SUM($R$7:$R35)/1440)</f>
        <v>0.53125</v>
      </c>
      <c r="J36" s="166">
        <f ca="1">IF(OR($Y$3,$H36&gt;Calc!$B$13/2*$D$6),"",MOD(($H36-1),$U$22)+1)</f>
        <v>3</v>
      </c>
      <c r="K36" s="417">
        <f ca="1"/>
        <v>2</v>
      </c>
      <c r="L36" s="418" t="s">
        <v>4</v>
      </c>
      <c r="M36" s="419">
        <f ca="1"/>
        <v>3</v>
      </c>
      <c r="N36" s="47" t="str">
        <f t="shared" ca="1" si="1"/>
        <v>FC Barcelona</v>
      </c>
      <c r="O36" s="45" t="s">
        <v>4</v>
      </c>
      <c r="P36" s="46" t="str">
        <f t="shared" ca="1" si="2"/>
        <v>Eintracht Frankfurt</v>
      </c>
      <c r="Q36" s="281"/>
      <c r="R36" s="427"/>
      <c r="S36" s="157"/>
      <c r="T36" s="158"/>
      <c r="U36" s="158"/>
      <c r="V36" s="158"/>
      <c r="W36" s="158"/>
      <c r="X36" s="139">
        <f t="shared" ca="1" si="58"/>
        <v>0</v>
      </c>
      <c r="Y36" s="296">
        <f t="shared" ca="1" si="59"/>
        <v>0</v>
      </c>
      <c r="Z36" s="293">
        <f t="shared" ca="1" si="3"/>
        <v>99999</v>
      </c>
      <c r="AA36" s="139" t="str">
        <f t="shared" ca="1" si="4"/>
        <v/>
      </c>
      <c r="AB36" s="139" t="str">
        <f t="shared" ca="1" si="5"/>
        <v/>
      </c>
      <c r="AC36" s="294">
        <f t="shared" ca="1" si="6"/>
        <v>99999</v>
      </c>
      <c r="AD36" s="294" t="str">
        <f t="shared" ca="1" si="7"/>
        <v/>
      </c>
      <c r="AE36" s="295" t="str">
        <f t="shared" ca="1" si="8"/>
        <v/>
      </c>
      <c r="AF36" s="139"/>
      <c r="AG36" s="296">
        <f t="shared" ca="1" si="60"/>
        <v>0</v>
      </c>
      <c r="AH36" s="293">
        <f t="shared" ca="1" si="9"/>
        <v>0.53125</v>
      </c>
      <c r="AI36" s="139">
        <f t="shared" ca="1" si="10"/>
        <v>3</v>
      </c>
      <c r="AJ36" s="139">
        <f t="shared" ca="1" si="11"/>
        <v>3</v>
      </c>
      <c r="AK36" s="294">
        <f t="shared" ca="1" si="12"/>
        <v>99999</v>
      </c>
      <c r="AL36" s="294" t="str">
        <f t="shared" ca="1" si="13"/>
        <v/>
      </c>
      <c r="AM36" s="295" t="str">
        <f t="shared" ca="1" si="14"/>
        <v/>
      </c>
      <c r="AN36" s="44"/>
      <c r="AO36" s="296">
        <f t="shared" ca="1" si="61"/>
        <v>0</v>
      </c>
      <c r="AP36" s="293">
        <f t="shared" ca="1" si="15"/>
        <v>0.53125</v>
      </c>
      <c r="AQ36" s="139">
        <f t="shared" ca="1" si="16"/>
        <v>2</v>
      </c>
      <c r="AR36" s="139">
        <f t="shared" ca="1" si="17"/>
        <v>3</v>
      </c>
      <c r="AS36" s="294">
        <f t="shared" ca="1" si="18"/>
        <v>99999</v>
      </c>
      <c r="AT36" s="294" t="str">
        <f t="shared" ca="1" si="19"/>
        <v/>
      </c>
      <c r="AU36" s="295" t="str">
        <f t="shared" ca="1" si="20"/>
        <v/>
      </c>
      <c r="AV36" s="139"/>
      <c r="AW36" s="296">
        <f t="shared" ca="1" si="62"/>
        <v>0</v>
      </c>
      <c r="AX36" s="293">
        <f t="shared" ca="1" si="21"/>
        <v>99999</v>
      </c>
      <c r="AY36" s="139" t="str">
        <f t="shared" ca="1" si="22"/>
        <v/>
      </c>
      <c r="AZ36" s="139" t="str">
        <f t="shared" ca="1" si="23"/>
        <v/>
      </c>
      <c r="BA36" s="294">
        <f t="shared" ca="1" si="24"/>
        <v>99999</v>
      </c>
      <c r="BB36" s="294" t="str">
        <f t="shared" ca="1" si="25"/>
        <v/>
      </c>
      <c r="BC36" s="295" t="str">
        <f t="shared" ca="1" si="26"/>
        <v/>
      </c>
      <c r="BD36" s="44"/>
      <c r="BE36" s="296">
        <f t="shared" ca="1" si="63"/>
        <v>0</v>
      </c>
      <c r="BF36" s="293">
        <f t="shared" ca="1" si="27"/>
        <v>99999</v>
      </c>
      <c r="BG36" s="139" t="str">
        <f t="shared" ca="1" si="28"/>
        <v/>
      </c>
      <c r="BH36" s="139" t="str">
        <f t="shared" ca="1" si="29"/>
        <v/>
      </c>
      <c r="BI36" s="294">
        <f t="shared" ca="1" si="30"/>
        <v>99999</v>
      </c>
      <c r="BJ36" s="294" t="str">
        <f t="shared" ca="1" si="31"/>
        <v/>
      </c>
      <c r="BK36" s="295" t="str">
        <f t="shared" ca="1" si="32"/>
        <v/>
      </c>
      <c r="BL36" s="139"/>
      <c r="BM36" s="296">
        <f t="shared" ca="1" si="64"/>
        <v>0</v>
      </c>
      <c r="BN36" s="293">
        <f t="shared" ca="1" si="33"/>
        <v>99999</v>
      </c>
      <c r="BO36" s="139" t="str">
        <f t="shared" ca="1" si="34"/>
        <v/>
      </c>
      <c r="BP36" s="139" t="str">
        <f t="shared" ca="1" si="35"/>
        <v/>
      </c>
      <c r="BQ36" s="294">
        <f t="shared" ca="1" si="36"/>
        <v>99999</v>
      </c>
      <c r="BR36" s="294" t="str">
        <f t="shared" ca="1" si="37"/>
        <v/>
      </c>
      <c r="BS36" s="295" t="str">
        <f t="shared" ca="1" si="38"/>
        <v/>
      </c>
      <c r="BT36" s="44"/>
      <c r="BU36" s="296">
        <f t="shared" ca="1" si="65"/>
        <v>0</v>
      </c>
      <c r="BV36" s="293">
        <f t="shared" ca="1" si="39"/>
        <v>99999</v>
      </c>
      <c r="BW36" s="139" t="str">
        <f t="shared" ca="1" si="40"/>
        <v/>
      </c>
      <c r="BX36" s="139" t="str">
        <f t="shared" ca="1" si="41"/>
        <v/>
      </c>
      <c r="BY36" s="294">
        <f t="shared" ca="1" si="42"/>
        <v>99999</v>
      </c>
      <c r="BZ36" s="294" t="str">
        <f t="shared" ca="1" si="43"/>
        <v/>
      </c>
      <c r="CA36" s="295" t="str">
        <f t="shared" ca="1" si="44"/>
        <v/>
      </c>
      <c r="CB36" s="139"/>
      <c r="CC36" s="296">
        <f t="shared" ca="1" si="66"/>
        <v>0</v>
      </c>
      <c r="CD36" s="293">
        <f t="shared" ca="1" si="45"/>
        <v>99999</v>
      </c>
      <c r="CE36" s="139" t="str">
        <f t="shared" ca="1" si="46"/>
        <v/>
      </c>
      <c r="CF36" s="139" t="str">
        <f t="shared" ca="1" si="47"/>
        <v/>
      </c>
      <c r="CG36" s="294">
        <f t="shared" ca="1" si="48"/>
        <v>99999</v>
      </c>
      <c r="CH36" s="294" t="str">
        <f t="shared" ca="1" si="49"/>
        <v/>
      </c>
      <c r="CI36" s="295" t="str">
        <f t="shared" ca="1" si="50"/>
        <v/>
      </c>
      <c r="CJ36" s="44"/>
      <c r="CK36" s="296">
        <f t="shared" ca="1" si="67"/>
        <v>0</v>
      </c>
      <c r="CL36" s="293">
        <f t="shared" ca="1" si="51"/>
        <v>99999</v>
      </c>
      <c r="CM36" s="139" t="str">
        <f t="shared" ca="1" si="52"/>
        <v/>
      </c>
      <c r="CN36" s="139" t="str">
        <f t="shared" ca="1" si="53"/>
        <v/>
      </c>
      <c r="CO36" s="294">
        <f t="shared" ca="1" si="54"/>
        <v>99999</v>
      </c>
      <c r="CP36" s="294" t="str">
        <f t="shared" ca="1" si="55"/>
        <v/>
      </c>
      <c r="CQ36" s="295" t="str">
        <f t="shared" ca="1" si="56"/>
        <v/>
      </c>
      <c r="CR36" s="44"/>
      <c r="CS36" s="44"/>
    </row>
    <row r="37" spans="1:97" ht="15.95" customHeight="1" x14ac:dyDescent="0.25">
      <c r="A37" s="44"/>
      <c r="B37" s="44"/>
      <c r="C37" s="44"/>
      <c r="D37" s="114">
        <f t="shared" ca="1" si="57"/>
        <v>2</v>
      </c>
      <c r="E37" s="114">
        <f t="shared" ca="1" si="0"/>
        <v>15</v>
      </c>
      <c r="F37" s="114">
        <f ca="1">IF($E37="",0,COUNTIF($E$7:$E37,INDEX($E$79:$E$150,ROW($A31))))</f>
        <v>1</v>
      </c>
      <c r="G37" s="142"/>
      <c r="H37" s="137">
        <v>31</v>
      </c>
      <c r="I37" s="164">
        <f ca="1">IF(OR($Y$3,$H37&gt;Calc!$B$13/2*$D$6),"",$U$6+QUOTIENT(($H37-1),$U$22)*($U$8+$U$10)/1440+SUM($R$7:$R36)/1440)</f>
        <v>0.54861111111111116</v>
      </c>
      <c r="J37" s="166">
        <f ca="1">IF(OR($Y$3,$H37&gt;Calc!$B$13/2*$D$6),"",MOD(($H37-1),$U$22)+1)</f>
        <v>1</v>
      </c>
      <c r="K37" s="417">
        <f ca="1"/>
        <v>1</v>
      </c>
      <c r="L37" s="418" t="s">
        <v>4</v>
      </c>
      <c r="M37" s="419">
        <f ca="1"/>
        <v>5</v>
      </c>
      <c r="N37" s="47" t="str">
        <f t="shared" ca="1" si="1"/>
        <v>1. FC Riedwald</v>
      </c>
      <c r="O37" s="45" t="s">
        <v>4</v>
      </c>
      <c r="P37" s="46" t="str">
        <f t="shared" ca="1" si="2"/>
        <v>VFB Essenheim</v>
      </c>
      <c r="Q37" s="281"/>
      <c r="R37" s="427"/>
      <c r="S37" s="157"/>
      <c r="T37" s="158"/>
      <c r="U37" s="158"/>
      <c r="V37" s="158"/>
      <c r="W37" s="158"/>
      <c r="X37" s="139">
        <f t="shared" ca="1" si="58"/>
        <v>0</v>
      </c>
      <c r="Y37" s="296">
        <f t="shared" ca="1" si="59"/>
        <v>0</v>
      </c>
      <c r="Z37" s="293">
        <f t="shared" ca="1" si="3"/>
        <v>0.54861111111111116</v>
      </c>
      <c r="AA37" s="139">
        <f t="shared" ca="1" si="4"/>
        <v>5</v>
      </c>
      <c r="AB37" s="139">
        <f t="shared" ca="1" si="5"/>
        <v>1</v>
      </c>
      <c r="AC37" s="294">
        <f t="shared" ca="1" si="6"/>
        <v>99999</v>
      </c>
      <c r="AD37" s="294" t="str">
        <f t="shared" ca="1" si="7"/>
        <v/>
      </c>
      <c r="AE37" s="295" t="str">
        <f t="shared" ca="1" si="8"/>
        <v/>
      </c>
      <c r="AF37" s="139"/>
      <c r="AG37" s="296">
        <f t="shared" ca="1" si="60"/>
        <v>0</v>
      </c>
      <c r="AH37" s="293">
        <f t="shared" ca="1" si="9"/>
        <v>99999</v>
      </c>
      <c r="AI37" s="139" t="str">
        <f t="shared" ca="1" si="10"/>
        <v/>
      </c>
      <c r="AJ37" s="139" t="str">
        <f t="shared" ca="1" si="11"/>
        <v/>
      </c>
      <c r="AK37" s="294">
        <f t="shared" ca="1" si="12"/>
        <v>99999</v>
      </c>
      <c r="AL37" s="294" t="str">
        <f t="shared" ca="1" si="13"/>
        <v/>
      </c>
      <c r="AM37" s="295" t="str">
        <f t="shared" ca="1" si="14"/>
        <v/>
      </c>
      <c r="AN37" s="44"/>
      <c r="AO37" s="296">
        <f t="shared" ca="1" si="61"/>
        <v>0</v>
      </c>
      <c r="AP37" s="293">
        <f t="shared" ca="1" si="15"/>
        <v>99999</v>
      </c>
      <c r="AQ37" s="139" t="str">
        <f t="shared" ca="1" si="16"/>
        <v/>
      </c>
      <c r="AR37" s="139" t="str">
        <f t="shared" ca="1" si="17"/>
        <v/>
      </c>
      <c r="AS37" s="294">
        <f t="shared" ca="1" si="18"/>
        <v>99999</v>
      </c>
      <c r="AT37" s="294" t="str">
        <f t="shared" ca="1" si="19"/>
        <v/>
      </c>
      <c r="AU37" s="295" t="str">
        <f t="shared" ca="1" si="20"/>
        <v/>
      </c>
      <c r="AV37" s="139"/>
      <c r="AW37" s="296">
        <f t="shared" ca="1" si="62"/>
        <v>0</v>
      </c>
      <c r="AX37" s="293">
        <f t="shared" ca="1" si="21"/>
        <v>99999</v>
      </c>
      <c r="AY37" s="139" t="str">
        <f t="shared" ca="1" si="22"/>
        <v/>
      </c>
      <c r="AZ37" s="139" t="str">
        <f t="shared" ca="1" si="23"/>
        <v/>
      </c>
      <c r="BA37" s="294">
        <f t="shared" ca="1" si="24"/>
        <v>99999</v>
      </c>
      <c r="BB37" s="294" t="str">
        <f t="shared" ca="1" si="25"/>
        <v/>
      </c>
      <c r="BC37" s="295" t="str">
        <f t="shared" ca="1" si="26"/>
        <v/>
      </c>
      <c r="BD37" s="44"/>
      <c r="BE37" s="296">
        <f t="shared" ca="1" si="63"/>
        <v>0</v>
      </c>
      <c r="BF37" s="293">
        <f t="shared" ca="1" si="27"/>
        <v>0.54861111111111116</v>
      </c>
      <c r="BG37" s="139">
        <f t="shared" ca="1" si="28"/>
        <v>1</v>
      </c>
      <c r="BH37" s="139">
        <f t="shared" ca="1" si="29"/>
        <v>1</v>
      </c>
      <c r="BI37" s="294">
        <f t="shared" ca="1" si="30"/>
        <v>99999</v>
      </c>
      <c r="BJ37" s="294" t="str">
        <f t="shared" ca="1" si="31"/>
        <v/>
      </c>
      <c r="BK37" s="295" t="str">
        <f t="shared" ca="1" si="32"/>
        <v/>
      </c>
      <c r="BL37" s="139"/>
      <c r="BM37" s="296">
        <f t="shared" ca="1" si="64"/>
        <v>0</v>
      </c>
      <c r="BN37" s="293">
        <f t="shared" ca="1" si="33"/>
        <v>99999</v>
      </c>
      <c r="BO37" s="139" t="str">
        <f t="shared" ca="1" si="34"/>
        <v/>
      </c>
      <c r="BP37" s="139" t="str">
        <f t="shared" ca="1" si="35"/>
        <v/>
      </c>
      <c r="BQ37" s="294">
        <f t="shared" ca="1" si="36"/>
        <v>99999</v>
      </c>
      <c r="BR37" s="294" t="str">
        <f t="shared" ca="1" si="37"/>
        <v/>
      </c>
      <c r="BS37" s="295" t="str">
        <f t="shared" ca="1" si="38"/>
        <v/>
      </c>
      <c r="BT37" s="44"/>
      <c r="BU37" s="296">
        <f t="shared" ca="1" si="65"/>
        <v>0</v>
      </c>
      <c r="BV37" s="293">
        <f t="shared" ca="1" si="39"/>
        <v>99999</v>
      </c>
      <c r="BW37" s="139" t="str">
        <f t="shared" ca="1" si="40"/>
        <v/>
      </c>
      <c r="BX37" s="139" t="str">
        <f t="shared" ca="1" si="41"/>
        <v/>
      </c>
      <c r="BY37" s="294">
        <f t="shared" ca="1" si="42"/>
        <v>99999</v>
      </c>
      <c r="BZ37" s="294" t="str">
        <f t="shared" ca="1" si="43"/>
        <v/>
      </c>
      <c r="CA37" s="295" t="str">
        <f t="shared" ca="1" si="44"/>
        <v/>
      </c>
      <c r="CB37" s="139"/>
      <c r="CC37" s="296">
        <f t="shared" ca="1" si="66"/>
        <v>0</v>
      </c>
      <c r="CD37" s="293">
        <f t="shared" ca="1" si="45"/>
        <v>99999</v>
      </c>
      <c r="CE37" s="139" t="str">
        <f t="shared" ca="1" si="46"/>
        <v/>
      </c>
      <c r="CF37" s="139" t="str">
        <f t="shared" ca="1" si="47"/>
        <v/>
      </c>
      <c r="CG37" s="294">
        <f t="shared" ca="1" si="48"/>
        <v>99999</v>
      </c>
      <c r="CH37" s="294" t="str">
        <f t="shared" ca="1" si="49"/>
        <v/>
      </c>
      <c r="CI37" s="295" t="str">
        <f t="shared" ca="1" si="50"/>
        <v/>
      </c>
      <c r="CJ37" s="44"/>
      <c r="CK37" s="296">
        <f t="shared" ca="1" si="67"/>
        <v>0</v>
      </c>
      <c r="CL37" s="293">
        <f t="shared" ca="1" si="51"/>
        <v>99999</v>
      </c>
      <c r="CM37" s="139" t="str">
        <f t="shared" ca="1" si="52"/>
        <v/>
      </c>
      <c r="CN37" s="139" t="str">
        <f t="shared" ca="1" si="53"/>
        <v/>
      </c>
      <c r="CO37" s="294">
        <f t="shared" ca="1" si="54"/>
        <v>99999</v>
      </c>
      <c r="CP37" s="294" t="str">
        <f t="shared" ca="1" si="55"/>
        <v/>
      </c>
      <c r="CQ37" s="295" t="str">
        <f t="shared" ca="1" si="56"/>
        <v/>
      </c>
      <c r="CR37" s="44"/>
      <c r="CS37" s="44"/>
    </row>
    <row r="38" spans="1:97" ht="15.95" customHeight="1" x14ac:dyDescent="0.25">
      <c r="A38" s="44"/>
      <c r="B38" s="44"/>
      <c r="C38" s="44"/>
      <c r="D38" s="114">
        <f t="shared" ca="1" si="57"/>
        <v>2</v>
      </c>
      <c r="E38" s="114">
        <f t="shared" ca="1" si="0"/>
        <v>64</v>
      </c>
      <c r="F38" s="114">
        <f ca="1">IF($E38="",0,COUNTIF($E$7:$E38,INDEX($E$79:$E$150,ROW($A32))))</f>
        <v>1</v>
      </c>
      <c r="G38" s="142"/>
      <c r="H38" s="137">
        <v>32</v>
      </c>
      <c r="I38" s="164">
        <f ca="1">IF(OR($Y$3,$H38&gt;Calc!$B$13/2*$D$6),"",$U$6+QUOTIENT(($H38-1),$U$22)*($U$8+$U$10)/1440+SUM($R$7:$R37)/1440)</f>
        <v>0.54861111111111116</v>
      </c>
      <c r="J38" s="166">
        <f ca="1">IF(OR($Y$3,$H38&gt;Calc!$B$13/2*$D$6),"",MOD(($H38-1),$U$22)+1)</f>
        <v>2</v>
      </c>
      <c r="K38" s="417">
        <f ca="1"/>
        <v>6</v>
      </c>
      <c r="L38" s="418" t="s">
        <v>4</v>
      </c>
      <c r="M38" s="419">
        <f ca="1"/>
        <v>4</v>
      </c>
      <c r="N38" s="47" t="str">
        <f t="shared" ca="1" si="1"/>
        <v>Inter Mailand</v>
      </c>
      <c r="O38" s="45" t="s">
        <v>4</v>
      </c>
      <c r="P38" s="46" t="str">
        <f t="shared" ca="1" si="2"/>
        <v>Maibach 1822 eV</v>
      </c>
      <c r="Q38" s="281"/>
      <c r="R38" s="427"/>
      <c r="S38" s="157"/>
      <c r="T38" s="158"/>
      <c r="U38" s="158"/>
      <c r="V38" s="158"/>
      <c r="W38" s="158"/>
      <c r="X38" s="139">
        <f t="shared" ca="1" si="58"/>
        <v>0</v>
      </c>
      <c r="Y38" s="296">
        <f t="shared" ca="1" si="59"/>
        <v>0</v>
      </c>
      <c r="Z38" s="293">
        <f t="shared" ca="1" si="3"/>
        <v>99999</v>
      </c>
      <c r="AA38" s="139" t="str">
        <f t="shared" ca="1" si="4"/>
        <v/>
      </c>
      <c r="AB38" s="139" t="str">
        <f t="shared" ca="1" si="5"/>
        <v/>
      </c>
      <c r="AC38" s="294">
        <f t="shared" ca="1" si="6"/>
        <v>99999</v>
      </c>
      <c r="AD38" s="294" t="str">
        <f t="shared" ca="1" si="7"/>
        <v/>
      </c>
      <c r="AE38" s="295" t="str">
        <f t="shared" ca="1" si="8"/>
        <v/>
      </c>
      <c r="AF38" s="139"/>
      <c r="AG38" s="296">
        <f t="shared" ca="1" si="60"/>
        <v>0</v>
      </c>
      <c r="AH38" s="293">
        <f t="shared" ca="1" si="9"/>
        <v>99999</v>
      </c>
      <c r="AI38" s="139" t="str">
        <f t="shared" ca="1" si="10"/>
        <v/>
      </c>
      <c r="AJ38" s="139" t="str">
        <f t="shared" ca="1" si="11"/>
        <v/>
      </c>
      <c r="AK38" s="294">
        <f t="shared" ca="1" si="12"/>
        <v>99999</v>
      </c>
      <c r="AL38" s="294" t="str">
        <f t="shared" ca="1" si="13"/>
        <v/>
      </c>
      <c r="AM38" s="295" t="str">
        <f t="shared" ca="1" si="14"/>
        <v/>
      </c>
      <c r="AN38" s="44"/>
      <c r="AO38" s="296">
        <f t="shared" ca="1" si="61"/>
        <v>0</v>
      </c>
      <c r="AP38" s="293">
        <f t="shared" ca="1" si="15"/>
        <v>99999</v>
      </c>
      <c r="AQ38" s="139" t="str">
        <f t="shared" ca="1" si="16"/>
        <v/>
      </c>
      <c r="AR38" s="139" t="str">
        <f t="shared" ca="1" si="17"/>
        <v/>
      </c>
      <c r="AS38" s="294">
        <f t="shared" ca="1" si="18"/>
        <v>99999</v>
      </c>
      <c r="AT38" s="294" t="str">
        <f t="shared" ca="1" si="19"/>
        <v/>
      </c>
      <c r="AU38" s="295" t="str">
        <f t="shared" ca="1" si="20"/>
        <v/>
      </c>
      <c r="AV38" s="139"/>
      <c r="AW38" s="296">
        <f t="shared" ca="1" si="62"/>
        <v>0</v>
      </c>
      <c r="AX38" s="293">
        <f t="shared" ca="1" si="21"/>
        <v>0.54861111111111116</v>
      </c>
      <c r="AY38" s="139">
        <f t="shared" ca="1" si="22"/>
        <v>6</v>
      </c>
      <c r="AZ38" s="139">
        <f t="shared" ca="1" si="23"/>
        <v>2</v>
      </c>
      <c r="BA38" s="294">
        <f t="shared" ca="1" si="24"/>
        <v>99999</v>
      </c>
      <c r="BB38" s="294" t="str">
        <f t="shared" ca="1" si="25"/>
        <v/>
      </c>
      <c r="BC38" s="295" t="str">
        <f t="shared" ca="1" si="26"/>
        <v/>
      </c>
      <c r="BD38" s="44"/>
      <c r="BE38" s="296">
        <f t="shared" ca="1" si="63"/>
        <v>0</v>
      </c>
      <c r="BF38" s="293">
        <f t="shared" ca="1" si="27"/>
        <v>99999</v>
      </c>
      <c r="BG38" s="139" t="str">
        <f t="shared" ca="1" si="28"/>
        <v/>
      </c>
      <c r="BH38" s="139" t="str">
        <f t="shared" ca="1" si="29"/>
        <v/>
      </c>
      <c r="BI38" s="294">
        <f t="shared" ca="1" si="30"/>
        <v>99999</v>
      </c>
      <c r="BJ38" s="294" t="str">
        <f t="shared" ca="1" si="31"/>
        <v/>
      </c>
      <c r="BK38" s="295" t="str">
        <f t="shared" ca="1" si="32"/>
        <v/>
      </c>
      <c r="BL38" s="139"/>
      <c r="BM38" s="296">
        <f t="shared" ca="1" si="64"/>
        <v>0</v>
      </c>
      <c r="BN38" s="293">
        <f t="shared" ca="1" si="33"/>
        <v>0.54861111111111116</v>
      </c>
      <c r="BO38" s="139">
        <f t="shared" ca="1" si="34"/>
        <v>4</v>
      </c>
      <c r="BP38" s="139">
        <f t="shared" ca="1" si="35"/>
        <v>2</v>
      </c>
      <c r="BQ38" s="294">
        <f t="shared" ca="1" si="36"/>
        <v>99999</v>
      </c>
      <c r="BR38" s="294" t="str">
        <f t="shared" ca="1" si="37"/>
        <v/>
      </c>
      <c r="BS38" s="295" t="str">
        <f t="shared" ca="1" si="38"/>
        <v/>
      </c>
      <c r="BT38" s="44"/>
      <c r="BU38" s="296">
        <f t="shared" ca="1" si="65"/>
        <v>0</v>
      </c>
      <c r="BV38" s="293">
        <f t="shared" ca="1" si="39"/>
        <v>99999</v>
      </c>
      <c r="BW38" s="139" t="str">
        <f t="shared" ca="1" si="40"/>
        <v/>
      </c>
      <c r="BX38" s="139" t="str">
        <f t="shared" ca="1" si="41"/>
        <v/>
      </c>
      <c r="BY38" s="294">
        <f t="shared" ca="1" si="42"/>
        <v>99999</v>
      </c>
      <c r="BZ38" s="294" t="str">
        <f t="shared" ca="1" si="43"/>
        <v/>
      </c>
      <c r="CA38" s="295" t="str">
        <f t="shared" ca="1" si="44"/>
        <v/>
      </c>
      <c r="CB38" s="139"/>
      <c r="CC38" s="296">
        <f t="shared" ca="1" si="66"/>
        <v>0</v>
      </c>
      <c r="CD38" s="293">
        <f t="shared" ca="1" si="45"/>
        <v>99999</v>
      </c>
      <c r="CE38" s="139" t="str">
        <f t="shared" ca="1" si="46"/>
        <v/>
      </c>
      <c r="CF38" s="139" t="str">
        <f t="shared" ca="1" si="47"/>
        <v/>
      </c>
      <c r="CG38" s="294">
        <f t="shared" ca="1" si="48"/>
        <v>99999</v>
      </c>
      <c r="CH38" s="294" t="str">
        <f t="shared" ca="1" si="49"/>
        <v/>
      </c>
      <c r="CI38" s="295" t="str">
        <f t="shared" ca="1" si="50"/>
        <v/>
      </c>
      <c r="CJ38" s="44"/>
      <c r="CK38" s="296">
        <f t="shared" ca="1" si="67"/>
        <v>0</v>
      </c>
      <c r="CL38" s="293">
        <f t="shared" ca="1" si="51"/>
        <v>99999</v>
      </c>
      <c r="CM38" s="139" t="str">
        <f t="shared" ca="1" si="52"/>
        <v/>
      </c>
      <c r="CN38" s="139" t="str">
        <f t="shared" ca="1" si="53"/>
        <v/>
      </c>
      <c r="CO38" s="294">
        <f t="shared" ca="1" si="54"/>
        <v>99999</v>
      </c>
      <c r="CP38" s="294" t="str">
        <f t="shared" ca="1" si="55"/>
        <v/>
      </c>
      <c r="CQ38" s="295" t="str">
        <f t="shared" ca="1" si="56"/>
        <v/>
      </c>
      <c r="CR38" s="44"/>
      <c r="CS38" s="44"/>
    </row>
    <row r="39" spans="1:97" ht="15.95" customHeight="1" x14ac:dyDescent="0.25">
      <c r="A39" s="44"/>
      <c r="B39" s="44"/>
      <c r="C39" s="44"/>
      <c r="D39" s="114">
        <f t="shared" ca="1" si="57"/>
        <v>2</v>
      </c>
      <c r="E39" s="114">
        <f t="shared" ca="1" si="0"/>
        <v>37</v>
      </c>
      <c r="F39" s="114">
        <f ca="1">IF($E39="",0,COUNTIF($E$7:$E39,INDEX($E$79:$E$150,ROW($A33))))</f>
        <v>1</v>
      </c>
      <c r="G39" s="142"/>
      <c r="H39" s="137">
        <v>33</v>
      </c>
      <c r="I39" s="164">
        <f ca="1">IF(OR($Y$3,$H39&gt;Calc!$B$13/2*$D$6),"",$U$6+QUOTIENT(($H39-1),$U$22)*($U$8+$U$10)/1440+SUM($R$7:$R38)/1440)</f>
        <v>0.54861111111111116</v>
      </c>
      <c r="J39" s="166">
        <f ca="1">IF(OR($Y$3,$H39&gt;Calc!$B$13/2*$D$6),"",MOD(($H39-1),$U$22)+1)</f>
        <v>3</v>
      </c>
      <c r="K39" s="417">
        <f ca="1"/>
        <v>3</v>
      </c>
      <c r="L39" s="418" t="s">
        <v>4</v>
      </c>
      <c r="M39" s="419">
        <f ca="1"/>
        <v>7</v>
      </c>
      <c r="N39" s="47" t="str">
        <f t="shared" ref="N39:N70" ca="1" si="68">IF($K39="","",IF(VLOOKUP($K39,$B$8:$C$25,2,0)="","",VLOOKUP($K39,$B$8:$C$25,2,0)))</f>
        <v>Eintracht Frankfurt</v>
      </c>
      <c r="O39" s="45" t="s">
        <v>4</v>
      </c>
      <c r="P39" s="46" t="str">
        <f t="shared" ref="P39:P70" ca="1" si="69">IF($M39="","",IF(VLOOKUP($M39,$B$8:$C$25,2,0)="","",VLOOKUP($M39,$B$8:$C$25,2,0)))</f>
        <v>SSV Wildbach</v>
      </c>
      <c r="Q39" s="281"/>
      <c r="R39" s="427"/>
      <c r="S39" s="157"/>
      <c r="T39" s="158"/>
      <c r="U39" s="158"/>
      <c r="V39" s="158"/>
      <c r="W39" s="158"/>
      <c r="X39" s="139">
        <f t="shared" ca="1" si="58"/>
        <v>0</v>
      </c>
      <c r="Y39" s="296">
        <f t="shared" ca="1" si="59"/>
        <v>0</v>
      </c>
      <c r="Z39" s="293">
        <f t="shared" ref="Z39:Z70" ca="1" si="70">IF(AA39&gt;9,99999,$I39)</f>
        <v>99999</v>
      </c>
      <c r="AA39" s="139" t="str">
        <f t="shared" ref="AA39:AA70" ca="1" si="71">IF($K39=Z$6,$M39,IF($M39=Z$6,$K39,""))</f>
        <v/>
      </c>
      <c r="AB39" s="139" t="str">
        <f t="shared" ref="AB39:AB70" ca="1" si="72">IF(AA39&gt;9,"",$J39)</f>
        <v/>
      </c>
      <c r="AC39" s="294">
        <f t="shared" ref="AC39:AC70" ca="1" si="73">SMALL(Z$7:Z$78,ROW($A33))</f>
        <v>99999</v>
      </c>
      <c r="AD39" s="294" t="str">
        <f t="shared" ref="AD39:AD70" ca="1" si="74">IFERROR(VLOOKUP(AC39,Z$7:AB$78,3,0),"")</f>
        <v/>
      </c>
      <c r="AE39" s="295" t="str">
        <f t="shared" ref="AE39:AE70" ca="1" si="75">IFERROR(VLOOKUP(VLOOKUP(AC39,Z$7:AA$78,2,0),$B$8:$C$25,2,0),"")</f>
        <v/>
      </c>
      <c r="AF39" s="139"/>
      <c r="AG39" s="296">
        <f t="shared" ca="1" si="60"/>
        <v>0</v>
      </c>
      <c r="AH39" s="293">
        <f t="shared" ref="AH39:AH70" ca="1" si="76">IF(AI39&gt;9,99999,$I39)</f>
        <v>99999</v>
      </c>
      <c r="AI39" s="139" t="str">
        <f t="shared" ref="AI39:AI70" ca="1" si="77">IF($K39=AH$6,$M39,IF($M39=AH$6,$K39,""))</f>
        <v/>
      </c>
      <c r="AJ39" s="139" t="str">
        <f t="shared" ref="AJ39:AJ70" ca="1" si="78">IF(AI39&gt;9,"",$J39)</f>
        <v/>
      </c>
      <c r="AK39" s="294">
        <f t="shared" ref="AK39:AK70" ca="1" si="79">SMALL(AH$7:AH$78,ROW($A33))</f>
        <v>99999</v>
      </c>
      <c r="AL39" s="294" t="str">
        <f t="shared" ref="AL39:AL70" ca="1" si="80">IFERROR(VLOOKUP(AK39,AH$7:AJ$78,3,0),"")</f>
        <v/>
      </c>
      <c r="AM39" s="295" t="str">
        <f t="shared" ref="AM39:AM70" ca="1" si="81">IFERROR(VLOOKUP(VLOOKUP(AK39,AH$7:AI$78,2,0),$B$8:$C$25,2,0),"")</f>
        <v/>
      </c>
      <c r="AN39" s="44"/>
      <c r="AO39" s="296">
        <f t="shared" ca="1" si="61"/>
        <v>0</v>
      </c>
      <c r="AP39" s="293">
        <f t="shared" ref="AP39:AP70" ca="1" si="82">IF(AQ39&gt;9,99999,$I39)</f>
        <v>0.54861111111111116</v>
      </c>
      <c r="AQ39" s="139">
        <f t="shared" ref="AQ39:AQ70" ca="1" si="83">IF($K39=AP$6,$M39,IF($M39=AP$6,$K39,""))</f>
        <v>7</v>
      </c>
      <c r="AR39" s="139">
        <f t="shared" ref="AR39:AR70" ca="1" si="84">IF(AQ39&gt;9,"",$J39)</f>
        <v>3</v>
      </c>
      <c r="AS39" s="294">
        <f t="shared" ref="AS39:AS70" ca="1" si="85">SMALL(AP$7:AP$78,ROW($A33))</f>
        <v>99999</v>
      </c>
      <c r="AT39" s="294" t="str">
        <f t="shared" ref="AT39:AT70" ca="1" si="86">IFERROR(VLOOKUP(AS39,AP$7:AR$78,3,0),"")</f>
        <v/>
      </c>
      <c r="AU39" s="295" t="str">
        <f t="shared" ref="AU39:AU70" ca="1" si="87">IFERROR(VLOOKUP(VLOOKUP(AS39,AP$7:AQ$78,2,0),$B$8:$C$25,2,0),"")</f>
        <v/>
      </c>
      <c r="AV39" s="139"/>
      <c r="AW39" s="296">
        <f t="shared" ca="1" si="62"/>
        <v>0</v>
      </c>
      <c r="AX39" s="293">
        <f t="shared" ref="AX39:AX70" ca="1" si="88">IF(AY39&gt;9,99999,$I39)</f>
        <v>99999</v>
      </c>
      <c r="AY39" s="139" t="str">
        <f t="shared" ref="AY39:AY70" ca="1" si="89">IF($K39=AX$6,$M39,IF($M39=AX$6,$K39,""))</f>
        <v/>
      </c>
      <c r="AZ39" s="139" t="str">
        <f t="shared" ref="AZ39:AZ70" ca="1" si="90">IF(AY39&gt;9,"",$J39)</f>
        <v/>
      </c>
      <c r="BA39" s="294">
        <f t="shared" ref="BA39:BA70" ca="1" si="91">SMALL(AX$7:AX$78,ROW($A33))</f>
        <v>99999</v>
      </c>
      <c r="BB39" s="294" t="str">
        <f t="shared" ref="BB39:BB70" ca="1" si="92">IFERROR(VLOOKUP(BA39,AX$7:AZ$78,3,0),"")</f>
        <v/>
      </c>
      <c r="BC39" s="295" t="str">
        <f t="shared" ref="BC39:BC70" ca="1" si="93">IFERROR(VLOOKUP(VLOOKUP(BA39,AX$7:AY$78,2,0),$B$8:$C$25,2,0),"")</f>
        <v/>
      </c>
      <c r="BD39" s="44"/>
      <c r="BE39" s="296">
        <f t="shared" ca="1" si="63"/>
        <v>0</v>
      </c>
      <c r="BF39" s="293">
        <f t="shared" ref="BF39:BF70" ca="1" si="94">IF(BG39&gt;9,99999,$I39)</f>
        <v>99999</v>
      </c>
      <c r="BG39" s="139" t="str">
        <f t="shared" ref="BG39:BG70" ca="1" si="95">IF($K39=BF$6,$M39,IF($M39=BF$6,$K39,""))</f>
        <v/>
      </c>
      <c r="BH39" s="139" t="str">
        <f t="shared" ref="BH39:BH70" ca="1" si="96">IF(BG39&gt;9,"",$J39)</f>
        <v/>
      </c>
      <c r="BI39" s="294">
        <f t="shared" ref="BI39:BI70" ca="1" si="97">SMALL(BF$7:BF$78,ROW($A33))</f>
        <v>99999</v>
      </c>
      <c r="BJ39" s="294" t="str">
        <f t="shared" ref="BJ39:BJ70" ca="1" si="98">IFERROR(VLOOKUP(BI39,BF$7:BH$78,3,0),"")</f>
        <v/>
      </c>
      <c r="BK39" s="295" t="str">
        <f t="shared" ref="BK39:BK70" ca="1" si="99">IFERROR(VLOOKUP(VLOOKUP(BI39,BF$7:BG$78,2,0),$B$8:$C$25,2,0),"")</f>
        <v/>
      </c>
      <c r="BL39" s="139"/>
      <c r="BM39" s="296">
        <f t="shared" ca="1" si="64"/>
        <v>0</v>
      </c>
      <c r="BN39" s="293">
        <f t="shared" ref="BN39:BN70" ca="1" si="100">IF(BO39&gt;9,99999,$I39)</f>
        <v>99999</v>
      </c>
      <c r="BO39" s="139" t="str">
        <f t="shared" ref="BO39:BO70" ca="1" si="101">IF($K39=BN$6,$M39,IF($M39=BN$6,$K39,""))</f>
        <v/>
      </c>
      <c r="BP39" s="139" t="str">
        <f t="shared" ref="BP39:BP70" ca="1" si="102">IF(BO39&gt;9,"",$J39)</f>
        <v/>
      </c>
      <c r="BQ39" s="294">
        <f t="shared" ref="BQ39:BQ70" ca="1" si="103">SMALL(BN$7:BN$78,ROW($A33))</f>
        <v>99999</v>
      </c>
      <c r="BR39" s="294" t="str">
        <f t="shared" ref="BR39:BR70" ca="1" si="104">IFERROR(VLOOKUP(BQ39,BN$7:BP$78,3,0),"")</f>
        <v/>
      </c>
      <c r="BS39" s="295" t="str">
        <f t="shared" ref="BS39:BS70" ca="1" si="105">IFERROR(VLOOKUP(VLOOKUP(BQ39,BN$7:BO$78,2,0),$B$8:$C$25,2,0),"")</f>
        <v/>
      </c>
      <c r="BT39" s="44"/>
      <c r="BU39" s="296">
        <f t="shared" ca="1" si="65"/>
        <v>0</v>
      </c>
      <c r="BV39" s="293">
        <f t="shared" ref="BV39:BV70" ca="1" si="106">IF(BW39&gt;9,99999,$I39)</f>
        <v>0.54861111111111116</v>
      </c>
      <c r="BW39" s="139">
        <f t="shared" ref="BW39:BW70" ca="1" si="107">IF($K39=BV$6,$M39,IF($M39=BV$6,$K39,""))</f>
        <v>3</v>
      </c>
      <c r="BX39" s="139">
        <f t="shared" ref="BX39:BX70" ca="1" si="108">IF(BW39&gt;9,"",$J39)</f>
        <v>3</v>
      </c>
      <c r="BY39" s="294">
        <f t="shared" ref="BY39:BY70" ca="1" si="109">SMALL(BV$7:BV$78,ROW($A33))</f>
        <v>99999</v>
      </c>
      <c r="BZ39" s="294" t="str">
        <f t="shared" ref="BZ39:BZ70" ca="1" si="110">IFERROR(VLOOKUP(BY39,BV$7:BX$78,3,0),"")</f>
        <v/>
      </c>
      <c r="CA39" s="295" t="str">
        <f t="shared" ref="CA39:CA70" ca="1" si="111">IFERROR(VLOOKUP(VLOOKUP(BY39,BV$7:BW$78,2,0),$B$8:$C$25,2,0),"")</f>
        <v/>
      </c>
      <c r="CB39" s="139"/>
      <c r="CC39" s="296">
        <f t="shared" ca="1" si="66"/>
        <v>0</v>
      </c>
      <c r="CD39" s="293">
        <f t="shared" ref="CD39:CD70" ca="1" si="112">IF(CE39&gt;9,99999,$I39)</f>
        <v>99999</v>
      </c>
      <c r="CE39" s="139" t="str">
        <f t="shared" ref="CE39:CE70" ca="1" si="113">IF($K39=CD$6,$M39,IF($M39=CD$6,$K39,""))</f>
        <v/>
      </c>
      <c r="CF39" s="139" t="str">
        <f t="shared" ref="CF39:CF70" ca="1" si="114">IF(CE39&gt;9,"",$J39)</f>
        <v/>
      </c>
      <c r="CG39" s="294">
        <f t="shared" ref="CG39:CG70" ca="1" si="115">SMALL(CD$7:CD$78,ROW($A33))</f>
        <v>99999</v>
      </c>
      <c r="CH39" s="294" t="str">
        <f t="shared" ref="CH39:CH70" ca="1" si="116">IFERROR(VLOOKUP(CG39,CD$7:CF$78,3,0),"")</f>
        <v/>
      </c>
      <c r="CI39" s="295" t="str">
        <f t="shared" ref="CI39:CI70" ca="1" si="117">IFERROR(VLOOKUP(VLOOKUP(CG39,CD$7:CE$78,2,0),$B$8:$C$25,2,0),"")</f>
        <v/>
      </c>
      <c r="CJ39" s="44"/>
      <c r="CK39" s="296">
        <f t="shared" ca="1" si="67"/>
        <v>0</v>
      </c>
      <c r="CL39" s="293">
        <f t="shared" ref="CL39:CL70" ca="1" si="118">IF(CM39&gt;9,99999,$I39)</f>
        <v>99999</v>
      </c>
      <c r="CM39" s="139" t="str">
        <f t="shared" ref="CM39:CM70" ca="1" si="119">IF($K39=CL$6,$M39,IF($M39=CL$6,$K39,""))</f>
        <v/>
      </c>
      <c r="CN39" s="139" t="str">
        <f t="shared" ref="CN39:CN70" ca="1" si="120">IF(CM39&gt;9,"",$J39)</f>
        <v/>
      </c>
      <c r="CO39" s="294">
        <f t="shared" ref="CO39:CO70" ca="1" si="121">SMALL(CL$7:CL$78,ROW($A33))</f>
        <v>99999</v>
      </c>
      <c r="CP39" s="294" t="str">
        <f t="shared" ref="CP39:CP70" ca="1" si="122">IFERROR(VLOOKUP(CO39,CL$7:CN$78,3,0),"")</f>
        <v/>
      </c>
      <c r="CQ39" s="295" t="str">
        <f t="shared" ref="CQ39:CQ70" ca="1" si="123">IFERROR(VLOOKUP(VLOOKUP(CO39,CL$7:CM$78,2,0),$B$8:$C$25,2,0),"")</f>
        <v/>
      </c>
      <c r="CR39" s="44"/>
      <c r="CS39" s="44"/>
    </row>
    <row r="40" spans="1:97" ht="15.95" customHeight="1" x14ac:dyDescent="0.25">
      <c r="A40" s="44"/>
      <c r="B40" s="44"/>
      <c r="C40" s="44"/>
      <c r="D40" s="114">
        <f t="shared" ca="1" si="57"/>
        <v>2</v>
      </c>
      <c r="E40" s="114">
        <f t="shared" ca="1" si="0"/>
        <v>41</v>
      </c>
      <c r="F40" s="114">
        <f ca="1">IF($E40="",0,COUNTIF($E$7:$E40,INDEX($E$79:$E$150,ROW($A34))))</f>
        <v>1</v>
      </c>
      <c r="G40" s="142"/>
      <c r="H40" s="137">
        <v>34</v>
      </c>
      <c r="I40" s="164">
        <f ca="1">IF(OR($Y$3,$H40&gt;Calc!$B$13/2*$D$6),"",$U$6+QUOTIENT(($H40-1),$U$22)*($U$8+$U$10)/1440+SUM($R$7:$R39)/1440)</f>
        <v>0.56597222222222221</v>
      </c>
      <c r="J40" s="166">
        <f ca="1">IF(OR($Y$3,$H40&gt;Calc!$B$13/2*$D$6),"",MOD(($H40-1),$U$22)+1)</f>
        <v>1</v>
      </c>
      <c r="K40" s="417">
        <f ca="1"/>
        <v>4</v>
      </c>
      <c r="L40" s="418" t="s">
        <v>4</v>
      </c>
      <c r="M40" s="419">
        <f ca="1"/>
        <v>1</v>
      </c>
      <c r="N40" s="47" t="str">
        <f t="shared" ca="1" si="68"/>
        <v>Maibach 1822 eV</v>
      </c>
      <c r="O40" s="45" t="s">
        <v>4</v>
      </c>
      <c r="P40" s="46" t="str">
        <f t="shared" ca="1" si="69"/>
        <v>1. FC Riedwald</v>
      </c>
      <c r="Q40" s="281"/>
      <c r="R40" s="427"/>
      <c r="S40" s="157"/>
      <c r="T40" s="158"/>
      <c r="U40" s="158"/>
      <c r="V40" s="158"/>
      <c r="W40" s="158"/>
      <c r="X40" s="139">
        <f t="shared" ref="X40:X71" ca="1" si="124">Y40+AG40+AO40+AW40+BE40+BM40+BU40+CC40+CK40</f>
        <v>0</v>
      </c>
      <c r="Y40" s="296">
        <f t="shared" ref="Y40:Y71" ca="1" si="125">IF(AND(Z40&lt;99999,OR(Z40=Z39,Z40=Z38,Z40=Z37,)),1,0)</f>
        <v>0</v>
      </c>
      <c r="Z40" s="293">
        <f t="shared" ca="1" si="70"/>
        <v>0.56597222222222221</v>
      </c>
      <c r="AA40" s="139">
        <f t="shared" ca="1" si="71"/>
        <v>4</v>
      </c>
      <c r="AB40" s="139">
        <f t="shared" ca="1" si="72"/>
        <v>1</v>
      </c>
      <c r="AC40" s="294">
        <f t="shared" ca="1" si="73"/>
        <v>99999</v>
      </c>
      <c r="AD40" s="294" t="str">
        <f t="shared" ca="1" si="74"/>
        <v/>
      </c>
      <c r="AE40" s="295" t="str">
        <f t="shared" ca="1" si="75"/>
        <v/>
      </c>
      <c r="AF40" s="139"/>
      <c r="AG40" s="296">
        <f t="shared" ref="AG40:AG71" ca="1" si="126">IF(AND(AH40&lt;99999,OR(AH40=AH39,AH40=AH38,AH40=AH37,)),1,0)</f>
        <v>0</v>
      </c>
      <c r="AH40" s="293">
        <f t="shared" ca="1" si="76"/>
        <v>99999</v>
      </c>
      <c r="AI40" s="139" t="str">
        <f t="shared" ca="1" si="77"/>
        <v/>
      </c>
      <c r="AJ40" s="139" t="str">
        <f t="shared" ca="1" si="78"/>
        <v/>
      </c>
      <c r="AK40" s="294">
        <f t="shared" ca="1" si="79"/>
        <v>99999</v>
      </c>
      <c r="AL40" s="294" t="str">
        <f t="shared" ca="1" si="80"/>
        <v/>
      </c>
      <c r="AM40" s="295" t="str">
        <f t="shared" ca="1" si="81"/>
        <v/>
      </c>
      <c r="AN40" s="44"/>
      <c r="AO40" s="296">
        <f t="shared" ref="AO40:AO71" ca="1" si="127">IF(AND(AP40&lt;99999,OR(AP40=AP39,AP40=AP38,AP40=AP37,)),1,0)</f>
        <v>0</v>
      </c>
      <c r="AP40" s="293">
        <f t="shared" ca="1" si="82"/>
        <v>99999</v>
      </c>
      <c r="AQ40" s="139" t="str">
        <f t="shared" ca="1" si="83"/>
        <v/>
      </c>
      <c r="AR40" s="139" t="str">
        <f t="shared" ca="1" si="84"/>
        <v/>
      </c>
      <c r="AS40" s="294">
        <f t="shared" ca="1" si="85"/>
        <v>99999</v>
      </c>
      <c r="AT40" s="294" t="str">
        <f t="shared" ca="1" si="86"/>
        <v/>
      </c>
      <c r="AU40" s="295" t="str">
        <f t="shared" ca="1" si="87"/>
        <v/>
      </c>
      <c r="AV40" s="139"/>
      <c r="AW40" s="296">
        <f t="shared" ref="AW40:AW71" ca="1" si="128">IF(AND(AX40&lt;99999,OR(AX40=AX39,AX40=AX38,AX40=AX37,)),1,0)</f>
        <v>0</v>
      </c>
      <c r="AX40" s="293">
        <f t="shared" ca="1" si="88"/>
        <v>0.56597222222222221</v>
      </c>
      <c r="AY40" s="139">
        <f t="shared" ca="1" si="89"/>
        <v>1</v>
      </c>
      <c r="AZ40" s="139">
        <f t="shared" ca="1" si="90"/>
        <v>1</v>
      </c>
      <c r="BA40" s="294">
        <f t="shared" ca="1" si="91"/>
        <v>99999</v>
      </c>
      <c r="BB40" s="294" t="str">
        <f t="shared" ca="1" si="92"/>
        <v/>
      </c>
      <c r="BC40" s="295" t="str">
        <f t="shared" ca="1" si="93"/>
        <v/>
      </c>
      <c r="BD40" s="44"/>
      <c r="BE40" s="296">
        <f t="shared" ref="BE40:BE71" ca="1" si="129">IF(AND(BF40&lt;99999,OR(BF40=BF39,BF40=BF38,BF40=BF37,)),1,0)</f>
        <v>0</v>
      </c>
      <c r="BF40" s="293">
        <f t="shared" ca="1" si="94"/>
        <v>99999</v>
      </c>
      <c r="BG40" s="139" t="str">
        <f t="shared" ca="1" si="95"/>
        <v/>
      </c>
      <c r="BH40" s="139" t="str">
        <f t="shared" ca="1" si="96"/>
        <v/>
      </c>
      <c r="BI40" s="294">
        <f t="shared" ca="1" si="97"/>
        <v>99999</v>
      </c>
      <c r="BJ40" s="294" t="str">
        <f t="shared" ca="1" si="98"/>
        <v/>
      </c>
      <c r="BK40" s="295" t="str">
        <f t="shared" ca="1" si="99"/>
        <v/>
      </c>
      <c r="BL40" s="139"/>
      <c r="BM40" s="296">
        <f t="shared" ref="BM40:BM71" ca="1" si="130">IF(AND(BN40&lt;99999,OR(BN40=BN39,BN40=BN38,BN40=BN37,)),1,0)</f>
        <v>0</v>
      </c>
      <c r="BN40" s="293">
        <f t="shared" ca="1" si="100"/>
        <v>99999</v>
      </c>
      <c r="BO40" s="139" t="str">
        <f t="shared" ca="1" si="101"/>
        <v/>
      </c>
      <c r="BP40" s="139" t="str">
        <f t="shared" ca="1" si="102"/>
        <v/>
      </c>
      <c r="BQ40" s="294">
        <f t="shared" ca="1" si="103"/>
        <v>99999</v>
      </c>
      <c r="BR40" s="294" t="str">
        <f t="shared" ca="1" si="104"/>
        <v/>
      </c>
      <c r="BS40" s="295" t="str">
        <f t="shared" ca="1" si="105"/>
        <v/>
      </c>
      <c r="BT40" s="44"/>
      <c r="BU40" s="296">
        <f t="shared" ref="BU40:BU71" ca="1" si="131">IF(AND(BV40&lt;99999,OR(BV40=BV39,BV40=BV38,BV40=BV37,)),1,0)</f>
        <v>0</v>
      </c>
      <c r="BV40" s="293">
        <f t="shared" ca="1" si="106"/>
        <v>99999</v>
      </c>
      <c r="BW40" s="139" t="str">
        <f t="shared" ca="1" si="107"/>
        <v/>
      </c>
      <c r="BX40" s="139" t="str">
        <f t="shared" ca="1" si="108"/>
        <v/>
      </c>
      <c r="BY40" s="294">
        <f t="shared" ca="1" si="109"/>
        <v>99999</v>
      </c>
      <c r="BZ40" s="294" t="str">
        <f t="shared" ca="1" si="110"/>
        <v/>
      </c>
      <c r="CA40" s="295" t="str">
        <f t="shared" ca="1" si="111"/>
        <v/>
      </c>
      <c r="CB40" s="139"/>
      <c r="CC40" s="296">
        <f t="shared" ref="CC40:CC71" ca="1" si="132">IF(AND(CD40&lt;99999,OR(CD40=CD39,CD40=CD38,CD40=CD37,)),1,0)</f>
        <v>0</v>
      </c>
      <c r="CD40" s="293">
        <f t="shared" ca="1" si="112"/>
        <v>99999</v>
      </c>
      <c r="CE40" s="139" t="str">
        <f t="shared" ca="1" si="113"/>
        <v/>
      </c>
      <c r="CF40" s="139" t="str">
        <f t="shared" ca="1" si="114"/>
        <v/>
      </c>
      <c r="CG40" s="294">
        <f t="shared" ca="1" si="115"/>
        <v>99999</v>
      </c>
      <c r="CH40" s="294" t="str">
        <f t="shared" ca="1" si="116"/>
        <v/>
      </c>
      <c r="CI40" s="295" t="str">
        <f t="shared" ca="1" si="117"/>
        <v/>
      </c>
      <c r="CJ40" s="44"/>
      <c r="CK40" s="296">
        <f t="shared" ref="CK40:CK71" ca="1" si="133">IF(AND(CL40&lt;99999,OR(CL40=CL39,CL40=CL38,CL40=CL37,)),1,0)</f>
        <v>0</v>
      </c>
      <c r="CL40" s="293">
        <f t="shared" ca="1" si="118"/>
        <v>99999</v>
      </c>
      <c r="CM40" s="139" t="str">
        <f t="shared" ca="1" si="119"/>
        <v/>
      </c>
      <c r="CN40" s="139" t="str">
        <f t="shared" ca="1" si="120"/>
        <v/>
      </c>
      <c r="CO40" s="294">
        <f t="shared" ca="1" si="121"/>
        <v>99999</v>
      </c>
      <c r="CP40" s="294" t="str">
        <f t="shared" ca="1" si="122"/>
        <v/>
      </c>
      <c r="CQ40" s="295" t="str">
        <f t="shared" ca="1" si="123"/>
        <v/>
      </c>
      <c r="CR40" s="44"/>
      <c r="CS40" s="44"/>
    </row>
    <row r="41" spans="1:97" ht="15.95" customHeight="1" x14ac:dyDescent="0.25">
      <c r="A41" s="44"/>
      <c r="B41" s="44"/>
      <c r="C41" s="44"/>
      <c r="D41" s="114">
        <f t="shared" ca="1" si="57"/>
        <v>2</v>
      </c>
      <c r="E41" s="114">
        <f t="shared" ca="1" si="0"/>
        <v>53</v>
      </c>
      <c r="F41" s="114">
        <f ca="1">IF($E41="",0,COUNTIF($E$7:$E41,INDEX($E$79:$E$150,ROW($A35))))</f>
        <v>1</v>
      </c>
      <c r="G41" s="142"/>
      <c r="H41" s="137">
        <v>35</v>
      </c>
      <c r="I41" s="164">
        <f ca="1">IF(OR($Y$3,$H41&gt;Calc!$B$13/2*$D$6),"",$U$6+QUOTIENT(($H41-1),$U$22)*($U$8+$U$10)/1440+SUM($R$7:$R40)/1440)</f>
        <v>0.56597222222222221</v>
      </c>
      <c r="J41" s="166">
        <f ca="1">IF(OR($Y$3,$H41&gt;Calc!$B$13/2*$D$6),"",MOD(($H41-1),$U$22)+1)</f>
        <v>2</v>
      </c>
      <c r="K41" s="417">
        <f ca="1"/>
        <v>5</v>
      </c>
      <c r="L41" s="418" t="s">
        <v>4</v>
      </c>
      <c r="M41" s="419">
        <f ca="1"/>
        <v>3</v>
      </c>
      <c r="N41" s="47" t="str">
        <f t="shared" ca="1" si="68"/>
        <v>VFB Essenheim</v>
      </c>
      <c r="O41" s="45" t="s">
        <v>4</v>
      </c>
      <c r="P41" s="46" t="str">
        <f t="shared" ca="1" si="69"/>
        <v>Eintracht Frankfurt</v>
      </c>
      <c r="Q41" s="281"/>
      <c r="R41" s="427"/>
      <c r="S41" s="157"/>
      <c r="T41" s="158"/>
      <c r="U41" s="158"/>
      <c r="V41" s="158"/>
      <c r="W41" s="158"/>
      <c r="X41" s="139">
        <f t="shared" ca="1" si="124"/>
        <v>0</v>
      </c>
      <c r="Y41" s="296">
        <f t="shared" ca="1" si="125"/>
        <v>0</v>
      </c>
      <c r="Z41" s="293">
        <f t="shared" ca="1" si="70"/>
        <v>99999</v>
      </c>
      <c r="AA41" s="139" t="str">
        <f t="shared" ca="1" si="71"/>
        <v/>
      </c>
      <c r="AB41" s="139" t="str">
        <f t="shared" ca="1" si="72"/>
        <v/>
      </c>
      <c r="AC41" s="294">
        <f t="shared" ca="1" si="73"/>
        <v>99999</v>
      </c>
      <c r="AD41" s="294" t="str">
        <f t="shared" ca="1" si="74"/>
        <v/>
      </c>
      <c r="AE41" s="295" t="str">
        <f t="shared" ca="1" si="75"/>
        <v/>
      </c>
      <c r="AF41" s="139"/>
      <c r="AG41" s="296">
        <f t="shared" ca="1" si="126"/>
        <v>0</v>
      </c>
      <c r="AH41" s="293">
        <f t="shared" ca="1" si="76"/>
        <v>99999</v>
      </c>
      <c r="AI41" s="139" t="str">
        <f t="shared" ca="1" si="77"/>
        <v/>
      </c>
      <c r="AJ41" s="139" t="str">
        <f t="shared" ca="1" si="78"/>
        <v/>
      </c>
      <c r="AK41" s="294">
        <f t="shared" ca="1" si="79"/>
        <v>99999</v>
      </c>
      <c r="AL41" s="294" t="str">
        <f t="shared" ca="1" si="80"/>
        <v/>
      </c>
      <c r="AM41" s="295" t="str">
        <f t="shared" ca="1" si="81"/>
        <v/>
      </c>
      <c r="AN41" s="44"/>
      <c r="AO41" s="296">
        <f t="shared" ca="1" si="127"/>
        <v>0</v>
      </c>
      <c r="AP41" s="293">
        <f t="shared" ca="1" si="82"/>
        <v>0.56597222222222221</v>
      </c>
      <c r="AQ41" s="139">
        <f t="shared" ca="1" si="83"/>
        <v>5</v>
      </c>
      <c r="AR41" s="139">
        <f t="shared" ca="1" si="84"/>
        <v>2</v>
      </c>
      <c r="AS41" s="294">
        <f t="shared" ca="1" si="85"/>
        <v>99999</v>
      </c>
      <c r="AT41" s="294" t="str">
        <f t="shared" ca="1" si="86"/>
        <v/>
      </c>
      <c r="AU41" s="295" t="str">
        <f t="shared" ca="1" si="87"/>
        <v/>
      </c>
      <c r="AV41" s="139"/>
      <c r="AW41" s="296">
        <f t="shared" ca="1" si="128"/>
        <v>0</v>
      </c>
      <c r="AX41" s="293">
        <f t="shared" ca="1" si="88"/>
        <v>99999</v>
      </c>
      <c r="AY41" s="139" t="str">
        <f t="shared" ca="1" si="89"/>
        <v/>
      </c>
      <c r="AZ41" s="139" t="str">
        <f t="shared" ca="1" si="90"/>
        <v/>
      </c>
      <c r="BA41" s="294">
        <f t="shared" ca="1" si="91"/>
        <v>99999</v>
      </c>
      <c r="BB41" s="294" t="str">
        <f t="shared" ca="1" si="92"/>
        <v/>
      </c>
      <c r="BC41" s="295" t="str">
        <f t="shared" ca="1" si="93"/>
        <v/>
      </c>
      <c r="BD41" s="44"/>
      <c r="BE41" s="296">
        <f t="shared" ca="1" si="129"/>
        <v>0</v>
      </c>
      <c r="BF41" s="293">
        <f t="shared" ca="1" si="94"/>
        <v>0.56597222222222221</v>
      </c>
      <c r="BG41" s="139">
        <f t="shared" ca="1" si="95"/>
        <v>3</v>
      </c>
      <c r="BH41" s="139">
        <f t="shared" ca="1" si="96"/>
        <v>2</v>
      </c>
      <c r="BI41" s="294">
        <f t="shared" ca="1" si="97"/>
        <v>99999</v>
      </c>
      <c r="BJ41" s="294" t="str">
        <f t="shared" ca="1" si="98"/>
        <v/>
      </c>
      <c r="BK41" s="295" t="str">
        <f t="shared" ca="1" si="99"/>
        <v/>
      </c>
      <c r="BL41" s="139"/>
      <c r="BM41" s="296">
        <f t="shared" ca="1" si="130"/>
        <v>0</v>
      </c>
      <c r="BN41" s="293">
        <f t="shared" ca="1" si="100"/>
        <v>99999</v>
      </c>
      <c r="BO41" s="139" t="str">
        <f t="shared" ca="1" si="101"/>
        <v/>
      </c>
      <c r="BP41" s="139" t="str">
        <f t="shared" ca="1" si="102"/>
        <v/>
      </c>
      <c r="BQ41" s="294">
        <f t="shared" ca="1" si="103"/>
        <v>99999</v>
      </c>
      <c r="BR41" s="294" t="str">
        <f t="shared" ca="1" si="104"/>
        <v/>
      </c>
      <c r="BS41" s="295" t="str">
        <f t="shared" ca="1" si="105"/>
        <v/>
      </c>
      <c r="BT41" s="44"/>
      <c r="BU41" s="296">
        <f t="shared" ca="1" si="131"/>
        <v>0</v>
      </c>
      <c r="BV41" s="293">
        <f t="shared" ca="1" si="106"/>
        <v>99999</v>
      </c>
      <c r="BW41" s="139" t="str">
        <f t="shared" ca="1" si="107"/>
        <v/>
      </c>
      <c r="BX41" s="139" t="str">
        <f t="shared" ca="1" si="108"/>
        <v/>
      </c>
      <c r="BY41" s="294">
        <f t="shared" ca="1" si="109"/>
        <v>99999</v>
      </c>
      <c r="BZ41" s="294" t="str">
        <f t="shared" ca="1" si="110"/>
        <v/>
      </c>
      <c r="CA41" s="295" t="str">
        <f t="shared" ca="1" si="111"/>
        <v/>
      </c>
      <c r="CB41" s="139"/>
      <c r="CC41" s="296">
        <f t="shared" ca="1" si="132"/>
        <v>0</v>
      </c>
      <c r="CD41" s="293">
        <f t="shared" ca="1" si="112"/>
        <v>99999</v>
      </c>
      <c r="CE41" s="139" t="str">
        <f t="shared" ca="1" si="113"/>
        <v/>
      </c>
      <c r="CF41" s="139" t="str">
        <f t="shared" ca="1" si="114"/>
        <v/>
      </c>
      <c r="CG41" s="294">
        <f t="shared" ca="1" si="115"/>
        <v>99999</v>
      </c>
      <c r="CH41" s="294" t="str">
        <f t="shared" ca="1" si="116"/>
        <v/>
      </c>
      <c r="CI41" s="295" t="str">
        <f t="shared" ca="1" si="117"/>
        <v/>
      </c>
      <c r="CJ41" s="44"/>
      <c r="CK41" s="296">
        <f t="shared" ca="1" si="133"/>
        <v>0</v>
      </c>
      <c r="CL41" s="293">
        <f t="shared" ca="1" si="118"/>
        <v>99999</v>
      </c>
      <c r="CM41" s="139" t="str">
        <f t="shared" ca="1" si="119"/>
        <v/>
      </c>
      <c r="CN41" s="139" t="str">
        <f t="shared" ca="1" si="120"/>
        <v/>
      </c>
      <c r="CO41" s="294">
        <f t="shared" ca="1" si="121"/>
        <v>99999</v>
      </c>
      <c r="CP41" s="294" t="str">
        <f t="shared" ca="1" si="122"/>
        <v/>
      </c>
      <c r="CQ41" s="295" t="str">
        <f t="shared" ca="1" si="123"/>
        <v/>
      </c>
      <c r="CR41" s="44"/>
      <c r="CS41" s="44"/>
    </row>
    <row r="42" spans="1:97" ht="15.95" customHeight="1" x14ac:dyDescent="0.25">
      <c r="A42" s="44"/>
      <c r="B42" s="44"/>
      <c r="C42" s="44"/>
      <c r="D42" s="114">
        <f t="shared" ca="1" si="57"/>
        <v>2</v>
      </c>
      <c r="E42" s="114">
        <f t="shared" ca="1" si="0"/>
        <v>26</v>
      </c>
      <c r="F42" s="114">
        <f ca="1">IF($E42="",0,COUNTIF($E$7:$E42,INDEX($E$79:$E$150,ROW($A36))))</f>
        <v>1</v>
      </c>
      <c r="G42" s="142"/>
      <c r="H42" s="137">
        <v>36</v>
      </c>
      <c r="I42" s="164">
        <f ca="1">IF(OR($Y$3,$H42&gt;Calc!$B$13/2*$D$6),"",$U$6+QUOTIENT(($H42-1),$U$22)*($U$8+$U$10)/1440+SUM($R$7:$R41)/1440)</f>
        <v>0.56597222222222221</v>
      </c>
      <c r="J42" s="166">
        <f ca="1">IF(OR($Y$3,$H42&gt;Calc!$B$13/2*$D$6),"",MOD(($H42-1),$U$22)+1)</f>
        <v>3</v>
      </c>
      <c r="K42" s="417">
        <f ca="1"/>
        <v>2</v>
      </c>
      <c r="L42" s="418" t="s">
        <v>4</v>
      </c>
      <c r="M42" s="419">
        <f ca="1"/>
        <v>6</v>
      </c>
      <c r="N42" s="47" t="str">
        <f t="shared" ca="1" si="68"/>
        <v>FC Barcelona</v>
      </c>
      <c r="O42" s="45" t="s">
        <v>4</v>
      </c>
      <c r="P42" s="46" t="str">
        <f t="shared" ca="1" si="69"/>
        <v>Inter Mailand</v>
      </c>
      <c r="Q42" s="281"/>
      <c r="R42" s="427"/>
      <c r="S42" s="157"/>
      <c r="T42" s="158"/>
      <c r="U42" s="158"/>
      <c r="V42" s="158"/>
      <c r="W42" s="158"/>
      <c r="X42" s="139">
        <f t="shared" ca="1" si="124"/>
        <v>0</v>
      </c>
      <c r="Y42" s="296">
        <f t="shared" ca="1" si="125"/>
        <v>0</v>
      </c>
      <c r="Z42" s="293">
        <f t="shared" ca="1" si="70"/>
        <v>99999</v>
      </c>
      <c r="AA42" s="139" t="str">
        <f t="shared" ca="1" si="71"/>
        <v/>
      </c>
      <c r="AB42" s="139" t="str">
        <f t="shared" ca="1" si="72"/>
        <v/>
      </c>
      <c r="AC42" s="294">
        <f t="shared" ca="1" si="73"/>
        <v>99999</v>
      </c>
      <c r="AD42" s="294" t="str">
        <f t="shared" ca="1" si="74"/>
        <v/>
      </c>
      <c r="AE42" s="295" t="str">
        <f t="shared" ca="1" si="75"/>
        <v/>
      </c>
      <c r="AF42" s="139"/>
      <c r="AG42" s="296">
        <f t="shared" ca="1" si="126"/>
        <v>0</v>
      </c>
      <c r="AH42" s="293">
        <f t="shared" ca="1" si="76"/>
        <v>0.56597222222222221</v>
      </c>
      <c r="AI42" s="139">
        <f t="shared" ca="1" si="77"/>
        <v>6</v>
      </c>
      <c r="AJ42" s="139">
        <f t="shared" ca="1" si="78"/>
        <v>3</v>
      </c>
      <c r="AK42" s="294">
        <f t="shared" ca="1" si="79"/>
        <v>99999</v>
      </c>
      <c r="AL42" s="294" t="str">
        <f t="shared" ca="1" si="80"/>
        <v/>
      </c>
      <c r="AM42" s="295" t="str">
        <f t="shared" ca="1" si="81"/>
        <v/>
      </c>
      <c r="AN42" s="44"/>
      <c r="AO42" s="296">
        <f t="shared" ca="1" si="127"/>
        <v>0</v>
      </c>
      <c r="AP42" s="293">
        <f t="shared" ca="1" si="82"/>
        <v>99999</v>
      </c>
      <c r="AQ42" s="139" t="str">
        <f t="shared" ca="1" si="83"/>
        <v/>
      </c>
      <c r="AR42" s="139" t="str">
        <f t="shared" ca="1" si="84"/>
        <v/>
      </c>
      <c r="AS42" s="294">
        <f t="shared" ca="1" si="85"/>
        <v>99999</v>
      </c>
      <c r="AT42" s="294" t="str">
        <f t="shared" ca="1" si="86"/>
        <v/>
      </c>
      <c r="AU42" s="295" t="str">
        <f t="shared" ca="1" si="87"/>
        <v/>
      </c>
      <c r="AV42" s="139"/>
      <c r="AW42" s="296">
        <f t="shared" ca="1" si="128"/>
        <v>0</v>
      </c>
      <c r="AX42" s="293">
        <f t="shared" ca="1" si="88"/>
        <v>99999</v>
      </c>
      <c r="AY42" s="139" t="str">
        <f t="shared" ca="1" si="89"/>
        <v/>
      </c>
      <c r="AZ42" s="139" t="str">
        <f t="shared" ca="1" si="90"/>
        <v/>
      </c>
      <c r="BA42" s="294">
        <f t="shared" ca="1" si="91"/>
        <v>99999</v>
      </c>
      <c r="BB42" s="294" t="str">
        <f t="shared" ca="1" si="92"/>
        <v/>
      </c>
      <c r="BC42" s="295" t="str">
        <f t="shared" ca="1" si="93"/>
        <v/>
      </c>
      <c r="BD42" s="44"/>
      <c r="BE42" s="296">
        <f t="shared" ca="1" si="129"/>
        <v>0</v>
      </c>
      <c r="BF42" s="293">
        <f t="shared" ca="1" si="94"/>
        <v>99999</v>
      </c>
      <c r="BG42" s="139" t="str">
        <f t="shared" ca="1" si="95"/>
        <v/>
      </c>
      <c r="BH42" s="139" t="str">
        <f t="shared" ca="1" si="96"/>
        <v/>
      </c>
      <c r="BI42" s="294">
        <f t="shared" ca="1" si="97"/>
        <v>99999</v>
      </c>
      <c r="BJ42" s="294" t="str">
        <f t="shared" ca="1" si="98"/>
        <v/>
      </c>
      <c r="BK42" s="295" t="str">
        <f t="shared" ca="1" si="99"/>
        <v/>
      </c>
      <c r="BL42" s="139"/>
      <c r="BM42" s="296">
        <f t="shared" ca="1" si="130"/>
        <v>0</v>
      </c>
      <c r="BN42" s="293">
        <f t="shared" ca="1" si="100"/>
        <v>0.56597222222222221</v>
      </c>
      <c r="BO42" s="139">
        <f t="shared" ca="1" si="101"/>
        <v>2</v>
      </c>
      <c r="BP42" s="139">
        <f t="shared" ca="1" si="102"/>
        <v>3</v>
      </c>
      <c r="BQ42" s="294">
        <f t="shared" ca="1" si="103"/>
        <v>99999</v>
      </c>
      <c r="BR42" s="294" t="str">
        <f t="shared" ca="1" si="104"/>
        <v/>
      </c>
      <c r="BS42" s="295" t="str">
        <f t="shared" ca="1" si="105"/>
        <v/>
      </c>
      <c r="BT42" s="44"/>
      <c r="BU42" s="296">
        <f t="shared" ca="1" si="131"/>
        <v>0</v>
      </c>
      <c r="BV42" s="293">
        <f t="shared" ca="1" si="106"/>
        <v>99999</v>
      </c>
      <c r="BW42" s="139" t="str">
        <f t="shared" ca="1" si="107"/>
        <v/>
      </c>
      <c r="BX42" s="139" t="str">
        <f t="shared" ca="1" si="108"/>
        <v/>
      </c>
      <c r="BY42" s="294">
        <f t="shared" ca="1" si="109"/>
        <v>99999</v>
      </c>
      <c r="BZ42" s="294" t="str">
        <f t="shared" ca="1" si="110"/>
        <v/>
      </c>
      <c r="CA42" s="295" t="str">
        <f t="shared" ca="1" si="111"/>
        <v/>
      </c>
      <c r="CB42" s="139"/>
      <c r="CC42" s="296">
        <f t="shared" ca="1" si="132"/>
        <v>0</v>
      </c>
      <c r="CD42" s="293">
        <f t="shared" ca="1" si="112"/>
        <v>99999</v>
      </c>
      <c r="CE42" s="139" t="str">
        <f t="shared" ca="1" si="113"/>
        <v/>
      </c>
      <c r="CF42" s="139" t="str">
        <f t="shared" ca="1" si="114"/>
        <v/>
      </c>
      <c r="CG42" s="294">
        <f t="shared" ca="1" si="115"/>
        <v>99999</v>
      </c>
      <c r="CH42" s="294" t="str">
        <f t="shared" ca="1" si="116"/>
        <v/>
      </c>
      <c r="CI42" s="295" t="str">
        <f t="shared" ca="1" si="117"/>
        <v/>
      </c>
      <c r="CJ42" s="44"/>
      <c r="CK42" s="296">
        <f t="shared" ca="1" si="133"/>
        <v>0</v>
      </c>
      <c r="CL42" s="293">
        <f t="shared" ca="1" si="118"/>
        <v>99999</v>
      </c>
      <c r="CM42" s="139" t="str">
        <f t="shared" ca="1" si="119"/>
        <v/>
      </c>
      <c r="CN42" s="139" t="str">
        <f t="shared" ca="1" si="120"/>
        <v/>
      </c>
      <c r="CO42" s="294">
        <f t="shared" ca="1" si="121"/>
        <v>99999</v>
      </c>
      <c r="CP42" s="294" t="str">
        <f t="shared" ca="1" si="122"/>
        <v/>
      </c>
      <c r="CQ42" s="295" t="str">
        <f t="shared" ca="1" si="123"/>
        <v/>
      </c>
      <c r="CR42" s="44"/>
      <c r="CS42" s="44"/>
    </row>
    <row r="43" spans="1:97" ht="15.95" customHeight="1" x14ac:dyDescent="0.25">
      <c r="A43" s="44"/>
      <c r="B43" s="44"/>
      <c r="C43" s="44"/>
      <c r="D43" s="114">
        <f t="shared" ca="1" si="57"/>
        <v>2</v>
      </c>
      <c r="E43" s="114">
        <f t="shared" ca="1" si="0"/>
        <v>13</v>
      </c>
      <c r="F43" s="114">
        <f ca="1">IF($E43="",0,COUNTIF($E$7:$E43,INDEX($E$79:$E$150,ROW($A37))))</f>
        <v>1</v>
      </c>
      <c r="G43" s="142"/>
      <c r="H43" s="137">
        <v>37</v>
      </c>
      <c r="I43" s="164">
        <f ca="1">IF(OR($Y$3,$H43&gt;Calc!$B$13/2*$D$6),"",$U$6+QUOTIENT(($H43-1),$U$22)*($U$8+$U$10)/1440+SUM($R$7:$R42)/1440)</f>
        <v>0.58333333333333337</v>
      </c>
      <c r="J43" s="166">
        <f ca="1">IF(OR($Y$3,$H43&gt;Calc!$B$13/2*$D$6),"",MOD(($H43-1),$U$22)+1)</f>
        <v>1</v>
      </c>
      <c r="K43" s="417">
        <f ca="1"/>
        <v>1</v>
      </c>
      <c r="L43" s="418" t="s">
        <v>4</v>
      </c>
      <c r="M43" s="419">
        <f ca="1"/>
        <v>3</v>
      </c>
      <c r="N43" s="47" t="str">
        <f t="shared" ca="1" si="68"/>
        <v>1. FC Riedwald</v>
      </c>
      <c r="O43" s="45" t="s">
        <v>4</v>
      </c>
      <c r="P43" s="46" t="str">
        <f t="shared" ca="1" si="69"/>
        <v>Eintracht Frankfurt</v>
      </c>
      <c r="Q43" s="281"/>
      <c r="R43" s="427"/>
      <c r="S43" s="157"/>
      <c r="T43" s="158"/>
      <c r="U43" s="158"/>
      <c r="V43" s="158"/>
      <c r="W43" s="158"/>
      <c r="X43" s="139">
        <f t="shared" ca="1" si="124"/>
        <v>0</v>
      </c>
      <c r="Y43" s="296">
        <f t="shared" ca="1" si="125"/>
        <v>0</v>
      </c>
      <c r="Z43" s="293">
        <f t="shared" ca="1" si="70"/>
        <v>0.58333333333333337</v>
      </c>
      <c r="AA43" s="139">
        <f t="shared" ca="1" si="71"/>
        <v>3</v>
      </c>
      <c r="AB43" s="139">
        <f t="shared" ca="1" si="72"/>
        <v>1</v>
      </c>
      <c r="AC43" s="294">
        <f t="shared" ca="1" si="73"/>
        <v>99999</v>
      </c>
      <c r="AD43" s="294" t="str">
        <f t="shared" ca="1" si="74"/>
        <v/>
      </c>
      <c r="AE43" s="295" t="str">
        <f t="shared" ca="1" si="75"/>
        <v/>
      </c>
      <c r="AF43" s="139"/>
      <c r="AG43" s="296">
        <f t="shared" ca="1" si="126"/>
        <v>0</v>
      </c>
      <c r="AH43" s="293">
        <f t="shared" ca="1" si="76"/>
        <v>99999</v>
      </c>
      <c r="AI43" s="139" t="str">
        <f t="shared" ca="1" si="77"/>
        <v/>
      </c>
      <c r="AJ43" s="139" t="str">
        <f t="shared" ca="1" si="78"/>
        <v/>
      </c>
      <c r="AK43" s="294">
        <f t="shared" ca="1" si="79"/>
        <v>99999</v>
      </c>
      <c r="AL43" s="294" t="str">
        <f t="shared" ca="1" si="80"/>
        <v/>
      </c>
      <c r="AM43" s="295" t="str">
        <f t="shared" ca="1" si="81"/>
        <v/>
      </c>
      <c r="AN43" s="44"/>
      <c r="AO43" s="296">
        <f t="shared" ca="1" si="127"/>
        <v>0</v>
      </c>
      <c r="AP43" s="293">
        <f t="shared" ca="1" si="82"/>
        <v>0.58333333333333337</v>
      </c>
      <c r="AQ43" s="139">
        <f t="shared" ca="1" si="83"/>
        <v>1</v>
      </c>
      <c r="AR43" s="139">
        <f t="shared" ca="1" si="84"/>
        <v>1</v>
      </c>
      <c r="AS43" s="294">
        <f t="shared" ca="1" si="85"/>
        <v>99999</v>
      </c>
      <c r="AT43" s="294" t="str">
        <f t="shared" ca="1" si="86"/>
        <v/>
      </c>
      <c r="AU43" s="295" t="str">
        <f t="shared" ca="1" si="87"/>
        <v/>
      </c>
      <c r="AV43" s="139"/>
      <c r="AW43" s="296">
        <f t="shared" ca="1" si="128"/>
        <v>0</v>
      </c>
      <c r="AX43" s="293">
        <f t="shared" ca="1" si="88"/>
        <v>99999</v>
      </c>
      <c r="AY43" s="139" t="str">
        <f t="shared" ca="1" si="89"/>
        <v/>
      </c>
      <c r="AZ43" s="139" t="str">
        <f t="shared" ca="1" si="90"/>
        <v/>
      </c>
      <c r="BA43" s="294">
        <f t="shared" ca="1" si="91"/>
        <v>99999</v>
      </c>
      <c r="BB43" s="294" t="str">
        <f t="shared" ca="1" si="92"/>
        <v/>
      </c>
      <c r="BC43" s="295" t="str">
        <f t="shared" ca="1" si="93"/>
        <v/>
      </c>
      <c r="BD43" s="44"/>
      <c r="BE43" s="296">
        <f t="shared" ca="1" si="129"/>
        <v>0</v>
      </c>
      <c r="BF43" s="293">
        <f t="shared" ca="1" si="94"/>
        <v>99999</v>
      </c>
      <c r="BG43" s="139" t="str">
        <f t="shared" ca="1" si="95"/>
        <v/>
      </c>
      <c r="BH43" s="139" t="str">
        <f t="shared" ca="1" si="96"/>
        <v/>
      </c>
      <c r="BI43" s="294">
        <f t="shared" ca="1" si="97"/>
        <v>99999</v>
      </c>
      <c r="BJ43" s="294" t="str">
        <f t="shared" ca="1" si="98"/>
        <v/>
      </c>
      <c r="BK43" s="295" t="str">
        <f t="shared" ca="1" si="99"/>
        <v/>
      </c>
      <c r="BL43" s="139"/>
      <c r="BM43" s="296">
        <f t="shared" ca="1" si="130"/>
        <v>0</v>
      </c>
      <c r="BN43" s="293">
        <f t="shared" ca="1" si="100"/>
        <v>99999</v>
      </c>
      <c r="BO43" s="139" t="str">
        <f t="shared" ca="1" si="101"/>
        <v/>
      </c>
      <c r="BP43" s="139" t="str">
        <f t="shared" ca="1" si="102"/>
        <v/>
      </c>
      <c r="BQ43" s="294">
        <f t="shared" ca="1" si="103"/>
        <v>99999</v>
      </c>
      <c r="BR43" s="294" t="str">
        <f t="shared" ca="1" si="104"/>
        <v/>
      </c>
      <c r="BS43" s="295" t="str">
        <f t="shared" ca="1" si="105"/>
        <v/>
      </c>
      <c r="BT43" s="44"/>
      <c r="BU43" s="296">
        <f t="shared" ca="1" si="131"/>
        <v>0</v>
      </c>
      <c r="BV43" s="293">
        <f t="shared" ca="1" si="106"/>
        <v>99999</v>
      </c>
      <c r="BW43" s="139" t="str">
        <f t="shared" ca="1" si="107"/>
        <v/>
      </c>
      <c r="BX43" s="139" t="str">
        <f t="shared" ca="1" si="108"/>
        <v/>
      </c>
      <c r="BY43" s="294">
        <f t="shared" ca="1" si="109"/>
        <v>99999</v>
      </c>
      <c r="BZ43" s="294" t="str">
        <f t="shared" ca="1" si="110"/>
        <v/>
      </c>
      <c r="CA43" s="295" t="str">
        <f t="shared" ca="1" si="111"/>
        <v/>
      </c>
      <c r="CB43" s="139"/>
      <c r="CC43" s="296">
        <f t="shared" ca="1" si="132"/>
        <v>0</v>
      </c>
      <c r="CD43" s="293">
        <f t="shared" ca="1" si="112"/>
        <v>99999</v>
      </c>
      <c r="CE43" s="139" t="str">
        <f t="shared" ca="1" si="113"/>
        <v/>
      </c>
      <c r="CF43" s="139" t="str">
        <f t="shared" ca="1" si="114"/>
        <v/>
      </c>
      <c r="CG43" s="294">
        <f t="shared" ca="1" si="115"/>
        <v>99999</v>
      </c>
      <c r="CH43" s="294" t="str">
        <f t="shared" ca="1" si="116"/>
        <v/>
      </c>
      <c r="CI43" s="295" t="str">
        <f t="shared" ca="1" si="117"/>
        <v/>
      </c>
      <c r="CJ43" s="44"/>
      <c r="CK43" s="296">
        <f t="shared" ca="1" si="133"/>
        <v>0</v>
      </c>
      <c r="CL43" s="293">
        <f t="shared" ca="1" si="118"/>
        <v>99999</v>
      </c>
      <c r="CM43" s="139" t="str">
        <f t="shared" ca="1" si="119"/>
        <v/>
      </c>
      <c r="CN43" s="139" t="str">
        <f t="shared" ca="1" si="120"/>
        <v/>
      </c>
      <c r="CO43" s="294">
        <f t="shared" ca="1" si="121"/>
        <v>99999</v>
      </c>
      <c r="CP43" s="294" t="str">
        <f t="shared" ca="1" si="122"/>
        <v/>
      </c>
      <c r="CQ43" s="295" t="str">
        <f t="shared" ca="1" si="123"/>
        <v/>
      </c>
      <c r="CR43" s="44"/>
      <c r="CS43" s="44"/>
    </row>
    <row r="44" spans="1:97" ht="15.95" customHeight="1" x14ac:dyDescent="0.25">
      <c r="A44" s="44"/>
      <c r="B44" s="44"/>
      <c r="C44" s="44"/>
      <c r="D44" s="114">
        <f t="shared" ca="1" si="57"/>
        <v>2</v>
      </c>
      <c r="E44" s="114">
        <f t="shared" ca="1" si="0"/>
        <v>42</v>
      </c>
      <c r="F44" s="114">
        <f ca="1">IF($E44="",0,COUNTIF($E$7:$E44,INDEX($E$79:$E$150,ROW($A38))))</f>
        <v>1</v>
      </c>
      <c r="G44" s="142"/>
      <c r="H44" s="137">
        <v>38</v>
      </c>
      <c r="I44" s="164">
        <f ca="1">IF(OR($Y$3,$H44&gt;Calc!$B$13/2*$D$6),"",$U$6+QUOTIENT(($H44-1),$U$22)*($U$8+$U$10)/1440+SUM($R$7:$R43)/1440)</f>
        <v>0.58333333333333337</v>
      </c>
      <c r="J44" s="166">
        <f ca="1">IF(OR($Y$3,$H44&gt;Calc!$B$13/2*$D$6),"",MOD(($H44-1),$U$22)+1)</f>
        <v>2</v>
      </c>
      <c r="K44" s="417">
        <f ca="1"/>
        <v>4</v>
      </c>
      <c r="L44" s="418" t="s">
        <v>4</v>
      </c>
      <c r="M44" s="419">
        <f ca="1"/>
        <v>2</v>
      </c>
      <c r="N44" s="47" t="str">
        <f t="shared" ca="1" si="68"/>
        <v>Maibach 1822 eV</v>
      </c>
      <c r="O44" s="45" t="s">
        <v>4</v>
      </c>
      <c r="P44" s="46" t="str">
        <f t="shared" ca="1" si="69"/>
        <v>FC Barcelona</v>
      </c>
      <c r="Q44" s="281"/>
      <c r="R44" s="427"/>
      <c r="S44" s="157"/>
      <c r="T44" s="158"/>
      <c r="U44" s="158"/>
      <c r="V44" s="158"/>
      <c r="W44" s="158"/>
      <c r="X44" s="139">
        <f t="shared" ca="1" si="124"/>
        <v>0</v>
      </c>
      <c r="Y44" s="296">
        <f t="shared" ca="1" si="125"/>
        <v>0</v>
      </c>
      <c r="Z44" s="293">
        <f t="shared" ca="1" si="70"/>
        <v>99999</v>
      </c>
      <c r="AA44" s="139" t="str">
        <f t="shared" ca="1" si="71"/>
        <v/>
      </c>
      <c r="AB44" s="139" t="str">
        <f t="shared" ca="1" si="72"/>
        <v/>
      </c>
      <c r="AC44" s="294">
        <f t="shared" ca="1" si="73"/>
        <v>99999</v>
      </c>
      <c r="AD44" s="294" t="str">
        <f t="shared" ca="1" si="74"/>
        <v/>
      </c>
      <c r="AE44" s="295" t="str">
        <f t="shared" ca="1" si="75"/>
        <v/>
      </c>
      <c r="AF44" s="139"/>
      <c r="AG44" s="296">
        <f t="shared" ca="1" si="126"/>
        <v>0</v>
      </c>
      <c r="AH44" s="293">
        <f t="shared" ca="1" si="76"/>
        <v>0.58333333333333337</v>
      </c>
      <c r="AI44" s="139">
        <f t="shared" ca="1" si="77"/>
        <v>4</v>
      </c>
      <c r="AJ44" s="139">
        <f t="shared" ca="1" si="78"/>
        <v>2</v>
      </c>
      <c r="AK44" s="294">
        <f t="shared" ca="1" si="79"/>
        <v>99999</v>
      </c>
      <c r="AL44" s="294" t="str">
        <f t="shared" ca="1" si="80"/>
        <v/>
      </c>
      <c r="AM44" s="295" t="str">
        <f t="shared" ca="1" si="81"/>
        <v/>
      </c>
      <c r="AN44" s="44"/>
      <c r="AO44" s="296">
        <f t="shared" ca="1" si="127"/>
        <v>0</v>
      </c>
      <c r="AP44" s="293">
        <f t="shared" ca="1" si="82"/>
        <v>99999</v>
      </c>
      <c r="AQ44" s="139" t="str">
        <f t="shared" ca="1" si="83"/>
        <v/>
      </c>
      <c r="AR44" s="139" t="str">
        <f t="shared" ca="1" si="84"/>
        <v/>
      </c>
      <c r="AS44" s="294">
        <f t="shared" ca="1" si="85"/>
        <v>99999</v>
      </c>
      <c r="AT44" s="294" t="str">
        <f t="shared" ca="1" si="86"/>
        <v/>
      </c>
      <c r="AU44" s="295" t="str">
        <f t="shared" ca="1" si="87"/>
        <v/>
      </c>
      <c r="AV44" s="139"/>
      <c r="AW44" s="296">
        <f t="shared" ca="1" si="128"/>
        <v>0</v>
      </c>
      <c r="AX44" s="293">
        <f t="shared" ca="1" si="88"/>
        <v>0.58333333333333337</v>
      </c>
      <c r="AY44" s="139">
        <f t="shared" ca="1" si="89"/>
        <v>2</v>
      </c>
      <c r="AZ44" s="139">
        <f t="shared" ca="1" si="90"/>
        <v>2</v>
      </c>
      <c r="BA44" s="294">
        <f t="shared" ca="1" si="91"/>
        <v>99999</v>
      </c>
      <c r="BB44" s="294" t="str">
        <f t="shared" ca="1" si="92"/>
        <v/>
      </c>
      <c r="BC44" s="295" t="str">
        <f t="shared" ca="1" si="93"/>
        <v/>
      </c>
      <c r="BD44" s="44"/>
      <c r="BE44" s="296">
        <f t="shared" ca="1" si="129"/>
        <v>0</v>
      </c>
      <c r="BF44" s="293">
        <f t="shared" ca="1" si="94"/>
        <v>99999</v>
      </c>
      <c r="BG44" s="139" t="str">
        <f t="shared" ca="1" si="95"/>
        <v/>
      </c>
      <c r="BH44" s="139" t="str">
        <f t="shared" ca="1" si="96"/>
        <v/>
      </c>
      <c r="BI44" s="294">
        <f t="shared" ca="1" si="97"/>
        <v>99999</v>
      </c>
      <c r="BJ44" s="294" t="str">
        <f t="shared" ca="1" si="98"/>
        <v/>
      </c>
      <c r="BK44" s="295" t="str">
        <f t="shared" ca="1" si="99"/>
        <v/>
      </c>
      <c r="BL44" s="139"/>
      <c r="BM44" s="296">
        <f t="shared" ca="1" si="130"/>
        <v>0</v>
      </c>
      <c r="BN44" s="293">
        <f t="shared" ca="1" si="100"/>
        <v>99999</v>
      </c>
      <c r="BO44" s="139" t="str">
        <f t="shared" ca="1" si="101"/>
        <v/>
      </c>
      <c r="BP44" s="139" t="str">
        <f t="shared" ca="1" si="102"/>
        <v/>
      </c>
      <c r="BQ44" s="294">
        <f t="shared" ca="1" si="103"/>
        <v>99999</v>
      </c>
      <c r="BR44" s="294" t="str">
        <f t="shared" ca="1" si="104"/>
        <v/>
      </c>
      <c r="BS44" s="295" t="str">
        <f t="shared" ca="1" si="105"/>
        <v/>
      </c>
      <c r="BT44" s="44"/>
      <c r="BU44" s="296">
        <f t="shared" ca="1" si="131"/>
        <v>0</v>
      </c>
      <c r="BV44" s="293">
        <f t="shared" ca="1" si="106"/>
        <v>99999</v>
      </c>
      <c r="BW44" s="139" t="str">
        <f t="shared" ca="1" si="107"/>
        <v/>
      </c>
      <c r="BX44" s="139" t="str">
        <f t="shared" ca="1" si="108"/>
        <v/>
      </c>
      <c r="BY44" s="294">
        <f t="shared" ca="1" si="109"/>
        <v>99999</v>
      </c>
      <c r="BZ44" s="294" t="str">
        <f t="shared" ca="1" si="110"/>
        <v/>
      </c>
      <c r="CA44" s="295" t="str">
        <f t="shared" ca="1" si="111"/>
        <v/>
      </c>
      <c r="CB44" s="139"/>
      <c r="CC44" s="296">
        <f t="shared" ca="1" si="132"/>
        <v>0</v>
      </c>
      <c r="CD44" s="293">
        <f t="shared" ca="1" si="112"/>
        <v>99999</v>
      </c>
      <c r="CE44" s="139" t="str">
        <f t="shared" ca="1" si="113"/>
        <v/>
      </c>
      <c r="CF44" s="139" t="str">
        <f t="shared" ca="1" si="114"/>
        <v/>
      </c>
      <c r="CG44" s="294">
        <f t="shared" ca="1" si="115"/>
        <v>99999</v>
      </c>
      <c r="CH44" s="294" t="str">
        <f t="shared" ca="1" si="116"/>
        <v/>
      </c>
      <c r="CI44" s="295" t="str">
        <f t="shared" ca="1" si="117"/>
        <v/>
      </c>
      <c r="CJ44" s="44"/>
      <c r="CK44" s="296">
        <f t="shared" ca="1" si="133"/>
        <v>0</v>
      </c>
      <c r="CL44" s="293">
        <f t="shared" ca="1" si="118"/>
        <v>99999</v>
      </c>
      <c r="CM44" s="139" t="str">
        <f t="shared" ca="1" si="119"/>
        <v/>
      </c>
      <c r="CN44" s="139" t="str">
        <f t="shared" ca="1" si="120"/>
        <v/>
      </c>
      <c r="CO44" s="294">
        <f t="shared" ca="1" si="121"/>
        <v>99999</v>
      </c>
      <c r="CP44" s="294" t="str">
        <f t="shared" ca="1" si="122"/>
        <v/>
      </c>
      <c r="CQ44" s="295" t="str">
        <f t="shared" ca="1" si="123"/>
        <v/>
      </c>
      <c r="CR44" s="44"/>
      <c r="CS44" s="44"/>
    </row>
    <row r="45" spans="1:97" ht="15.95" customHeight="1" x14ac:dyDescent="0.25">
      <c r="A45" s="44"/>
      <c r="B45" s="44"/>
      <c r="C45" s="44"/>
      <c r="D45" s="114">
        <f t="shared" ca="1" si="57"/>
        <v>2</v>
      </c>
      <c r="E45" s="114">
        <f t="shared" ca="1" si="0"/>
        <v>67</v>
      </c>
      <c r="F45" s="114">
        <f ca="1">IF($E45="",0,COUNTIF($E$7:$E45,INDEX($E$79:$E$150,ROW($A39))))</f>
        <v>1</v>
      </c>
      <c r="G45" s="142"/>
      <c r="H45" s="137">
        <v>39</v>
      </c>
      <c r="I45" s="164">
        <f ca="1">IF(OR($Y$3,$H45&gt;Calc!$B$13/2*$D$6),"",$U$6+QUOTIENT(($H45-1),$U$22)*($U$8+$U$10)/1440+SUM($R$7:$R44)/1440)</f>
        <v>0.58333333333333337</v>
      </c>
      <c r="J45" s="166">
        <f ca="1">IF(OR($Y$3,$H45&gt;Calc!$B$13/2*$D$6),"",MOD(($H45-1),$U$22)+1)</f>
        <v>3</v>
      </c>
      <c r="K45" s="417">
        <f ca="1"/>
        <v>6</v>
      </c>
      <c r="L45" s="418" t="s">
        <v>4</v>
      </c>
      <c r="M45" s="419">
        <f ca="1"/>
        <v>7</v>
      </c>
      <c r="N45" s="47" t="str">
        <f t="shared" ca="1" si="68"/>
        <v>Inter Mailand</v>
      </c>
      <c r="O45" s="45" t="s">
        <v>4</v>
      </c>
      <c r="P45" s="46" t="str">
        <f t="shared" ca="1" si="69"/>
        <v>SSV Wildbach</v>
      </c>
      <c r="Q45" s="281"/>
      <c r="R45" s="427"/>
      <c r="S45" s="157"/>
      <c r="T45" s="158"/>
      <c r="U45" s="158"/>
      <c r="V45" s="158"/>
      <c r="W45" s="158"/>
      <c r="X45" s="139">
        <f t="shared" ca="1" si="124"/>
        <v>0</v>
      </c>
      <c r="Y45" s="296">
        <f t="shared" ca="1" si="125"/>
        <v>0</v>
      </c>
      <c r="Z45" s="293">
        <f t="shared" ca="1" si="70"/>
        <v>99999</v>
      </c>
      <c r="AA45" s="139" t="str">
        <f t="shared" ca="1" si="71"/>
        <v/>
      </c>
      <c r="AB45" s="139" t="str">
        <f t="shared" ca="1" si="72"/>
        <v/>
      </c>
      <c r="AC45" s="294">
        <f t="shared" ca="1" si="73"/>
        <v>99999</v>
      </c>
      <c r="AD45" s="294" t="str">
        <f t="shared" ca="1" si="74"/>
        <v/>
      </c>
      <c r="AE45" s="295" t="str">
        <f t="shared" ca="1" si="75"/>
        <v/>
      </c>
      <c r="AF45" s="139"/>
      <c r="AG45" s="296">
        <f t="shared" ca="1" si="126"/>
        <v>0</v>
      </c>
      <c r="AH45" s="293">
        <f t="shared" ca="1" si="76"/>
        <v>99999</v>
      </c>
      <c r="AI45" s="139" t="str">
        <f t="shared" ca="1" si="77"/>
        <v/>
      </c>
      <c r="AJ45" s="139" t="str">
        <f t="shared" ca="1" si="78"/>
        <v/>
      </c>
      <c r="AK45" s="294">
        <f t="shared" ca="1" si="79"/>
        <v>99999</v>
      </c>
      <c r="AL45" s="294" t="str">
        <f t="shared" ca="1" si="80"/>
        <v/>
      </c>
      <c r="AM45" s="295" t="str">
        <f t="shared" ca="1" si="81"/>
        <v/>
      </c>
      <c r="AN45" s="44"/>
      <c r="AO45" s="296">
        <f t="shared" ca="1" si="127"/>
        <v>0</v>
      </c>
      <c r="AP45" s="293">
        <f t="shared" ca="1" si="82"/>
        <v>99999</v>
      </c>
      <c r="AQ45" s="139" t="str">
        <f t="shared" ca="1" si="83"/>
        <v/>
      </c>
      <c r="AR45" s="139" t="str">
        <f t="shared" ca="1" si="84"/>
        <v/>
      </c>
      <c r="AS45" s="294">
        <f t="shared" ca="1" si="85"/>
        <v>99999</v>
      </c>
      <c r="AT45" s="294" t="str">
        <f t="shared" ca="1" si="86"/>
        <v/>
      </c>
      <c r="AU45" s="295" t="str">
        <f t="shared" ca="1" si="87"/>
        <v/>
      </c>
      <c r="AV45" s="139"/>
      <c r="AW45" s="296">
        <f t="shared" ca="1" si="128"/>
        <v>0</v>
      </c>
      <c r="AX45" s="293">
        <f t="shared" ca="1" si="88"/>
        <v>99999</v>
      </c>
      <c r="AY45" s="139" t="str">
        <f t="shared" ca="1" si="89"/>
        <v/>
      </c>
      <c r="AZ45" s="139" t="str">
        <f t="shared" ca="1" si="90"/>
        <v/>
      </c>
      <c r="BA45" s="294">
        <f t="shared" ca="1" si="91"/>
        <v>99999</v>
      </c>
      <c r="BB45" s="294" t="str">
        <f t="shared" ca="1" si="92"/>
        <v/>
      </c>
      <c r="BC45" s="295" t="str">
        <f t="shared" ca="1" si="93"/>
        <v/>
      </c>
      <c r="BD45" s="44"/>
      <c r="BE45" s="296">
        <f t="shared" ca="1" si="129"/>
        <v>0</v>
      </c>
      <c r="BF45" s="293">
        <f t="shared" ca="1" si="94"/>
        <v>99999</v>
      </c>
      <c r="BG45" s="139" t="str">
        <f t="shared" ca="1" si="95"/>
        <v/>
      </c>
      <c r="BH45" s="139" t="str">
        <f t="shared" ca="1" si="96"/>
        <v/>
      </c>
      <c r="BI45" s="294">
        <f t="shared" ca="1" si="97"/>
        <v>99999</v>
      </c>
      <c r="BJ45" s="294" t="str">
        <f t="shared" ca="1" si="98"/>
        <v/>
      </c>
      <c r="BK45" s="295" t="str">
        <f t="shared" ca="1" si="99"/>
        <v/>
      </c>
      <c r="BL45" s="139"/>
      <c r="BM45" s="296">
        <f t="shared" ca="1" si="130"/>
        <v>0</v>
      </c>
      <c r="BN45" s="293">
        <f t="shared" ca="1" si="100"/>
        <v>0.58333333333333337</v>
      </c>
      <c r="BO45" s="139">
        <f t="shared" ca="1" si="101"/>
        <v>7</v>
      </c>
      <c r="BP45" s="139">
        <f t="shared" ca="1" si="102"/>
        <v>3</v>
      </c>
      <c r="BQ45" s="294">
        <f t="shared" ca="1" si="103"/>
        <v>99999</v>
      </c>
      <c r="BR45" s="294" t="str">
        <f t="shared" ca="1" si="104"/>
        <v/>
      </c>
      <c r="BS45" s="295" t="str">
        <f t="shared" ca="1" si="105"/>
        <v/>
      </c>
      <c r="BT45" s="44"/>
      <c r="BU45" s="296">
        <f t="shared" ca="1" si="131"/>
        <v>0</v>
      </c>
      <c r="BV45" s="293">
        <f t="shared" ca="1" si="106"/>
        <v>0.58333333333333337</v>
      </c>
      <c r="BW45" s="139">
        <f t="shared" ca="1" si="107"/>
        <v>6</v>
      </c>
      <c r="BX45" s="139">
        <f t="shared" ca="1" si="108"/>
        <v>3</v>
      </c>
      <c r="BY45" s="294">
        <f t="shared" ca="1" si="109"/>
        <v>99999</v>
      </c>
      <c r="BZ45" s="294" t="str">
        <f t="shared" ca="1" si="110"/>
        <v/>
      </c>
      <c r="CA45" s="295" t="str">
        <f t="shared" ca="1" si="111"/>
        <v/>
      </c>
      <c r="CB45" s="139"/>
      <c r="CC45" s="296">
        <f t="shared" ca="1" si="132"/>
        <v>0</v>
      </c>
      <c r="CD45" s="293">
        <f t="shared" ca="1" si="112"/>
        <v>99999</v>
      </c>
      <c r="CE45" s="139" t="str">
        <f t="shared" ca="1" si="113"/>
        <v/>
      </c>
      <c r="CF45" s="139" t="str">
        <f t="shared" ca="1" si="114"/>
        <v/>
      </c>
      <c r="CG45" s="294">
        <f t="shared" ca="1" si="115"/>
        <v>99999</v>
      </c>
      <c r="CH45" s="294" t="str">
        <f t="shared" ca="1" si="116"/>
        <v/>
      </c>
      <c r="CI45" s="295" t="str">
        <f t="shared" ca="1" si="117"/>
        <v/>
      </c>
      <c r="CJ45" s="44"/>
      <c r="CK45" s="296">
        <f t="shared" ca="1" si="133"/>
        <v>0</v>
      </c>
      <c r="CL45" s="293">
        <f t="shared" ca="1" si="118"/>
        <v>99999</v>
      </c>
      <c r="CM45" s="139" t="str">
        <f t="shared" ca="1" si="119"/>
        <v/>
      </c>
      <c r="CN45" s="139" t="str">
        <f t="shared" ca="1" si="120"/>
        <v/>
      </c>
      <c r="CO45" s="294">
        <f t="shared" ca="1" si="121"/>
        <v>99999</v>
      </c>
      <c r="CP45" s="294" t="str">
        <f t="shared" ca="1" si="122"/>
        <v/>
      </c>
      <c r="CQ45" s="295" t="str">
        <f t="shared" ca="1" si="123"/>
        <v/>
      </c>
      <c r="CR45" s="44"/>
      <c r="CS45" s="44"/>
    </row>
    <row r="46" spans="1:97" ht="15.95" customHeight="1" x14ac:dyDescent="0.25">
      <c r="A46" s="44"/>
      <c r="B46" s="44"/>
      <c r="C46" s="44"/>
      <c r="D46" s="114">
        <f t="shared" ca="1" si="57"/>
        <v>2</v>
      </c>
      <c r="E46" s="114">
        <f t="shared" ca="1" si="0"/>
        <v>21</v>
      </c>
      <c r="F46" s="114">
        <f ca="1">IF($E46="",0,COUNTIF($E$7:$E46,INDEX($E$79:$E$150,ROW($A40))))</f>
        <v>1</v>
      </c>
      <c r="G46" s="142"/>
      <c r="H46" s="137">
        <v>40</v>
      </c>
      <c r="I46" s="164">
        <f ca="1">IF(OR($Y$3,$H46&gt;Calc!$B$13/2*$D$6),"",$U$6+QUOTIENT(($H46-1),$U$22)*($U$8+$U$10)/1440+SUM($R$7:$R45)/1440)</f>
        <v>0.60069444444444442</v>
      </c>
      <c r="J46" s="166">
        <f ca="1">IF(OR($Y$3,$H46&gt;Calc!$B$13/2*$D$6),"",MOD(($H46-1),$U$22)+1)</f>
        <v>1</v>
      </c>
      <c r="K46" s="417">
        <f ca="1"/>
        <v>2</v>
      </c>
      <c r="L46" s="418" t="s">
        <v>4</v>
      </c>
      <c r="M46" s="419">
        <f ca="1"/>
        <v>1</v>
      </c>
      <c r="N46" s="47" t="str">
        <f t="shared" ca="1" si="68"/>
        <v>FC Barcelona</v>
      </c>
      <c r="O46" s="45" t="s">
        <v>4</v>
      </c>
      <c r="P46" s="46" t="str">
        <f t="shared" ca="1" si="69"/>
        <v>1. FC Riedwald</v>
      </c>
      <c r="Q46" s="281"/>
      <c r="R46" s="427"/>
      <c r="S46" s="157"/>
      <c r="T46" s="158"/>
      <c r="U46" s="158"/>
      <c r="V46" s="158"/>
      <c r="W46" s="158"/>
      <c r="X46" s="139">
        <f t="shared" ca="1" si="124"/>
        <v>0</v>
      </c>
      <c r="Y46" s="296">
        <f t="shared" ca="1" si="125"/>
        <v>0</v>
      </c>
      <c r="Z46" s="293">
        <f t="shared" ca="1" si="70"/>
        <v>0.60069444444444442</v>
      </c>
      <c r="AA46" s="139">
        <f t="shared" ca="1" si="71"/>
        <v>2</v>
      </c>
      <c r="AB46" s="139">
        <f t="shared" ca="1" si="72"/>
        <v>1</v>
      </c>
      <c r="AC46" s="294">
        <f t="shared" ca="1" si="73"/>
        <v>99999</v>
      </c>
      <c r="AD46" s="294" t="str">
        <f t="shared" ca="1" si="74"/>
        <v/>
      </c>
      <c r="AE46" s="295" t="str">
        <f t="shared" ca="1" si="75"/>
        <v/>
      </c>
      <c r="AF46" s="139"/>
      <c r="AG46" s="296">
        <f t="shared" ca="1" si="126"/>
        <v>0</v>
      </c>
      <c r="AH46" s="293">
        <f t="shared" ca="1" si="76"/>
        <v>0.60069444444444442</v>
      </c>
      <c r="AI46" s="139">
        <f t="shared" ca="1" si="77"/>
        <v>1</v>
      </c>
      <c r="AJ46" s="139">
        <f t="shared" ca="1" si="78"/>
        <v>1</v>
      </c>
      <c r="AK46" s="294">
        <f t="shared" ca="1" si="79"/>
        <v>99999</v>
      </c>
      <c r="AL46" s="294" t="str">
        <f t="shared" ca="1" si="80"/>
        <v/>
      </c>
      <c r="AM46" s="295" t="str">
        <f t="shared" ca="1" si="81"/>
        <v/>
      </c>
      <c r="AN46" s="44"/>
      <c r="AO46" s="296">
        <f t="shared" ca="1" si="127"/>
        <v>0</v>
      </c>
      <c r="AP46" s="293">
        <f t="shared" ca="1" si="82"/>
        <v>99999</v>
      </c>
      <c r="AQ46" s="139" t="str">
        <f t="shared" ca="1" si="83"/>
        <v/>
      </c>
      <c r="AR46" s="139" t="str">
        <f t="shared" ca="1" si="84"/>
        <v/>
      </c>
      <c r="AS46" s="294">
        <f t="shared" ca="1" si="85"/>
        <v>99999</v>
      </c>
      <c r="AT46" s="294" t="str">
        <f t="shared" ca="1" si="86"/>
        <v/>
      </c>
      <c r="AU46" s="295" t="str">
        <f t="shared" ca="1" si="87"/>
        <v/>
      </c>
      <c r="AV46" s="139"/>
      <c r="AW46" s="296">
        <f t="shared" ca="1" si="128"/>
        <v>0</v>
      </c>
      <c r="AX46" s="293">
        <f t="shared" ca="1" si="88"/>
        <v>99999</v>
      </c>
      <c r="AY46" s="139" t="str">
        <f t="shared" ca="1" si="89"/>
        <v/>
      </c>
      <c r="AZ46" s="139" t="str">
        <f t="shared" ca="1" si="90"/>
        <v/>
      </c>
      <c r="BA46" s="294">
        <f t="shared" ca="1" si="91"/>
        <v>99999</v>
      </c>
      <c r="BB46" s="294" t="str">
        <f t="shared" ca="1" si="92"/>
        <v/>
      </c>
      <c r="BC46" s="295" t="str">
        <f t="shared" ca="1" si="93"/>
        <v/>
      </c>
      <c r="BD46" s="44"/>
      <c r="BE46" s="296">
        <f t="shared" ca="1" si="129"/>
        <v>0</v>
      </c>
      <c r="BF46" s="293">
        <f t="shared" ca="1" si="94"/>
        <v>99999</v>
      </c>
      <c r="BG46" s="139" t="str">
        <f t="shared" ca="1" si="95"/>
        <v/>
      </c>
      <c r="BH46" s="139" t="str">
        <f t="shared" ca="1" si="96"/>
        <v/>
      </c>
      <c r="BI46" s="294">
        <f t="shared" ca="1" si="97"/>
        <v>99999</v>
      </c>
      <c r="BJ46" s="294" t="str">
        <f t="shared" ca="1" si="98"/>
        <v/>
      </c>
      <c r="BK46" s="295" t="str">
        <f t="shared" ca="1" si="99"/>
        <v/>
      </c>
      <c r="BL46" s="139"/>
      <c r="BM46" s="296">
        <f t="shared" ca="1" si="130"/>
        <v>0</v>
      </c>
      <c r="BN46" s="293">
        <f t="shared" ca="1" si="100"/>
        <v>99999</v>
      </c>
      <c r="BO46" s="139" t="str">
        <f t="shared" ca="1" si="101"/>
        <v/>
      </c>
      <c r="BP46" s="139" t="str">
        <f t="shared" ca="1" si="102"/>
        <v/>
      </c>
      <c r="BQ46" s="294">
        <f t="shared" ca="1" si="103"/>
        <v>99999</v>
      </c>
      <c r="BR46" s="294" t="str">
        <f t="shared" ca="1" si="104"/>
        <v/>
      </c>
      <c r="BS46" s="295" t="str">
        <f t="shared" ca="1" si="105"/>
        <v/>
      </c>
      <c r="BT46" s="44"/>
      <c r="BU46" s="296">
        <f t="shared" ca="1" si="131"/>
        <v>0</v>
      </c>
      <c r="BV46" s="293">
        <f t="shared" ca="1" si="106"/>
        <v>99999</v>
      </c>
      <c r="BW46" s="139" t="str">
        <f t="shared" ca="1" si="107"/>
        <v/>
      </c>
      <c r="BX46" s="139" t="str">
        <f t="shared" ca="1" si="108"/>
        <v/>
      </c>
      <c r="BY46" s="294">
        <f t="shared" ca="1" si="109"/>
        <v>99999</v>
      </c>
      <c r="BZ46" s="294" t="str">
        <f t="shared" ca="1" si="110"/>
        <v/>
      </c>
      <c r="CA46" s="295" t="str">
        <f t="shared" ca="1" si="111"/>
        <v/>
      </c>
      <c r="CB46" s="139"/>
      <c r="CC46" s="296">
        <f t="shared" ca="1" si="132"/>
        <v>0</v>
      </c>
      <c r="CD46" s="293">
        <f t="shared" ca="1" si="112"/>
        <v>99999</v>
      </c>
      <c r="CE46" s="139" t="str">
        <f t="shared" ca="1" si="113"/>
        <v/>
      </c>
      <c r="CF46" s="139" t="str">
        <f t="shared" ca="1" si="114"/>
        <v/>
      </c>
      <c r="CG46" s="294">
        <f t="shared" ca="1" si="115"/>
        <v>99999</v>
      </c>
      <c r="CH46" s="294" t="str">
        <f t="shared" ca="1" si="116"/>
        <v/>
      </c>
      <c r="CI46" s="295" t="str">
        <f t="shared" ca="1" si="117"/>
        <v/>
      </c>
      <c r="CJ46" s="44"/>
      <c r="CK46" s="296">
        <f t="shared" ca="1" si="133"/>
        <v>0</v>
      </c>
      <c r="CL46" s="293">
        <f t="shared" ca="1" si="118"/>
        <v>99999</v>
      </c>
      <c r="CM46" s="139" t="str">
        <f t="shared" ca="1" si="119"/>
        <v/>
      </c>
      <c r="CN46" s="139" t="str">
        <f t="shared" ca="1" si="120"/>
        <v/>
      </c>
      <c r="CO46" s="294">
        <f t="shared" ca="1" si="121"/>
        <v>99999</v>
      </c>
      <c r="CP46" s="294" t="str">
        <f t="shared" ca="1" si="122"/>
        <v/>
      </c>
      <c r="CQ46" s="295" t="str">
        <f t="shared" ca="1" si="123"/>
        <v/>
      </c>
      <c r="CR46" s="44"/>
      <c r="CS46" s="44"/>
    </row>
    <row r="47" spans="1:97" ht="15.95" customHeight="1" x14ac:dyDescent="0.25">
      <c r="A47" s="44"/>
      <c r="B47" s="44"/>
      <c r="C47" s="44"/>
      <c r="D47" s="114">
        <f t="shared" ca="1" si="57"/>
        <v>2</v>
      </c>
      <c r="E47" s="114">
        <f t="shared" ca="1" si="0"/>
        <v>74</v>
      </c>
      <c r="F47" s="114">
        <f ca="1">IF($E47="",0,COUNTIF($E$7:$E47,INDEX($E$79:$E$150,ROW($A41))))</f>
        <v>1</v>
      </c>
      <c r="G47" s="142"/>
      <c r="H47" s="137">
        <v>41</v>
      </c>
      <c r="I47" s="164">
        <f ca="1">IF(OR($Y$3,$H47&gt;Calc!$B$13/2*$D$6),"",$U$6+QUOTIENT(($H47-1),$U$22)*($U$8+$U$10)/1440+SUM($R$7:$R46)/1440)</f>
        <v>0.60069444444444442</v>
      </c>
      <c r="J47" s="166">
        <f ca="1">IF(OR($Y$3,$H47&gt;Calc!$B$13/2*$D$6),"",MOD(($H47-1),$U$22)+1)</f>
        <v>2</v>
      </c>
      <c r="K47" s="417">
        <f ca="1"/>
        <v>7</v>
      </c>
      <c r="L47" s="418" t="s">
        <v>4</v>
      </c>
      <c r="M47" s="419">
        <f ca="1"/>
        <v>4</v>
      </c>
      <c r="N47" s="47" t="str">
        <f t="shared" ca="1" si="68"/>
        <v>SSV Wildbach</v>
      </c>
      <c r="O47" s="45" t="s">
        <v>4</v>
      </c>
      <c r="P47" s="46" t="str">
        <f t="shared" ca="1" si="69"/>
        <v>Maibach 1822 eV</v>
      </c>
      <c r="Q47" s="281"/>
      <c r="R47" s="427"/>
      <c r="S47" s="157"/>
      <c r="T47" s="158"/>
      <c r="U47" s="158"/>
      <c r="V47" s="158"/>
      <c r="W47" s="158"/>
      <c r="X47" s="139">
        <f t="shared" ca="1" si="124"/>
        <v>0</v>
      </c>
      <c r="Y47" s="296">
        <f t="shared" ca="1" si="125"/>
        <v>0</v>
      </c>
      <c r="Z47" s="293">
        <f t="shared" ca="1" si="70"/>
        <v>99999</v>
      </c>
      <c r="AA47" s="139" t="str">
        <f t="shared" ca="1" si="71"/>
        <v/>
      </c>
      <c r="AB47" s="139" t="str">
        <f t="shared" ca="1" si="72"/>
        <v/>
      </c>
      <c r="AC47" s="294">
        <f t="shared" ca="1" si="73"/>
        <v>99999</v>
      </c>
      <c r="AD47" s="294" t="str">
        <f t="shared" ca="1" si="74"/>
        <v/>
      </c>
      <c r="AE47" s="295" t="str">
        <f t="shared" ca="1" si="75"/>
        <v/>
      </c>
      <c r="AF47" s="139"/>
      <c r="AG47" s="296">
        <f t="shared" ca="1" si="126"/>
        <v>0</v>
      </c>
      <c r="AH47" s="293">
        <f t="shared" ca="1" si="76"/>
        <v>99999</v>
      </c>
      <c r="AI47" s="139" t="str">
        <f t="shared" ca="1" si="77"/>
        <v/>
      </c>
      <c r="AJ47" s="139" t="str">
        <f t="shared" ca="1" si="78"/>
        <v/>
      </c>
      <c r="AK47" s="294">
        <f t="shared" ca="1" si="79"/>
        <v>99999</v>
      </c>
      <c r="AL47" s="294" t="str">
        <f t="shared" ca="1" si="80"/>
        <v/>
      </c>
      <c r="AM47" s="295" t="str">
        <f t="shared" ca="1" si="81"/>
        <v/>
      </c>
      <c r="AN47" s="44"/>
      <c r="AO47" s="296">
        <f t="shared" ca="1" si="127"/>
        <v>0</v>
      </c>
      <c r="AP47" s="293">
        <f t="shared" ca="1" si="82"/>
        <v>99999</v>
      </c>
      <c r="AQ47" s="139" t="str">
        <f t="shared" ca="1" si="83"/>
        <v/>
      </c>
      <c r="AR47" s="139" t="str">
        <f t="shared" ca="1" si="84"/>
        <v/>
      </c>
      <c r="AS47" s="294">
        <f t="shared" ca="1" si="85"/>
        <v>99999</v>
      </c>
      <c r="AT47" s="294" t="str">
        <f t="shared" ca="1" si="86"/>
        <v/>
      </c>
      <c r="AU47" s="295" t="str">
        <f t="shared" ca="1" si="87"/>
        <v/>
      </c>
      <c r="AV47" s="139"/>
      <c r="AW47" s="296">
        <f t="shared" ca="1" si="128"/>
        <v>0</v>
      </c>
      <c r="AX47" s="293">
        <f t="shared" ca="1" si="88"/>
        <v>0.60069444444444442</v>
      </c>
      <c r="AY47" s="139">
        <f t="shared" ca="1" si="89"/>
        <v>7</v>
      </c>
      <c r="AZ47" s="139">
        <f t="shared" ca="1" si="90"/>
        <v>2</v>
      </c>
      <c r="BA47" s="294">
        <f t="shared" ca="1" si="91"/>
        <v>99999</v>
      </c>
      <c r="BB47" s="294" t="str">
        <f t="shared" ca="1" si="92"/>
        <v/>
      </c>
      <c r="BC47" s="295" t="str">
        <f t="shared" ca="1" si="93"/>
        <v/>
      </c>
      <c r="BD47" s="44"/>
      <c r="BE47" s="296">
        <f t="shared" ca="1" si="129"/>
        <v>0</v>
      </c>
      <c r="BF47" s="293">
        <f t="shared" ca="1" si="94"/>
        <v>99999</v>
      </c>
      <c r="BG47" s="139" t="str">
        <f t="shared" ca="1" si="95"/>
        <v/>
      </c>
      <c r="BH47" s="139" t="str">
        <f t="shared" ca="1" si="96"/>
        <v/>
      </c>
      <c r="BI47" s="294">
        <f t="shared" ca="1" si="97"/>
        <v>99999</v>
      </c>
      <c r="BJ47" s="294" t="str">
        <f t="shared" ca="1" si="98"/>
        <v/>
      </c>
      <c r="BK47" s="295" t="str">
        <f t="shared" ca="1" si="99"/>
        <v/>
      </c>
      <c r="BL47" s="139"/>
      <c r="BM47" s="296">
        <f t="shared" ca="1" si="130"/>
        <v>0</v>
      </c>
      <c r="BN47" s="293">
        <f t="shared" ca="1" si="100"/>
        <v>99999</v>
      </c>
      <c r="BO47" s="139" t="str">
        <f t="shared" ca="1" si="101"/>
        <v/>
      </c>
      <c r="BP47" s="139" t="str">
        <f t="shared" ca="1" si="102"/>
        <v/>
      </c>
      <c r="BQ47" s="294">
        <f t="shared" ca="1" si="103"/>
        <v>99999</v>
      </c>
      <c r="BR47" s="294" t="str">
        <f t="shared" ca="1" si="104"/>
        <v/>
      </c>
      <c r="BS47" s="295" t="str">
        <f t="shared" ca="1" si="105"/>
        <v/>
      </c>
      <c r="BT47" s="44"/>
      <c r="BU47" s="296">
        <f t="shared" ca="1" si="131"/>
        <v>0</v>
      </c>
      <c r="BV47" s="293">
        <f t="shared" ca="1" si="106"/>
        <v>0.60069444444444442</v>
      </c>
      <c r="BW47" s="139">
        <f t="shared" ca="1" si="107"/>
        <v>4</v>
      </c>
      <c r="BX47" s="139">
        <f t="shared" ca="1" si="108"/>
        <v>2</v>
      </c>
      <c r="BY47" s="294">
        <f t="shared" ca="1" si="109"/>
        <v>99999</v>
      </c>
      <c r="BZ47" s="294" t="str">
        <f t="shared" ca="1" si="110"/>
        <v/>
      </c>
      <c r="CA47" s="295" t="str">
        <f t="shared" ca="1" si="111"/>
        <v/>
      </c>
      <c r="CB47" s="139"/>
      <c r="CC47" s="296">
        <f t="shared" ca="1" si="132"/>
        <v>0</v>
      </c>
      <c r="CD47" s="293">
        <f t="shared" ca="1" si="112"/>
        <v>99999</v>
      </c>
      <c r="CE47" s="139" t="str">
        <f t="shared" ca="1" si="113"/>
        <v/>
      </c>
      <c r="CF47" s="139" t="str">
        <f t="shared" ca="1" si="114"/>
        <v/>
      </c>
      <c r="CG47" s="294">
        <f t="shared" ca="1" si="115"/>
        <v>99999</v>
      </c>
      <c r="CH47" s="294" t="str">
        <f t="shared" ca="1" si="116"/>
        <v/>
      </c>
      <c r="CI47" s="295" t="str">
        <f t="shared" ca="1" si="117"/>
        <v/>
      </c>
      <c r="CJ47" s="44"/>
      <c r="CK47" s="296">
        <f t="shared" ca="1" si="133"/>
        <v>0</v>
      </c>
      <c r="CL47" s="293">
        <f t="shared" ca="1" si="118"/>
        <v>99999</v>
      </c>
      <c r="CM47" s="139" t="str">
        <f t="shared" ca="1" si="119"/>
        <v/>
      </c>
      <c r="CN47" s="139" t="str">
        <f t="shared" ca="1" si="120"/>
        <v/>
      </c>
      <c r="CO47" s="294">
        <f t="shared" ca="1" si="121"/>
        <v>99999</v>
      </c>
      <c r="CP47" s="294" t="str">
        <f t="shared" ca="1" si="122"/>
        <v/>
      </c>
      <c r="CQ47" s="295" t="str">
        <f t="shared" ca="1" si="123"/>
        <v/>
      </c>
      <c r="CR47" s="44"/>
      <c r="CS47" s="44"/>
    </row>
    <row r="48" spans="1:97" ht="15.95" customHeight="1" x14ac:dyDescent="0.25">
      <c r="A48" s="44"/>
      <c r="B48" s="44"/>
      <c r="C48" s="44"/>
      <c r="D48" s="114">
        <f t="shared" ca="1" si="57"/>
        <v>2</v>
      </c>
      <c r="E48" s="114">
        <f t="shared" ca="1" si="0"/>
        <v>56</v>
      </c>
      <c r="F48" s="114">
        <f ca="1">IF($E48="",0,COUNTIF($E$7:$E48,INDEX($E$79:$E$150,ROW($A42))))</f>
        <v>1</v>
      </c>
      <c r="G48" s="142"/>
      <c r="H48" s="137">
        <v>42</v>
      </c>
      <c r="I48" s="164">
        <f ca="1">IF(OR($Y$3,$H48&gt;Calc!$B$13/2*$D$6),"",$U$6+QUOTIENT(($H48-1),$U$22)*($U$8+$U$10)/1440+SUM($R$7:$R47)/1440)</f>
        <v>0.60069444444444442</v>
      </c>
      <c r="J48" s="166">
        <f ca="1">IF(OR($Y$3,$H48&gt;Calc!$B$13/2*$D$6),"",MOD(($H48-1),$U$22)+1)</f>
        <v>3</v>
      </c>
      <c r="K48" s="417">
        <f ca="1"/>
        <v>5</v>
      </c>
      <c r="L48" s="418" t="s">
        <v>4</v>
      </c>
      <c r="M48" s="419">
        <f ca="1"/>
        <v>6</v>
      </c>
      <c r="N48" s="47" t="str">
        <f t="shared" ca="1" si="68"/>
        <v>VFB Essenheim</v>
      </c>
      <c r="O48" s="45" t="s">
        <v>4</v>
      </c>
      <c r="P48" s="46" t="str">
        <f t="shared" ca="1" si="69"/>
        <v>Inter Mailand</v>
      </c>
      <c r="Q48" s="281"/>
      <c r="R48" s="427"/>
      <c r="S48" s="157"/>
      <c r="T48" s="158"/>
      <c r="U48" s="158"/>
      <c r="V48" s="158"/>
      <c r="W48" s="158"/>
      <c r="X48" s="139">
        <f t="shared" ca="1" si="124"/>
        <v>0</v>
      </c>
      <c r="Y48" s="296">
        <f t="shared" ca="1" si="125"/>
        <v>0</v>
      </c>
      <c r="Z48" s="293">
        <f t="shared" ca="1" si="70"/>
        <v>99999</v>
      </c>
      <c r="AA48" s="139" t="str">
        <f t="shared" ca="1" si="71"/>
        <v/>
      </c>
      <c r="AB48" s="139" t="str">
        <f t="shared" ca="1" si="72"/>
        <v/>
      </c>
      <c r="AC48" s="294">
        <f t="shared" ca="1" si="73"/>
        <v>99999</v>
      </c>
      <c r="AD48" s="294" t="str">
        <f t="shared" ca="1" si="74"/>
        <v/>
      </c>
      <c r="AE48" s="295" t="str">
        <f t="shared" ca="1" si="75"/>
        <v/>
      </c>
      <c r="AF48" s="139"/>
      <c r="AG48" s="296">
        <f t="shared" ca="1" si="126"/>
        <v>0</v>
      </c>
      <c r="AH48" s="293">
        <f t="shared" ca="1" si="76"/>
        <v>99999</v>
      </c>
      <c r="AI48" s="139" t="str">
        <f t="shared" ca="1" si="77"/>
        <v/>
      </c>
      <c r="AJ48" s="139" t="str">
        <f t="shared" ca="1" si="78"/>
        <v/>
      </c>
      <c r="AK48" s="294">
        <f t="shared" ca="1" si="79"/>
        <v>99999</v>
      </c>
      <c r="AL48" s="294" t="str">
        <f t="shared" ca="1" si="80"/>
        <v/>
      </c>
      <c r="AM48" s="295" t="str">
        <f t="shared" ca="1" si="81"/>
        <v/>
      </c>
      <c r="AN48" s="44"/>
      <c r="AO48" s="296">
        <f t="shared" ca="1" si="127"/>
        <v>0</v>
      </c>
      <c r="AP48" s="293">
        <f t="shared" ca="1" si="82"/>
        <v>99999</v>
      </c>
      <c r="AQ48" s="139" t="str">
        <f t="shared" ca="1" si="83"/>
        <v/>
      </c>
      <c r="AR48" s="139" t="str">
        <f t="shared" ca="1" si="84"/>
        <v/>
      </c>
      <c r="AS48" s="294">
        <f t="shared" ca="1" si="85"/>
        <v>99999</v>
      </c>
      <c r="AT48" s="294" t="str">
        <f t="shared" ca="1" si="86"/>
        <v/>
      </c>
      <c r="AU48" s="295" t="str">
        <f t="shared" ca="1" si="87"/>
        <v/>
      </c>
      <c r="AV48" s="139"/>
      <c r="AW48" s="296">
        <f t="shared" ca="1" si="128"/>
        <v>0</v>
      </c>
      <c r="AX48" s="293">
        <f t="shared" ca="1" si="88"/>
        <v>99999</v>
      </c>
      <c r="AY48" s="139" t="str">
        <f t="shared" ca="1" si="89"/>
        <v/>
      </c>
      <c r="AZ48" s="139" t="str">
        <f t="shared" ca="1" si="90"/>
        <v/>
      </c>
      <c r="BA48" s="294">
        <f t="shared" ca="1" si="91"/>
        <v>99999</v>
      </c>
      <c r="BB48" s="294" t="str">
        <f t="shared" ca="1" si="92"/>
        <v/>
      </c>
      <c r="BC48" s="295" t="str">
        <f t="shared" ca="1" si="93"/>
        <v/>
      </c>
      <c r="BD48" s="44"/>
      <c r="BE48" s="296">
        <f t="shared" ca="1" si="129"/>
        <v>0</v>
      </c>
      <c r="BF48" s="293">
        <f t="shared" ca="1" si="94"/>
        <v>0.60069444444444442</v>
      </c>
      <c r="BG48" s="139">
        <f t="shared" ca="1" si="95"/>
        <v>6</v>
      </c>
      <c r="BH48" s="139">
        <f t="shared" ca="1" si="96"/>
        <v>3</v>
      </c>
      <c r="BI48" s="294">
        <f t="shared" ca="1" si="97"/>
        <v>99999</v>
      </c>
      <c r="BJ48" s="294" t="str">
        <f t="shared" ca="1" si="98"/>
        <v/>
      </c>
      <c r="BK48" s="295" t="str">
        <f t="shared" ca="1" si="99"/>
        <v/>
      </c>
      <c r="BL48" s="139"/>
      <c r="BM48" s="296">
        <f t="shared" ca="1" si="130"/>
        <v>0</v>
      </c>
      <c r="BN48" s="293">
        <f t="shared" ca="1" si="100"/>
        <v>0.60069444444444442</v>
      </c>
      <c r="BO48" s="139">
        <f t="shared" ca="1" si="101"/>
        <v>5</v>
      </c>
      <c r="BP48" s="139">
        <f t="shared" ca="1" si="102"/>
        <v>3</v>
      </c>
      <c r="BQ48" s="294">
        <f t="shared" ca="1" si="103"/>
        <v>99999</v>
      </c>
      <c r="BR48" s="294" t="str">
        <f t="shared" ca="1" si="104"/>
        <v/>
      </c>
      <c r="BS48" s="295" t="str">
        <f t="shared" ca="1" si="105"/>
        <v/>
      </c>
      <c r="BT48" s="44"/>
      <c r="BU48" s="296">
        <f t="shared" ca="1" si="131"/>
        <v>0</v>
      </c>
      <c r="BV48" s="293">
        <f t="shared" ca="1" si="106"/>
        <v>99999</v>
      </c>
      <c r="BW48" s="139" t="str">
        <f t="shared" ca="1" si="107"/>
        <v/>
      </c>
      <c r="BX48" s="139" t="str">
        <f t="shared" ca="1" si="108"/>
        <v/>
      </c>
      <c r="BY48" s="294">
        <f t="shared" ca="1" si="109"/>
        <v>99999</v>
      </c>
      <c r="BZ48" s="294" t="str">
        <f t="shared" ca="1" si="110"/>
        <v/>
      </c>
      <c r="CA48" s="295" t="str">
        <f t="shared" ca="1" si="111"/>
        <v/>
      </c>
      <c r="CB48" s="139"/>
      <c r="CC48" s="296">
        <f t="shared" ca="1" si="132"/>
        <v>0</v>
      </c>
      <c r="CD48" s="293">
        <f t="shared" ca="1" si="112"/>
        <v>99999</v>
      </c>
      <c r="CE48" s="139" t="str">
        <f t="shared" ca="1" si="113"/>
        <v/>
      </c>
      <c r="CF48" s="139" t="str">
        <f t="shared" ca="1" si="114"/>
        <v/>
      </c>
      <c r="CG48" s="294">
        <f t="shared" ca="1" si="115"/>
        <v>99999</v>
      </c>
      <c r="CH48" s="294" t="str">
        <f t="shared" ca="1" si="116"/>
        <v/>
      </c>
      <c r="CI48" s="295" t="str">
        <f t="shared" ca="1" si="117"/>
        <v/>
      </c>
      <c r="CJ48" s="44"/>
      <c r="CK48" s="296">
        <f t="shared" ca="1" si="133"/>
        <v>0</v>
      </c>
      <c r="CL48" s="293">
        <f t="shared" ca="1" si="118"/>
        <v>99999</v>
      </c>
      <c r="CM48" s="139" t="str">
        <f t="shared" ca="1" si="119"/>
        <v/>
      </c>
      <c r="CN48" s="139" t="str">
        <f t="shared" ca="1" si="120"/>
        <v/>
      </c>
      <c r="CO48" s="294">
        <f t="shared" ca="1" si="121"/>
        <v>99999</v>
      </c>
      <c r="CP48" s="294" t="str">
        <f t="shared" ca="1" si="122"/>
        <v/>
      </c>
      <c r="CQ48" s="295" t="str">
        <f t="shared" ca="1" si="123"/>
        <v/>
      </c>
      <c r="CR48" s="44"/>
      <c r="CS48" s="44"/>
    </row>
    <row r="49" spans="1:97" ht="15.95" customHeight="1" x14ac:dyDescent="0.25">
      <c r="A49" s="44"/>
      <c r="B49" s="44"/>
      <c r="C49" s="44"/>
      <c r="D49" s="114">
        <f t="shared" ca="1" si="57"/>
        <v>0</v>
      </c>
      <c r="E49" s="114" t="str">
        <f t="shared" ca="1" si="0"/>
        <v/>
      </c>
      <c r="F49" s="114">
        <f ca="1">IF($E49="",0,COUNTIF($E$7:$E49,INDEX($E$79:$E$150,ROW($A43))))</f>
        <v>0</v>
      </c>
      <c r="G49" s="142"/>
      <c r="H49" s="137">
        <v>43</v>
      </c>
      <c r="I49" s="164" t="str">
        <f ca="1">IF(OR($Y$3,$H49&gt;Calc!$B$13/2*$D$6),"",$U$6+QUOTIENT(($H49-1),$U$22)*($U$8+$U$10)/1440+SUM($R$7:$R48)/1440)</f>
        <v/>
      </c>
      <c r="J49" s="166" t="str">
        <f ca="1">IF(OR($Y$3,$H49&gt;Calc!$B$13/2*$D$6),"",MOD(($H49-1),$U$22)+1)</f>
        <v/>
      </c>
      <c r="K49" s="417" t="str">
        <f ca="1"/>
        <v/>
      </c>
      <c r="L49" s="418" t="s">
        <v>4</v>
      </c>
      <c r="M49" s="419" t="str">
        <f ca="1"/>
        <v/>
      </c>
      <c r="N49" s="47" t="str">
        <f t="shared" ca="1" si="68"/>
        <v/>
      </c>
      <c r="O49" s="45" t="s">
        <v>4</v>
      </c>
      <c r="P49" s="46" t="str">
        <f t="shared" ca="1" si="69"/>
        <v/>
      </c>
      <c r="Q49" s="281"/>
      <c r="R49" s="427"/>
      <c r="S49" s="157"/>
      <c r="T49" s="158"/>
      <c r="U49" s="158"/>
      <c r="V49" s="158"/>
      <c r="W49" s="158"/>
      <c r="X49" s="139">
        <f t="shared" ca="1" si="124"/>
        <v>0</v>
      </c>
      <c r="Y49" s="296">
        <f t="shared" ca="1" si="125"/>
        <v>0</v>
      </c>
      <c r="Z49" s="293">
        <f t="shared" ca="1" si="70"/>
        <v>99999</v>
      </c>
      <c r="AA49" s="139" t="str">
        <f t="shared" ca="1" si="71"/>
        <v/>
      </c>
      <c r="AB49" s="139" t="str">
        <f t="shared" ca="1" si="72"/>
        <v/>
      </c>
      <c r="AC49" s="294">
        <f t="shared" ca="1" si="73"/>
        <v>99999</v>
      </c>
      <c r="AD49" s="294" t="str">
        <f t="shared" ca="1" si="74"/>
        <v/>
      </c>
      <c r="AE49" s="295" t="str">
        <f t="shared" ca="1" si="75"/>
        <v/>
      </c>
      <c r="AF49" s="139"/>
      <c r="AG49" s="296">
        <f t="shared" ca="1" si="126"/>
        <v>0</v>
      </c>
      <c r="AH49" s="293">
        <f t="shared" ca="1" si="76"/>
        <v>99999</v>
      </c>
      <c r="AI49" s="139" t="str">
        <f t="shared" ca="1" si="77"/>
        <v/>
      </c>
      <c r="AJ49" s="139" t="str">
        <f t="shared" ca="1" si="78"/>
        <v/>
      </c>
      <c r="AK49" s="294">
        <f t="shared" ca="1" si="79"/>
        <v>99999</v>
      </c>
      <c r="AL49" s="294" t="str">
        <f t="shared" ca="1" si="80"/>
        <v/>
      </c>
      <c r="AM49" s="295" t="str">
        <f t="shared" ca="1" si="81"/>
        <v/>
      </c>
      <c r="AN49" s="44"/>
      <c r="AO49" s="296">
        <f t="shared" ca="1" si="127"/>
        <v>0</v>
      </c>
      <c r="AP49" s="293">
        <f t="shared" ca="1" si="82"/>
        <v>99999</v>
      </c>
      <c r="AQ49" s="139" t="str">
        <f t="shared" ca="1" si="83"/>
        <v/>
      </c>
      <c r="AR49" s="139" t="str">
        <f t="shared" ca="1" si="84"/>
        <v/>
      </c>
      <c r="AS49" s="294">
        <f t="shared" ca="1" si="85"/>
        <v>99999</v>
      </c>
      <c r="AT49" s="294" t="str">
        <f t="shared" ca="1" si="86"/>
        <v/>
      </c>
      <c r="AU49" s="295" t="str">
        <f t="shared" ca="1" si="87"/>
        <v/>
      </c>
      <c r="AV49" s="139"/>
      <c r="AW49" s="296">
        <f t="shared" ca="1" si="128"/>
        <v>0</v>
      </c>
      <c r="AX49" s="293">
        <f t="shared" ca="1" si="88"/>
        <v>99999</v>
      </c>
      <c r="AY49" s="139" t="str">
        <f t="shared" ca="1" si="89"/>
        <v/>
      </c>
      <c r="AZ49" s="139" t="str">
        <f t="shared" ca="1" si="90"/>
        <v/>
      </c>
      <c r="BA49" s="294">
        <f t="shared" ca="1" si="91"/>
        <v>99999</v>
      </c>
      <c r="BB49" s="294" t="str">
        <f t="shared" ca="1" si="92"/>
        <v/>
      </c>
      <c r="BC49" s="295" t="str">
        <f t="shared" ca="1" si="93"/>
        <v/>
      </c>
      <c r="BD49" s="44"/>
      <c r="BE49" s="296">
        <f t="shared" ca="1" si="129"/>
        <v>0</v>
      </c>
      <c r="BF49" s="293">
        <f t="shared" ca="1" si="94"/>
        <v>99999</v>
      </c>
      <c r="BG49" s="139" t="str">
        <f t="shared" ca="1" si="95"/>
        <v/>
      </c>
      <c r="BH49" s="139" t="str">
        <f t="shared" ca="1" si="96"/>
        <v/>
      </c>
      <c r="BI49" s="294">
        <f t="shared" ca="1" si="97"/>
        <v>99999</v>
      </c>
      <c r="BJ49" s="294" t="str">
        <f t="shared" ca="1" si="98"/>
        <v/>
      </c>
      <c r="BK49" s="295" t="str">
        <f t="shared" ca="1" si="99"/>
        <v/>
      </c>
      <c r="BL49" s="139"/>
      <c r="BM49" s="296">
        <f t="shared" ca="1" si="130"/>
        <v>0</v>
      </c>
      <c r="BN49" s="293">
        <f t="shared" ca="1" si="100"/>
        <v>99999</v>
      </c>
      <c r="BO49" s="139" t="str">
        <f t="shared" ca="1" si="101"/>
        <v/>
      </c>
      <c r="BP49" s="139" t="str">
        <f t="shared" ca="1" si="102"/>
        <v/>
      </c>
      <c r="BQ49" s="294">
        <f t="shared" ca="1" si="103"/>
        <v>99999</v>
      </c>
      <c r="BR49" s="294" t="str">
        <f t="shared" ca="1" si="104"/>
        <v/>
      </c>
      <c r="BS49" s="295" t="str">
        <f t="shared" ca="1" si="105"/>
        <v/>
      </c>
      <c r="BT49" s="44"/>
      <c r="BU49" s="296">
        <f t="shared" ca="1" si="131"/>
        <v>0</v>
      </c>
      <c r="BV49" s="293">
        <f t="shared" ca="1" si="106"/>
        <v>99999</v>
      </c>
      <c r="BW49" s="139" t="str">
        <f t="shared" ca="1" si="107"/>
        <v/>
      </c>
      <c r="BX49" s="139" t="str">
        <f t="shared" ca="1" si="108"/>
        <v/>
      </c>
      <c r="BY49" s="294">
        <f t="shared" ca="1" si="109"/>
        <v>99999</v>
      </c>
      <c r="BZ49" s="294" t="str">
        <f t="shared" ca="1" si="110"/>
        <v/>
      </c>
      <c r="CA49" s="295" t="str">
        <f t="shared" ca="1" si="111"/>
        <v/>
      </c>
      <c r="CB49" s="139"/>
      <c r="CC49" s="296">
        <f t="shared" ca="1" si="132"/>
        <v>0</v>
      </c>
      <c r="CD49" s="293">
        <f t="shared" ca="1" si="112"/>
        <v>99999</v>
      </c>
      <c r="CE49" s="139" t="str">
        <f t="shared" ca="1" si="113"/>
        <v/>
      </c>
      <c r="CF49" s="139" t="str">
        <f t="shared" ca="1" si="114"/>
        <v/>
      </c>
      <c r="CG49" s="294">
        <f t="shared" ca="1" si="115"/>
        <v>99999</v>
      </c>
      <c r="CH49" s="294" t="str">
        <f t="shared" ca="1" si="116"/>
        <v/>
      </c>
      <c r="CI49" s="295" t="str">
        <f t="shared" ca="1" si="117"/>
        <v/>
      </c>
      <c r="CJ49" s="44"/>
      <c r="CK49" s="296">
        <f t="shared" ca="1" si="133"/>
        <v>0</v>
      </c>
      <c r="CL49" s="293">
        <f t="shared" ca="1" si="118"/>
        <v>99999</v>
      </c>
      <c r="CM49" s="139" t="str">
        <f t="shared" ca="1" si="119"/>
        <v/>
      </c>
      <c r="CN49" s="139" t="str">
        <f t="shared" ca="1" si="120"/>
        <v/>
      </c>
      <c r="CO49" s="294">
        <f t="shared" ca="1" si="121"/>
        <v>99999</v>
      </c>
      <c r="CP49" s="294" t="str">
        <f t="shared" ca="1" si="122"/>
        <v/>
      </c>
      <c r="CQ49" s="295" t="str">
        <f t="shared" ca="1" si="123"/>
        <v/>
      </c>
      <c r="CR49" s="44"/>
      <c r="CS49" s="44"/>
    </row>
    <row r="50" spans="1:97" ht="15.95" customHeight="1" x14ac:dyDescent="0.25">
      <c r="A50" s="44"/>
      <c r="B50" s="44"/>
      <c r="C50" s="44"/>
      <c r="D50" s="114">
        <f t="shared" ca="1" si="57"/>
        <v>0</v>
      </c>
      <c r="E50" s="114" t="str">
        <f t="shared" ca="1" si="0"/>
        <v/>
      </c>
      <c r="F50" s="114">
        <f ca="1">IF($E50="",0,COUNTIF($E$7:$E50,INDEX($E$79:$E$150,ROW($A44))))</f>
        <v>0</v>
      </c>
      <c r="G50" s="142"/>
      <c r="H50" s="137">
        <v>44</v>
      </c>
      <c r="I50" s="164" t="str">
        <f ca="1">IF(OR($Y$3,$H50&gt;Calc!$B$13/2*$D$6),"",$U$6+QUOTIENT(($H50-1),$U$22)*($U$8+$U$10)/1440+SUM($R$7:$R49)/1440)</f>
        <v/>
      </c>
      <c r="J50" s="166" t="str">
        <f ca="1">IF(OR($Y$3,$H50&gt;Calc!$B$13/2*$D$6),"",MOD(($H50-1),$U$22)+1)</f>
        <v/>
      </c>
      <c r="K50" s="417" t="str">
        <f ca="1"/>
        <v/>
      </c>
      <c r="L50" s="418" t="s">
        <v>4</v>
      </c>
      <c r="M50" s="419" t="str">
        <f ca="1"/>
        <v/>
      </c>
      <c r="N50" s="47" t="str">
        <f t="shared" ca="1" si="68"/>
        <v/>
      </c>
      <c r="O50" s="45" t="s">
        <v>4</v>
      </c>
      <c r="P50" s="46" t="str">
        <f t="shared" ca="1" si="69"/>
        <v/>
      </c>
      <c r="Q50" s="281"/>
      <c r="R50" s="427"/>
      <c r="S50" s="157"/>
      <c r="T50" s="159"/>
      <c r="U50" s="159"/>
      <c r="V50" s="159"/>
      <c r="W50" s="159"/>
      <c r="X50" s="139">
        <f t="shared" ca="1" si="124"/>
        <v>0</v>
      </c>
      <c r="Y50" s="296">
        <f t="shared" ca="1" si="125"/>
        <v>0</v>
      </c>
      <c r="Z50" s="293">
        <f t="shared" ca="1" si="70"/>
        <v>99999</v>
      </c>
      <c r="AA50" s="139" t="str">
        <f t="shared" ca="1" si="71"/>
        <v/>
      </c>
      <c r="AB50" s="139" t="str">
        <f t="shared" ca="1" si="72"/>
        <v/>
      </c>
      <c r="AC50" s="294">
        <f t="shared" ca="1" si="73"/>
        <v>99999</v>
      </c>
      <c r="AD50" s="294" t="str">
        <f t="shared" ca="1" si="74"/>
        <v/>
      </c>
      <c r="AE50" s="295" t="str">
        <f t="shared" ca="1" si="75"/>
        <v/>
      </c>
      <c r="AF50" s="139"/>
      <c r="AG50" s="296">
        <f t="shared" ca="1" si="126"/>
        <v>0</v>
      </c>
      <c r="AH50" s="293">
        <f t="shared" ca="1" si="76"/>
        <v>99999</v>
      </c>
      <c r="AI50" s="139" t="str">
        <f t="shared" ca="1" si="77"/>
        <v/>
      </c>
      <c r="AJ50" s="139" t="str">
        <f t="shared" ca="1" si="78"/>
        <v/>
      </c>
      <c r="AK50" s="294">
        <f t="shared" ca="1" si="79"/>
        <v>99999</v>
      </c>
      <c r="AL50" s="294" t="str">
        <f t="shared" ca="1" si="80"/>
        <v/>
      </c>
      <c r="AM50" s="295" t="str">
        <f t="shared" ca="1" si="81"/>
        <v/>
      </c>
      <c r="AN50" s="44"/>
      <c r="AO50" s="296">
        <f t="shared" ca="1" si="127"/>
        <v>0</v>
      </c>
      <c r="AP50" s="293">
        <f t="shared" ca="1" si="82"/>
        <v>99999</v>
      </c>
      <c r="AQ50" s="139" t="str">
        <f t="shared" ca="1" si="83"/>
        <v/>
      </c>
      <c r="AR50" s="139" t="str">
        <f t="shared" ca="1" si="84"/>
        <v/>
      </c>
      <c r="AS50" s="294">
        <f t="shared" ca="1" si="85"/>
        <v>99999</v>
      </c>
      <c r="AT50" s="294" t="str">
        <f t="shared" ca="1" si="86"/>
        <v/>
      </c>
      <c r="AU50" s="295" t="str">
        <f t="shared" ca="1" si="87"/>
        <v/>
      </c>
      <c r="AV50" s="139"/>
      <c r="AW50" s="296">
        <f t="shared" ca="1" si="128"/>
        <v>0</v>
      </c>
      <c r="AX50" s="293">
        <f t="shared" ca="1" si="88"/>
        <v>99999</v>
      </c>
      <c r="AY50" s="139" t="str">
        <f t="shared" ca="1" si="89"/>
        <v/>
      </c>
      <c r="AZ50" s="139" t="str">
        <f t="shared" ca="1" si="90"/>
        <v/>
      </c>
      <c r="BA50" s="294">
        <f t="shared" ca="1" si="91"/>
        <v>99999</v>
      </c>
      <c r="BB50" s="294" t="str">
        <f t="shared" ca="1" si="92"/>
        <v/>
      </c>
      <c r="BC50" s="295" t="str">
        <f t="shared" ca="1" si="93"/>
        <v/>
      </c>
      <c r="BD50" s="44"/>
      <c r="BE50" s="296">
        <f t="shared" ca="1" si="129"/>
        <v>0</v>
      </c>
      <c r="BF50" s="293">
        <f t="shared" ca="1" si="94"/>
        <v>99999</v>
      </c>
      <c r="BG50" s="139" t="str">
        <f t="shared" ca="1" si="95"/>
        <v/>
      </c>
      <c r="BH50" s="139" t="str">
        <f t="shared" ca="1" si="96"/>
        <v/>
      </c>
      <c r="BI50" s="294">
        <f t="shared" ca="1" si="97"/>
        <v>99999</v>
      </c>
      <c r="BJ50" s="294" t="str">
        <f t="shared" ca="1" si="98"/>
        <v/>
      </c>
      <c r="BK50" s="295" t="str">
        <f t="shared" ca="1" si="99"/>
        <v/>
      </c>
      <c r="BL50" s="139"/>
      <c r="BM50" s="296">
        <f t="shared" ca="1" si="130"/>
        <v>0</v>
      </c>
      <c r="BN50" s="293">
        <f t="shared" ca="1" si="100"/>
        <v>99999</v>
      </c>
      <c r="BO50" s="139" t="str">
        <f t="shared" ca="1" si="101"/>
        <v/>
      </c>
      <c r="BP50" s="139" t="str">
        <f t="shared" ca="1" si="102"/>
        <v/>
      </c>
      <c r="BQ50" s="294">
        <f t="shared" ca="1" si="103"/>
        <v>99999</v>
      </c>
      <c r="BR50" s="294" t="str">
        <f t="shared" ca="1" si="104"/>
        <v/>
      </c>
      <c r="BS50" s="295" t="str">
        <f t="shared" ca="1" si="105"/>
        <v/>
      </c>
      <c r="BT50" s="44"/>
      <c r="BU50" s="296">
        <f t="shared" ca="1" si="131"/>
        <v>0</v>
      </c>
      <c r="BV50" s="293">
        <f t="shared" ca="1" si="106"/>
        <v>99999</v>
      </c>
      <c r="BW50" s="139" t="str">
        <f t="shared" ca="1" si="107"/>
        <v/>
      </c>
      <c r="BX50" s="139" t="str">
        <f t="shared" ca="1" si="108"/>
        <v/>
      </c>
      <c r="BY50" s="294">
        <f t="shared" ca="1" si="109"/>
        <v>99999</v>
      </c>
      <c r="BZ50" s="294" t="str">
        <f t="shared" ca="1" si="110"/>
        <v/>
      </c>
      <c r="CA50" s="295" t="str">
        <f t="shared" ca="1" si="111"/>
        <v/>
      </c>
      <c r="CB50" s="139"/>
      <c r="CC50" s="296">
        <f t="shared" ca="1" si="132"/>
        <v>0</v>
      </c>
      <c r="CD50" s="293">
        <f t="shared" ca="1" si="112"/>
        <v>99999</v>
      </c>
      <c r="CE50" s="139" t="str">
        <f t="shared" ca="1" si="113"/>
        <v/>
      </c>
      <c r="CF50" s="139" t="str">
        <f t="shared" ca="1" si="114"/>
        <v/>
      </c>
      <c r="CG50" s="294">
        <f t="shared" ca="1" si="115"/>
        <v>99999</v>
      </c>
      <c r="CH50" s="294" t="str">
        <f t="shared" ca="1" si="116"/>
        <v/>
      </c>
      <c r="CI50" s="295" t="str">
        <f t="shared" ca="1" si="117"/>
        <v/>
      </c>
      <c r="CJ50" s="44"/>
      <c r="CK50" s="296">
        <f t="shared" ca="1" si="133"/>
        <v>0</v>
      </c>
      <c r="CL50" s="293">
        <f t="shared" ca="1" si="118"/>
        <v>99999</v>
      </c>
      <c r="CM50" s="139" t="str">
        <f t="shared" ca="1" si="119"/>
        <v/>
      </c>
      <c r="CN50" s="139" t="str">
        <f t="shared" ca="1" si="120"/>
        <v/>
      </c>
      <c r="CO50" s="294">
        <f t="shared" ca="1" si="121"/>
        <v>99999</v>
      </c>
      <c r="CP50" s="294" t="str">
        <f t="shared" ca="1" si="122"/>
        <v/>
      </c>
      <c r="CQ50" s="295" t="str">
        <f t="shared" ca="1" si="123"/>
        <v/>
      </c>
      <c r="CR50" s="44"/>
      <c r="CS50" s="44"/>
    </row>
    <row r="51" spans="1:97" ht="15.95" customHeight="1" x14ac:dyDescent="0.2">
      <c r="A51" s="44"/>
      <c r="B51" s="44"/>
      <c r="C51" s="44"/>
      <c r="D51" s="114">
        <f t="shared" ca="1" si="57"/>
        <v>0</v>
      </c>
      <c r="E51" s="114" t="str">
        <f t="shared" ca="1" si="0"/>
        <v/>
      </c>
      <c r="F51" s="114">
        <f ca="1">IF($E51="",0,COUNTIF($E$7:$E51,INDEX($E$79:$E$150,ROW($A45))))</f>
        <v>0</v>
      </c>
      <c r="G51" s="142"/>
      <c r="H51" s="137">
        <v>45</v>
      </c>
      <c r="I51" s="164" t="str">
        <f ca="1">IF(OR($Y$3,$H51&gt;Calc!$B$13/2*$D$6),"",$U$6+QUOTIENT(($H51-1),$U$22)*($U$8+$U$10)/1440+SUM($R$7:$R50)/1440)</f>
        <v/>
      </c>
      <c r="J51" s="166" t="str">
        <f ca="1">IF(OR($Y$3,$H51&gt;Calc!$B$13/2*$D$6),"",MOD(($H51-1),$U$22)+1)</f>
        <v/>
      </c>
      <c r="K51" s="417" t="str">
        <f ca="1"/>
        <v/>
      </c>
      <c r="L51" s="418" t="s">
        <v>4</v>
      </c>
      <c r="M51" s="419" t="str">
        <f ca="1"/>
        <v/>
      </c>
      <c r="N51" s="47" t="str">
        <f t="shared" ca="1" si="68"/>
        <v/>
      </c>
      <c r="O51" s="45" t="s">
        <v>4</v>
      </c>
      <c r="P51" s="46" t="str">
        <f t="shared" ca="1" si="69"/>
        <v/>
      </c>
      <c r="Q51" s="281"/>
      <c r="R51" s="427"/>
      <c r="S51" s="157"/>
      <c r="T51" s="160"/>
      <c r="U51" s="160"/>
      <c r="V51" s="160"/>
      <c r="W51" s="160"/>
      <c r="X51" s="139">
        <f t="shared" ca="1" si="124"/>
        <v>0</v>
      </c>
      <c r="Y51" s="296">
        <f t="shared" ca="1" si="125"/>
        <v>0</v>
      </c>
      <c r="Z51" s="293">
        <f t="shared" ca="1" si="70"/>
        <v>99999</v>
      </c>
      <c r="AA51" s="139" t="str">
        <f t="shared" ca="1" si="71"/>
        <v/>
      </c>
      <c r="AB51" s="139" t="str">
        <f t="shared" ca="1" si="72"/>
        <v/>
      </c>
      <c r="AC51" s="294">
        <f t="shared" ca="1" si="73"/>
        <v>99999</v>
      </c>
      <c r="AD51" s="294" t="str">
        <f t="shared" ca="1" si="74"/>
        <v/>
      </c>
      <c r="AE51" s="295" t="str">
        <f t="shared" ca="1" si="75"/>
        <v/>
      </c>
      <c r="AF51" s="139"/>
      <c r="AG51" s="296">
        <f t="shared" ca="1" si="126"/>
        <v>0</v>
      </c>
      <c r="AH51" s="293">
        <f t="shared" ca="1" si="76"/>
        <v>99999</v>
      </c>
      <c r="AI51" s="139" t="str">
        <f t="shared" ca="1" si="77"/>
        <v/>
      </c>
      <c r="AJ51" s="139" t="str">
        <f t="shared" ca="1" si="78"/>
        <v/>
      </c>
      <c r="AK51" s="294">
        <f t="shared" ca="1" si="79"/>
        <v>99999</v>
      </c>
      <c r="AL51" s="294" t="str">
        <f t="shared" ca="1" si="80"/>
        <v/>
      </c>
      <c r="AM51" s="295" t="str">
        <f t="shared" ca="1" si="81"/>
        <v/>
      </c>
      <c r="AN51" s="44"/>
      <c r="AO51" s="296">
        <f t="shared" ca="1" si="127"/>
        <v>0</v>
      </c>
      <c r="AP51" s="293">
        <f t="shared" ca="1" si="82"/>
        <v>99999</v>
      </c>
      <c r="AQ51" s="139" t="str">
        <f t="shared" ca="1" si="83"/>
        <v/>
      </c>
      <c r="AR51" s="139" t="str">
        <f t="shared" ca="1" si="84"/>
        <v/>
      </c>
      <c r="AS51" s="294">
        <f t="shared" ca="1" si="85"/>
        <v>99999</v>
      </c>
      <c r="AT51" s="294" t="str">
        <f t="shared" ca="1" si="86"/>
        <v/>
      </c>
      <c r="AU51" s="295" t="str">
        <f t="shared" ca="1" si="87"/>
        <v/>
      </c>
      <c r="AV51" s="139"/>
      <c r="AW51" s="296">
        <f t="shared" ca="1" si="128"/>
        <v>0</v>
      </c>
      <c r="AX51" s="293">
        <f t="shared" ca="1" si="88"/>
        <v>99999</v>
      </c>
      <c r="AY51" s="139" t="str">
        <f t="shared" ca="1" si="89"/>
        <v/>
      </c>
      <c r="AZ51" s="139" t="str">
        <f t="shared" ca="1" si="90"/>
        <v/>
      </c>
      <c r="BA51" s="294">
        <f t="shared" ca="1" si="91"/>
        <v>99999</v>
      </c>
      <c r="BB51" s="294" t="str">
        <f t="shared" ca="1" si="92"/>
        <v/>
      </c>
      <c r="BC51" s="295" t="str">
        <f t="shared" ca="1" si="93"/>
        <v/>
      </c>
      <c r="BD51" s="44"/>
      <c r="BE51" s="296">
        <f t="shared" ca="1" si="129"/>
        <v>0</v>
      </c>
      <c r="BF51" s="293">
        <f t="shared" ca="1" si="94"/>
        <v>99999</v>
      </c>
      <c r="BG51" s="139" t="str">
        <f t="shared" ca="1" si="95"/>
        <v/>
      </c>
      <c r="BH51" s="139" t="str">
        <f t="shared" ca="1" si="96"/>
        <v/>
      </c>
      <c r="BI51" s="294">
        <f t="shared" ca="1" si="97"/>
        <v>99999</v>
      </c>
      <c r="BJ51" s="294" t="str">
        <f t="shared" ca="1" si="98"/>
        <v/>
      </c>
      <c r="BK51" s="295" t="str">
        <f t="shared" ca="1" si="99"/>
        <v/>
      </c>
      <c r="BL51" s="139"/>
      <c r="BM51" s="296">
        <f t="shared" ca="1" si="130"/>
        <v>0</v>
      </c>
      <c r="BN51" s="293">
        <f t="shared" ca="1" si="100"/>
        <v>99999</v>
      </c>
      <c r="BO51" s="139" t="str">
        <f t="shared" ca="1" si="101"/>
        <v/>
      </c>
      <c r="BP51" s="139" t="str">
        <f t="shared" ca="1" si="102"/>
        <v/>
      </c>
      <c r="BQ51" s="294">
        <f t="shared" ca="1" si="103"/>
        <v>99999</v>
      </c>
      <c r="BR51" s="294" t="str">
        <f t="shared" ca="1" si="104"/>
        <v/>
      </c>
      <c r="BS51" s="295" t="str">
        <f t="shared" ca="1" si="105"/>
        <v/>
      </c>
      <c r="BT51" s="44"/>
      <c r="BU51" s="296">
        <f t="shared" ca="1" si="131"/>
        <v>0</v>
      </c>
      <c r="BV51" s="293">
        <f t="shared" ca="1" si="106"/>
        <v>99999</v>
      </c>
      <c r="BW51" s="139" t="str">
        <f t="shared" ca="1" si="107"/>
        <v/>
      </c>
      <c r="BX51" s="139" t="str">
        <f t="shared" ca="1" si="108"/>
        <v/>
      </c>
      <c r="BY51" s="294">
        <f t="shared" ca="1" si="109"/>
        <v>99999</v>
      </c>
      <c r="BZ51" s="294" t="str">
        <f t="shared" ca="1" si="110"/>
        <v/>
      </c>
      <c r="CA51" s="295" t="str">
        <f t="shared" ca="1" si="111"/>
        <v/>
      </c>
      <c r="CB51" s="139"/>
      <c r="CC51" s="296">
        <f t="shared" ca="1" si="132"/>
        <v>0</v>
      </c>
      <c r="CD51" s="293">
        <f t="shared" ca="1" si="112"/>
        <v>99999</v>
      </c>
      <c r="CE51" s="139" t="str">
        <f t="shared" ca="1" si="113"/>
        <v/>
      </c>
      <c r="CF51" s="139" t="str">
        <f t="shared" ca="1" si="114"/>
        <v/>
      </c>
      <c r="CG51" s="294">
        <f t="shared" ca="1" si="115"/>
        <v>99999</v>
      </c>
      <c r="CH51" s="294" t="str">
        <f t="shared" ca="1" si="116"/>
        <v/>
      </c>
      <c r="CI51" s="295" t="str">
        <f t="shared" ca="1" si="117"/>
        <v/>
      </c>
      <c r="CJ51" s="44"/>
      <c r="CK51" s="296">
        <f t="shared" ca="1" si="133"/>
        <v>0</v>
      </c>
      <c r="CL51" s="293">
        <f t="shared" ca="1" si="118"/>
        <v>99999</v>
      </c>
      <c r="CM51" s="139" t="str">
        <f t="shared" ca="1" si="119"/>
        <v/>
      </c>
      <c r="CN51" s="139" t="str">
        <f t="shared" ca="1" si="120"/>
        <v/>
      </c>
      <c r="CO51" s="294">
        <f t="shared" ca="1" si="121"/>
        <v>99999</v>
      </c>
      <c r="CP51" s="294" t="str">
        <f t="shared" ca="1" si="122"/>
        <v/>
      </c>
      <c r="CQ51" s="295" t="str">
        <f t="shared" ca="1" si="123"/>
        <v/>
      </c>
      <c r="CR51" s="44"/>
      <c r="CS51" s="44"/>
    </row>
    <row r="52" spans="1:97" ht="15.95" customHeight="1" x14ac:dyDescent="0.2">
      <c r="A52" s="44"/>
      <c r="B52" s="44"/>
      <c r="C52" s="44"/>
      <c r="D52" s="114">
        <f t="shared" ca="1" si="57"/>
        <v>0</v>
      </c>
      <c r="E52" s="114" t="str">
        <f t="shared" ca="1" si="0"/>
        <v/>
      </c>
      <c r="F52" s="114">
        <f ca="1">IF($E52="",0,COUNTIF($E$7:$E52,INDEX($E$79:$E$150,ROW($A46))))</f>
        <v>0</v>
      </c>
      <c r="G52" s="142"/>
      <c r="H52" s="137">
        <v>46</v>
      </c>
      <c r="I52" s="164" t="str">
        <f ca="1">IF(OR($Y$3,$H52&gt;Calc!$B$13/2*$D$6),"",$U$6+QUOTIENT(($H52-1),$U$22)*($U$8+$U$10)/1440+SUM($R$7:$R51)/1440)</f>
        <v/>
      </c>
      <c r="J52" s="166" t="str">
        <f ca="1">IF(OR($Y$3,$H52&gt;Calc!$B$13/2*$D$6),"",MOD(($H52-1),$U$22)+1)</f>
        <v/>
      </c>
      <c r="K52" s="417" t="str">
        <f ca="1"/>
        <v/>
      </c>
      <c r="L52" s="418" t="s">
        <v>4</v>
      </c>
      <c r="M52" s="419" t="str">
        <f ca="1"/>
        <v/>
      </c>
      <c r="N52" s="47" t="str">
        <f t="shared" ca="1" si="68"/>
        <v/>
      </c>
      <c r="O52" s="45" t="s">
        <v>4</v>
      </c>
      <c r="P52" s="46" t="str">
        <f t="shared" ca="1" si="69"/>
        <v/>
      </c>
      <c r="Q52" s="281"/>
      <c r="R52" s="427"/>
      <c r="S52" s="157"/>
      <c r="T52" s="161"/>
      <c r="U52" s="161"/>
      <c r="V52" s="161"/>
      <c r="W52" s="161"/>
      <c r="X52" s="139">
        <f t="shared" ca="1" si="124"/>
        <v>0</v>
      </c>
      <c r="Y52" s="296">
        <f t="shared" ca="1" si="125"/>
        <v>0</v>
      </c>
      <c r="Z52" s="293">
        <f t="shared" ca="1" si="70"/>
        <v>99999</v>
      </c>
      <c r="AA52" s="139" t="str">
        <f t="shared" ca="1" si="71"/>
        <v/>
      </c>
      <c r="AB52" s="139" t="str">
        <f t="shared" ca="1" si="72"/>
        <v/>
      </c>
      <c r="AC52" s="294">
        <f t="shared" ca="1" si="73"/>
        <v>99999</v>
      </c>
      <c r="AD52" s="294" t="str">
        <f t="shared" ca="1" si="74"/>
        <v/>
      </c>
      <c r="AE52" s="295" t="str">
        <f t="shared" ca="1" si="75"/>
        <v/>
      </c>
      <c r="AF52" s="139"/>
      <c r="AG52" s="296">
        <f t="shared" ca="1" si="126"/>
        <v>0</v>
      </c>
      <c r="AH52" s="293">
        <f t="shared" ca="1" si="76"/>
        <v>99999</v>
      </c>
      <c r="AI52" s="139" t="str">
        <f t="shared" ca="1" si="77"/>
        <v/>
      </c>
      <c r="AJ52" s="139" t="str">
        <f t="shared" ca="1" si="78"/>
        <v/>
      </c>
      <c r="AK52" s="294">
        <f t="shared" ca="1" si="79"/>
        <v>99999</v>
      </c>
      <c r="AL52" s="294" t="str">
        <f t="shared" ca="1" si="80"/>
        <v/>
      </c>
      <c r="AM52" s="295" t="str">
        <f t="shared" ca="1" si="81"/>
        <v/>
      </c>
      <c r="AN52" s="44"/>
      <c r="AO52" s="296">
        <f t="shared" ca="1" si="127"/>
        <v>0</v>
      </c>
      <c r="AP52" s="293">
        <f t="shared" ca="1" si="82"/>
        <v>99999</v>
      </c>
      <c r="AQ52" s="139" t="str">
        <f t="shared" ca="1" si="83"/>
        <v/>
      </c>
      <c r="AR52" s="139" t="str">
        <f t="shared" ca="1" si="84"/>
        <v/>
      </c>
      <c r="AS52" s="294">
        <f t="shared" ca="1" si="85"/>
        <v>99999</v>
      </c>
      <c r="AT52" s="294" t="str">
        <f t="shared" ca="1" si="86"/>
        <v/>
      </c>
      <c r="AU52" s="295" t="str">
        <f t="shared" ca="1" si="87"/>
        <v/>
      </c>
      <c r="AV52" s="139"/>
      <c r="AW52" s="296">
        <f t="shared" ca="1" si="128"/>
        <v>0</v>
      </c>
      <c r="AX52" s="293">
        <f t="shared" ca="1" si="88"/>
        <v>99999</v>
      </c>
      <c r="AY52" s="139" t="str">
        <f t="shared" ca="1" si="89"/>
        <v/>
      </c>
      <c r="AZ52" s="139" t="str">
        <f t="shared" ca="1" si="90"/>
        <v/>
      </c>
      <c r="BA52" s="294">
        <f t="shared" ca="1" si="91"/>
        <v>99999</v>
      </c>
      <c r="BB52" s="294" t="str">
        <f t="shared" ca="1" si="92"/>
        <v/>
      </c>
      <c r="BC52" s="295" t="str">
        <f t="shared" ca="1" si="93"/>
        <v/>
      </c>
      <c r="BD52" s="44"/>
      <c r="BE52" s="296">
        <f t="shared" ca="1" si="129"/>
        <v>0</v>
      </c>
      <c r="BF52" s="293">
        <f t="shared" ca="1" si="94"/>
        <v>99999</v>
      </c>
      <c r="BG52" s="139" t="str">
        <f t="shared" ca="1" si="95"/>
        <v/>
      </c>
      <c r="BH52" s="139" t="str">
        <f t="shared" ca="1" si="96"/>
        <v/>
      </c>
      <c r="BI52" s="294">
        <f t="shared" ca="1" si="97"/>
        <v>99999</v>
      </c>
      <c r="BJ52" s="294" t="str">
        <f t="shared" ca="1" si="98"/>
        <v/>
      </c>
      <c r="BK52" s="295" t="str">
        <f t="shared" ca="1" si="99"/>
        <v/>
      </c>
      <c r="BL52" s="139"/>
      <c r="BM52" s="296">
        <f t="shared" ca="1" si="130"/>
        <v>0</v>
      </c>
      <c r="BN52" s="293">
        <f t="shared" ca="1" si="100"/>
        <v>99999</v>
      </c>
      <c r="BO52" s="139" t="str">
        <f t="shared" ca="1" si="101"/>
        <v/>
      </c>
      <c r="BP52" s="139" t="str">
        <f t="shared" ca="1" si="102"/>
        <v/>
      </c>
      <c r="BQ52" s="294">
        <f t="shared" ca="1" si="103"/>
        <v>99999</v>
      </c>
      <c r="BR52" s="294" t="str">
        <f t="shared" ca="1" si="104"/>
        <v/>
      </c>
      <c r="BS52" s="295" t="str">
        <f t="shared" ca="1" si="105"/>
        <v/>
      </c>
      <c r="BT52" s="44"/>
      <c r="BU52" s="296">
        <f t="shared" ca="1" si="131"/>
        <v>0</v>
      </c>
      <c r="BV52" s="293">
        <f t="shared" ca="1" si="106"/>
        <v>99999</v>
      </c>
      <c r="BW52" s="139" t="str">
        <f t="shared" ca="1" si="107"/>
        <v/>
      </c>
      <c r="BX52" s="139" t="str">
        <f t="shared" ca="1" si="108"/>
        <v/>
      </c>
      <c r="BY52" s="294">
        <f t="shared" ca="1" si="109"/>
        <v>99999</v>
      </c>
      <c r="BZ52" s="294" t="str">
        <f t="shared" ca="1" si="110"/>
        <v/>
      </c>
      <c r="CA52" s="295" t="str">
        <f t="shared" ca="1" si="111"/>
        <v/>
      </c>
      <c r="CB52" s="139"/>
      <c r="CC52" s="296">
        <f t="shared" ca="1" si="132"/>
        <v>0</v>
      </c>
      <c r="CD52" s="293">
        <f t="shared" ca="1" si="112"/>
        <v>99999</v>
      </c>
      <c r="CE52" s="139" t="str">
        <f t="shared" ca="1" si="113"/>
        <v/>
      </c>
      <c r="CF52" s="139" t="str">
        <f t="shared" ca="1" si="114"/>
        <v/>
      </c>
      <c r="CG52" s="294">
        <f t="shared" ca="1" si="115"/>
        <v>99999</v>
      </c>
      <c r="CH52" s="294" t="str">
        <f t="shared" ca="1" si="116"/>
        <v/>
      </c>
      <c r="CI52" s="295" t="str">
        <f t="shared" ca="1" si="117"/>
        <v/>
      </c>
      <c r="CJ52" s="44"/>
      <c r="CK52" s="296">
        <f t="shared" ca="1" si="133"/>
        <v>0</v>
      </c>
      <c r="CL52" s="293">
        <f t="shared" ca="1" si="118"/>
        <v>99999</v>
      </c>
      <c r="CM52" s="139" t="str">
        <f t="shared" ca="1" si="119"/>
        <v/>
      </c>
      <c r="CN52" s="139" t="str">
        <f t="shared" ca="1" si="120"/>
        <v/>
      </c>
      <c r="CO52" s="294">
        <f t="shared" ca="1" si="121"/>
        <v>99999</v>
      </c>
      <c r="CP52" s="294" t="str">
        <f t="shared" ca="1" si="122"/>
        <v/>
      </c>
      <c r="CQ52" s="295" t="str">
        <f t="shared" ca="1" si="123"/>
        <v/>
      </c>
      <c r="CR52" s="44"/>
      <c r="CS52" s="44"/>
    </row>
    <row r="53" spans="1:97" ht="15.95" customHeight="1" x14ac:dyDescent="0.25">
      <c r="A53" s="44"/>
      <c r="B53" s="44"/>
      <c r="C53" s="44"/>
      <c r="D53" s="114">
        <f t="shared" ca="1" si="57"/>
        <v>0</v>
      </c>
      <c r="E53" s="114" t="str">
        <f t="shared" ca="1" si="0"/>
        <v/>
      </c>
      <c r="F53" s="114">
        <f ca="1">IF($E53="",0,COUNTIF($E$7:$E53,INDEX($E$79:$E$150,ROW($A47))))</f>
        <v>0</v>
      </c>
      <c r="G53" s="142"/>
      <c r="H53" s="137">
        <v>47</v>
      </c>
      <c r="I53" s="164" t="str">
        <f ca="1">IF(OR($Y$3,$H53&gt;Calc!$B$13/2*$D$6),"",$U$6+QUOTIENT(($H53-1),$U$22)*($U$8+$U$10)/1440+SUM($R$7:$R52)/1440)</f>
        <v/>
      </c>
      <c r="J53" s="166" t="str">
        <f ca="1">IF(OR($Y$3,$H53&gt;Calc!$B$13/2*$D$6),"",MOD(($H53-1),$U$22)+1)</f>
        <v/>
      </c>
      <c r="K53" s="417" t="str">
        <f ca="1"/>
        <v/>
      </c>
      <c r="L53" s="418" t="s">
        <v>4</v>
      </c>
      <c r="M53" s="419" t="str">
        <f ca="1"/>
        <v/>
      </c>
      <c r="N53" s="47" t="str">
        <f t="shared" ca="1" si="68"/>
        <v/>
      </c>
      <c r="O53" s="45" t="s">
        <v>4</v>
      </c>
      <c r="P53" s="46" t="str">
        <f t="shared" ca="1" si="69"/>
        <v/>
      </c>
      <c r="Q53" s="281"/>
      <c r="R53" s="427"/>
      <c r="S53" s="157"/>
      <c r="T53" s="159"/>
      <c r="U53" s="159"/>
      <c r="V53" s="159"/>
      <c r="W53" s="159"/>
      <c r="X53" s="139">
        <f t="shared" ca="1" si="124"/>
        <v>0</v>
      </c>
      <c r="Y53" s="296">
        <f t="shared" ca="1" si="125"/>
        <v>0</v>
      </c>
      <c r="Z53" s="293">
        <f t="shared" ca="1" si="70"/>
        <v>99999</v>
      </c>
      <c r="AA53" s="139" t="str">
        <f t="shared" ca="1" si="71"/>
        <v/>
      </c>
      <c r="AB53" s="139" t="str">
        <f t="shared" ca="1" si="72"/>
        <v/>
      </c>
      <c r="AC53" s="294">
        <f t="shared" ca="1" si="73"/>
        <v>99999</v>
      </c>
      <c r="AD53" s="294" t="str">
        <f t="shared" ca="1" si="74"/>
        <v/>
      </c>
      <c r="AE53" s="295" t="str">
        <f t="shared" ca="1" si="75"/>
        <v/>
      </c>
      <c r="AF53" s="139"/>
      <c r="AG53" s="296">
        <f t="shared" ca="1" si="126"/>
        <v>0</v>
      </c>
      <c r="AH53" s="293">
        <f t="shared" ca="1" si="76"/>
        <v>99999</v>
      </c>
      <c r="AI53" s="139" t="str">
        <f t="shared" ca="1" si="77"/>
        <v/>
      </c>
      <c r="AJ53" s="139" t="str">
        <f t="shared" ca="1" si="78"/>
        <v/>
      </c>
      <c r="AK53" s="294">
        <f t="shared" ca="1" si="79"/>
        <v>99999</v>
      </c>
      <c r="AL53" s="294" t="str">
        <f t="shared" ca="1" si="80"/>
        <v/>
      </c>
      <c r="AM53" s="295" t="str">
        <f t="shared" ca="1" si="81"/>
        <v/>
      </c>
      <c r="AN53" s="44"/>
      <c r="AO53" s="296">
        <f t="shared" ca="1" si="127"/>
        <v>0</v>
      </c>
      <c r="AP53" s="293">
        <f t="shared" ca="1" si="82"/>
        <v>99999</v>
      </c>
      <c r="AQ53" s="139" t="str">
        <f t="shared" ca="1" si="83"/>
        <v/>
      </c>
      <c r="AR53" s="139" t="str">
        <f t="shared" ca="1" si="84"/>
        <v/>
      </c>
      <c r="AS53" s="294">
        <f t="shared" ca="1" si="85"/>
        <v>99999</v>
      </c>
      <c r="AT53" s="294" t="str">
        <f t="shared" ca="1" si="86"/>
        <v/>
      </c>
      <c r="AU53" s="295" t="str">
        <f t="shared" ca="1" si="87"/>
        <v/>
      </c>
      <c r="AV53" s="139"/>
      <c r="AW53" s="296">
        <f t="shared" ca="1" si="128"/>
        <v>0</v>
      </c>
      <c r="AX53" s="293">
        <f t="shared" ca="1" si="88"/>
        <v>99999</v>
      </c>
      <c r="AY53" s="139" t="str">
        <f t="shared" ca="1" si="89"/>
        <v/>
      </c>
      <c r="AZ53" s="139" t="str">
        <f t="shared" ca="1" si="90"/>
        <v/>
      </c>
      <c r="BA53" s="294">
        <f t="shared" ca="1" si="91"/>
        <v>99999</v>
      </c>
      <c r="BB53" s="294" t="str">
        <f t="shared" ca="1" si="92"/>
        <v/>
      </c>
      <c r="BC53" s="295" t="str">
        <f t="shared" ca="1" si="93"/>
        <v/>
      </c>
      <c r="BD53" s="44"/>
      <c r="BE53" s="296">
        <f t="shared" ca="1" si="129"/>
        <v>0</v>
      </c>
      <c r="BF53" s="293">
        <f t="shared" ca="1" si="94"/>
        <v>99999</v>
      </c>
      <c r="BG53" s="139" t="str">
        <f t="shared" ca="1" si="95"/>
        <v/>
      </c>
      <c r="BH53" s="139" t="str">
        <f t="shared" ca="1" si="96"/>
        <v/>
      </c>
      <c r="BI53" s="294">
        <f t="shared" ca="1" si="97"/>
        <v>99999</v>
      </c>
      <c r="BJ53" s="294" t="str">
        <f t="shared" ca="1" si="98"/>
        <v/>
      </c>
      <c r="BK53" s="295" t="str">
        <f t="shared" ca="1" si="99"/>
        <v/>
      </c>
      <c r="BL53" s="139"/>
      <c r="BM53" s="296">
        <f t="shared" ca="1" si="130"/>
        <v>0</v>
      </c>
      <c r="BN53" s="293">
        <f t="shared" ca="1" si="100"/>
        <v>99999</v>
      </c>
      <c r="BO53" s="139" t="str">
        <f t="shared" ca="1" si="101"/>
        <v/>
      </c>
      <c r="BP53" s="139" t="str">
        <f t="shared" ca="1" si="102"/>
        <v/>
      </c>
      <c r="BQ53" s="294">
        <f t="shared" ca="1" si="103"/>
        <v>99999</v>
      </c>
      <c r="BR53" s="294" t="str">
        <f t="shared" ca="1" si="104"/>
        <v/>
      </c>
      <c r="BS53" s="295" t="str">
        <f t="shared" ca="1" si="105"/>
        <v/>
      </c>
      <c r="BT53" s="44"/>
      <c r="BU53" s="296">
        <f t="shared" ca="1" si="131"/>
        <v>0</v>
      </c>
      <c r="BV53" s="293">
        <f t="shared" ca="1" si="106"/>
        <v>99999</v>
      </c>
      <c r="BW53" s="139" t="str">
        <f t="shared" ca="1" si="107"/>
        <v/>
      </c>
      <c r="BX53" s="139" t="str">
        <f t="shared" ca="1" si="108"/>
        <v/>
      </c>
      <c r="BY53" s="294">
        <f t="shared" ca="1" si="109"/>
        <v>99999</v>
      </c>
      <c r="BZ53" s="294" t="str">
        <f t="shared" ca="1" si="110"/>
        <v/>
      </c>
      <c r="CA53" s="295" t="str">
        <f t="shared" ca="1" si="111"/>
        <v/>
      </c>
      <c r="CB53" s="139"/>
      <c r="CC53" s="296">
        <f t="shared" ca="1" si="132"/>
        <v>0</v>
      </c>
      <c r="CD53" s="293">
        <f t="shared" ca="1" si="112"/>
        <v>99999</v>
      </c>
      <c r="CE53" s="139" t="str">
        <f t="shared" ca="1" si="113"/>
        <v/>
      </c>
      <c r="CF53" s="139" t="str">
        <f t="shared" ca="1" si="114"/>
        <v/>
      </c>
      <c r="CG53" s="294">
        <f t="shared" ca="1" si="115"/>
        <v>99999</v>
      </c>
      <c r="CH53" s="294" t="str">
        <f t="shared" ca="1" si="116"/>
        <v/>
      </c>
      <c r="CI53" s="295" t="str">
        <f t="shared" ca="1" si="117"/>
        <v/>
      </c>
      <c r="CJ53" s="44"/>
      <c r="CK53" s="296">
        <f t="shared" ca="1" si="133"/>
        <v>0</v>
      </c>
      <c r="CL53" s="293">
        <f t="shared" ca="1" si="118"/>
        <v>99999</v>
      </c>
      <c r="CM53" s="139" t="str">
        <f t="shared" ca="1" si="119"/>
        <v/>
      </c>
      <c r="CN53" s="139" t="str">
        <f t="shared" ca="1" si="120"/>
        <v/>
      </c>
      <c r="CO53" s="294">
        <f t="shared" ca="1" si="121"/>
        <v>99999</v>
      </c>
      <c r="CP53" s="294" t="str">
        <f t="shared" ca="1" si="122"/>
        <v/>
      </c>
      <c r="CQ53" s="295" t="str">
        <f t="shared" ca="1" si="123"/>
        <v/>
      </c>
      <c r="CR53" s="44"/>
      <c r="CS53" s="44"/>
    </row>
    <row r="54" spans="1:97" ht="15.95" customHeight="1" x14ac:dyDescent="0.25">
      <c r="A54" s="44"/>
      <c r="B54" s="44"/>
      <c r="C54" s="44"/>
      <c r="D54" s="114">
        <f t="shared" ca="1" si="57"/>
        <v>0</v>
      </c>
      <c r="E54" s="114" t="str">
        <f t="shared" ca="1" si="0"/>
        <v/>
      </c>
      <c r="F54" s="114">
        <f ca="1">IF($E54="",0,COUNTIF($E$7:$E54,INDEX($E$79:$E$150,ROW($A48))))</f>
        <v>0</v>
      </c>
      <c r="G54" s="142"/>
      <c r="H54" s="137">
        <v>48</v>
      </c>
      <c r="I54" s="164" t="str">
        <f ca="1">IF(OR($Y$3,$H54&gt;Calc!$B$13/2*$D$6),"",$U$6+QUOTIENT(($H54-1),$U$22)*($U$8+$U$10)/1440+SUM($R$7:$R53)/1440)</f>
        <v/>
      </c>
      <c r="J54" s="166" t="str">
        <f ca="1">IF(OR($Y$3,$H54&gt;Calc!$B$13/2*$D$6),"",MOD(($H54-1),$U$22)+1)</f>
        <v/>
      </c>
      <c r="K54" s="417" t="str">
        <f ca="1"/>
        <v/>
      </c>
      <c r="L54" s="418" t="s">
        <v>4</v>
      </c>
      <c r="M54" s="419" t="str">
        <f ca="1"/>
        <v/>
      </c>
      <c r="N54" s="47" t="str">
        <f t="shared" ca="1" si="68"/>
        <v/>
      </c>
      <c r="O54" s="45" t="s">
        <v>4</v>
      </c>
      <c r="P54" s="46" t="str">
        <f t="shared" ca="1" si="69"/>
        <v/>
      </c>
      <c r="Q54" s="281"/>
      <c r="R54" s="427"/>
      <c r="S54" s="157"/>
      <c r="T54" s="159"/>
      <c r="U54" s="159"/>
      <c r="V54" s="159"/>
      <c r="W54" s="159"/>
      <c r="X54" s="139">
        <f t="shared" ca="1" si="124"/>
        <v>0</v>
      </c>
      <c r="Y54" s="296">
        <f t="shared" ca="1" si="125"/>
        <v>0</v>
      </c>
      <c r="Z54" s="293">
        <f t="shared" ca="1" si="70"/>
        <v>99999</v>
      </c>
      <c r="AA54" s="139" t="str">
        <f t="shared" ca="1" si="71"/>
        <v/>
      </c>
      <c r="AB54" s="139" t="str">
        <f t="shared" ca="1" si="72"/>
        <v/>
      </c>
      <c r="AC54" s="294">
        <f t="shared" ca="1" si="73"/>
        <v>99999</v>
      </c>
      <c r="AD54" s="294" t="str">
        <f t="shared" ca="1" si="74"/>
        <v/>
      </c>
      <c r="AE54" s="295" t="str">
        <f t="shared" ca="1" si="75"/>
        <v/>
      </c>
      <c r="AF54" s="139"/>
      <c r="AG54" s="296">
        <f t="shared" ca="1" si="126"/>
        <v>0</v>
      </c>
      <c r="AH54" s="293">
        <f t="shared" ca="1" si="76"/>
        <v>99999</v>
      </c>
      <c r="AI54" s="139" t="str">
        <f t="shared" ca="1" si="77"/>
        <v/>
      </c>
      <c r="AJ54" s="139" t="str">
        <f t="shared" ca="1" si="78"/>
        <v/>
      </c>
      <c r="AK54" s="294">
        <f t="shared" ca="1" si="79"/>
        <v>99999</v>
      </c>
      <c r="AL54" s="294" t="str">
        <f t="shared" ca="1" si="80"/>
        <v/>
      </c>
      <c r="AM54" s="295" t="str">
        <f t="shared" ca="1" si="81"/>
        <v/>
      </c>
      <c r="AN54" s="44"/>
      <c r="AO54" s="296">
        <f t="shared" ca="1" si="127"/>
        <v>0</v>
      </c>
      <c r="AP54" s="293">
        <f t="shared" ca="1" si="82"/>
        <v>99999</v>
      </c>
      <c r="AQ54" s="139" t="str">
        <f t="shared" ca="1" si="83"/>
        <v/>
      </c>
      <c r="AR54" s="139" t="str">
        <f t="shared" ca="1" si="84"/>
        <v/>
      </c>
      <c r="AS54" s="294">
        <f t="shared" ca="1" si="85"/>
        <v>99999</v>
      </c>
      <c r="AT54" s="294" t="str">
        <f t="shared" ca="1" si="86"/>
        <v/>
      </c>
      <c r="AU54" s="295" t="str">
        <f t="shared" ca="1" si="87"/>
        <v/>
      </c>
      <c r="AV54" s="139"/>
      <c r="AW54" s="296">
        <f t="shared" ca="1" si="128"/>
        <v>0</v>
      </c>
      <c r="AX54" s="293">
        <f t="shared" ca="1" si="88"/>
        <v>99999</v>
      </c>
      <c r="AY54" s="139" t="str">
        <f t="shared" ca="1" si="89"/>
        <v/>
      </c>
      <c r="AZ54" s="139" t="str">
        <f t="shared" ca="1" si="90"/>
        <v/>
      </c>
      <c r="BA54" s="294">
        <f t="shared" ca="1" si="91"/>
        <v>99999</v>
      </c>
      <c r="BB54" s="294" t="str">
        <f t="shared" ca="1" si="92"/>
        <v/>
      </c>
      <c r="BC54" s="295" t="str">
        <f t="shared" ca="1" si="93"/>
        <v/>
      </c>
      <c r="BD54" s="44"/>
      <c r="BE54" s="296">
        <f t="shared" ca="1" si="129"/>
        <v>0</v>
      </c>
      <c r="BF54" s="293">
        <f t="shared" ca="1" si="94"/>
        <v>99999</v>
      </c>
      <c r="BG54" s="139" t="str">
        <f t="shared" ca="1" si="95"/>
        <v/>
      </c>
      <c r="BH54" s="139" t="str">
        <f t="shared" ca="1" si="96"/>
        <v/>
      </c>
      <c r="BI54" s="294">
        <f t="shared" ca="1" si="97"/>
        <v>99999</v>
      </c>
      <c r="BJ54" s="294" t="str">
        <f t="shared" ca="1" si="98"/>
        <v/>
      </c>
      <c r="BK54" s="295" t="str">
        <f t="shared" ca="1" si="99"/>
        <v/>
      </c>
      <c r="BL54" s="139"/>
      <c r="BM54" s="296">
        <f t="shared" ca="1" si="130"/>
        <v>0</v>
      </c>
      <c r="BN54" s="293">
        <f t="shared" ca="1" si="100"/>
        <v>99999</v>
      </c>
      <c r="BO54" s="139" t="str">
        <f t="shared" ca="1" si="101"/>
        <v/>
      </c>
      <c r="BP54" s="139" t="str">
        <f t="shared" ca="1" si="102"/>
        <v/>
      </c>
      <c r="BQ54" s="294">
        <f t="shared" ca="1" si="103"/>
        <v>99999</v>
      </c>
      <c r="BR54" s="294" t="str">
        <f t="shared" ca="1" si="104"/>
        <v/>
      </c>
      <c r="BS54" s="295" t="str">
        <f t="shared" ca="1" si="105"/>
        <v/>
      </c>
      <c r="BT54" s="44"/>
      <c r="BU54" s="296">
        <f t="shared" ca="1" si="131"/>
        <v>0</v>
      </c>
      <c r="BV54" s="293">
        <f t="shared" ca="1" si="106"/>
        <v>99999</v>
      </c>
      <c r="BW54" s="139" t="str">
        <f t="shared" ca="1" si="107"/>
        <v/>
      </c>
      <c r="BX54" s="139" t="str">
        <f t="shared" ca="1" si="108"/>
        <v/>
      </c>
      <c r="BY54" s="294">
        <f t="shared" ca="1" si="109"/>
        <v>99999</v>
      </c>
      <c r="BZ54" s="294" t="str">
        <f t="shared" ca="1" si="110"/>
        <v/>
      </c>
      <c r="CA54" s="295" t="str">
        <f t="shared" ca="1" si="111"/>
        <v/>
      </c>
      <c r="CB54" s="139"/>
      <c r="CC54" s="296">
        <f t="shared" ca="1" si="132"/>
        <v>0</v>
      </c>
      <c r="CD54" s="293">
        <f t="shared" ca="1" si="112"/>
        <v>99999</v>
      </c>
      <c r="CE54" s="139" t="str">
        <f t="shared" ca="1" si="113"/>
        <v/>
      </c>
      <c r="CF54" s="139" t="str">
        <f t="shared" ca="1" si="114"/>
        <v/>
      </c>
      <c r="CG54" s="294">
        <f t="shared" ca="1" si="115"/>
        <v>99999</v>
      </c>
      <c r="CH54" s="294" t="str">
        <f t="shared" ca="1" si="116"/>
        <v/>
      </c>
      <c r="CI54" s="295" t="str">
        <f t="shared" ca="1" si="117"/>
        <v/>
      </c>
      <c r="CJ54" s="44"/>
      <c r="CK54" s="296">
        <f t="shared" ca="1" si="133"/>
        <v>0</v>
      </c>
      <c r="CL54" s="293">
        <f t="shared" ca="1" si="118"/>
        <v>99999</v>
      </c>
      <c r="CM54" s="139" t="str">
        <f t="shared" ca="1" si="119"/>
        <v/>
      </c>
      <c r="CN54" s="139" t="str">
        <f t="shared" ca="1" si="120"/>
        <v/>
      </c>
      <c r="CO54" s="294">
        <f t="shared" ca="1" si="121"/>
        <v>99999</v>
      </c>
      <c r="CP54" s="294" t="str">
        <f t="shared" ca="1" si="122"/>
        <v/>
      </c>
      <c r="CQ54" s="295" t="str">
        <f t="shared" ca="1" si="123"/>
        <v/>
      </c>
      <c r="CR54" s="44"/>
      <c r="CS54" s="44"/>
    </row>
    <row r="55" spans="1:97" ht="15.95" customHeight="1" x14ac:dyDescent="0.25">
      <c r="A55" s="44"/>
      <c r="B55" s="44"/>
      <c r="C55" s="44"/>
      <c r="D55" s="114">
        <f t="shared" ca="1" si="57"/>
        <v>0</v>
      </c>
      <c r="E55" s="114" t="str">
        <f t="shared" ca="1" si="0"/>
        <v/>
      </c>
      <c r="F55" s="114">
        <f ca="1">IF($E55="",0,COUNTIF($E$7:$E55,INDEX($E$79:$E$150,ROW($A49))))</f>
        <v>0</v>
      </c>
      <c r="G55" s="142"/>
      <c r="H55" s="137">
        <v>49</v>
      </c>
      <c r="I55" s="164" t="str">
        <f ca="1">IF(OR($Y$3,$H55&gt;Calc!$B$13/2*$D$6),"",$U$6+QUOTIENT(($H55-1),$U$22)*($U$8+$U$10)/1440+SUM($R$7:$R54)/1440)</f>
        <v/>
      </c>
      <c r="J55" s="166" t="str">
        <f ca="1">IF(OR($Y$3,$H55&gt;Calc!$B$13/2*$D$6),"",MOD(($H55-1),$U$22)+1)</f>
        <v/>
      </c>
      <c r="K55" s="417" t="str">
        <f ca="1"/>
        <v/>
      </c>
      <c r="L55" s="418" t="s">
        <v>4</v>
      </c>
      <c r="M55" s="419" t="str">
        <f ca="1"/>
        <v/>
      </c>
      <c r="N55" s="47" t="str">
        <f t="shared" ca="1" si="68"/>
        <v/>
      </c>
      <c r="O55" s="45" t="s">
        <v>4</v>
      </c>
      <c r="P55" s="46" t="str">
        <f t="shared" ca="1" si="69"/>
        <v/>
      </c>
      <c r="Q55" s="281"/>
      <c r="R55" s="427"/>
      <c r="S55" s="157"/>
      <c r="T55" s="159"/>
      <c r="U55" s="159"/>
      <c r="V55" s="159"/>
      <c r="W55" s="159"/>
      <c r="X55" s="139">
        <f t="shared" ca="1" si="124"/>
        <v>0</v>
      </c>
      <c r="Y55" s="296">
        <f t="shared" ca="1" si="125"/>
        <v>0</v>
      </c>
      <c r="Z55" s="293">
        <f t="shared" ca="1" si="70"/>
        <v>99999</v>
      </c>
      <c r="AA55" s="139" t="str">
        <f t="shared" ca="1" si="71"/>
        <v/>
      </c>
      <c r="AB55" s="139" t="str">
        <f t="shared" ca="1" si="72"/>
        <v/>
      </c>
      <c r="AC55" s="294">
        <f t="shared" ca="1" si="73"/>
        <v>99999</v>
      </c>
      <c r="AD55" s="294" t="str">
        <f t="shared" ca="1" si="74"/>
        <v/>
      </c>
      <c r="AE55" s="295" t="str">
        <f t="shared" ca="1" si="75"/>
        <v/>
      </c>
      <c r="AF55" s="139"/>
      <c r="AG55" s="296">
        <f t="shared" ca="1" si="126"/>
        <v>0</v>
      </c>
      <c r="AH55" s="293">
        <f t="shared" ca="1" si="76"/>
        <v>99999</v>
      </c>
      <c r="AI55" s="139" t="str">
        <f t="shared" ca="1" si="77"/>
        <v/>
      </c>
      <c r="AJ55" s="139" t="str">
        <f t="shared" ca="1" si="78"/>
        <v/>
      </c>
      <c r="AK55" s="294">
        <f t="shared" ca="1" si="79"/>
        <v>99999</v>
      </c>
      <c r="AL55" s="294" t="str">
        <f t="shared" ca="1" si="80"/>
        <v/>
      </c>
      <c r="AM55" s="295" t="str">
        <f t="shared" ca="1" si="81"/>
        <v/>
      </c>
      <c r="AN55" s="44"/>
      <c r="AO55" s="296">
        <f t="shared" ca="1" si="127"/>
        <v>0</v>
      </c>
      <c r="AP55" s="293">
        <f t="shared" ca="1" si="82"/>
        <v>99999</v>
      </c>
      <c r="AQ55" s="139" t="str">
        <f t="shared" ca="1" si="83"/>
        <v/>
      </c>
      <c r="AR55" s="139" t="str">
        <f t="shared" ca="1" si="84"/>
        <v/>
      </c>
      <c r="AS55" s="294">
        <f t="shared" ca="1" si="85"/>
        <v>99999</v>
      </c>
      <c r="AT55" s="294" t="str">
        <f t="shared" ca="1" si="86"/>
        <v/>
      </c>
      <c r="AU55" s="295" t="str">
        <f t="shared" ca="1" si="87"/>
        <v/>
      </c>
      <c r="AV55" s="139"/>
      <c r="AW55" s="296">
        <f t="shared" ca="1" si="128"/>
        <v>0</v>
      </c>
      <c r="AX55" s="293">
        <f t="shared" ca="1" si="88"/>
        <v>99999</v>
      </c>
      <c r="AY55" s="139" t="str">
        <f t="shared" ca="1" si="89"/>
        <v/>
      </c>
      <c r="AZ55" s="139" t="str">
        <f t="shared" ca="1" si="90"/>
        <v/>
      </c>
      <c r="BA55" s="294">
        <f t="shared" ca="1" si="91"/>
        <v>99999</v>
      </c>
      <c r="BB55" s="294" t="str">
        <f t="shared" ca="1" si="92"/>
        <v/>
      </c>
      <c r="BC55" s="295" t="str">
        <f t="shared" ca="1" si="93"/>
        <v/>
      </c>
      <c r="BD55" s="44"/>
      <c r="BE55" s="296">
        <f t="shared" ca="1" si="129"/>
        <v>0</v>
      </c>
      <c r="BF55" s="293">
        <f t="shared" ca="1" si="94"/>
        <v>99999</v>
      </c>
      <c r="BG55" s="139" t="str">
        <f t="shared" ca="1" si="95"/>
        <v/>
      </c>
      <c r="BH55" s="139" t="str">
        <f t="shared" ca="1" si="96"/>
        <v/>
      </c>
      <c r="BI55" s="294">
        <f t="shared" ca="1" si="97"/>
        <v>99999</v>
      </c>
      <c r="BJ55" s="294" t="str">
        <f t="shared" ca="1" si="98"/>
        <v/>
      </c>
      <c r="BK55" s="295" t="str">
        <f t="shared" ca="1" si="99"/>
        <v/>
      </c>
      <c r="BL55" s="139"/>
      <c r="BM55" s="296">
        <f t="shared" ca="1" si="130"/>
        <v>0</v>
      </c>
      <c r="BN55" s="293">
        <f t="shared" ca="1" si="100"/>
        <v>99999</v>
      </c>
      <c r="BO55" s="139" t="str">
        <f t="shared" ca="1" si="101"/>
        <v/>
      </c>
      <c r="BP55" s="139" t="str">
        <f t="shared" ca="1" si="102"/>
        <v/>
      </c>
      <c r="BQ55" s="294">
        <f t="shared" ca="1" si="103"/>
        <v>99999</v>
      </c>
      <c r="BR55" s="294" t="str">
        <f t="shared" ca="1" si="104"/>
        <v/>
      </c>
      <c r="BS55" s="295" t="str">
        <f t="shared" ca="1" si="105"/>
        <v/>
      </c>
      <c r="BT55" s="44"/>
      <c r="BU55" s="296">
        <f t="shared" ca="1" si="131"/>
        <v>0</v>
      </c>
      <c r="BV55" s="293">
        <f t="shared" ca="1" si="106"/>
        <v>99999</v>
      </c>
      <c r="BW55" s="139" t="str">
        <f t="shared" ca="1" si="107"/>
        <v/>
      </c>
      <c r="BX55" s="139" t="str">
        <f t="shared" ca="1" si="108"/>
        <v/>
      </c>
      <c r="BY55" s="294">
        <f t="shared" ca="1" si="109"/>
        <v>99999</v>
      </c>
      <c r="BZ55" s="294" t="str">
        <f t="shared" ca="1" si="110"/>
        <v/>
      </c>
      <c r="CA55" s="295" t="str">
        <f t="shared" ca="1" si="111"/>
        <v/>
      </c>
      <c r="CB55" s="139"/>
      <c r="CC55" s="296">
        <f t="shared" ca="1" si="132"/>
        <v>0</v>
      </c>
      <c r="CD55" s="293">
        <f t="shared" ca="1" si="112"/>
        <v>99999</v>
      </c>
      <c r="CE55" s="139" t="str">
        <f t="shared" ca="1" si="113"/>
        <v/>
      </c>
      <c r="CF55" s="139" t="str">
        <f t="shared" ca="1" si="114"/>
        <v/>
      </c>
      <c r="CG55" s="294">
        <f t="shared" ca="1" si="115"/>
        <v>99999</v>
      </c>
      <c r="CH55" s="294" t="str">
        <f t="shared" ca="1" si="116"/>
        <v/>
      </c>
      <c r="CI55" s="295" t="str">
        <f t="shared" ca="1" si="117"/>
        <v/>
      </c>
      <c r="CJ55" s="44"/>
      <c r="CK55" s="296">
        <f t="shared" ca="1" si="133"/>
        <v>0</v>
      </c>
      <c r="CL55" s="293">
        <f t="shared" ca="1" si="118"/>
        <v>99999</v>
      </c>
      <c r="CM55" s="139" t="str">
        <f t="shared" ca="1" si="119"/>
        <v/>
      </c>
      <c r="CN55" s="139" t="str">
        <f t="shared" ca="1" si="120"/>
        <v/>
      </c>
      <c r="CO55" s="294">
        <f t="shared" ca="1" si="121"/>
        <v>99999</v>
      </c>
      <c r="CP55" s="294" t="str">
        <f t="shared" ca="1" si="122"/>
        <v/>
      </c>
      <c r="CQ55" s="295" t="str">
        <f t="shared" ca="1" si="123"/>
        <v/>
      </c>
      <c r="CR55" s="44"/>
      <c r="CS55" s="44"/>
    </row>
    <row r="56" spans="1:97" ht="15.95" customHeight="1" x14ac:dyDescent="0.2">
      <c r="A56" s="44"/>
      <c r="B56" s="44"/>
      <c r="C56" s="44"/>
      <c r="D56" s="114">
        <f t="shared" ca="1" si="57"/>
        <v>0</v>
      </c>
      <c r="E56" s="114" t="str">
        <f t="shared" ca="1" si="0"/>
        <v/>
      </c>
      <c r="F56" s="114">
        <f ca="1">IF($E56="",0,COUNTIF($E$7:$E56,INDEX($E$79:$E$150,ROW($A50))))</f>
        <v>0</v>
      </c>
      <c r="G56" s="142"/>
      <c r="H56" s="137">
        <v>50</v>
      </c>
      <c r="I56" s="164" t="str">
        <f ca="1">IF(OR($Y$3,$H56&gt;Calc!$B$13/2*$D$6),"",$U$6+QUOTIENT(($H56-1),$U$22)*($U$8+$U$10)/1440+SUM($R$7:$R55)/1440)</f>
        <v/>
      </c>
      <c r="J56" s="166" t="str">
        <f ca="1">IF(OR($Y$3,$H56&gt;Calc!$B$13/2*$D$6),"",MOD(($H56-1),$U$22)+1)</f>
        <v/>
      </c>
      <c r="K56" s="417" t="str">
        <f ca="1"/>
        <v/>
      </c>
      <c r="L56" s="418" t="s">
        <v>4</v>
      </c>
      <c r="M56" s="419" t="str">
        <f ca="1"/>
        <v/>
      </c>
      <c r="N56" s="47" t="str">
        <f t="shared" ca="1" si="68"/>
        <v/>
      </c>
      <c r="O56" s="45" t="s">
        <v>4</v>
      </c>
      <c r="P56" s="46" t="str">
        <f t="shared" ca="1" si="69"/>
        <v/>
      </c>
      <c r="Q56" s="281"/>
      <c r="R56" s="427"/>
      <c r="S56" s="157"/>
      <c r="T56" s="160"/>
      <c r="U56" s="160"/>
      <c r="V56" s="160"/>
      <c r="W56" s="160"/>
      <c r="X56" s="139">
        <f t="shared" ca="1" si="124"/>
        <v>0</v>
      </c>
      <c r="Y56" s="296">
        <f t="shared" ca="1" si="125"/>
        <v>0</v>
      </c>
      <c r="Z56" s="293">
        <f t="shared" ca="1" si="70"/>
        <v>99999</v>
      </c>
      <c r="AA56" s="139" t="str">
        <f t="shared" ca="1" si="71"/>
        <v/>
      </c>
      <c r="AB56" s="139" t="str">
        <f t="shared" ca="1" si="72"/>
        <v/>
      </c>
      <c r="AC56" s="294">
        <f t="shared" ca="1" si="73"/>
        <v>99999</v>
      </c>
      <c r="AD56" s="294" t="str">
        <f t="shared" ca="1" si="74"/>
        <v/>
      </c>
      <c r="AE56" s="295" t="str">
        <f t="shared" ca="1" si="75"/>
        <v/>
      </c>
      <c r="AF56" s="139"/>
      <c r="AG56" s="296">
        <f t="shared" ca="1" si="126"/>
        <v>0</v>
      </c>
      <c r="AH56" s="293">
        <f t="shared" ca="1" si="76"/>
        <v>99999</v>
      </c>
      <c r="AI56" s="139" t="str">
        <f t="shared" ca="1" si="77"/>
        <v/>
      </c>
      <c r="AJ56" s="139" t="str">
        <f t="shared" ca="1" si="78"/>
        <v/>
      </c>
      <c r="AK56" s="294">
        <f t="shared" ca="1" si="79"/>
        <v>99999</v>
      </c>
      <c r="AL56" s="294" t="str">
        <f t="shared" ca="1" si="80"/>
        <v/>
      </c>
      <c r="AM56" s="295" t="str">
        <f t="shared" ca="1" si="81"/>
        <v/>
      </c>
      <c r="AN56" s="44"/>
      <c r="AO56" s="296">
        <f t="shared" ca="1" si="127"/>
        <v>0</v>
      </c>
      <c r="AP56" s="293">
        <f t="shared" ca="1" si="82"/>
        <v>99999</v>
      </c>
      <c r="AQ56" s="139" t="str">
        <f t="shared" ca="1" si="83"/>
        <v/>
      </c>
      <c r="AR56" s="139" t="str">
        <f t="shared" ca="1" si="84"/>
        <v/>
      </c>
      <c r="AS56" s="294">
        <f t="shared" ca="1" si="85"/>
        <v>99999</v>
      </c>
      <c r="AT56" s="294" t="str">
        <f t="shared" ca="1" si="86"/>
        <v/>
      </c>
      <c r="AU56" s="295" t="str">
        <f t="shared" ca="1" si="87"/>
        <v/>
      </c>
      <c r="AV56" s="139"/>
      <c r="AW56" s="296">
        <f t="shared" ca="1" si="128"/>
        <v>0</v>
      </c>
      <c r="AX56" s="293">
        <f t="shared" ca="1" si="88"/>
        <v>99999</v>
      </c>
      <c r="AY56" s="139" t="str">
        <f t="shared" ca="1" si="89"/>
        <v/>
      </c>
      <c r="AZ56" s="139" t="str">
        <f t="shared" ca="1" si="90"/>
        <v/>
      </c>
      <c r="BA56" s="294">
        <f t="shared" ca="1" si="91"/>
        <v>99999</v>
      </c>
      <c r="BB56" s="294" t="str">
        <f t="shared" ca="1" si="92"/>
        <v/>
      </c>
      <c r="BC56" s="295" t="str">
        <f t="shared" ca="1" si="93"/>
        <v/>
      </c>
      <c r="BD56" s="44"/>
      <c r="BE56" s="296">
        <f t="shared" ca="1" si="129"/>
        <v>0</v>
      </c>
      <c r="BF56" s="293">
        <f t="shared" ca="1" si="94"/>
        <v>99999</v>
      </c>
      <c r="BG56" s="139" t="str">
        <f t="shared" ca="1" si="95"/>
        <v/>
      </c>
      <c r="BH56" s="139" t="str">
        <f t="shared" ca="1" si="96"/>
        <v/>
      </c>
      <c r="BI56" s="294">
        <f t="shared" ca="1" si="97"/>
        <v>99999</v>
      </c>
      <c r="BJ56" s="294" t="str">
        <f t="shared" ca="1" si="98"/>
        <v/>
      </c>
      <c r="BK56" s="295" t="str">
        <f t="shared" ca="1" si="99"/>
        <v/>
      </c>
      <c r="BL56" s="139"/>
      <c r="BM56" s="296">
        <f t="shared" ca="1" si="130"/>
        <v>0</v>
      </c>
      <c r="BN56" s="293">
        <f t="shared" ca="1" si="100"/>
        <v>99999</v>
      </c>
      <c r="BO56" s="139" t="str">
        <f t="shared" ca="1" si="101"/>
        <v/>
      </c>
      <c r="BP56" s="139" t="str">
        <f t="shared" ca="1" si="102"/>
        <v/>
      </c>
      <c r="BQ56" s="294">
        <f t="shared" ca="1" si="103"/>
        <v>99999</v>
      </c>
      <c r="BR56" s="294" t="str">
        <f t="shared" ca="1" si="104"/>
        <v/>
      </c>
      <c r="BS56" s="295" t="str">
        <f t="shared" ca="1" si="105"/>
        <v/>
      </c>
      <c r="BT56" s="44"/>
      <c r="BU56" s="296">
        <f t="shared" ca="1" si="131"/>
        <v>0</v>
      </c>
      <c r="BV56" s="293">
        <f t="shared" ca="1" si="106"/>
        <v>99999</v>
      </c>
      <c r="BW56" s="139" t="str">
        <f t="shared" ca="1" si="107"/>
        <v/>
      </c>
      <c r="BX56" s="139" t="str">
        <f t="shared" ca="1" si="108"/>
        <v/>
      </c>
      <c r="BY56" s="294">
        <f t="shared" ca="1" si="109"/>
        <v>99999</v>
      </c>
      <c r="BZ56" s="294" t="str">
        <f t="shared" ca="1" si="110"/>
        <v/>
      </c>
      <c r="CA56" s="295" t="str">
        <f t="shared" ca="1" si="111"/>
        <v/>
      </c>
      <c r="CB56" s="139"/>
      <c r="CC56" s="296">
        <f t="shared" ca="1" si="132"/>
        <v>0</v>
      </c>
      <c r="CD56" s="293">
        <f t="shared" ca="1" si="112"/>
        <v>99999</v>
      </c>
      <c r="CE56" s="139" t="str">
        <f t="shared" ca="1" si="113"/>
        <v/>
      </c>
      <c r="CF56" s="139" t="str">
        <f t="shared" ca="1" si="114"/>
        <v/>
      </c>
      <c r="CG56" s="294">
        <f t="shared" ca="1" si="115"/>
        <v>99999</v>
      </c>
      <c r="CH56" s="294" t="str">
        <f t="shared" ca="1" si="116"/>
        <v/>
      </c>
      <c r="CI56" s="295" t="str">
        <f t="shared" ca="1" si="117"/>
        <v/>
      </c>
      <c r="CJ56" s="44"/>
      <c r="CK56" s="296">
        <f t="shared" ca="1" si="133"/>
        <v>0</v>
      </c>
      <c r="CL56" s="293">
        <f t="shared" ca="1" si="118"/>
        <v>99999</v>
      </c>
      <c r="CM56" s="139" t="str">
        <f t="shared" ca="1" si="119"/>
        <v/>
      </c>
      <c r="CN56" s="139" t="str">
        <f t="shared" ca="1" si="120"/>
        <v/>
      </c>
      <c r="CO56" s="294">
        <f t="shared" ca="1" si="121"/>
        <v>99999</v>
      </c>
      <c r="CP56" s="294" t="str">
        <f t="shared" ca="1" si="122"/>
        <v/>
      </c>
      <c r="CQ56" s="295" t="str">
        <f t="shared" ca="1" si="123"/>
        <v/>
      </c>
      <c r="CR56" s="44"/>
      <c r="CS56" s="44"/>
    </row>
    <row r="57" spans="1:97" ht="15.95" customHeight="1" x14ac:dyDescent="0.2">
      <c r="A57" s="44"/>
      <c r="B57" s="44"/>
      <c r="C57" s="44"/>
      <c r="D57" s="114">
        <f t="shared" ca="1" si="57"/>
        <v>0</v>
      </c>
      <c r="E57" s="114" t="str">
        <f t="shared" ca="1" si="0"/>
        <v/>
      </c>
      <c r="F57" s="114">
        <f ca="1">IF($E57="",0,COUNTIF($E$7:$E57,INDEX($E$79:$E$150,ROW($A51))))</f>
        <v>0</v>
      </c>
      <c r="G57" s="142"/>
      <c r="H57" s="137">
        <v>51</v>
      </c>
      <c r="I57" s="164" t="str">
        <f ca="1">IF(OR($Y$3,$H57&gt;Calc!$B$13/2*$D$6),"",$U$6+QUOTIENT(($H57-1),$U$22)*($U$8+$U$10)/1440+SUM($R$7:$R56)/1440)</f>
        <v/>
      </c>
      <c r="J57" s="166" t="str">
        <f ca="1">IF(OR($Y$3,$H57&gt;Calc!$B$13/2*$D$6),"",MOD(($H57-1),$U$22)+1)</f>
        <v/>
      </c>
      <c r="K57" s="417" t="str">
        <f ca="1"/>
        <v/>
      </c>
      <c r="L57" s="418" t="s">
        <v>4</v>
      </c>
      <c r="M57" s="419" t="str">
        <f ca="1"/>
        <v/>
      </c>
      <c r="N57" s="47" t="str">
        <f t="shared" ca="1" si="68"/>
        <v/>
      </c>
      <c r="O57" s="45" t="s">
        <v>4</v>
      </c>
      <c r="P57" s="46" t="str">
        <f t="shared" ca="1" si="69"/>
        <v/>
      </c>
      <c r="Q57" s="281"/>
      <c r="R57" s="427"/>
      <c r="S57" s="157"/>
      <c r="T57" s="161"/>
      <c r="U57" s="161"/>
      <c r="V57" s="161"/>
      <c r="W57" s="161"/>
      <c r="X57" s="139">
        <f t="shared" ca="1" si="124"/>
        <v>0</v>
      </c>
      <c r="Y57" s="296">
        <f t="shared" ca="1" si="125"/>
        <v>0</v>
      </c>
      <c r="Z57" s="293">
        <f t="shared" ca="1" si="70"/>
        <v>99999</v>
      </c>
      <c r="AA57" s="139" t="str">
        <f t="shared" ca="1" si="71"/>
        <v/>
      </c>
      <c r="AB57" s="139" t="str">
        <f t="shared" ca="1" si="72"/>
        <v/>
      </c>
      <c r="AC57" s="294">
        <f t="shared" ca="1" si="73"/>
        <v>99999</v>
      </c>
      <c r="AD57" s="294" t="str">
        <f t="shared" ca="1" si="74"/>
        <v/>
      </c>
      <c r="AE57" s="295" t="str">
        <f t="shared" ca="1" si="75"/>
        <v/>
      </c>
      <c r="AF57" s="139"/>
      <c r="AG57" s="296">
        <f t="shared" ca="1" si="126"/>
        <v>0</v>
      </c>
      <c r="AH57" s="293">
        <f t="shared" ca="1" si="76"/>
        <v>99999</v>
      </c>
      <c r="AI57" s="139" t="str">
        <f t="shared" ca="1" si="77"/>
        <v/>
      </c>
      <c r="AJ57" s="139" t="str">
        <f t="shared" ca="1" si="78"/>
        <v/>
      </c>
      <c r="AK57" s="294">
        <f t="shared" ca="1" si="79"/>
        <v>99999</v>
      </c>
      <c r="AL57" s="294" t="str">
        <f t="shared" ca="1" si="80"/>
        <v/>
      </c>
      <c r="AM57" s="295" t="str">
        <f t="shared" ca="1" si="81"/>
        <v/>
      </c>
      <c r="AN57" s="44"/>
      <c r="AO57" s="296">
        <f t="shared" ca="1" si="127"/>
        <v>0</v>
      </c>
      <c r="AP57" s="293">
        <f t="shared" ca="1" si="82"/>
        <v>99999</v>
      </c>
      <c r="AQ57" s="139" t="str">
        <f t="shared" ca="1" si="83"/>
        <v/>
      </c>
      <c r="AR57" s="139" t="str">
        <f t="shared" ca="1" si="84"/>
        <v/>
      </c>
      <c r="AS57" s="294">
        <f t="shared" ca="1" si="85"/>
        <v>99999</v>
      </c>
      <c r="AT57" s="294" t="str">
        <f t="shared" ca="1" si="86"/>
        <v/>
      </c>
      <c r="AU57" s="295" t="str">
        <f t="shared" ca="1" si="87"/>
        <v/>
      </c>
      <c r="AV57" s="139"/>
      <c r="AW57" s="296">
        <f t="shared" ca="1" si="128"/>
        <v>0</v>
      </c>
      <c r="AX57" s="293">
        <f t="shared" ca="1" si="88"/>
        <v>99999</v>
      </c>
      <c r="AY57" s="139" t="str">
        <f t="shared" ca="1" si="89"/>
        <v/>
      </c>
      <c r="AZ57" s="139" t="str">
        <f t="shared" ca="1" si="90"/>
        <v/>
      </c>
      <c r="BA57" s="294">
        <f t="shared" ca="1" si="91"/>
        <v>99999</v>
      </c>
      <c r="BB57" s="294" t="str">
        <f t="shared" ca="1" si="92"/>
        <v/>
      </c>
      <c r="BC57" s="295" t="str">
        <f t="shared" ca="1" si="93"/>
        <v/>
      </c>
      <c r="BD57" s="44"/>
      <c r="BE57" s="296">
        <f t="shared" ca="1" si="129"/>
        <v>0</v>
      </c>
      <c r="BF57" s="293">
        <f t="shared" ca="1" si="94"/>
        <v>99999</v>
      </c>
      <c r="BG57" s="139" t="str">
        <f t="shared" ca="1" si="95"/>
        <v/>
      </c>
      <c r="BH57" s="139" t="str">
        <f t="shared" ca="1" si="96"/>
        <v/>
      </c>
      <c r="BI57" s="294">
        <f t="shared" ca="1" si="97"/>
        <v>99999</v>
      </c>
      <c r="BJ57" s="294" t="str">
        <f t="shared" ca="1" si="98"/>
        <v/>
      </c>
      <c r="BK57" s="295" t="str">
        <f t="shared" ca="1" si="99"/>
        <v/>
      </c>
      <c r="BL57" s="139"/>
      <c r="BM57" s="296">
        <f t="shared" ca="1" si="130"/>
        <v>0</v>
      </c>
      <c r="BN57" s="293">
        <f t="shared" ca="1" si="100"/>
        <v>99999</v>
      </c>
      <c r="BO57" s="139" t="str">
        <f t="shared" ca="1" si="101"/>
        <v/>
      </c>
      <c r="BP57" s="139" t="str">
        <f t="shared" ca="1" si="102"/>
        <v/>
      </c>
      <c r="BQ57" s="294">
        <f t="shared" ca="1" si="103"/>
        <v>99999</v>
      </c>
      <c r="BR57" s="294" t="str">
        <f t="shared" ca="1" si="104"/>
        <v/>
      </c>
      <c r="BS57" s="295" t="str">
        <f t="shared" ca="1" si="105"/>
        <v/>
      </c>
      <c r="BT57" s="44"/>
      <c r="BU57" s="296">
        <f t="shared" ca="1" si="131"/>
        <v>0</v>
      </c>
      <c r="BV57" s="293">
        <f t="shared" ca="1" si="106"/>
        <v>99999</v>
      </c>
      <c r="BW57" s="139" t="str">
        <f t="shared" ca="1" si="107"/>
        <v/>
      </c>
      <c r="BX57" s="139" t="str">
        <f t="shared" ca="1" si="108"/>
        <v/>
      </c>
      <c r="BY57" s="294">
        <f t="shared" ca="1" si="109"/>
        <v>99999</v>
      </c>
      <c r="BZ57" s="294" t="str">
        <f t="shared" ca="1" si="110"/>
        <v/>
      </c>
      <c r="CA57" s="295" t="str">
        <f t="shared" ca="1" si="111"/>
        <v/>
      </c>
      <c r="CB57" s="139"/>
      <c r="CC57" s="296">
        <f t="shared" ca="1" si="132"/>
        <v>0</v>
      </c>
      <c r="CD57" s="293">
        <f t="shared" ca="1" si="112"/>
        <v>99999</v>
      </c>
      <c r="CE57" s="139" t="str">
        <f t="shared" ca="1" si="113"/>
        <v/>
      </c>
      <c r="CF57" s="139" t="str">
        <f t="shared" ca="1" si="114"/>
        <v/>
      </c>
      <c r="CG57" s="294">
        <f t="shared" ca="1" si="115"/>
        <v>99999</v>
      </c>
      <c r="CH57" s="294" t="str">
        <f t="shared" ca="1" si="116"/>
        <v/>
      </c>
      <c r="CI57" s="295" t="str">
        <f t="shared" ca="1" si="117"/>
        <v/>
      </c>
      <c r="CJ57" s="44"/>
      <c r="CK57" s="296">
        <f t="shared" ca="1" si="133"/>
        <v>0</v>
      </c>
      <c r="CL57" s="293">
        <f t="shared" ca="1" si="118"/>
        <v>99999</v>
      </c>
      <c r="CM57" s="139" t="str">
        <f t="shared" ca="1" si="119"/>
        <v/>
      </c>
      <c r="CN57" s="139" t="str">
        <f t="shared" ca="1" si="120"/>
        <v/>
      </c>
      <c r="CO57" s="294">
        <f t="shared" ca="1" si="121"/>
        <v>99999</v>
      </c>
      <c r="CP57" s="294" t="str">
        <f t="shared" ca="1" si="122"/>
        <v/>
      </c>
      <c r="CQ57" s="295" t="str">
        <f t="shared" ca="1" si="123"/>
        <v/>
      </c>
      <c r="CR57" s="44"/>
      <c r="CS57" s="44"/>
    </row>
    <row r="58" spans="1:97" ht="15.95" customHeight="1" x14ac:dyDescent="0.25">
      <c r="A58" s="44"/>
      <c r="B58" s="44"/>
      <c r="C58" s="44"/>
      <c r="D58" s="114">
        <f t="shared" ca="1" si="57"/>
        <v>0</v>
      </c>
      <c r="E58" s="114" t="str">
        <f t="shared" ca="1" si="0"/>
        <v/>
      </c>
      <c r="F58" s="114">
        <f ca="1">IF($E58="",0,COUNTIF($E$7:$E58,INDEX($E$79:$E$150,ROW($A52))))</f>
        <v>0</v>
      </c>
      <c r="G58" s="142"/>
      <c r="H58" s="137">
        <v>52</v>
      </c>
      <c r="I58" s="164" t="str">
        <f ca="1">IF(OR($Y$3,$H58&gt;Calc!$B$13/2*$D$6),"",$U$6+QUOTIENT(($H58-1),$U$22)*($U$8+$U$10)/1440+SUM($R$7:$R57)/1440)</f>
        <v/>
      </c>
      <c r="J58" s="166" t="str">
        <f ca="1">IF(OR($Y$3,$H58&gt;Calc!$B$13/2*$D$6),"",MOD(($H58-1),$U$22)+1)</f>
        <v/>
      </c>
      <c r="K58" s="417" t="str">
        <f ca="1"/>
        <v/>
      </c>
      <c r="L58" s="418" t="s">
        <v>4</v>
      </c>
      <c r="M58" s="419" t="str">
        <f ca="1"/>
        <v/>
      </c>
      <c r="N58" s="47" t="str">
        <f t="shared" ca="1" si="68"/>
        <v/>
      </c>
      <c r="O58" s="45" t="s">
        <v>4</v>
      </c>
      <c r="P58" s="46" t="str">
        <f t="shared" ca="1" si="69"/>
        <v/>
      </c>
      <c r="Q58" s="281"/>
      <c r="R58" s="427"/>
      <c r="S58" s="157"/>
      <c r="T58" s="159"/>
      <c r="U58" s="159"/>
      <c r="V58" s="159"/>
      <c r="W58" s="159"/>
      <c r="X58" s="139">
        <f t="shared" ca="1" si="124"/>
        <v>0</v>
      </c>
      <c r="Y58" s="296">
        <f t="shared" ca="1" si="125"/>
        <v>0</v>
      </c>
      <c r="Z58" s="293">
        <f t="shared" ca="1" si="70"/>
        <v>99999</v>
      </c>
      <c r="AA58" s="139" t="str">
        <f t="shared" ca="1" si="71"/>
        <v/>
      </c>
      <c r="AB58" s="139" t="str">
        <f t="shared" ca="1" si="72"/>
        <v/>
      </c>
      <c r="AC58" s="294">
        <f t="shared" ca="1" si="73"/>
        <v>99999</v>
      </c>
      <c r="AD58" s="294" t="str">
        <f t="shared" ca="1" si="74"/>
        <v/>
      </c>
      <c r="AE58" s="295" t="str">
        <f t="shared" ca="1" si="75"/>
        <v/>
      </c>
      <c r="AF58" s="139"/>
      <c r="AG58" s="296">
        <f t="shared" ca="1" si="126"/>
        <v>0</v>
      </c>
      <c r="AH58" s="293">
        <f t="shared" ca="1" si="76"/>
        <v>99999</v>
      </c>
      <c r="AI58" s="139" t="str">
        <f t="shared" ca="1" si="77"/>
        <v/>
      </c>
      <c r="AJ58" s="139" t="str">
        <f t="shared" ca="1" si="78"/>
        <v/>
      </c>
      <c r="AK58" s="294">
        <f t="shared" ca="1" si="79"/>
        <v>99999</v>
      </c>
      <c r="AL58" s="294" t="str">
        <f t="shared" ca="1" si="80"/>
        <v/>
      </c>
      <c r="AM58" s="295" t="str">
        <f t="shared" ca="1" si="81"/>
        <v/>
      </c>
      <c r="AN58" s="44"/>
      <c r="AO58" s="296">
        <f t="shared" ca="1" si="127"/>
        <v>0</v>
      </c>
      <c r="AP58" s="293">
        <f t="shared" ca="1" si="82"/>
        <v>99999</v>
      </c>
      <c r="AQ58" s="139" t="str">
        <f t="shared" ca="1" si="83"/>
        <v/>
      </c>
      <c r="AR58" s="139" t="str">
        <f t="shared" ca="1" si="84"/>
        <v/>
      </c>
      <c r="AS58" s="294">
        <f t="shared" ca="1" si="85"/>
        <v>99999</v>
      </c>
      <c r="AT58" s="294" t="str">
        <f t="shared" ca="1" si="86"/>
        <v/>
      </c>
      <c r="AU58" s="295" t="str">
        <f t="shared" ca="1" si="87"/>
        <v/>
      </c>
      <c r="AV58" s="139"/>
      <c r="AW58" s="296">
        <f t="shared" ca="1" si="128"/>
        <v>0</v>
      </c>
      <c r="AX58" s="293">
        <f t="shared" ca="1" si="88"/>
        <v>99999</v>
      </c>
      <c r="AY58" s="139" t="str">
        <f t="shared" ca="1" si="89"/>
        <v/>
      </c>
      <c r="AZ58" s="139" t="str">
        <f t="shared" ca="1" si="90"/>
        <v/>
      </c>
      <c r="BA58" s="294">
        <f t="shared" ca="1" si="91"/>
        <v>99999</v>
      </c>
      <c r="BB58" s="294" t="str">
        <f t="shared" ca="1" si="92"/>
        <v/>
      </c>
      <c r="BC58" s="295" t="str">
        <f t="shared" ca="1" si="93"/>
        <v/>
      </c>
      <c r="BD58" s="44"/>
      <c r="BE58" s="296">
        <f t="shared" ca="1" si="129"/>
        <v>0</v>
      </c>
      <c r="BF58" s="293">
        <f t="shared" ca="1" si="94"/>
        <v>99999</v>
      </c>
      <c r="BG58" s="139" t="str">
        <f t="shared" ca="1" si="95"/>
        <v/>
      </c>
      <c r="BH58" s="139" t="str">
        <f t="shared" ca="1" si="96"/>
        <v/>
      </c>
      <c r="BI58" s="294">
        <f t="shared" ca="1" si="97"/>
        <v>99999</v>
      </c>
      <c r="BJ58" s="294" t="str">
        <f t="shared" ca="1" si="98"/>
        <v/>
      </c>
      <c r="BK58" s="295" t="str">
        <f t="shared" ca="1" si="99"/>
        <v/>
      </c>
      <c r="BL58" s="139"/>
      <c r="BM58" s="296">
        <f t="shared" ca="1" si="130"/>
        <v>0</v>
      </c>
      <c r="BN58" s="293">
        <f t="shared" ca="1" si="100"/>
        <v>99999</v>
      </c>
      <c r="BO58" s="139" t="str">
        <f t="shared" ca="1" si="101"/>
        <v/>
      </c>
      <c r="BP58" s="139" t="str">
        <f t="shared" ca="1" si="102"/>
        <v/>
      </c>
      <c r="BQ58" s="294">
        <f t="shared" ca="1" si="103"/>
        <v>99999</v>
      </c>
      <c r="BR58" s="294" t="str">
        <f t="shared" ca="1" si="104"/>
        <v/>
      </c>
      <c r="BS58" s="295" t="str">
        <f t="shared" ca="1" si="105"/>
        <v/>
      </c>
      <c r="BT58" s="44"/>
      <c r="BU58" s="296">
        <f t="shared" ca="1" si="131"/>
        <v>0</v>
      </c>
      <c r="BV58" s="293">
        <f t="shared" ca="1" si="106"/>
        <v>99999</v>
      </c>
      <c r="BW58" s="139" t="str">
        <f t="shared" ca="1" si="107"/>
        <v/>
      </c>
      <c r="BX58" s="139" t="str">
        <f t="shared" ca="1" si="108"/>
        <v/>
      </c>
      <c r="BY58" s="294">
        <f t="shared" ca="1" si="109"/>
        <v>99999</v>
      </c>
      <c r="BZ58" s="294" t="str">
        <f t="shared" ca="1" si="110"/>
        <v/>
      </c>
      <c r="CA58" s="295" t="str">
        <f t="shared" ca="1" si="111"/>
        <v/>
      </c>
      <c r="CB58" s="139"/>
      <c r="CC58" s="296">
        <f t="shared" ca="1" si="132"/>
        <v>0</v>
      </c>
      <c r="CD58" s="293">
        <f t="shared" ca="1" si="112"/>
        <v>99999</v>
      </c>
      <c r="CE58" s="139" t="str">
        <f t="shared" ca="1" si="113"/>
        <v/>
      </c>
      <c r="CF58" s="139" t="str">
        <f t="shared" ca="1" si="114"/>
        <v/>
      </c>
      <c r="CG58" s="294">
        <f t="shared" ca="1" si="115"/>
        <v>99999</v>
      </c>
      <c r="CH58" s="294" t="str">
        <f t="shared" ca="1" si="116"/>
        <v/>
      </c>
      <c r="CI58" s="295" t="str">
        <f t="shared" ca="1" si="117"/>
        <v/>
      </c>
      <c r="CJ58" s="44"/>
      <c r="CK58" s="296">
        <f t="shared" ca="1" si="133"/>
        <v>0</v>
      </c>
      <c r="CL58" s="293">
        <f t="shared" ca="1" si="118"/>
        <v>99999</v>
      </c>
      <c r="CM58" s="139" t="str">
        <f t="shared" ca="1" si="119"/>
        <v/>
      </c>
      <c r="CN58" s="139" t="str">
        <f t="shared" ca="1" si="120"/>
        <v/>
      </c>
      <c r="CO58" s="294">
        <f t="shared" ca="1" si="121"/>
        <v>99999</v>
      </c>
      <c r="CP58" s="294" t="str">
        <f t="shared" ca="1" si="122"/>
        <v/>
      </c>
      <c r="CQ58" s="295" t="str">
        <f t="shared" ca="1" si="123"/>
        <v/>
      </c>
      <c r="CR58" s="44"/>
      <c r="CS58" s="44"/>
    </row>
    <row r="59" spans="1:97" ht="15.95" customHeight="1" x14ac:dyDescent="0.25">
      <c r="A59" s="44"/>
      <c r="B59" s="44"/>
      <c r="C59" s="44"/>
      <c r="D59" s="114">
        <f t="shared" ca="1" si="57"/>
        <v>0</v>
      </c>
      <c r="E59" s="114" t="str">
        <f t="shared" ca="1" si="0"/>
        <v/>
      </c>
      <c r="F59" s="114">
        <f ca="1">IF($E59="",0,COUNTIF($E$7:$E59,INDEX($E$79:$E$150,ROW($A53))))</f>
        <v>0</v>
      </c>
      <c r="G59" s="142"/>
      <c r="H59" s="137">
        <v>53</v>
      </c>
      <c r="I59" s="164" t="str">
        <f ca="1">IF(OR($Y$3,$H59&gt;Calc!$B$13/2*$D$6),"",$U$6+QUOTIENT(($H59-1),$U$22)*($U$8+$U$10)/1440+SUM($R$7:$R58)/1440)</f>
        <v/>
      </c>
      <c r="J59" s="166" t="str">
        <f ca="1">IF(OR($Y$3,$H59&gt;Calc!$B$13/2*$D$6),"",MOD(($H59-1),$U$22)+1)</f>
        <v/>
      </c>
      <c r="K59" s="417" t="str">
        <f ca="1"/>
        <v/>
      </c>
      <c r="L59" s="418" t="s">
        <v>4</v>
      </c>
      <c r="M59" s="419" t="str">
        <f ca="1"/>
        <v/>
      </c>
      <c r="N59" s="47" t="str">
        <f t="shared" ca="1" si="68"/>
        <v/>
      </c>
      <c r="O59" s="45" t="s">
        <v>4</v>
      </c>
      <c r="P59" s="46" t="str">
        <f t="shared" ca="1" si="69"/>
        <v/>
      </c>
      <c r="Q59" s="281"/>
      <c r="R59" s="427"/>
      <c r="S59" s="157"/>
      <c r="T59" s="135"/>
      <c r="U59" s="136"/>
      <c r="V59" s="159"/>
      <c r="W59" s="159"/>
      <c r="X59" s="139">
        <f t="shared" ca="1" si="124"/>
        <v>0</v>
      </c>
      <c r="Y59" s="296">
        <f t="shared" ca="1" si="125"/>
        <v>0</v>
      </c>
      <c r="Z59" s="293">
        <f t="shared" ca="1" si="70"/>
        <v>99999</v>
      </c>
      <c r="AA59" s="139" t="str">
        <f t="shared" ca="1" si="71"/>
        <v/>
      </c>
      <c r="AB59" s="139" t="str">
        <f t="shared" ca="1" si="72"/>
        <v/>
      </c>
      <c r="AC59" s="294">
        <f t="shared" ca="1" si="73"/>
        <v>99999</v>
      </c>
      <c r="AD59" s="294" t="str">
        <f t="shared" ca="1" si="74"/>
        <v/>
      </c>
      <c r="AE59" s="295" t="str">
        <f t="shared" ca="1" si="75"/>
        <v/>
      </c>
      <c r="AF59" s="139"/>
      <c r="AG59" s="296">
        <f t="shared" ca="1" si="126"/>
        <v>0</v>
      </c>
      <c r="AH59" s="293">
        <f t="shared" ca="1" si="76"/>
        <v>99999</v>
      </c>
      <c r="AI59" s="139" t="str">
        <f t="shared" ca="1" si="77"/>
        <v/>
      </c>
      <c r="AJ59" s="139" t="str">
        <f t="shared" ca="1" si="78"/>
        <v/>
      </c>
      <c r="AK59" s="294">
        <f t="shared" ca="1" si="79"/>
        <v>99999</v>
      </c>
      <c r="AL59" s="294" t="str">
        <f t="shared" ca="1" si="80"/>
        <v/>
      </c>
      <c r="AM59" s="295" t="str">
        <f t="shared" ca="1" si="81"/>
        <v/>
      </c>
      <c r="AN59" s="44"/>
      <c r="AO59" s="296">
        <f t="shared" ca="1" si="127"/>
        <v>0</v>
      </c>
      <c r="AP59" s="293">
        <f t="shared" ca="1" si="82"/>
        <v>99999</v>
      </c>
      <c r="AQ59" s="139" t="str">
        <f t="shared" ca="1" si="83"/>
        <v/>
      </c>
      <c r="AR59" s="139" t="str">
        <f t="shared" ca="1" si="84"/>
        <v/>
      </c>
      <c r="AS59" s="294">
        <f t="shared" ca="1" si="85"/>
        <v>99999</v>
      </c>
      <c r="AT59" s="294" t="str">
        <f t="shared" ca="1" si="86"/>
        <v/>
      </c>
      <c r="AU59" s="295" t="str">
        <f t="shared" ca="1" si="87"/>
        <v/>
      </c>
      <c r="AV59" s="139"/>
      <c r="AW59" s="296">
        <f t="shared" ca="1" si="128"/>
        <v>0</v>
      </c>
      <c r="AX59" s="293">
        <f t="shared" ca="1" si="88"/>
        <v>99999</v>
      </c>
      <c r="AY59" s="139" t="str">
        <f t="shared" ca="1" si="89"/>
        <v/>
      </c>
      <c r="AZ59" s="139" t="str">
        <f t="shared" ca="1" si="90"/>
        <v/>
      </c>
      <c r="BA59" s="294">
        <f t="shared" ca="1" si="91"/>
        <v>99999</v>
      </c>
      <c r="BB59" s="294" t="str">
        <f t="shared" ca="1" si="92"/>
        <v/>
      </c>
      <c r="BC59" s="295" t="str">
        <f t="shared" ca="1" si="93"/>
        <v/>
      </c>
      <c r="BD59" s="44"/>
      <c r="BE59" s="296">
        <f t="shared" ca="1" si="129"/>
        <v>0</v>
      </c>
      <c r="BF59" s="293">
        <f t="shared" ca="1" si="94"/>
        <v>99999</v>
      </c>
      <c r="BG59" s="139" t="str">
        <f t="shared" ca="1" si="95"/>
        <v/>
      </c>
      <c r="BH59" s="139" t="str">
        <f t="shared" ca="1" si="96"/>
        <v/>
      </c>
      <c r="BI59" s="294">
        <f t="shared" ca="1" si="97"/>
        <v>99999</v>
      </c>
      <c r="BJ59" s="294" t="str">
        <f t="shared" ca="1" si="98"/>
        <v/>
      </c>
      <c r="BK59" s="295" t="str">
        <f t="shared" ca="1" si="99"/>
        <v/>
      </c>
      <c r="BL59" s="139"/>
      <c r="BM59" s="296">
        <f t="shared" ca="1" si="130"/>
        <v>0</v>
      </c>
      <c r="BN59" s="293">
        <f t="shared" ca="1" si="100"/>
        <v>99999</v>
      </c>
      <c r="BO59" s="139" t="str">
        <f t="shared" ca="1" si="101"/>
        <v/>
      </c>
      <c r="BP59" s="139" t="str">
        <f t="shared" ca="1" si="102"/>
        <v/>
      </c>
      <c r="BQ59" s="294">
        <f t="shared" ca="1" si="103"/>
        <v>99999</v>
      </c>
      <c r="BR59" s="294" t="str">
        <f t="shared" ca="1" si="104"/>
        <v/>
      </c>
      <c r="BS59" s="295" t="str">
        <f t="shared" ca="1" si="105"/>
        <v/>
      </c>
      <c r="BT59" s="44"/>
      <c r="BU59" s="296">
        <f t="shared" ca="1" si="131"/>
        <v>0</v>
      </c>
      <c r="BV59" s="293">
        <f t="shared" ca="1" si="106"/>
        <v>99999</v>
      </c>
      <c r="BW59" s="139" t="str">
        <f t="shared" ca="1" si="107"/>
        <v/>
      </c>
      <c r="BX59" s="139" t="str">
        <f t="shared" ca="1" si="108"/>
        <v/>
      </c>
      <c r="BY59" s="294">
        <f t="shared" ca="1" si="109"/>
        <v>99999</v>
      </c>
      <c r="BZ59" s="294" t="str">
        <f t="shared" ca="1" si="110"/>
        <v/>
      </c>
      <c r="CA59" s="295" t="str">
        <f t="shared" ca="1" si="111"/>
        <v/>
      </c>
      <c r="CB59" s="139"/>
      <c r="CC59" s="296">
        <f t="shared" ca="1" si="132"/>
        <v>0</v>
      </c>
      <c r="CD59" s="293">
        <f t="shared" ca="1" si="112"/>
        <v>99999</v>
      </c>
      <c r="CE59" s="139" t="str">
        <f t="shared" ca="1" si="113"/>
        <v/>
      </c>
      <c r="CF59" s="139" t="str">
        <f t="shared" ca="1" si="114"/>
        <v/>
      </c>
      <c r="CG59" s="294">
        <f t="shared" ca="1" si="115"/>
        <v>99999</v>
      </c>
      <c r="CH59" s="294" t="str">
        <f t="shared" ca="1" si="116"/>
        <v/>
      </c>
      <c r="CI59" s="295" t="str">
        <f t="shared" ca="1" si="117"/>
        <v/>
      </c>
      <c r="CJ59" s="44"/>
      <c r="CK59" s="296">
        <f t="shared" ca="1" si="133"/>
        <v>0</v>
      </c>
      <c r="CL59" s="293">
        <f t="shared" ca="1" si="118"/>
        <v>99999</v>
      </c>
      <c r="CM59" s="139" t="str">
        <f t="shared" ca="1" si="119"/>
        <v/>
      </c>
      <c r="CN59" s="139" t="str">
        <f t="shared" ca="1" si="120"/>
        <v/>
      </c>
      <c r="CO59" s="294">
        <f t="shared" ca="1" si="121"/>
        <v>99999</v>
      </c>
      <c r="CP59" s="294" t="str">
        <f t="shared" ca="1" si="122"/>
        <v/>
      </c>
      <c r="CQ59" s="295" t="str">
        <f t="shared" ca="1" si="123"/>
        <v/>
      </c>
      <c r="CR59" s="44"/>
      <c r="CS59" s="44"/>
    </row>
    <row r="60" spans="1:97" ht="15.95" customHeight="1" x14ac:dyDescent="0.25">
      <c r="A60" s="44"/>
      <c r="B60" s="44"/>
      <c r="C60" s="44"/>
      <c r="D60" s="114">
        <f t="shared" ca="1" si="57"/>
        <v>0</v>
      </c>
      <c r="E60" s="114" t="str">
        <f t="shared" ca="1" si="0"/>
        <v/>
      </c>
      <c r="F60" s="114">
        <f ca="1">IF($E60="",0,COUNTIF($E$7:$E60,INDEX($E$79:$E$150,ROW($A54))))</f>
        <v>0</v>
      </c>
      <c r="G60" s="142"/>
      <c r="H60" s="137">
        <v>54</v>
      </c>
      <c r="I60" s="164" t="str">
        <f ca="1">IF(OR($Y$3,$H60&gt;Calc!$B$13/2*$D$6),"",$U$6+QUOTIENT(($H60-1),$U$22)*($U$8+$U$10)/1440+SUM($R$7:$R59)/1440)</f>
        <v/>
      </c>
      <c r="J60" s="166" t="str">
        <f ca="1">IF(OR($Y$3,$H60&gt;Calc!$B$13/2*$D$6),"",MOD(($H60-1),$U$22)+1)</f>
        <v/>
      </c>
      <c r="K60" s="417" t="str">
        <f ca="1"/>
        <v/>
      </c>
      <c r="L60" s="418" t="s">
        <v>4</v>
      </c>
      <c r="M60" s="419" t="str">
        <f ca="1"/>
        <v/>
      </c>
      <c r="N60" s="47" t="str">
        <f t="shared" ca="1" si="68"/>
        <v/>
      </c>
      <c r="O60" s="45" t="s">
        <v>4</v>
      </c>
      <c r="P60" s="46" t="str">
        <f t="shared" ca="1" si="69"/>
        <v/>
      </c>
      <c r="Q60" s="281"/>
      <c r="R60" s="427"/>
      <c r="S60" s="157"/>
      <c r="T60" s="135"/>
      <c r="U60" s="136"/>
      <c r="V60" s="159"/>
      <c r="W60" s="159"/>
      <c r="X60" s="139">
        <f t="shared" ca="1" si="124"/>
        <v>0</v>
      </c>
      <c r="Y60" s="296">
        <f t="shared" ca="1" si="125"/>
        <v>0</v>
      </c>
      <c r="Z60" s="293">
        <f t="shared" ca="1" si="70"/>
        <v>99999</v>
      </c>
      <c r="AA60" s="139" t="str">
        <f t="shared" ca="1" si="71"/>
        <v/>
      </c>
      <c r="AB60" s="139" t="str">
        <f t="shared" ca="1" si="72"/>
        <v/>
      </c>
      <c r="AC60" s="294">
        <f t="shared" ca="1" si="73"/>
        <v>99999</v>
      </c>
      <c r="AD60" s="294" t="str">
        <f t="shared" ca="1" si="74"/>
        <v/>
      </c>
      <c r="AE60" s="295" t="str">
        <f t="shared" ca="1" si="75"/>
        <v/>
      </c>
      <c r="AF60" s="139"/>
      <c r="AG60" s="296">
        <f t="shared" ca="1" si="126"/>
        <v>0</v>
      </c>
      <c r="AH60" s="293">
        <f t="shared" ca="1" si="76"/>
        <v>99999</v>
      </c>
      <c r="AI60" s="139" t="str">
        <f t="shared" ca="1" si="77"/>
        <v/>
      </c>
      <c r="AJ60" s="139" t="str">
        <f t="shared" ca="1" si="78"/>
        <v/>
      </c>
      <c r="AK60" s="294">
        <f t="shared" ca="1" si="79"/>
        <v>99999</v>
      </c>
      <c r="AL60" s="294" t="str">
        <f t="shared" ca="1" si="80"/>
        <v/>
      </c>
      <c r="AM60" s="295" t="str">
        <f t="shared" ca="1" si="81"/>
        <v/>
      </c>
      <c r="AN60" s="44"/>
      <c r="AO60" s="296">
        <f t="shared" ca="1" si="127"/>
        <v>0</v>
      </c>
      <c r="AP60" s="293">
        <f t="shared" ca="1" si="82"/>
        <v>99999</v>
      </c>
      <c r="AQ60" s="139" t="str">
        <f t="shared" ca="1" si="83"/>
        <v/>
      </c>
      <c r="AR60" s="139" t="str">
        <f t="shared" ca="1" si="84"/>
        <v/>
      </c>
      <c r="AS60" s="294">
        <f t="shared" ca="1" si="85"/>
        <v>99999</v>
      </c>
      <c r="AT60" s="294" t="str">
        <f t="shared" ca="1" si="86"/>
        <v/>
      </c>
      <c r="AU60" s="295" t="str">
        <f t="shared" ca="1" si="87"/>
        <v/>
      </c>
      <c r="AV60" s="139"/>
      <c r="AW60" s="296">
        <f t="shared" ca="1" si="128"/>
        <v>0</v>
      </c>
      <c r="AX60" s="293">
        <f t="shared" ca="1" si="88"/>
        <v>99999</v>
      </c>
      <c r="AY60" s="139" t="str">
        <f t="shared" ca="1" si="89"/>
        <v/>
      </c>
      <c r="AZ60" s="139" t="str">
        <f t="shared" ca="1" si="90"/>
        <v/>
      </c>
      <c r="BA60" s="294">
        <f t="shared" ca="1" si="91"/>
        <v>99999</v>
      </c>
      <c r="BB60" s="294" t="str">
        <f t="shared" ca="1" si="92"/>
        <v/>
      </c>
      <c r="BC60" s="295" t="str">
        <f t="shared" ca="1" si="93"/>
        <v/>
      </c>
      <c r="BD60" s="44"/>
      <c r="BE60" s="296">
        <f t="shared" ca="1" si="129"/>
        <v>0</v>
      </c>
      <c r="BF60" s="293">
        <f t="shared" ca="1" si="94"/>
        <v>99999</v>
      </c>
      <c r="BG60" s="139" t="str">
        <f t="shared" ca="1" si="95"/>
        <v/>
      </c>
      <c r="BH60" s="139" t="str">
        <f t="shared" ca="1" si="96"/>
        <v/>
      </c>
      <c r="BI60" s="294">
        <f t="shared" ca="1" si="97"/>
        <v>99999</v>
      </c>
      <c r="BJ60" s="294" t="str">
        <f t="shared" ca="1" si="98"/>
        <v/>
      </c>
      <c r="BK60" s="295" t="str">
        <f t="shared" ca="1" si="99"/>
        <v/>
      </c>
      <c r="BL60" s="139"/>
      <c r="BM60" s="296">
        <f t="shared" ca="1" si="130"/>
        <v>0</v>
      </c>
      <c r="BN60" s="293">
        <f t="shared" ca="1" si="100"/>
        <v>99999</v>
      </c>
      <c r="BO60" s="139" t="str">
        <f t="shared" ca="1" si="101"/>
        <v/>
      </c>
      <c r="BP60" s="139" t="str">
        <f t="shared" ca="1" si="102"/>
        <v/>
      </c>
      <c r="BQ60" s="294">
        <f t="shared" ca="1" si="103"/>
        <v>99999</v>
      </c>
      <c r="BR60" s="294" t="str">
        <f t="shared" ca="1" si="104"/>
        <v/>
      </c>
      <c r="BS60" s="295" t="str">
        <f t="shared" ca="1" si="105"/>
        <v/>
      </c>
      <c r="BT60" s="44"/>
      <c r="BU60" s="296">
        <f t="shared" ca="1" si="131"/>
        <v>0</v>
      </c>
      <c r="BV60" s="293">
        <f t="shared" ca="1" si="106"/>
        <v>99999</v>
      </c>
      <c r="BW60" s="139" t="str">
        <f t="shared" ca="1" si="107"/>
        <v/>
      </c>
      <c r="BX60" s="139" t="str">
        <f t="shared" ca="1" si="108"/>
        <v/>
      </c>
      <c r="BY60" s="294">
        <f t="shared" ca="1" si="109"/>
        <v>99999</v>
      </c>
      <c r="BZ60" s="294" t="str">
        <f t="shared" ca="1" si="110"/>
        <v/>
      </c>
      <c r="CA60" s="295" t="str">
        <f t="shared" ca="1" si="111"/>
        <v/>
      </c>
      <c r="CB60" s="139"/>
      <c r="CC60" s="296">
        <f t="shared" ca="1" si="132"/>
        <v>0</v>
      </c>
      <c r="CD60" s="293">
        <f t="shared" ca="1" si="112"/>
        <v>99999</v>
      </c>
      <c r="CE60" s="139" t="str">
        <f t="shared" ca="1" si="113"/>
        <v/>
      </c>
      <c r="CF60" s="139" t="str">
        <f t="shared" ca="1" si="114"/>
        <v/>
      </c>
      <c r="CG60" s="294">
        <f t="shared" ca="1" si="115"/>
        <v>99999</v>
      </c>
      <c r="CH60" s="294" t="str">
        <f t="shared" ca="1" si="116"/>
        <v/>
      </c>
      <c r="CI60" s="295" t="str">
        <f t="shared" ca="1" si="117"/>
        <v/>
      </c>
      <c r="CJ60" s="44"/>
      <c r="CK60" s="296">
        <f t="shared" ca="1" si="133"/>
        <v>0</v>
      </c>
      <c r="CL60" s="293">
        <f t="shared" ca="1" si="118"/>
        <v>99999</v>
      </c>
      <c r="CM60" s="139" t="str">
        <f t="shared" ca="1" si="119"/>
        <v/>
      </c>
      <c r="CN60" s="139" t="str">
        <f t="shared" ca="1" si="120"/>
        <v/>
      </c>
      <c r="CO60" s="294">
        <f t="shared" ca="1" si="121"/>
        <v>99999</v>
      </c>
      <c r="CP60" s="294" t="str">
        <f t="shared" ca="1" si="122"/>
        <v/>
      </c>
      <c r="CQ60" s="295" t="str">
        <f t="shared" ca="1" si="123"/>
        <v/>
      </c>
      <c r="CR60" s="44"/>
      <c r="CS60" s="44"/>
    </row>
    <row r="61" spans="1:97" ht="15.95" customHeight="1" x14ac:dyDescent="0.25">
      <c r="A61" s="44"/>
      <c r="B61" s="44"/>
      <c r="C61" s="44"/>
      <c r="D61" s="114">
        <f t="shared" ca="1" si="57"/>
        <v>0</v>
      </c>
      <c r="E61" s="114" t="str">
        <f t="shared" ca="1" si="0"/>
        <v/>
      </c>
      <c r="F61" s="114">
        <f ca="1">IF($E61="",0,COUNTIF($E$7:$E61,INDEX($E$79:$E$150,ROW($A55))))</f>
        <v>0</v>
      </c>
      <c r="G61" s="142"/>
      <c r="H61" s="137">
        <v>55</v>
      </c>
      <c r="I61" s="164" t="str">
        <f ca="1">IF(OR($Y$3,$H61&gt;Calc!$B$13/2*$D$6),"",$U$6+QUOTIENT(($H61-1),$U$22)*($U$8+$U$10)/1440+SUM($R$7:$R60)/1440)</f>
        <v/>
      </c>
      <c r="J61" s="166" t="str">
        <f ca="1">IF(OR($Y$3,$H61&gt;Calc!$B$13/2*$D$6),"",MOD(($H61-1),$U$22)+1)</f>
        <v/>
      </c>
      <c r="K61" s="417" t="str">
        <f ca="1"/>
        <v/>
      </c>
      <c r="L61" s="418" t="s">
        <v>4</v>
      </c>
      <c r="M61" s="419" t="str">
        <f ca="1"/>
        <v/>
      </c>
      <c r="N61" s="47" t="str">
        <f t="shared" ca="1" si="68"/>
        <v/>
      </c>
      <c r="O61" s="45" t="s">
        <v>4</v>
      </c>
      <c r="P61" s="46" t="str">
        <f t="shared" ca="1" si="69"/>
        <v/>
      </c>
      <c r="Q61" s="281"/>
      <c r="R61" s="427"/>
      <c r="S61" s="157"/>
      <c r="T61" s="135"/>
      <c r="U61" s="136"/>
      <c r="V61" s="159"/>
      <c r="W61" s="159"/>
      <c r="X61" s="139">
        <f t="shared" ca="1" si="124"/>
        <v>0</v>
      </c>
      <c r="Y61" s="296">
        <f t="shared" ca="1" si="125"/>
        <v>0</v>
      </c>
      <c r="Z61" s="293">
        <f t="shared" ca="1" si="70"/>
        <v>99999</v>
      </c>
      <c r="AA61" s="139" t="str">
        <f t="shared" ca="1" si="71"/>
        <v/>
      </c>
      <c r="AB61" s="139" t="str">
        <f t="shared" ca="1" si="72"/>
        <v/>
      </c>
      <c r="AC61" s="294">
        <f t="shared" ca="1" si="73"/>
        <v>99999</v>
      </c>
      <c r="AD61" s="294" t="str">
        <f t="shared" ca="1" si="74"/>
        <v/>
      </c>
      <c r="AE61" s="295" t="str">
        <f t="shared" ca="1" si="75"/>
        <v/>
      </c>
      <c r="AF61" s="139"/>
      <c r="AG61" s="296">
        <f t="shared" ca="1" si="126"/>
        <v>0</v>
      </c>
      <c r="AH61" s="293">
        <f t="shared" ca="1" si="76"/>
        <v>99999</v>
      </c>
      <c r="AI61" s="139" t="str">
        <f t="shared" ca="1" si="77"/>
        <v/>
      </c>
      <c r="AJ61" s="139" t="str">
        <f t="shared" ca="1" si="78"/>
        <v/>
      </c>
      <c r="AK61" s="294">
        <f t="shared" ca="1" si="79"/>
        <v>99999</v>
      </c>
      <c r="AL61" s="294" t="str">
        <f t="shared" ca="1" si="80"/>
        <v/>
      </c>
      <c r="AM61" s="295" t="str">
        <f t="shared" ca="1" si="81"/>
        <v/>
      </c>
      <c r="AN61" s="44"/>
      <c r="AO61" s="296">
        <f t="shared" ca="1" si="127"/>
        <v>0</v>
      </c>
      <c r="AP61" s="293">
        <f t="shared" ca="1" si="82"/>
        <v>99999</v>
      </c>
      <c r="AQ61" s="139" t="str">
        <f t="shared" ca="1" si="83"/>
        <v/>
      </c>
      <c r="AR61" s="139" t="str">
        <f t="shared" ca="1" si="84"/>
        <v/>
      </c>
      <c r="AS61" s="294">
        <f t="shared" ca="1" si="85"/>
        <v>99999</v>
      </c>
      <c r="AT61" s="294" t="str">
        <f t="shared" ca="1" si="86"/>
        <v/>
      </c>
      <c r="AU61" s="295" t="str">
        <f t="shared" ca="1" si="87"/>
        <v/>
      </c>
      <c r="AV61" s="139"/>
      <c r="AW61" s="296">
        <f t="shared" ca="1" si="128"/>
        <v>0</v>
      </c>
      <c r="AX61" s="293">
        <f t="shared" ca="1" si="88"/>
        <v>99999</v>
      </c>
      <c r="AY61" s="139" t="str">
        <f t="shared" ca="1" si="89"/>
        <v/>
      </c>
      <c r="AZ61" s="139" t="str">
        <f t="shared" ca="1" si="90"/>
        <v/>
      </c>
      <c r="BA61" s="294">
        <f t="shared" ca="1" si="91"/>
        <v>99999</v>
      </c>
      <c r="BB61" s="294" t="str">
        <f t="shared" ca="1" si="92"/>
        <v/>
      </c>
      <c r="BC61" s="295" t="str">
        <f t="shared" ca="1" si="93"/>
        <v/>
      </c>
      <c r="BD61" s="44"/>
      <c r="BE61" s="296">
        <f t="shared" ca="1" si="129"/>
        <v>0</v>
      </c>
      <c r="BF61" s="293">
        <f t="shared" ca="1" si="94"/>
        <v>99999</v>
      </c>
      <c r="BG61" s="139" t="str">
        <f t="shared" ca="1" si="95"/>
        <v/>
      </c>
      <c r="BH61" s="139" t="str">
        <f t="shared" ca="1" si="96"/>
        <v/>
      </c>
      <c r="BI61" s="294">
        <f t="shared" ca="1" si="97"/>
        <v>99999</v>
      </c>
      <c r="BJ61" s="294" t="str">
        <f t="shared" ca="1" si="98"/>
        <v/>
      </c>
      <c r="BK61" s="295" t="str">
        <f t="shared" ca="1" si="99"/>
        <v/>
      </c>
      <c r="BL61" s="139"/>
      <c r="BM61" s="296">
        <f t="shared" ca="1" si="130"/>
        <v>0</v>
      </c>
      <c r="BN61" s="293">
        <f t="shared" ca="1" si="100"/>
        <v>99999</v>
      </c>
      <c r="BO61" s="139" t="str">
        <f t="shared" ca="1" si="101"/>
        <v/>
      </c>
      <c r="BP61" s="139" t="str">
        <f t="shared" ca="1" si="102"/>
        <v/>
      </c>
      <c r="BQ61" s="294">
        <f t="shared" ca="1" si="103"/>
        <v>99999</v>
      </c>
      <c r="BR61" s="294" t="str">
        <f t="shared" ca="1" si="104"/>
        <v/>
      </c>
      <c r="BS61" s="295" t="str">
        <f t="shared" ca="1" si="105"/>
        <v/>
      </c>
      <c r="BT61" s="44"/>
      <c r="BU61" s="296">
        <f t="shared" ca="1" si="131"/>
        <v>0</v>
      </c>
      <c r="BV61" s="293">
        <f t="shared" ca="1" si="106"/>
        <v>99999</v>
      </c>
      <c r="BW61" s="139" t="str">
        <f t="shared" ca="1" si="107"/>
        <v/>
      </c>
      <c r="BX61" s="139" t="str">
        <f t="shared" ca="1" si="108"/>
        <v/>
      </c>
      <c r="BY61" s="294">
        <f t="shared" ca="1" si="109"/>
        <v>99999</v>
      </c>
      <c r="BZ61" s="294" t="str">
        <f t="shared" ca="1" si="110"/>
        <v/>
      </c>
      <c r="CA61" s="295" t="str">
        <f t="shared" ca="1" si="111"/>
        <v/>
      </c>
      <c r="CB61" s="139"/>
      <c r="CC61" s="296">
        <f t="shared" ca="1" si="132"/>
        <v>0</v>
      </c>
      <c r="CD61" s="293">
        <f t="shared" ca="1" si="112"/>
        <v>99999</v>
      </c>
      <c r="CE61" s="139" t="str">
        <f t="shared" ca="1" si="113"/>
        <v/>
      </c>
      <c r="CF61" s="139" t="str">
        <f t="shared" ca="1" si="114"/>
        <v/>
      </c>
      <c r="CG61" s="294">
        <f t="shared" ca="1" si="115"/>
        <v>99999</v>
      </c>
      <c r="CH61" s="294" t="str">
        <f t="shared" ca="1" si="116"/>
        <v/>
      </c>
      <c r="CI61" s="295" t="str">
        <f t="shared" ca="1" si="117"/>
        <v/>
      </c>
      <c r="CJ61" s="44"/>
      <c r="CK61" s="296">
        <f t="shared" ca="1" si="133"/>
        <v>0</v>
      </c>
      <c r="CL61" s="293">
        <f t="shared" ca="1" si="118"/>
        <v>99999</v>
      </c>
      <c r="CM61" s="139" t="str">
        <f t="shared" ca="1" si="119"/>
        <v/>
      </c>
      <c r="CN61" s="139" t="str">
        <f t="shared" ca="1" si="120"/>
        <v/>
      </c>
      <c r="CO61" s="294">
        <f t="shared" ca="1" si="121"/>
        <v>99999</v>
      </c>
      <c r="CP61" s="294" t="str">
        <f t="shared" ca="1" si="122"/>
        <v/>
      </c>
      <c r="CQ61" s="295" t="str">
        <f t="shared" ca="1" si="123"/>
        <v/>
      </c>
      <c r="CR61" s="44"/>
      <c r="CS61" s="44"/>
    </row>
    <row r="62" spans="1:97" ht="15.95" customHeight="1" x14ac:dyDescent="0.25">
      <c r="A62" s="44"/>
      <c r="B62" s="44"/>
      <c r="C62" s="44"/>
      <c r="D62" s="114">
        <f t="shared" ca="1" si="57"/>
        <v>0</v>
      </c>
      <c r="E62" s="114" t="str">
        <f t="shared" ca="1" si="0"/>
        <v/>
      </c>
      <c r="F62" s="114">
        <f ca="1">IF($E62="",0,COUNTIF($E$7:$E62,INDEX($E$79:$E$150,ROW($A56))))</f>
        <v>0</v>
      </c>
      <c r="G62" s="142"/>
      <c r="H62" s="137">
        <v>56</v>
      </c>
      <c r="I62" s="164" t="str">
        <f ca="1">IF(OR($Y$3,$H62&gt;Calc!$B$13/2*$D$6),"",$U$6+QUOTIENT(($H62-1),$U$22)*($U$8+$U$10)/1440+SUM($R$7:$R61)/1440)</f>
        <v/>
      </c>
      <c r="J62" s="166" t="str">
        <f ca="1">IF(OR($Y$3,$H62&gt;Calc!$B$13/2*$D$6),"",MOD(($H62-1),$U$22)+1)</f>
        <v/>
      </c>
      <c r="K62" s="417" t="str">
        <f ca="1"/>
        <v/>
      </c>
      <c r="L62" s="418" t="s">
        <v>4</v>
      </c>
      <c r="M62" s="419" t="str">
        <f ca="1"/>
        <v/>
      </c>
      <c r="N62" s="47" t="str">
        <f t="shared" ca="1" si="68"/>
        <v/>
      </c>
      <c r="O62" s="45" t="s">
        <v>4</v>
      </c>
      <c r="P62" s="46" t="str">
        <f t="shared" ca="1" si="69"/>
        <v/>
      </c>
      <c r="Q62" s="281"/>
      <c r="R62" s="427"/>
      <c r="S62" s="157"/>
      <c r="T62" s="135"/>
      <c r="U62" s="136"/>
      <c r="V62" s="159"/>
      <c r="W62" s="159"/>
      <c r="X62" s="139">
        <f t="shared" ca="1" si="124"/>
        <v>0</v>
      </c>
      <c r="Y62" s="296">
        <f t="shared" ca="1" si="125"/>
        <v>0</v>
      </c>
      <c r="Z62" s="293">
        <f t="shared" ca="1" si="70"/>
        <v>99999</v>
      </c>
      <c r="AA62" s="139" t="str">
        <f t="shared" ca="1" si="71"/>
        <v/>
      </c>
      <c r="AB62" s="139" t="str">
        <f t="shared" ca="1" si="72"/>
        <v/>
      </c>
      <c r="AC62" s="294">
        <f t="shared" ca="1" si="73"/>
        <v>99999</v>
      </c>
      <c r="AD62" s="294" t="str">
        <f t="shared" ca="1" si="74"/>
        <v/>
      </c>
      <c r="AE62" s="295" t="str">
        <f t="shared" ca="1" si="75"/>
        <v/>
      </c>
      <c r="AF62" s="139"/>
      <c r="AG62" s="296">
        <f t="shared" ca="1" si="126"/>
        <v>0</v>
      </c>
      <c r="AH62" s="293">
        <f t="shared" ca="1" si="76"/>
        <v>99999</v>
      </c>
      <c r="AI62" s="139" t="str">
        <f t="shared" ca="1" si="77"/>
        <v/>
      </c>
      <c r="AJ62" s="139" t="str">
        <f t="shared" ca="1" si="78"/>
        <v/>
      </c>
      <c r="AK62" s="294">
        <f t="shared" ca="1" si="79"/>
        <v>99999</v>
      </c>
      <c r="AL62" s="294" t="str">
        <f t="shared" ca="1" si="80"/>
        <v/>
      </c>
      <c r="AM62" s="295" t="str">
        <f t="shared" ca="1" si="81"/>
        <v/>
      </c>
      <c r="AN62" s="44"/>
      <c r="AO62" s="296">
        <f t="shared" ca="1" si="127"/>
        <v>0</v>
      </c>
      <c r="AP62" s="293">
        <f t="shared" ca="1" si="82"/>
        <v>99999</v>
      </c>
      <c r="AQ62" s="139" t="str">
        <f t="shared" ca="1" si="83"/>
        <v/>
      </c>
      <c r="AR62" s="139" t="str">
        <f t="shared" ca="1" si="84"/>
        <v/>
      </c>
      <c r="AS62" s="294">
        <f t="shared" ca="1" si="85"/>
        <v>99999</v>
      </c>
      <c r="AT62" s="294" t="str">
        <f t="shared" ca="1" si="86"/>
        <v/>
      </c>
      <c r="AU62" s="295" t="str">
        <f t="shared" ca="1" si="87"/>
        <v/>
      </c>
      <c r="AV62" s="139"/>
      <c r="AW62" s="296">
        <f t="shared" ca="1" si="128"/>
        <v>0</v>
      </c>
      <c r="AX62" s="293">
        <f t="shared" ca="1" si="88"/>
        <v>99999</v>
      </c>
      <c r="AY62" s="139" t="str">
        <f t="shared" ca="1" si="89"/>
        <v/>
      </c>
      <c r="AZ62" s="139" t="str">
        <f t="shared" ca="1" si="90"/>
        <v/>
      </c>
      <c r="BA62" s="294">
        <f t="shared" ca="1" si="91"/>
        <v>99999</v>
      </c>
      <c r="BB62" s="294" t="str">
        <f t="shared" ca="1" si="92"/>
        <v/>
      </c>
      <c r="BC62" s="295" t="str">
        <f t="shared" ca="1" si="93"/>
        <v/>
      </c>
      <c r="BD62" s="44"/>
      <c r="BE62" s="296">
        <f t="shared" ca="1" si="129"/>
        <v>0</v>
      </c>
      <c r="BF62" s="293">
        <f t="shared" ca="1" si="94"/>
        <v>99999</v>
      </c>
      <c r="BG62" s="139" t="str">
        <f t="shared" ca="1" si="95"/>
        <v/>
      </c>
      <c r="BH62" s="139" t="str">
        <f t="shared" ca="1" si="96"/>
        <v/>
      </c>
      <c r="BI62" s="294">
        <f t="shared" ca="1" si="97"/>
        <v>99999</v>
      </c>
      <c r="BJ62" s="294" t="str">
        <f t="shared" ca="1" si="98"/>
        <v/>
      </c>
      <c r="BK62" s="295" t="str">
        <f t="shared" ca="1" si="99"/>
        <v/>
      </c>
      <c r="BL62" s="139"/>
      <c r="BM62" s="296">
        <f t="shared" ca="1" si="130"/>
        <v>0</v>
      </c>
      <c r="BN62" s="293">
        <f t="shared" ca="1" si="100"/>
        <v>99999</v>
      </c>
      <c r="BO62" s="139" t="str">
        <f t="shared" ca="1" si="101"/>
        <v/>
      </c>
      <c r="BP62" s="139" t="str">
        <f t="shared" ca="1" si="102"/>
        <v/>
      </c>
      <c r="BQ62" s="294">
        <f t="shared" ca="1" si="103"/>
        <v>99999</v>
      </c>
      <c r="BR62" s="294" t="str">
        <f t="shared" ca="1" si="104"/>
        <v/>
      </c>
      <c r="BS62" s="295" t="str">
        <f t="shared" ca="1" si="105"/>
        <v/>
      </c>
      <c r="BT62" s="44"/>
      <c r="BU62" s="296">
        <f t="shared" ca="1" si="131"/>
        <v>0</v>
      </c>
      <c r="BV62" s="293">
        <f t="shared" ca="1" si="106"/>
        <v>99999</v>
      </c>
      <c r="BW62" s="139" t="str">
        <f t="shared" ca="1" si="107"/>
        <v/>
      </c>
      <c r="BX62" s="139" t="str">
        <f t="shared" ca="1" si="108"/>
        <v/>
      </c>
      <c r="BY62" s="294">
        <f t="shared" ca="1" si="109"/>
        <v>99999</v>
      </c>
      <c r="BZ62" s="294" t="str">
        <f t="shared" ca="1" si="110"/>
        <v/>
      </c>
      <c r="CA62" s="295" t="str">
        <f t="shared" ca="1" si="111"/>
        <v/>
      </c>
      <c r="CB62" s="139"/>
      <c r="CC62" s="296">
        <f t="shared" ca="1" si="132"/>
        <v>0</v>
      </c>
      <c r="CD62" s="293">
        <f t="shared" ca="1" si="112"/>
        <v>99999</v>
      </c>
      <c r="CE62" s="139" t="str">
        <f t="shared" ca="1" si="113"/>
        <v/>
      </c>
      <c r="CF62" s="139" t="str">
        <f t="shared" ca="1" si="114"/>
        <v/>
      </c>
      <c r="CG62" s="294">
        <f t="shared" ca="1" si="115"/>
        <v>99999</v>
      </c>
      <c r="CH62" s="294" t="str">
        <f t="shared" ca="1" si="116"/>
        <v/>
      </c>
      <c r="CI62" s="295" t="str">
        <f t="shared" ca="1" si="117"/>
        <v/>
      </c>
      <c r="CJ62" s="44"/>
      <c r="CK62" s="296">
        <f t="shared" ca="1" si="133"/>
        <v>0</v>
      </c>
      <c r="CL62" s="293">
        <f t="shared" ca="1" si="118"/>
        <v>99999</v>
      </c>
      <c r="CM62" s="139" t="str">
        <f t="shared" ca="1" si="119"/>
        <v/>
      </c>
      <c r="CN62" s="139" t="str">
        <f t="shared" ca="1" si="120"/>
        <v/>
      </c>
      <c r="CO62" s="294">
        <f t="shared" ca="1" si="121"/>
        <v>99999</v>
      </c>
      <c r="CP62" s="294" t="str">
        <f t="shared" ca="1" si="122"/>
        <v/>
      </c>
      <c r="CQ62" s="295" t="str">
        <f t="shared" ca="1" si="123"/>
        <v/>
      </c>
      <c r="CR62" s="44"/>
      <c r="CS62" s="44"/>
    </row>
    <row r="63" spans="1:97" ht="15.95" customHeight="1" x14ac:dyDescent="0.25">
      <c r="A63" s="44"/>
      <c r="B63" s="44"/>
      <c r="C63" s="44"/>
      <c r="D63" s="114">
        <f t="shared" ca="1" si="57"/>
        <v>0</v>
      </c>
      <c r="E63" s="114" t="str">
        <f t="shared" ca="1" si="0"/>
        <v/>
      </c>
      <c r="F63" s="114">
        <f ca="1">IF($E63="",0,COUNTIF($E$7:$E63,INDEX($E$79:$E$150,ROW($A57))))</f>
        <v>0</v>
      </c>
      <c r="G63" s="142"/>
      <c r="H63" s="137">
        <v>57</v>
      </c>
      <c r="I63" s="164" t="str">
        <f ca="1">IF(OR($Y$3,$H63&gt;Calc!$B$13/2*$D$6),"",$U$6+QUOTIENT(($H63-1),$U$22)*($U$8+$U$10)/1440+SUM($R$7:$R62)/1440)</f>
        <v/>
      </c>
      <c r="J63" s="166" t="str">
        <f ca="1">IF(OR($Y$3,$H63&gt;Calc!$B$13/2*$D$6),"",MOD(($H63-1),$U$22)+1)</f>
        <v/>
      </c>
      <c r="K63" s="417" t="str">
        <f ca="1"/>
        <v/>
      </c>
      <c r="L63" s="418" t="s">
        <v>4</v>
      </c>
      <c r="M63" s="419" t="str">
        <f ca="1"/>
        <v/>
      </c>
      <c r="N63" s="47" t="str">
        <f t="shared" ca="1" si="68"/>
        <v/>
      </c>
      <c r="O63" s="45" t="s">
        <v>4</v>
      </c>
      <c r="P63" s="46" t="str">
        <f t="shared" ca="1" si="69"/>
        <v/>
      </c>
      <c r="Q63" s="281"/>
      <c r="R63" s="427"/>
      <c r="S63" s="157"/>
      <c r="T63" s="159"/>
      <c r="U63" s="159"/>
      <c r="V63" s="159"/>
      <c r="W63" s="159"/>
      <c r="X63" s="139">
        <f t="shared" ca="1" si="124"/>
        <v>0</v>
      </c>
      <c r="Y63" s="296">
        <f t="shared" ca="1" si="125"/>
        <v>0</v>
      </c>
      <c r="Z63" s="293">
        <f t="shared" ca="1" si="70"/>
        <v>99999</v>
      </c>
      <c r="AA63" s="139" t="str">
        <f t="shared" ca="1" si="71"/>
        <v/>
      </c>
      <c r="AB63" s="139" t="str">
        <f t="shared" ca="1" si="72"/>
        <v/>
      </c>
      <c r="AC63" s="294">
        <f t="shared" ca="1" si="73"/>
        <v>99999</v>
      </c>
      <c r="AD63" s="294" t="str">
        <f t="shared" ca="1" si="74"/>
        <v/>
      </c>
      <c r="AE63" s="295" t="str">
        <f t="shared" ca="1" si="75"/>
        <v/>
      </c>
      <c r="AF63" s="139"/>
      <c r="AG63" s="296">
        <f t="shared" ca="1" si="126"/>
        <v>0</v>
      </c>
      <c r="AH63" s="293">
        <f t="shared" ca="1" si="76"/>
        <v>99999</v>
      </c>
      <c r="AI63" s="139" t="str">
        <f t="shared" ca="1" si="77"/>
        <v/>
      </c>
      <c r="AJ63" s="139" t="str">
        <f t="shared" ca="1" si="78"/>
        <v/>
      </c>
      <c r="AK63" s="294">
        <f t="shared" ca="1" si="79"/>
        <v>99999</v>
      </c>
      <c r="AL63" s="294" t="str">
        <f t="shared" ca="1" si="80"/>
        <v/>
      </c>
      <c r="AM63" s="295" t="str">
        <f t="shared" ca="1" si="81"/>
        <v/>
      </c>
      <c r="AN63" s="44"/>
      <c r="AO63" s="296">
        <f t="shared" ca="1" si="127"/>
        <v>0</v>
      </c>
      <c r="AP63" s="293">
        <f t="shared" ca="1" si="82"/>
        <v>99999</v>
      </c>
      <c r="AQ63" s="139" t="str">
        <f t="shared" ca="1" si="83"/>
        <v/>
      </c>
      <c r="AR63" s="139" t="str">
        <f t="shared" ca="1" si="84"/>
        <v/>
      </c>
      <c r="AS63" s="294">
        <f t="shared" ca="1" si="85"/>
        <v>99999</v>
      </c>
      <c r="AT63" s="294" t="str">
        <f t="shared" ca="1" si="86"/>
        <v/>
      </c>
      <c r="AU63" s="295" t="str">
        <f t="shared" ca="1" si="87"/>
        <v/>
      </c>
      <c r="AV63" s="139"/>
      <c r="AW63" s="296">
        <f t="shared" ca="1" si="128"/>
        <v>0</v>
      </c>
      <c r="AX63" s="293">
        <f t="shared" ca="1" si="88"/>
        <v>99999</v>
      </c>
      <c r="AY63" s="139" t="str">
        <f t="shared" ca="1" si="89"/>
        <v/>
      </c>
      <c r="AZ63" s="139" t="str">
        <f t="shared" ca="1" si="90"/>
        <v/>
      </c>
      <c r="BA63" s="294">
        <f t="shared" ca="1" si="91"/>
        <v>99999</v>
      </c>
      <c r="BB63" s="294" t="str">
        <f t="shared" ca="1" si="92"/>
        <v/>
      </c>
      <c r="BC63" s="295" t="str">
        <f t="shared" ca="1" si="93"/>
        <v/>
      </c>
      <c r="BD63" s="44"/>
      <c r="BE63" s="296">
        <f t="shared" ca="1" si="129"/>
        <v>0</v>
      </c>
      <c r="BF63" s="293">
        <f t="shared" ca="1" si="94"/>
        <v>99999</v>
      </c>
      <c r="BG63" s="139" t="str">
        <f t="shared" ca="1" si="95"/>
        <v/>
      </c>
      <c r="BH63" s="139" t="str">
        <f t="shared" ca="1" si="96"/>
        <v/>
      </c>
      <c r="BI63" s="294">
        <f t="shared" ca="1" si="97"/>
        <v>99999</v>
      </c>
      <c r="BJ63" s="294" t="str">
        <f t="shared" ca="1" si="98"/>
        <v/>
      </c>
      <c r="BK63" s="295" t="str">
        <f t="shared" ca="1" si="99"/>
        <v/>
      </c>
      <c r="BL63" s="139"/>
      <c r="BM63" s="296">
        <f t="shared" ca="1" si="130"/>
        <v>0</v>
      </c>
      <c r="BN63" s="293">
        <f t="shared" ca="1" si="100"/>
        <v>99999</v>
      </c>
      <c r="BO63" s="139" t="str">
        <f t="shared" ca="1" si="101"/>
        <v/>
      </c>
      <c r="BP63" s="139" t="str">
        <f t="shared" ca="1" si="102"/>
        <v/>
      </c>
      <c r="BQ63" s="294">
        <f t="shared" ca="1" si="103"/>
        <v>99999</v>
      </c>
      <c r="BR63" s="294" t="str">
        <f t="shared" ca="1" si="104"/>
        <v/>
      </c>
      <c r="BS63" s="295" t="str">
        <f t="shared" ca="1" si="105"/>
        <v/>
      </c>
      <c r="BT63" s="44"/>
      <c r="BU63" s="296">
        <f t="shared" ca="1" si="131"/>
        <v>0</v>
      </c>
      <c r="BV63" s="293">
        <f t="shared" ca="1" si="106"/>
        <v>99999</v>
      </c>
      <c r="BW63" s="139" t="str">
        <f t="shared" ca="1" si="107"/>
        <v/>
      </c>
      <c r="BX63" s="139" t="str">
        <f t="shared" ca="1" si="108"/>
        <v/>
      </c>
      <c r="BY63" s="294">
        <f t="shared" ca="1" si="109"/>
        <v>99999</v>
      </c>
      <c r="BZ63" s="294" t="str">
        <f t="shared" ca="1" si="110"/>
        <v/>
      </c>
      <c r="CA63" s="295" t="str">
        <f t="shared" ca="1" si="111"/>
        <v/>
      </c>
      <c r="CB63" s="139"/>
      <c r="CC63" s="296">
        <f t="shared" ca="1" si="132"/>
        <v>0</v>
      </c>
      <c r="CD63" s="293">
        <f t="shared" ca="1" si="112"/>
        <v>99999</v>
      </c>
      <c r="CE63" s="139" t="str">
        <f t="shared" ca="1" si="113"/>
        <v/>
      </c>
      <c r="CF63" s="139" t="str">
        <f t="shared" ca="1" si="114"/>
        <v/>
      </c>
      <c r="CG63" s="294">
        <f t="shared" ca="1" si="115"/>
        <v>99999</v>
      </c>
      <c r="CH63" s="294" t="str">
        <f t="shared" ca="1" si="116"/>
        <v/>
      </c>
      <c r="CI63" s="295" t="str">
        <f t="shared" ca="1" si="117"/>
        <v/>
      </c>
      <c r="CJ63" s="44"/>
      <c r="CK63" s="296">
        <f t="shared" ca="1" si="133"/>
        <v>0</v>
      </c>
      <c r="CL63" s="293">
        <f t="shared" ca="1" si="118"/>
        <v>99999</v>
      </c>
      <c r="CM63" s="139" t="str">
        <f t="shared" ca="1" si="119"/>
        <v/>
      </c>
      <c r="CN63" s="139" t="str">
        <f t="shared" ca="1" si="120"/>
        <v/>
      </c>
      <c r="CO63" s="294">
        <f t="shared" ca="1" si="121"/>
        <v>99999</v>
      </c>
      <c r="CP63" s="294" t="str">
        <f t="shared" ca="1" si="122"/>
        <v/>
      </c>
      <c r="CQ63" s="295" t="str">
        <f t="shared" ca="1" si="123"/>
        <v/>
      </c>
      <c r="CR63" s="44"/>
      <c r="CS63" s="44"/>
    </row>
    <row r="64" spans="1:97" ht="15.95" customHeight="1" x14ac:dyDescent="0.25">
      <c r="A64" s="44"/>
      <c r="B64" s="44"/>
      <c r="C64" s="44"/>
      <c r="D64" s="114">
        <f t="shared" ca="1" si="57"/>
        <v>0</v>
      </c>
      <c r="E64" s="114" t="str">
        <f t="shared" ca="1" si="0"/>
        <v/>
      </c>
      <c r="F64" s="114">
        <f ca="1">IF($E64="",0,COUNTIF($E$7:$E64,INDEX($E$79:$E$150,ROW($A58))))</f>
        <v>0</v>
      </c>
      <c r="G64" s="142"/>
      <c r="H64" s="137">
        <v>58</v>
      </c>
      <c r="I64" s="164" t="str">
        <f ca="1">IF(OR($Y$3,$H64&gt;Calc!$B$13/2*$D$6),"",$U$6+QUOTIENT(($H64-1),$U$22)*($U$8+$U$10)/1440+SUM($R$7:$R63)/1440)</f>
        <v/>
      </c>
      <c r="J64" s="166" t="str">
        <f ca="1">IF(OR($Y$3,$H64&gt;Calc!$B$13/2*$D$6),"",MOD(($H64-1),$U$22)+1)</f>
        <v/>
      </c>
      <c r="K64" s="417" t="str">
        <f ca="1"/>
        <v/>
      </c>
      <c r="L64" s="418" t="s">
        <v>4</v>
      </c>
      <c r="M64" s="419" t="str">
        <f ca="1"/>
        <v/>
      </c>
      <c r="N64" s="47" t="str">
        <f t="shared" ca="1" si="68"/>
        <v/>
      </c>
      <c r="O64" s="45" t="s">
        <v>4</v>
      </c>
      <c r="P64" s="46" t="str">
        <f t="shared" ca="1" si="69"/>
        <v/>
      </c>
      <c r="Q64" s="281"/>
      <c r="R64" s="427"/>
      <c r="S64" s="157"/>
      <c r="T64" s="158"/>
      <c r="U64" s="158"/>
      <c r="V64" s="158"/>
      <c r="W64" s="158"/>
      <c r="X64" s="139">
        <f t="shared" ca="1" si="124"/>
        <v>0</v>
      </c>
      <c r="Y64" s="296">
        <f t="shared" ca="1" si="125"/>
        <v>0</v>
      </c>
      <c r="Z64" s="293">
        <f t="shared" ca="1" si="70"/>
        <v>99999</v>
      </c>
      <c r="AA64" s="139" t="str">
        <f t="shared" ca="1" si="71"/>
        <v/>
      </c>
      <c r="AB64" s="139" t="str">
        <f t="shared" ca="1" si="72"/>
        <v/>
      </c>
      <c r="AC64" s="294">
        <f t="shared" ca="1" si="73"/>
        <v>99999</v>
      </c>
      <c r="AD64" s="294" t="str">
        <f t="shared" ca="1" si="74"/>
        <v/>
      </c>
      <c r="AE64" s="295" t="str">
        <f t="shared" ca="1" si="75"/>
        <v/>
      </c>
      <c r="AF64" s="139"/>
      <c r="AG64" s="296">
        <f t="shared" ca="1" si="126"/>
        <v>0</v>
      </c>
      <c r="AH64" s="293">
        <f t="shared" ca="1" si="76"/>
        <v>99999</v>
      </c>
      <c r="AI64" s="139" t="str">
        <f t="shared" ca="1" si="77"/>
        <v/>
      </c>
      <c r="AJ64" s="139" t="str">
        <f t="shared" ca="1" si="78"/>
        <v/>
      </c>
      <c r="AK64" s="294">
        <f t="shared" ca="1" si="79"/>
        <v>99999</v>
      </c>
      <c r="AL64" s="294" t="str">
        <f t="shared" ca="1" si="80"/>
        <v/>
      </c>
      <c r="AM64" s="295" t="str">
        <f t="shared" ca="1" si="81"/>
        <v/>
      </c>
      <c r="AN64" s="44"/>
      <c r="AO64" s="296">
        <f t="shared" ca="1" si="127"/>
        <v>0</v>
      </c>
      <c r="AP64" s="293">
        <f t="shared" ca="1" si="82"/>
        <v>99999</v>
      </c>
      <c r="AQ64" s="139" t="str">
        <f t="shared" ca="1" si="83"/>
        <v/>
      </c>
      <c r="AR64" s="139" t="str">
        <f t="shared" ca="1" si="84"/>
        <v/>
      </c>
      <c r="AS64" s="294">
        <f t="shared" ca="1" si="85"/>
        <v>99999</v>
      </c>
      <c r="AT64" s="294" t="str">
        <f t="shared" ca="1" si="86"/>
        <v/>
      </c>
      <c r="AU64" s="295" t="str">
        <f t="shared" ca="1" si="87"/>
        <v/>
      </c>
      <c r="AV64" s="139"/>
      <c r="AW64" s="296">
        <f t="shared" ca="1" si="128"/>
        <v>0</v>
      </c>
      <c r="AX64" s="293">
        <f t="shared" ca="1" si="88"/>
        <v>99999</v>
      </c>
      <c r="AY64" s="139" t="str">
        <f t="shared" ca="1" si="89"/>
        <v/>
      </c>
      <c r="AZ64" s="139" t="str">
        <f t="shared" ca="1" si="90"/>
        <v/>
      </c>
      <c r="BA64" s="294">
        <f t="shared" ca="1" si="91"/>
        <v>99999</v>
      </c>
      <c r="BB64" s="294" t="str">
        <f t="shared" ca="1" si="92"/>
        <v/>
      </c>
      <c r="BC64" s="295" t="str">
        <f t="shared" ca="1" si="93"/>
        <v/>
      </c>
      <c r="BD64" s="44"/>
      <c r="BE64" s="296">
        <f t="shared" ca="1" si="129"/>
        <v>0</v>
      </c>
      <c r="BF64" s="293">
        <f t="shared" ca="1" si="94"/>
        <v>99999</v>
      </c>
      <c r="BG64" s="139" t="str">
        <f t="shared" ca="1" si="95"/>
        <v/>
      </c>
      <c r="BH64" s="139" t="str">
        <f t="shared" ca="1" si="96"/>
        <v/>
      </c>
      <c r="BI64" s="294">
        <f t="shared" ca="1" si="97"/>
        <v>99999</v>
      </c>
      <c r="BJ64" s="294" t="str">
        <f t="shared" ca="1" si="98"/>
        <v/>
      </c>
      <c r="BK64" s="295" t="str">
        <f t="shared" ca="1" si="99"/>
        <v/>
      </c>
      <c r="BL64" s="139"/>
      <c r="BM64" s="296">
        <f t="shared" ca="1" si="130"/>
        <v>0</v>
      </c>
      <c r="BN64" s="293">
        <f t="shared" ca="1" si="100"/>
        <v>99999</v>
      </c>
      <c r="BO64" s="139" t="str">
        <f t="shared" ca="1" si="101"/>
        <v/>
      </c>
      <c r="BP64" s="139" t="str">
        <f t="shared" ca="1" si="102"/>
        <v/>
      </c>
      <c r="BQ64" s="294">
        <f t="shared" ca="1" si="103"/>
        <v>99999</v>
      </c>
      <c r="BR64" s="294" t="str">
        <f t="shared" ca="1" si="104"/>
        <v/>
      </c>
      <c r="BS64" s="295" t="str">
        <f t="shared" ca="1" si="105"/>
        <v/>
      </c>
      <c r="BT64" s="44"/>
      <c r="BU64" s="296">
        <f t="shared" ca="1" si="131"/>
        <v>0</v>
      </c>
      <c r="BV64" s="293">
        <f t="shared" ca="1" si="106"/>
        <v>99999</v>
      </c>
      <c r="BW64" s="139" t="str">
        <f t="shared" ca="1" si="107"/>
        <v/>
      </c>
      <c r="BX64" s="139" t="str">
        <f t="shared" ca="1" si="108"/>
        <v/>
      </c>
      <c r="BY64" s="294">
        <f t="shared" ca="1" si="109"/>
        <v>99999</v>
      </c>
      <c r="BZ64" s="294" t="str">
        <f t="shared" ca="1" si="110"/>
        <v/>
      </c>
      <c r="CA64" s="295" t="str">
        <f t="shared" ca="1" si="111"/>
        <v/>
      </c>
      <c r="CB64" s="139"/>
      <c r="CC64" s="296">
        <f t="shared" ca="1" si="132"/>
        <v>0</v>
      </c>
      <c r="CD64" s="293">
        <f t="shared" ca="1" si="112"/>
        <v>99999</v>
      </c>
      <c r="CE64" s="139" t="str">
        <f t="shared" ca="1" si="113"/>
        <v/>
      </c>
      <c r="CF64" s="139" t="str">
        <f t="shared" ca="1" si="114"/>
        <v/>
      </c>
      <c r="CG64" s="294">
        <f t="shared" ca="1" si="115"/>
        <v>99999</v>
      </c>
      <c r="CH64" s="294" t="str">
        <f t="shared" ca="1" si="116"/>
        <v/>
      </c>
      <c r="CI64" s="295" t="str">
        <f t="shared" ca="1" si="117"/>
        <v/>
      </c>
      <c r="CJ64" s="44"/>
      <c r="CK64" s="296">
        <f t="shared" ca="1" si="133"/>
        <v>0</v>
      </c>
      <c r="CL64" s="293">
        <f t="shared" ca="1" si="118"/>
        <v>99999</v>
      </c>
      <c r="CM64" s="139" t="str">
        <f t="shared" ca="1" si="119"/>
        <v/>
      </c>
      <c r="CN64" s="139" t="str">
        <f t="shared" ca="1" si="120"/>
        <v/>
      </c>
      <c r="CO64" s="294">
        <f t="shared" ca="1" si="121"/>
        <v>99999</v>
      </c>
      <c r="CP64" s="294" t="str">
        <f t="shared" ca="1" si="122"/>
        <v/>
      </c>
      <c r="CQ64" s="295" t="str">
        <f t="shared" ca="1" si="123"/>
        <v/>
      </c>
      <c r="CR64" s="44"/>
      <c r="CS64" s="44"/>
    </row>
    <row r="65" spans="1:97" ht="15.95" customHeight="1" x14ac:dyDescent="0.25">
      <c r="A65" s="44"/>
      <c r="B65" s="44"/>
      <c r="C65" s="44"/>
      <c r="D65" s="114">
        <f t="shared" ca="1" si="57"/>
        <v>0</v>
      </c>
      <c r="E65" s="114" t="str">
        <f t="shared" ca="1" si="0"/>
        <v/>
      </c>
      <c r="F65" s="114">
        <f ca="1">IF($E65="",0,COUNTIF($E$7:$E65,INDEX($E$79:$E$150,ROW($A59))))</f>
        <v>0</v>
      </c>
      <c r="G65" s="142"/>
      <c r="H65" s="137">
        <v>59</v>
      </c>
      <c r="I65" s="164" t="str">
        <f ca="1">IF(OR($Y$3,$H65&gt;Calc!$B$13/2*$D$6),"",$U$6+QUOTIENT(($H65-1),$U$22)*($U$8+$U$10)/1440+SUM($R$7:$R64)/1440)</f>
        <v/>
      </c>
      <c r="J65" s="166" t="str">
        <f ca="1">IF(OR($Y$3,$H65&gt;Calc!$B$13/2*$D$6),"",MOD(($H65-1),$U$22)+1)</f>
        <v/>
      </c>
      <c r="K65" s="417" t="str">
        <f ca="1"/>
        <v/>
      </c>
      <c r="L65" s="418" t="s">
        <v>4</v>
      </c>
      <c r="M65" s="419" t="str">
        <f ca="1"/>
        <v/>
      </c>
      <c r="N65" s="47" t="str">
        <f t="shared" ca="1" si="68"/>
        <v/>
      </c>
      <c r="O65" s="45" t="s">
        <v>4</v>
      </c>
      <c r="P65" s="46" t="str">
        <f t="shared" ca="1" si="69"/>
        <v/>
      </c>
      <c r="Q65" s="281"/>
      <c r="R65" s="427"/>
      <c r="S65" s="157"/>
      <c r="T65" s="158"/>
      <c r="U65" s="158"/>
      <c r="V65" s="158"/>
      <c r="W65" s="158"/>
      <c r="X65" s="139">
        <f t="shared" ca="1" si="124"/>
        <v>0</v>
      </c>
      <c r="Y65" s="296">
        <f t="shared" ca="1" si="125"/>
        <v>0</v>
      </c>
      <c r="Z65" s="293">
        <f t="shared" ca="1" si="70"/>
        <v>99999</v>
      </c>
      <c r="AA65" s="139" t="str">
        <f t="shared" ca="1" si="71"/>
        <v/>
      </c>
      <c r="AB65" s="139" t="str">
        <f t="shared" ca="1" si="72"/>
        <v/>
      </c>
      <c r="AC65" s="294">
        <f t="shared" ca="1" si="73"/>
        <v>99999</v>
      </c>
      <c r="AD65" s="294" t="str">
        <f t="shared" ca="1" si="74"/>
        <v/>
      </c>
      <c r="AE65" s="295" t="str">
        <f t="shared" ca="1" si="75"/>
        <v/>
      </c>
      <c r="AF65" s="139"/>
      <c r="AG65" s="296">
        <f t="shared" ca="1" si="126"/>
        <v>0</v>
      </c>
      <c r="AH65" s="293">
        <f t="shared" ca="1" si="76"/>
        <v>99999</v>
      </c>
      <c r="AI65" s="139" t="str">
        <f t="shared" ca="1" si="77"/>
        <v/>
      </c>
      <c r="AJ65" s="139" t="str">
        <f t="shared" ca="1" si="78"/>
        <v/>
      </c>
      <c r="AK65" s="294">
        <f t="shared" ca="1" si="79"/>
        <v>99999</v>
      </c>
      <c r="AL65" s="294" t="str">
        <f t="shared" ca="1" si="80"/>
        <v/>
      </c>
      <c r="AM65" s="295" t="str">
        <f t="shared" ca="1" si="81"/>
        <v/>
      </c>
      <c r="AN65" s="44"/>
      <c r="AO65" s="296">
        <f t="shared" ca="1" si="127"/>
        <v>0</v>
      </c>
      <c r="AP65" s="293">
        <f t="shared" ca="1" si="82"/>
        <v>99999</v>
      </c>
      <c r="AQ65" s="139" t="str">
        <f t="shared" ca="1" si="83"/>
        <v/>
      </c>
      <c r="AR65" s="139" t="str">
        <f t="shared" ca="1" si="84"/>
        <v/>
      </c>
      <c r="AS65" s="294">
        <f t="shared" ca="1" si="85"/>
        <v>99999</v>
      </c>
      <c r="AT65" s="294" t="str">
        <f t="shared" ca="1" si="86"/>
        <v/>
      </c>
      <c r="AU65" s="295" t="str">
        <f t="shared" ca="1" si="87"/>
        <v/>
      </c>
      <c r="AV65" s="139"/>
      <c r="AW65" s="296">
        <f t="shared" ca="1" si="128"/>
        <v>0</v>
      </c>
      <c r="AX65" s="293">
        <f t="shared" ca="1" si="88"/>
        <v>99999</v>
      </c>
      <c r="AY65" s="139" t="str">
        <f t="shared" ca="1" si="89"/>
        <v/>
      </c>
      <c r="AZ65" s="139" t="str">
        <f t="shared" ca="1" si="90"/>
        <v/>
      </c>
      <c r="BA65" s="294">
        <f t="shared" ca="1" si="91"/>
        <v>99999</v>
      </c>
      <c r="BB65" s="294" t="str">
        <f t="shared" ca="1" si="92"/>
        <v/>
      </c>
      <c r="BC65" s="295" t="str">
        <f t="shared" ca="1" si="93"/>
        <v/>
      </c>
      <c r="BD65" s="44"/>
      <c r="BE65" s="296">
        <f t="shared" ca="1" si="129"/>
        <v>0</v>
      </c>
      <c r="BF65" s="293">
        <f t="shared" ca="1" si="94"/>
        <v>99999</v>
      </c>
      <c r="BG65" s="139" t="str">
        <f t="shared" ca="1" si="95"/>
        <v/>
      </c>
      <c r="BH65" s="139" t="str">
        <f t="shared" ca="1" si="96"/>
        <v/>
      </c>
      <c r="BI65" s="294">
        <f t="shared" ca="1" si="97"/>
        <v>99999</v>
      </c>
      <c r="BJ65" s="294" t="str">
        <f t="shared" ca="1" si="98"/>
        <v/>
      </c>
      <c r="BK65" s="295" t="str">
        <f t="shared" ca="1" si="99"/>
        <v/>
      </c>
      <c r="BL65" s="139"/>
      <c r="BM65" s="296">
        <f t="shared" ca="1" si="130"/>
        <v>0</v>
      </c>
      <c r="BN65" s="293">
        <f t="shared" ca="1" si="100"/>
        <v>99999</v>
      </c>
      <c r="BO65" s="139" t="str">
        <f t="shared" ca="1" si="101"/>
        <v/>
      </c>
      <c r="BP65" s="139" t="str">
        <f t="shared" ca="1" si="102"/>
        <v/>
      </c>
      <c r="BQ65" s="294">
        <f t="shared" ca="1" si="103"/>
        <v>99999</v>
      </c>
      <c r="BR65" s="294" t="str">
        <f t="shared" ca="1" si="104"/>
        <v/>
      </c>
      <c r="BS65" s="295" t="str">
        <f t="shared" ca="1" si="105"/>
        <v/>
      </c>
      <c r="BT65" s="44"/>
      <c r="BU65" s="296">
        <f t="shared" ca="1" si="131"/>
        <v>0</v>
      </c>
      <c r="BV65" s="293">
        <f t="shared" ca="1" si="106"/>
        <v>99999</v>
      </c>
      <c r="BW65" s="139" t="str">
        <f t="shared" ca="1" si="107"/>
        <v/>
      </c>
      <c r="BX65" s="139" t="str">
        <f t="shared" ca="1" si="108"/>
        <v/>
      </c>
      <c r="BY65" s="294">
        <f t="shared" ca="1" si="109"/>
        <v>99999</v>
      </c>
      <c r="BZ65" s="294" t="str">
        <f t="shared" ca="1" si="110"/>
        <v/>
      </c>
      <c r="CA65" s="295" t="str">
        <f t="shared" ca="1" si="111"/>
        <v/>
      </c>
      <c r="CB65" s="139"/>
      <c r="CC65" s="296">
        <f t="shared" ca="1" si="132"/>
        <v>0</v>
      </c>
      <c r="CD65" s="293">
        <f t="shared" ca="1" si="112"/>
        <v>99999</v>
      </c>
      <c r="CE65" s="139" t="str">
        <f t="shared" ca="1" si="113"/>
        <v/>
      </c>
      <c r="CF65" s="139" t="str">
        <f t="shared" ca="1" si="114"/>
        <v/>
      </c>
      <c r="CG65" s="294">
        <f t="shared" ca="1" si="115"/>
        <v>99999</v>
      </c>
      <c r="CH65" s="294" t="str">
        <f t="shared" ca="1" si="116"/>
        <v/>
      </c>
      <c r="CI65" s="295" t="str">
        <f t="shared" ca="1" si="117"/>
        <v/>
      </c>
      <c r="CJ65" s="44"/>
      <c r="CK65" s="296">
        <f t="shared" ca="1" si="133"/>
        <v>0</v>
      </c>
      <c r="CL65" s="293">
        <f t="shared" ca="1" si="118"/>
        <v>99999</v>
      </c>
      <c r="CM65" s="139" t="str">
        <f t="shared" ca="1" si="119"/>
        <v/>
      </c>
      <c r="CN65" s="139" t="str">
        <f t="shared" ca="1" si="120"/>
        <v/>
      </c>
      <c r="CO65" s="294">
        <f t="shared" ca="1" si="121"/>
        <v>99999</v>
      </c>
      <c r="CP65" s="294" t="str">
        <f t="shared" ca="1" si="122"/>
        <v/>
      </c>
      <c r="CQ65" s="295" t="str">
        <f t="shared" ca="1" si="123"/>
        <v/>
      </c>
      <c r="CR65" s="44"/>
      <c r="CS65" s="44"/>
    </row>
    <row r="66" spans="1:97" ht="15.95" customHeight="1" x14ac:dyDescent="0.25">
      <c r="A66" s="44"/>
      <c r="B66" s="44"/>
      <c r="C66" s="44"/>
      <c r="D66" s="114">
        <f t="shared" ca="1" si="57"/>
        <v>0</v>
      </c>
      <c r="E66" s="114" t="str">
        <f t="shared" ca="1" si="0"/>
        <v/>
      </c>
      <c r="F66" s="114">
        <f ca="1">IF($E66="",0,COUNTIF($E$7:$E66,INDEX($E$79:$E$150,ROW($A60))))</f>
        <v>0</v>
      </c>
      <c r="G66" s="142"/>
      <c r="H66" s="137">
        <v>60</v>
      </c>
      <c r="I66" s="164" t="str">
        <f ca="1">IF(OR($Y$3,$H66&gt;Calc!$B$13/2*$D$6),"",$U$6+QUOTIENT(($H66-1),$U$22)*($U$8+$U$10)/1440+SUM($R$7:$R65)/1440)</f>
        <v/>
      </c>
      <c r="J66" s="166" t="str">
        <f ca="1">IF(OR($Y$3,$H66&gt;Calc!$B$13/2*$D$6),"",MOD(($H66-1),$U$22)+1)</f>
        <v/>
      </c>
      <c r="K66" s="417" t="str">
        <f ca="1"/>
        <v/>
      </c>
      <c r="L66" s="418" t="s">
        <v>4</v>
      </c>
      <c r="M66" s="419" t="str">
        <f ca="1"/>
        <v/>
      </c>
      <c r="N66" s="47" t="str">
        <f t="shared" ca="1" si="68"/>
        <v/>
      </c>
      <c r="O66" s="45" t="s">
        <v>4</v>
      </c>
      <c r="P66" s="46" t="str">
        <f t="shared" ca="1" si="69"/>
        <v/>
      </c>
      <c r="Q66" s="281"/>
      <c r="R66" s="427"/>
      <c r="S66" s="157"/>
      <c r="T66" s="158"/>
      <c r="U66" s="158"/>
      <c r="V66" s="158"/>
      <c r="W66" s="158"/>
      <c r="X66" s="139">
        <f t="shared" ca="1" si="124"/>
        <v>0</v>
      </c>
      <c r="Y66" s="296">
        <f t="shared" ca="1" si="125"/>
        <v>0</v>
      </c>
      <c r="Z66" s="293">
        <f t="shared" ca="1" si="70"/>
        <v>99999</v>
      </c>
      <c r="AA66" s="139" t="str">
        <f t="shared" ca="1" si="71"/>
        <v/>
      </c>
      <c r="AB66" s="139" t="str">
        <f t="shared" ca="1" si="72"/>
        <v/>
      </c>
      <c r="AC66" s="294">
        <f t="shared" ca="1" si="73"/>
        <v>99999</v>
      </c>
      <c r="AD66" s="294" t="str">
        <f t="shared" ca="1" si="74"/>
        <v/>
      </c>
      <c r="AE66" s="295" t="str">
        <f t="shared" ca="1" si="75"/>
        <v/>
      </c>
      <c r="AF66" s="139"/>
      <c r="AG66" s="296">
        <f t="shared" ca="1" si="126"/>
        <v>0</v>
      </c>
      <c r="AH66" s="293">
        <f t="shared" ca="1" si="76"/>
        <v>99999</v>
      </c>
      <c r="AI66" s="139" t="str">
        <f t="shared" ca="1" si="77"/>
        <v/>
      </c>
      <c r="AJ66" s="139" t="str">
        <f t="shared" ca="1" si="78"/>
        <v/>
      </c>
      <c r="AK66" s="294">
        <f t="shared" ca="1" si="79"/>
        <v>99999</v>
      </c>
      <c r="AL66" s="294" t="str">
        <f t="shared" ca="1" si="80"/>
        <v/>
      </c>
      <c r="AM66" s="295" t="str">
        <f t="shared" ca="1" si="81"/>
        <v/>
      </c>
      <c r="AN66" s="44"/>
      <c r="AO66" s="296">
        <f t="shared" ca="1" si="127"/>
        <v>0</v>
      </c>
      <c r="AP66" s="293">
        <f t="shared" ca="1" si="82"/>
        <v>99999</v>
      </c>
      <c r="AQ66" s="139" t="str">
        <f t="shared" ca="1" si="83"/>
        <v/>
      </c>
      <c r="AR66" s="139" t="str">
        <f t="shared" ca="1" si="84"/>
        <v/>
      </c>
      <c r="AS66" s="294">
        <f t="shared" ca="1" si="85"/>
        <v>99999</v>
      </c>
      <c r="AT66" s="294" t="str">
        <f t="shared" ca="1" si="86"/>
        <v/>
      </c>
      <c r="AU66" s="295" t="str">
        <f t="shared" ca="1" si="87"/>
        <v/>
      </c>
      <c r="AV66" s="139"/>
      <c r="AW66" s="296">
        <f t="shared" ca="1" si="128"/>
        <v>0</v>
      </c>
      <c r="AX66" s="293">
        <f t="shared" ca="1" si="88"/>
        <v>99999</v>
      </c>
      <c r="AY66" s="139" t="str">
        <f t="shared" ca="1" si="89"/>
        <v/>
      </c>
      <c r="AZ66" s="139" t="str">
        <f t="shared" ca="1" si="90"/>
        <v/>
      </c>
      <c r="BA66" s="294">
        <f t="shared" ca="1" si="91"/>
        <v>99999</v>
      </c>
      <c r="BB66" s="294" t="str">
        <f t="shared" ca="1" si="92"/>
        <v/>
      </c>
      <c r="BC66" s="295" t="str">
        <f t="shared" ca="1" si="93"/>
        <v/>
      </c>
      <c r="BD66" s="44"/>
      <c r="BE66" s="296">
        <f t="shared" ca="1" si="129"/>
        <v>0</v>
      </c>
      <c r="BF66" s="293">
        <f t="shared" ca="1" si="94"/>
        <v>99999</v>
      </c>
      <c r="BG66" s="139" t="str">
        <f t="shared" ca="1" si="95"/>
        <v/>
      </c>
      <c r="BH66" s="139" t="str">
        <f t="shared" ca="1" si="96"/>
        <v/>
      </c>
      <c r="BI66" s="294">
        <f t="shared" ca="1" si="97"/>
        <v>99999</v>
      </c>
      <c r="BJ66" s="294" t="str">
        <f t="shared" ca="1" si="98"/>
        <v/>
      </c>
      <c r="BK66" s="295" t="str">
        <f t="shared" ca="1" si="99"/>
        <v/>
      </c>
      <c r="BL66" s="139"/>
      <c r="BM66" s="296">
        <f t="shared" ca="1" si="130"/>
        <v>0</v>
      </c>
      <c r="BN66" s="293">
        <f t="shared" ca="1" si="100"/>
        <v>99999</v>
      </c>
      <c r="BO66" s="139" t="str">
        <f t="shared" ca="1" si="101"/>
        <v/>
      </c>
      <c r="BP66" s="139" t="str">
        <f t="shared" ca="1" si="102"/>
        <v/>
      </c>
      <c r="BQ66" s="294">
        <f t="shared" ca="1" si="103"/>
        <v>99999</v>
      </c>
      <c r="BR66" s="294" t="str">
        <f t="shared" ca="1" si="104"/>
        <v/>
      </c>
      <c r="BS66" s="295" t="str">
        <f t="shared" ca="1" si="105"/>
        <v/>
      </c>
      <c r="BT66" s="44"/>
      <c r="BU66" s="296">
        <f t="shared" ca="1" si="131"/>
        <v>0</v>
      </c>
      <c r="BV66" s="293">
        <f t="shared" ca="1" si="106"/>
        <v>99999</v>
      </c>
      <c r="BW66" s="139" t="str">
        <f t="shared" ca="1" si="107"/>
        <v/>
      </c>
      <c r="BX66" s="139" t="str">
        <f t="shared" ca="1" si="108"/>
        <v/>
      </c>
      <c r="BY66" s="294">
        <f t="shared" ca="1" si="109"/>
        <v>99999</v>
      </c>
      <c r="BZ66" s="294" t="str">
        <f t="shared" ca="1" si="110"/>
        <v/>
      </c>
      <c r="CA66" s="295" t="str">
        <f t="shared" ca="1" si="111"/>
        <v/>
      </c>
      <c r="CB66" s="139"/>
      <c r="CC66" s="296">
        <f t="shared" ca="1" si="132"/>
        <v>0</v>
      </c>
      <c r="CD66" s="293">
        <f t="shared" ca="1" si="112"/>
        <v>99999</v>
      </c>
      <c r="CE66" s="139" t="str">
        <f t="shared" ca="1" si="113"/>
        <v/>
      </c>
      <c r="CF66" s="139" t="str">
        <f t="shared" ca="1" si="114"/>
        <v/>
      </c>
      <c r="CG66" s="294">
        <f t="shared" ca="1" si="115"/>
        <v>99999</v>
      </c>
      <c r="CH66" s="294" t="str">
        <f t="shared" ca="1" si="116"/>
        <v/>
      </c>
      <c r="CI66" s="295" t="str">
        <f t="shared" ca="1" si="117"/>
        <v/>
      </c>
      <c r="CJ66" s="44"/>
      <c r="CK66" s="296">
        <f t="shared" ca="1" si="133"/>
        <v>0</v>
      </c>
      <c r="CL66" s="293">
        <f t="shared" ca="1" si="118"/>
        <v>99999</v>
      </c>
      <c r="CM66" s="139" t="str">
        <f t="shared" ca="1" si="119"/>
        <v/>
      </c>
      <c r="CN66" s="139" t="str">
        <f t="shared" ca="1" si="120"/>
        <v/>
      </c>
      <c r="CO66" s="294">
        <f t="shared" ca="1" si="121"/>
        <v>99999</v>
      </c>
      <c r="CP66" s="294" t="str">
        <f t="shared" ca="1" si="122"/>
        <v/>
      </c>
      <c r="CQ66" s="295" t="str">
        <f t="shared" ca="1" si="123"/>
        <v/>
      </c>
      <c r="CR66" s="44"/>
      <c r="CS66" s="44"/>
    </row>
    <row r="67" spans="1:97" ht="15.95" customHeight="1" x14ac:dyDescent="0.25">
      <c r="A67" s="44"/>
      <c r="B67" s="44"/>
      <c r="C67" s="44"/>
      <c r="D67" s="114">
        <f t="shared" ca="1" si="57"/>
        <v>0</v>
      </c>
      <c r="E67" s="114" t="str">
        <f t="shared" ca="1" si="0"/>
        <v/>
      </c>
      <c r="F67" s="114">
        <f ca="1">IF($E67="",0,COUNTIF($E$7:$E67,INDEX($E$79:$E$150,ROW($A61))))</f>
        <v>0</v>
      </c>
      <c r="G67" s="142"/>
      <c r="H67" s="137">
        <v>61</v>
      </c>
      <c r="I67" s="164" t="str">
        <f ca="1">IF(OR($Y$3,$H67&gt;Calc!$B$13/2*$D$6),"",$U$6+QUOTIENT(($H67-1),$U$22)*($U$8+$U$10)/1440+SUM($R$7:$R66)/1440)</f>
        <v/>
      </c>
      <c r="J67" s="166" t="str">
        <f ca="1">IF(OR($Y$3,$H67&gt;Calc!$B$13/2*$D$6),"",MOD(($H67-1),$U$22)+1)</f>
        <v/>
      </c>
      <c r="K67" s="417" t="str">
        <f ca="1"/>
        <v/>
      </c>
      <c r="L67" s="418" t="s">
        <v>4</v>
      </c>
      <c r="M67" s="419" t="str">
        <f ca="1"/>
        <v/>
      </c>
      <c r="N67" s="47" t="str">
        <f t="shared" ca="1" si="68"/>
        <v/>
      </c>
      <c r="O67" s="45" t="s">
        <v>4</v>
      </c>
      <c r="P67" s="46" t="str">
        <f t="shared" ca="1" si="69"/>
        <v/>
      </c>
      <c r="Q67" s="281"/>
      <c r="R67" s="427"/>
      <c r="S67" s="157"/>
      <c r="T67" s="158"/>
      <c r="U67" s="158"/>
      <c r="V67" s="158"/>
      <c r="W67" s="158"/>
      <c r="X67" s="139">
        <f t="shared" ca="1" si="124"/>
        <v>0</v>
      </c>
      <c r="Y67" s="296">
        <f t="shared" ca="1" si="125"/>
        <v>0</v>
      </c>
      <c r="Z67" s="293">
        <f t="shared" ca="1" si="70"/>
        <v>99999</v>
      </c>
      <c r="AA67" s="139" t="str">
        <f t="shared" ca="1" si="71"/>
        <v/>
      </c>
      <c r="AB67" s="139" t="str">
        <f t="shared" ca="1" si="72"/>
        <v/>
      </c>
      <c r="AC67" s="294">
        <f t="shared" ca="1" si="73"/>
        <v>99999</v>
      </c>
      <c r="AD67" s="294" t="str">
        <f t="shared" ca="1" si="74"/>
        <v/>
      </c>
      <c r="AE67" s="295" t="str">
        <f t="shared" ca="1" si="75"/>
        <v/>
      </c>
      <c r="AF67" s="139"/>
      <c r="AG67" s="296">
        <f t="shared" ca="1" si="126"/>
        <v>0</v>
      </c>
      <c r="AH67" s="293">
        <f t="shared" ca="1" si="76"/>
        <v>99999</v>
      </c>
      <c r="AI67" s="139" t="str">
        <f t="shared" ca="1" si="77"/>
        <v/>
      </c>
      <c r="AJ67" s="139" t="str">
        <f t="shared" ca="1" si="78"/>
        <v/>
      </c>
      <c r="AK67" s="294">
        <f t="shared" ca="1" si="79"/>
        <v>99999</v>
      </c>
      <c r="AL67" s="294" t="str">
        <f t="shared" ca="1" si="80"/>
        <v/>
      </c>
      <c r="AM67" s="295" t="str">
        <f t="shared" ca="1" si="81"/>
        <v/>
      </c>
      <c r="AN67" s="44"/>
      <c r="AO67" s="296">
        <f t="shared" ca="1" si="127"/>
        <v>0</v>
      </c>
      <c r="AP67" s="293">
        <f t="shared" ca="1" si="82"/>
        <v>99999</v>
      </c>
      <c r="AQ67" s="139" t="str">
        <f t="shared" ca="1" si="83"/>
        <v/>
      </c>
      <c r="AR67" s="139" t="str">
        <f t="shared" ca="1" si="84"/>
        <v/>
      </c>
      <c r="AS67" s="294">
        <f t="shared" ca="1" si="85"/>
        <v>99999</v>
      </c>
      <c r="AT67" s="294" t="str">
        <f t="shared" ca="1" si="86"/>
        <v/>
      </c>
      <c r="AU67" s="295" t="str">
        <f t="shared" ca="1" si="87"/>
        <v/>
      </c>
      <c r="AV67" s="139"/>
      <c r="AW67" s="296">
        <f t="shared" ca="1" si="128"/>
        <v>0</v>
      </c>
      <c r="AX67" s="293">
        <f t="shared" ca="1" si="88"/>
        <v>99999</v>
      </c>
      <c r="AY67" s="139" t="str">
        <f t="shared" ca="1" si="89"/>
        <v/>
      </c>
      <c r="AZ67" s="139" t="str">
        <f t="shared" ca="1" si="90"/>
        <v/>
      </c>
      <c r="BA67" s="294">
        <f t="shared" ca="1" si="91"/>
        <v>99999</v>
      </c>
      <c r="BB67" s="294" t="str">
        <f t="shared" ca="1" si="92"/>
        <v/>
      </c>
      <c r="BC67" s="295" t="str">
        <f t="shared" ca="1" si="93"/>
        <v/>
      </c>
      <c r="BD67" s="44"/>
      <c r="BE67" s="296">
        <f t="shared" ca="1" si="129"/>
        <v>0</v>
      </c>
      <c r="BF67" s="293">
        <f t="shared" ca="1" si="94"/>
        <v>99999</v>
      </c>
      <c r="BG67" s="139" t="str">
        <f t="shared" ca="1" si="95"/>
        <v/>
      </c>
      <c r="BH67" s="139" t="str">
        <f t="shared" ca="1" si="96"/>
        <v/>
      </c>
      <c r="BI67" s="294">
        <f t="shared" ca="1" si="97"/>
        <v>99999</v>
      </c>
      <c r="BJ67" s="294" t="str">
        <f t="shared" ca="1" si="98"/>
        <v/>
      </c>
      <c r="BK67" s="295" t="str">
        <f t="shared" ca="1" si="99"/>
        <v/>
      </c>
      <c r="BL67" s="139"/>
      <c r="BM67" s="296">
        <f t="shared" ca="1" si="130"/>
        <v>0</v>
      </c>
      <c r="BN67" s="293">
        <f t="shared" ca="1" si="100"/>
        <v>99999</v>
      </c>
      <c r="BO67" s="139" t="str">
        <f t="shared" ca="1" si="101"/>
        <v/>
      </c>
      <c r="BP67" s="139" t="str">
        <f t="shared" ca="1" si="102"/>
        <v/>
      </c>
      <c r="BQ67" s="294">
        <f t="shared" ca="1" si="103"/>
        <v>99999</v>
      </c>
      <c r="BR67" s="294" t="str">
        <f t="shared" ca="1" si="104"/>
        <v/>
      </c>
      <c r="BS67" s="295" t="str">
        <f t="shared" ca="1" si="105"/>
        <v/>
      </c>
      <c r="BT67" s="44"/>
      <c r="BU67" s="296">
        <f t="shared" ca="1" si="131"/>
        <v>0</v>
      </c>
      <c r="BV67" s="293">
        <f t="shared" ca="1" si="106"/>
        <v>99999</v>
      </c>
      <c r="BW67" s="139" t="str">
        <f t="shared" ca="1" si="107"/>
        <v/>
      </c>
      <c r="BX67" s="139" t="str">
        <f t="shared" ca="1" si="108"/>
        <v/>
      </c>
      <c r="BY67" s="294">
        <f t="shared" ca="1" si="109"/>
        <v>99999</v>
      </c>
      <c r="BZ67" s="294" t="str">
        <f t="shared" ca="1" si="110"/>
        <v/>
      </c>
      <c r="CA67" s="295" t="str">
        <f t="shared" ca="1" si="111"/>
        <v/>
      </c>
      <c r="CB67" s="139"/>
      <c r="CC67" s="296">
        <f t="shared" ca="1" si="132"/>
        <v>0</v>
      </c>
      <c r="CD67" s="293">
        <f t="shared" ca="1" si="112"/>
        <v>99999</v>
      </c>
      <c r="CE67" s="139" t="str">
        <f t="shared" ca="1" si="113"/>
        <v/>
      </c>
      <c r="CF67" s="139" t="str">
        <f t="shared" ca="1" si="114"/>
        <v/>
      </c>
      <c r="CG67" s="294">
        <f t="shared" ca="1" si="115"/>
        <v>99999</v>
      </c>
      <c r="CH67" s="294" t="str">
        <f t="shared" ca="1" si="116"/>
        <v/>
      </c>
      <c r="CI67" s="295" t="str">
        <f t="shared" ca="1" si="117"/>
        <v/>
      </c>
      <c r="CJ67" s="44"/>
      <c r="CK67" s="296">
        <f t="shared" ca="1" si="133"/>
        <v>0</v>
      </c>
      <c r="CL67" s="293">
        <f t="shared" ca="1" si="118"/>
        <v>99999</v>
      </c>
      <c r="CM67" s="139" t="str">
        <f t="shared" ca="1" si="119"/>
        <v/>
      </c>
      <c r="CN67" s="139" t="str">
        <f t="shared" ca="1" si="120"/>
        <v/>
      </c>
      <c r="CO67" s="294">
        <f t="shared" ca="1" si="121"/>
        <v>99999</v>
      </c>
      <c r="CP67" s="294" t="str">
        <f t="shared" ca="1" si="122"/>
        <v/>
      </c>
      <c r="CQ67" s="295" t="str">
        <f t="shared" ca="1" si="123"/>
        <v/>
      </c>
      <c r="CR67" s="44"/>
      <c r="CS67" s="44"/>
    </row>
    <row r="68" spans="1:97" ht="15.95" customHeight="1" x14ac:dyDescent="0.25">
      <c r="A68" s="44"/>
      <c r="B68" s="44"/>
      <c r="C68" s="44"/>
      <c r="D68" s="114">
        <f t="shared" ca="1" si="57"/>
        <v>0</v>
      </c>
      <c r="E68" s="114" t="str">
        <f t="shared" ca="1" si="0"/>
        <v/>
      </c>
      <c r="F68" s="114">
        <f ca="1">IF($E68="",0,COUNTIF($E$7:$E68,INDEX($E$79:$E$150,ROW($A62))))</f>
        <v>0</v>
      </c>
      <c r="G68" s="142"/>
      <c r="H68" s="137">
        <v>62</v>
      </c>
      <c r="I68" s="164" t="str">
        <f ca="1">IF(OR($Y$3,$H68&gt;Calc!$B$13/2*$D$6),"",$U$6+QUOTIENT(($H68-1),$U$22)*($U$8+$U$10)/1440+SUM($R$7:$R67)/1440)</f>
        <v/>
      </c>
      <c r="J68" s="166" t="str">
        <f ca="1">IF(OR($Y$3,$H68&gt;Calc!$B$13/2*$D$6),"",MOD(($H68-1),$U$22)+1)</f>
        <v/>
      </c>
      <c r="K68" s="417" t="str">
        <f ca="1"/>
        <v/>
      </c>
      <c r="L68" s="418" t="s">
        <v>4</v>
      </c>
      <c r="M68" s="419" t="str">
        <f ca="1"/>
        <v/>
      </c>
      <c r="N68" s="47" t="str">
        <f t="shared" ca="1" si="68"/>
        <v/>
      </c>
      <c r="O68" s="45" t="s">
        <v>4</v>
      </c>
      <c r="P68" s="46" t="str">
        <f t="shared" ca="1" si="69"/>
        <v/>
      </c>
      <c r="Q68" s="281"/>
      <c r="R68" s="427"/>
      <c r="S68" s="157"/>
      <c r="T68" s="158"/>
      <c r="U68" s="158"/>
      <c r="V68" s="158"/>
      <c r="W68" s="158"/>
      <c r="X68" s="139">
        <f t="shared" ca="1" si="124"/>
        <v>0</v>
      </c>
      <c r="Y68" s="296">
        <f t="shared" ca="1" si="125"/>
        <v>0</v>
      </c>
      <c r="Z68" s="293">
        <f t="shared" ca="1" si="70"/>
        <v>99999</v>
      </c>
      <c r="AA68" s="139" t="str">
        <f t="shared" ca="1" si="71"/>
        <v/>
      </c>
      <c r="AB68" s="139" t="str">
        <f t="shared" ca="1" si="72"/>
        <v/>
      </c>
      <c r="AC68" s="294">
        <f t="shared" ca="1" si="73"/>
        <v>99999</v>
      </c>
      <c r="AD68" s="294" t="str">
        <f t="shared" ca="1" si="74"/>
        <v/>
      </c>
      <c r="AE68" s="295" t="str">
        <f t="shared" ca="1" si="75"/>
        <v/>
      </c>
      <c r="AF68" s="139"/>
      <c r="AG68" s="296">
        <f t="shared" ca="1" si="126"/>
        <v>0</v>
      </c>
      <c r="AH68" s="293">
        <f t="shared" ca="1" si="76"/>
        <v>99999</v>
      </c>
      <c r="AI68" s="139" t="str">
        <f t="shared" ca="1" si="77"/>
        <v/>
      </c>
      <c r="AJ68" s="139" t="str">
        <f t="shared" ca="1" si="78"/>
        <v/>
      </c>
      <c r="AK68" s="294">
        <f t="shared" ca="1" si="79"/>
        <v>99999</v>
      </c>
      <c r="AL68" s="294" t="str">
        <f t="shared" ca="1" si="80"/>
        <v/>
      </c>
      <c r="AM68" s="295" t="str">
        <f t="shared" ca="1" si="81"/>
        <v/>
      </c>
      <c r="AN68" s="44"/>
      <c r="AO68" s="296">
        <f t="shared" ca="1" si="127"/>
        <v>0</v>
      </c>
      <c r="AP68" s="293">
        <f t="shared" ca="1" si="82"/>
        <v>99999</v>
      </c>
      <c r="AQ68" s="139" t="str">
        <f t="shared" ca="1" si="83"/>
        <v/>
      </c>
      <c r="AR68" s="139" t="str">
        <f t="shared" ca="1" si="84"/>
        <v/>
      </c>
      <c r="AS68" s="294">
        <f t="shared" ca="1" si="85"/>
        <v>99999</v>
      </c>
      <c r="AT68" s="294" t="str">
        <f t="shared" ca="1" si="86"/>
        <v/>
      </c>
      <c r="AU68" s="295" t="str">
        <f t="shared" ca="1" si="87"/>
        <v/>
      </c>
      <c r="AV68" s="139"/>
      <c r="AW68" s="296">
        <f t="shared" ca="1" si="128"/>
        <v>0</v>
      </c>
      <c r="AX68" s="293">
        <f t="shared" ca="1" si="88"/>
        <v>99999</v>
      </c>
      <c r="AY68" s="139" t="str">
        <f t="shared" ca="1" si="89"/>
        <v/>
      </c>
      <c r="AZ68" s="139" t="str">
        <f t="shared" ca="1" si="90"/>
        <v/>
      </c>
      <c r="BA68" s="294">
        <f t="shared" ca="1" si="91"/>
        <v>99999</v>
      </c>
      <c r="BB68" s="294" t="str">
        <f t="shared" ca="1" si="92"/>
        <v/>
      </c>
      <c r="BC68" s="295" t="str">
        <f t="shared" ca="1" si="93"/>
        <v/>
      </c>
      <c r="BD68" s="44"/>
      <c r="BE68" s="296">
        <f t="shared" ca="1" si="129"/>
        <v>0</v>
      </c>
      <c r="BF68" s="293">
        <f t="shared" ca="1" si="94"/>
        <v>99999</v>
      </c>
      <c r="BG68" s="139" t="str">
        <f t="shared" ca="1" si="95"/>
        <v/>
      </c>
      <c r="BH68" s="139" t="str">
        <f t="shared" ca="1" si="96"/>
        <v/>
      </c>
      <c r="BI68" s="294">
        <f t="shared" ca="1" si="97"/>
        <v>99999</v>
      </c>
      <c r="BJ68" s="294" t="str">
        <f t="shared" ca="1" si="98"/>
        <v/>
      </c>
      <c r="BK68" s="295" t="str">
        <f t="shared" ca="1" si="99"/>
        <v/>
      </c>
      <c r="BL68" s="139"/>
      <c r="BM68" s="296">
        <f t="shared" ca="1" si="130"/>
        <v>0</v>
      </c>
      <c r="BN68" s="293">
        <f t="shared" ca="1" si="100"/>
        <v>99999</v>
      </c>
      <c r="BO68" s="139" t="str">
        <f t="shared" ca="1" si="101"/>
        <v/>
      </c>
      <c r="BP68" s="139" t="str">
        <f t="shared" ca="1" si="102"/>
        <v/>
      </c>
      <c r="BQ68" s="294">
        <f t="shared" ca="1" si="103"/>
        <v>99999</v>
      </c>
      <c r="BR68" s="294" t="str">
        <f t="shared" ca="1" si="104"/>
        <v/>
      </c>
      <c r="BS68" s="295" t="str">
        <f t="shared" ca="1" si="105"/>
        <v/>
      </c>
      <c r="BT68" s="44"/>
      <c r="BU68" s="296">
        <f t="shared" ca="1" si="131"/>
        <v>0</v>
      </c>
      <c r="BV68" s="293">
        <f t="shared" ca="1" si="106"/>
        <v>99999</v>
      </c>
      <c r="BW68" s="139" t="str">
        <f t="shared" ca="1" si="107"/>
        <v/>
      </c>
      <c r="BX68" s="139" t="str">
        <f t="shared" ca="1" si="108"/>
        <v/>
      </c>
      <c r="BY68" s="294">
        <f t="shared" ca="1" si="109"/>
        <v>99999</v>
      </c>
      <c r="BZ68" s="294" t="str">
        <f t="shared" ca="1" si="110"/>
        <v/>
      </c>
      <c r="CA68" s="295" t="str">
        <f t="shared" ca="1" si="111"/>
        <v/>
      </c>
      <c r="CB68" s="139"/>
      <c r="CC68" s="296">
        <f t="shared" ca="1" si="132"/>
        <v>0</v>
      </c>
      <c r="CD68" s="293">
        <f t="shared" ca="1" si="112"/>
        <v>99999</v>
      </c>
      <c r="CE68" s="139" t="str">
        <f t="shared" ca="1" si="113"/>
        <v/>
      </c>
      <c r="CF68" s="139" t="str">
        <f t="shared" ca="1" si="114"/>
        <v/>
      </c>
      <c r="CG68" s="294">
        <f t="shared" ca="1" si="115"/>
        <v>99999</v>
      </c>
      <c r="CH68" s="294" t="str">
        <f t="shared" ca="1" si="116"/>
        <v/>
      </c>
      <c r="CI68" s="295" t="str">
        <f t="shared" ca="1" si="117"/>
        <v/>
      </c>
      <c r="CJ68" s="44"/>
      <c r="CK68" s="296">
        <f t="shared" ca="1" si="133"/>
        <v>0</v>
      </c>
      <c r="CL68" s="293">
        <f t="shared" ca="1" si="118"/>
        <v>99999</v>
      </c>
      <c r="CM68" s="139" t="str">
        <f t="shared" ca="1" si="119"/>
        <v/>
      </c>
      <c r="CN68" s="139" t="str">
        <f t="shared" ca="1" si="120"/>
        <v/>
      </c>
      <c r="CO68" s="294">
        <f t="shared" ca="1" si="121"/>
        <v>99999</v>
      </c>
      <c r="CP68" s="294" t="str">
        <f t="shared" ca="1" si="122"/>
        <v/>
      </c>
      <c r="CQ68" s="295" t="str">
        <f t="shared" ca="1" si="123"/>
        <v/>
      </c>
      <c r="CR68" s="44"/>
      <c r="CS68" s="44"/>
    </row>
    <row r="69" spans="1:97" ht="15.95" customHeight="1" x14ac:dyDescent="0.25">
      <c r="A69" s="44"/>
      <c r="B69" s="44"/>
      <c r="C69" s="44"/>
      <c r="D69" s="114">
        <f t="shared" ca="1" si="57"/>
        <v>0</v>
      </c>
      <c r="E69" s="114" t="str">
        <f t="shared" ca="1" si="0"/>
        <v/>
      </c>
      <c r="F69" s="114">
        <f ca="1">IF($E69="",0,COUNTIF($E$7:$E69,INDEX($E$79:$E$150,ROW($A63))))</f>
        <v>0</v>
      </c>
      <c r="G69" s="142"/>
      <c r="H69" s="137">
        <v>63</v>
      </c>
      <c r="I69" s="164" t="str">
        <f ca="1">IF(OR($Y$3,$H69&gt;Calc!$B$13/2*$D$6),"",$U$6+QUOTIENT(($H69-1),$U$22)*($U$8+$U$10)/1440+SUM($R$7:$R68)/1440)</f>
        <v/>
      </c>
      <c r="J69" s="166" t="str">
        <f ca="1">IF(OR($Y$3,$H69&gt;Calc!$B$13/2*$D$6),"",MOD(($H69-1),$U$22)+1)</f>
        <v/>
      </c>
      <c r="K69" s="417" t="str">
        <f ca="1"/>
        <v/>
      </c>
      <c r="L69" s="418" t="s">
        <v>4</v>
      </c>
      <c r="M69" s="419" t="str">
        <f ca="1"/>
        <v/>
      </c>
      <c r="N69" s="47" t="str">
        <f t="shared" ca="1" si="68"/>
        <v/>
      </c>
      <c r="O69" s="45" t="s">
        <v>4</v>
      </c>
      <c r="P69" s="46" t="str">
        <f t="shared" ca="1" si="69"/>
        <v/>
      </c>
      <c r="Q69" s="281"/>
      <c r="R69" s="427"/>
      <c r="S69" s="157"/>
      <c r="T69" s="158"/>
      <c r="U69" s="158"/>
      <c r="V69" s="158"/>
      <c r="W69" s="158"/>
      <c r="X69" s="139">
        <f t="shared" ca="1" si="124"/>
        <v>0</v>
      </c>
      <c r="Y69" s="296">
        <f t="shared" ca="1" si="125"/>
        <v>0</v>
      </c>
      <c r="Z69" s="293">
        <f t="shared" ca="1" si="70"/>
        <v>99999</v>
      </c>
      <c r="AA69" s="139" t="str">
        <f t="shared" ca="1" si="71"/>
        <v/>
      </c>
      <c r="AB69" s="139" t="str">
        <f t="shared" ca="1" si="72"/>
        <v/>
      </c>
      <c r="AC69" s="294">
        <f t="shared" ca="1" si="73"/>
        <v>99999</v>
      </c>
      <c r="AD69" s="294" t="str">
        <f t="shared" ca="1" si="74"/>
        <v/>
      </c>
      <c r="AE69" s="295" t="str">
        <f t="shared" ca="1" si="75"/>
        <v/>
      </c>
      <c r="AF69" s="139"/>
      <c r="AG69" s="296">
        <f t="shared" ca="1" si="126"/>
        <v>0</v>
      </c>
      <c r="AH69" s="293">
        <f t="shared" ca="1" si="76"/>
        <v>99999</v>
      </c>
      <c r="AI69" s="139" t="str">
        <f t="shared" ca="1" si="77"/>
        <v/>
      </c>
      <c r="AJ69" s="139" t="str">
        <f t="shared" ca="1" si="78"/>
        <v/>
      </c>
      <c r="AK69" s="294">
        <f t="shared" ca="1" si="79"/>
        <v>99999</v>
      </c>
      <c r="AL69" s="294" t="str">
        <f t="shared" ca="1" si="80"/>
        <v/>
      </c>
      <c r="AM69" s="295" t="str">
        <f t="shared" ca="1" si="81"/>
        <v/>
      </c>
      <c r="AN69" s="44"/>
      <c r="AO69" s="296">
        <f t="shared" ca="1" si="127"/>
        <v>0</v>
      </c>
      <c r="AP69" s="293">
        <f t="shared" ca="1" si="82"/>
        <v>99999</v>
      </c>
      <c r="AQ69" s="139" t="str">
        <f t="shared" ca="1" si="83"/>
        <v/>
      </c>
      <c r="AR69" s="139" t="str">
        <f t="shared" ca="1" si="84"/>
        <v/>
      </c>
      <c r="AS69" s="294">
        <f t="shared" ca="1" si="85"/>
        <v>99999</v>
      </c>
      <c r="AT69" s="294" t="str">
        <f t="shared" ca="1" si="86"/>
        <v/>
      </c>
      <c r="AU69" s="295" t="str">
        <f t="shared" ca="1" si="87"/>
        <v/>
      </c>
      <c r="AV69" s="139"/>
      <c r="AW69" s="296">
        <f t="shared" ca="1" si="128"/>
        <v>0</v>
      </c>
      <c r="AX69" s="293">
        <f t="shared" ca="1" si="88"/>
        <v>99999</v>
      </c>
      <c r="AY69" s="139" t="str">
        <f t="shared" ca="1" si="89"/>
        <v/>
      </c>
      <c r="AZ69" s="139" t="str">
        <f t="shared" ca="1" si="90"/>
        <v/>
      </c>
      <c r="BA69" s="294">
        <f t="shared" ca="1" si="91"/>
        <v>99999</v>
      </c>
      <c r="BB69" s="294" t="str">
        <f t="shared" ca="1" si="92"/>
        <v/>
      </c>
      <c r="BC69" s="295" t="str">
        <f t="shared" ca="1" si="93"/>
        <v/>
      </c>
      <c r="BD69" s="44"/>
      <c r="BE69" s="296">
        <f t="shared" ca="1" si="129"/>
        <v>0</v>
      </c>
      <c r="BF69" s="293">
        <f t="shared" ca="1" si="94"/>
        <v>99999</v>
      </c>
      <c r="BG69" s="139" t="str">
        <f t="shared" ca="1" si="95"/>
        <v/>
      </c>
      <c r="BH69" s="139" t="str">
        <f t="shared" ca="1" si="96"/>
        <v/>
      </c>
      <c r="BI69" s="294">
        <f t="shared" ca="1" si="97"/>
        <v>99999</v>
      </c>
      <c r="BJ69" s="294" t="str">
        <f t="shared" ca="1" si="98"/>
        <v/>
      </c>
      <c r="BK69" s="295" t="str">
        <f t="shared" ca="1" si="99"/>
        <v/>
      </c>
      <c r="BL69" s="139"/>
      <c r="BM69" s="296">
        <f t="shared" ca="1" si="130"/>
        <v>0</v>
      </c>
      <c r="BN69" s="293">
        <f t="shared" ca="1" si="100"/>
        <v>99999</v>
      </c>
      <c r="BO69" s="139" t="str">
        <f t="shared" ca="1" si="101"/>
        <v/>
      </c>
      <c r="BP69" s="139" t="str">
        <f t="shared" ca="1" si="102"/>
        <v/>
      </c>
      <c r="BQ69" s="294">
        <f t="shared" ca="1" si="103"/>
        <v>99999</v>
      </c>
      <c r="BR69" s="294" t="str">
        <f t="shared" ca="1" si="104"/>
        <v/>
      </c>
      <c r="BS69" s="295" t="str">
        <f t="shared" ca="1" si="105"/>
        <v/>
      </c>
      <c r="BT69" s="44"/>
      <c r="BU69" s="296">
        <f t="shared" ca="1" si="131"/>
        <v>0</v>
      </c>
      <c r="BV69" s="293">
        <f t="shared" ca="1" si="106"/>
        <v>99999</v>
      </c>
      <c r="BW69" s="139" t="str">
        <f t="shared" ca="1" si="107"/>
        <v/>
      </c>
      <c r="BX69" s="139" t="str">
        <f t="shared" ca="1" si="108"/>
        <v/>
      </c>
      <c r="BY69" s="294">
        <f t="shared" ca="1" si="109"/>
        <v>99999</v>
      </c>
      <c r="BZ69" s="294" t="str">
        <f t="shared" ca="1" si="110"/>
        <v/>
      </c>
      <c r="CA69" s="295" t="str">
        <f t="shared" ca="1" si="111"/>
        <v/>
      </c>
      <c r="CB69" s="139"/>
      <c r="CC69" s="296">
        <f t="shared" ca="1" si="132"/>
        <v>0</v>
      </c>
      <c r="CD69" s="293">
        <f t="shared" ca="1" si="112"/>
        <v>99999</v>
      </c>
      <c r="CE69" s="139" t="str">
        <f t="shared" ca="1" si="113"/>
        <v/>
      </c>
      <c r="CF69" s="139" t="str">
        <f t="shared" ca="1" si="114"/>
        <v/>
      </c>
      <c r="CG69" s="294">
        <f t="shared" ca="1" si="115"/>
        <v>99999</v>
      </c>
      <c r="CH69" s="294" t="str">
        <f t="shared" ca="1" si="116"/>
        <v/>
      </c>
      <c r="CI69" s="295" t="str">
        <f t="shared" ca="1" si="117"/>
        <v/>
      </c>
      <c r="CJ69" s="44"/>
      <c r="CK69" s="296">
        <f t="shared" ca="1" si="133"/>
        <v>0</v>
      </c>
      <c r="CL69" s="293">
        <f t="shared" ca="1" si="118"/>
        <v>99999</v>
      </c>
      <c r="CM69" s="139" t="str">
        <f t="shared" ca="1" si="119"/>
        <v/>
      </c>
      <c r="CN69" s="139" t="str">
        <f t="shared" ca="1" si="120"/>
        <v/>
      </c>
      <c r="CO69" s="294">
        <f t="shared" ca="1" si="121"/>
        <v>99999</v>
      </c>
      <c r="CP69" s="294" t="str">
        <f t="shared" ca="1" si="122"/>
        <v/>
      </c>
      <c r="CQ69" s="295" t="str">
        <f t="shared" ca="1" si="123"/>
        <v/>
      </c>
      <c r="CR69" s="44"/>
      <c r="CS69" s="44"/>
    </row>
    <row r="70" spans="1:97" ht="15.95" customHeight="1" x14ac:dyDescent="0.25">
      <c r="A70" s="44"/>
      <c r="B70" s="44"/>
      <c r="C70" s="44"/>
      <c r="D70" s="114">
        <f t="shared" ca="1" si="57"/>
        <v>0</v>
      </c>
      <c r="E70" s="114" t="str">
        <f t="shared" ca="1" si="0"/>
        <v/>
      </c>
      <c r="F70" s="114">
        <f ca="1">IF($E70="",0,COUNTIF($E$7:$E70,INDEX($E$79:$E$150,ROW($A64))))</f>
        <v>0</v>
      </c>
      <c r="G70" s="142"/>
      <c r="H70" s="137">
        <v>64</v>
      </c>
      <c r="I70" s="164" t="str">
        <f ca="1">IF(OR($Y$3,$H70&gt;Calc!$B$13/2*$D$6),"",$U$6+QUOTIENT(($H70-1),$U$22)*($U$8+$U$10)/1440+SUM($R$7:$R69)/1440)</f>
        <v/>
      </c>
      <c r="J70" s="166" t="str">
        <f ca="1">IF(OR($Y$3,$H70&gt;Calc!$B$13/2*$D$6),"",MOD(($H70-1),$U$22)+1)</f>
        <v/>
      </c>
      <c r="K70" s="417" t="str">
        <f ca="1"/>
        <v/>
      </c>
      <c r="L70" s="418" t="s">
        <v>4</v>
      </c>
      <c r="M70" s="419" t="str">
        <f ca="1"/>
        <v/>
      </c>
      <c r="N70" s="47" t="str">
        <f t="shared" ca="1" si="68"/>
        <v/>
      </c>
      <c r="O70" s="45" t="s">
        <v>4</v>
      </c>
      <c r="P70" s="46" t="str">
        <f t="shared" ca="1" si="69"/>
        <v/>
      </c>
      <c r="Q70" s="281"/>
      <c r="R70" s="427"/>
      <c r="S70" s="157"/>
      <c r="T70" s="158"/>
      <c r="U70" s="158"/>
      <c r="V70" s="158"/>
      <c r="W70" s="158"/>
      <c r="X70" s="139">
        <f t="shared" ca="1" si="124"/>
        <v>0</v>
      </c>
      <c r="Y70" s="296">
        <f t="shared" ca="1" si="125"/>
        <v>0</v>
      </c>
      <c r="Z70" s="293">
        <f t="shared" ca="1" si="70"/>
        <v>99999</v>
      </c>
      <c r="AA70" s="139" t="str">
        <f t="shared" ca="1" si="71"/>
        <v/>
      </c>
      <c r="AB70" s="139" t="str">
        <f t="shared" ca="1" si="72"/>
        <v/>
      </c>
      <c r="AC70" s="294">
        <f t="shared" ca="1" si="73"/>
        <v>99999</v>
      </c>
      <c r="AD70" s="294" t="str">
        <f t="shared" ca="1" si="74"/>
        <v/>
      </c>
      <c r="AE70" s="295" t="str">
        <f t="shared" ca="1" si="75"/>
        <v/>
      </c>
      <c r="AF70" s="139"/>
      <c r="AG70" s="296">
        <f t="shared" ca="1" si="126"/>
        <v>0</v>
      </c>
      <c r="AH70" s="293">
        <f t="shared" ca="1" si="76"/>
        <v>99999</v>
      </c>
      <c r="AI70" s="139" t="str">
        <f t="shared" ca="1" si="77"/>
        <v/>
      </c>
      <c r="AJ70" s="139" t="str">
        <f t="shared" ca="1" si="78"/>
        <v/>
      </c>
      <c r="AK70" s="294">
        <f t="shared" ca="1" si="79"/>
        <v>99999</v>
      </c>
      <c r="AL70" s="294" t="str">
        <f t="shared" ca="1" si="80"/>
        <v/>
      </c>
      <c r="AM70" s="295" t="str">
        <f t="shared" ca="1" si="81"/>
        <v/>
      </c>
      <c r="AN70" s="44"/>
      <c r="AO70" s="296">
        <f t="shared" ca="1" si="127"/>
        <v>0</v>
      </c>
      <c r="AP70" s="293">
        <f t="shared" ca="1" si="82"/>
        <v>99999</v>
      </c>
      <c r="AQ70" s="139" t="str">
        <f t="shared" ca="1" si="83"/>
        <v/>
      </c>
      <c r="AR70" s="139" t="str">
        <f t="shared" ca="1" si="84"/>
        <v/>
      </c>
      <c r="AS70" s="294">
        <f t="shared" ca="1" si="85"/>
        <v>99999</v>
      </c>
      <c r="AT70" s="294" t="str">
        <f t="shared" ca="1" si="86"/>
        <v/>
      </c>
      <c r="AU70" s="295" t="str">
        <f t="shared" ca="1" si="87"/>
        <v/>
      </c>
      <c r="AV70" s="139"/>
      <c r="AW70" s="296">
        <f t="shared" ca="1" si="128"/>
        <v>0</v>
      </c>
      <c r="AX70" s="293">
        <f t="shared" ca="1" si="88"/>
        <v>99999</v>
      </c>
      <c r="AY70" s="139" t="str">
        <f t="shared" ca="1" si="89"/>
        <v/>
      </c>
      <c r="AZ70" s="139" t="str">
        <f t="shared" ca="1" si="90"/>
        <v/>
      </c>
      <c r="BA70" s="294">
        <f t="shared" ca="1" si="91"/>
        <v>99999</v>
      </c>
      <c r="BB70" s="294" t="str">
        <f t="shared" ca="1" si="92"/>
        <v/>
      </c>
      <c r="BC70" s="295" t="str">
        <f t="shared" ca="1" si="93"/>
        <v/>
      </c>
      <c r="BD70" s="44"/>
      <c r="BE70" s="296">
        <f t="shared" ca="1" si="129"/>
        <v>0</v>
      </c>
      <c r="BF70" s="293">
        <f t="shared" ca="1" si="94"/>
        <v>99999</v>
      </c>
      <c r="BG70" s="139" t="str">
        <f t="shared" ca="1" si="95"/>
        <v/>
      </c>
      <c r="BH70" s="139" t="str">
        <f t="shared" ca="1" si="96"/>
        <v/>
      </c>
      <c r="BI70" s="294">
        <f t="shared" ca="1" si="97"/>
        <v>99999</v>
      </c>
      <c r="BJ70" s="294" t="str">
        <f t="shared" ca="1" si="98"/>
        <v/>
      </c>
      <c r="BK70" s="295" t="str">
        <f t="shared" ca="1" si="99"/>
        <v/>
      </c>
      <c r="BL70" s="139"/>
      <c r="BM70" s="296">
        <f t="shared" ca="1" si="130"/>
        <v>0</v>
      </c>
      <c r="BN70" s="293">
        <f t="shared" ca="1" si="100"/>
        <v>99999</v>
      </c>
      <c r="BO70" s="139" t="str">
        <f t="shared" ca="1" si="101"/>
        <v/>
      </c>
      <c r="BP70" s="139" t="str">
        <f t="shared" ca="1" si="102"/>
        <v/>
      </c>
      <c r="BQ70" s="294">
        <f t="shared" ca="1" si="103"/>
        <v>99999</v>
      </c>
      <c r="BR70" s="294" t="str">
        <f t="shared" ca="1" si="104"/>
        <v/>
      </c>
      <c r="BS70" s="295" t="str">
        <f t="shared" ca="1" si="105"/>
        <v/>
      </c>
      <c r="BT70" s="44"/>
      <c r="BU70" s="296">
        <f t="shared" ca="1" si="131"/>
        <v>0</v>
      </c>
      <c r="BV70" s="293">
        <f t="shared" ca="1" si="106"/>
        <v>99999</v>
      </c>
      <c r="BW70" s="139" t="str">
        <f t="shared" ca="1" si="107"/>
        <v/>
      </c>
      <c r="BX70" s="139" t="str">
        <f t="shared" ca="1" si="108"/>
        <v/>
      </c>
      <c r="BY70" s="294">
        <f t="shared" ca="1" si="109"/>
        <v>99999</v>
      </c>
      <c r="BZ70" s="294" t="str">
        <f t="shared" ca="1" si="110"/>
        <v/>
      </c>
      <c r="CA70" s="295" t="str">
        <f t="shared" ca="1" si="111"/>
        <v/>
      </c>
      <c r="CB70" s="139"/>
      <c r="CC70" s="296">
        <f t="shared" ca="1" si="132"/>
        <v>0</v>
      </c>
      <c r="CD70" s="293">
        <f t="shared" ca="1" si="112"/>
        <v>99999</v>
      </c>
      <c r="CE70" s="139" t="str">
        <f t="shared" ca="1" si="113"/>
        <v/>
      </c>
      <c r="CF70" s="139" t="str">
        <f t="shared" ca="1" si="114"/>
        <v/>
      </c>
      <c r="CG70" s="294">
        <f t="shared" ca="1" si="115"/>
        <v>99999</v>
      </c>
      <c r="CH70" s="294" t="str">
        <f t="shared" ca="1" si="116"/>
        <v/>
      </c>
      <c r="CI70" s="295" t="str">
        <f t="shared" ca="1" si="117"/>
        <v/>
      </c>
      <c r="CJ70" s="44"/>
      <c r="CK70" s="296">
        <f t="shared" ca="1" si="133"/>
        <v>0</v>
      </c>
      <c r="CL70" s="293">
        <f t="shared" ca="1" si="118"/>
        <v>99999</v>
      </c>
      <c r="CM70" s="139" t="str">
        <f t="shared" ca="1" si="119"/>
        <v/>
      </c>
      <c r="CN70" s="139" t="str">
        <f t="shared" ca="1" si="120"/>
        <v/>
      </c>
      <c r="CO70" s="294">
        <f t="shared" ca="1" si="121"/>
        <v>99999</v>
      </c>
      <c r="CP70" s="294" t="str">
        <f t="shared" ca="1" si="122"/>
        <v/>
      </c>
      <c r="CQ70" s="295" t="str">
        <f t="shared" ca="1" si="123"/>
        <v/>
      </c>
      <c r="CR70" s="44"/>
      <c r="CS70" s="44"/>
    </row>
    <row r="71" spans="1:97" ht="15.95" customHeight="1" x14ac:dyDescent="0.25">
      <c r="A71" s="44"/>
      <c r="B71" s="44"/>
      <c r="C71" s="44"/>
      <c r="D71" s="114">
        <f t="shared" ca="1" si="57"/>
        <v>0</v>
      </c>
      <c r="E71" s="114" t="str">
        <f t="shared" ref="E71:E78" ca="1" si="134">IF(OR($K71="",$M71=""),"",VALUE($K71&amp;$M71))</f>
        <v/>
      </c>
      <c r="F71" s="114">
        <f ca="1">IF($E71="",0,COUNTIF($E$7:$E71,INDEX($E$79:$E$150,ROW($A65))))</f>
        <v>0</v>
      </c>
      <c r="G71" s="142"/>
      <c r="H71" s="137">
        <v>65</v>
      </c>
      <c r="I71" s="164" t="str">
        <f ca="1">IF(OR($Y$3,$H71&gt;Calc!$B$13/2*$D$6),"",$U$6+QUOTIENT(($H71-1),$U$22)*($U$8+$U$10)/1440+SUM($R$7:$R70)/1440)</f>
        <v/>
      </c>
      <c r="J71" s="166" t="str">
        <f ca="1">IF(OR($Y$3,$H71&gt;Calc!$B$13/2*$D$6),"",MOD(($H71-1),$U$22)+1)</f>
        <v/>
      </c>
      <c r="K71" s="417" t="str">
        <f ca="1"/>
        <v/>
      </c>
      <c r="L71" s="418" t="s">
        <v>4</v>
      </c>
      <c r="M71" s="419" t="str">
        <f ca="1"/>
        <v/>
      </c>
      <c r="N71" s="47" t="str">
        <f t="shared" ref="N71:N78" ca="1" si="135">IF($K71="","",IF(VLOOKUP($K71,$B$8:$C$25,2,0)="","",VLOOKUP($K71,$B$8:$C$25,2,0)))</f>
        <v/>
      </c>
      <c r="O71" s="45" t="s">
        <v>4</v>
      </c>
      <c r="P71" s="46" t="str">
        <f t="shared" ref="P71:P78" ca="1" si="136">IF($M71="","",IF(VLOOKUP($M71,$B$8:$C$25,2,0)="","",VLOOKUP($M71,$B$8:$C$25,2,0)))</f>
        <v/>
      </c>
      <c r="Q71" s="281"/>
      <c r="R71" s="427"/>
      <c r="S71" s="157"/>
      <c r="T71" s="158"/>
      <c r="U71" s="158"/>
      <c r="V71" s="158"/>
      <c r="W71" s="158"/>
      <c r="X71" s="139">
        <f t="shared" ca="1" si="124"/>
        <v>0</v>
      </c>
      <c r="Y71" s="296">
        <f t="shared" ca="1" si="125"/>
        <v>0</v>
      </c>
      <c r="Z71" s="293">
        <f t="shared" ref="Z71:Z78" ca="1" si="137">IF(AA71&gt;9,99999,$I71)</f>
        <v>99999</v>
      </c>
      <c r="AA71" s="139" t="str">
        <f t="shared" ref="AA71:AA78" ca="1" si="138">IF($K71=Z$6,$M71,IF($M71=Z$6,$K71,""))</f>
        <v/>
      </c>
      <c r="AB71" s="139" t="str">
        <f t="shared" ref="AB71:AB78" ca="1" si="139">IF(AA71&gt;9,"",$J71)</f>
        <v/>
      </c>
      <c r="AC71" s="294">
        <f t="shared" ref="AC71:AC78" ca="1" si="140">SMALL(Z$7:Z$78,ROW($A65))</f>
        <v>99999</v>
      </c>
      <c r="AD71" s="294" t="str">
        <f t="shared" ref="AD71:AD78" ca="1" si="141">IFERROR(VLOOKUP(AC71,Z$7:AB$78,3,0),"")</f>
        <v/>
      </c>
      <c r="AE71" s="295" t="str">
        <f t="shared" ref="AE71:AE78" ca="1" si="142">IFERROR(VLOOKUP(VLOOKUP(AC71,Z$7:AA$78,2,0),$B$8:$C$25,2,0),"")</f>
        <v/>
      </c>
      <c r="AF71" s="139"/>
      <c r="AG71" s="296">
        <f t="shared" ca="1" si="126"/>
        <v>0</v>
      </c>
      <c r="AH71" s="293">
        <f t="shared" ref="AH71:AH78" ca="1" si="143">IF(AI71&gt;9,99999,$I71)</f>
        <v>99999</v>
      </c>
      <c r="AI71" s="139" t="str">
        <f t="shared" ref="AI71:AI78" ca="1" si="144">IF($K71=AH$6,$M71,IF($M71=AH$6,$K71,""))</f>
        <v/>
      </c>
      <c r="AJ71" s="139" t="str">
        <f t="shared" ref="AJ71:AJ78" ca="1" si="145">IF(AI71&gt;9,"",$J71)</f>
        <v/>
      </c>
      <c r="AK71" s="294">
        <f t="shared" ref="AK71:AK78" ca="1" si="146">SMALL(AH$7:AH$78,ROW($A65))</f>
        <v>99999</v>
      </c>
      <c r="AL71" s="294" t="str">
        <f t="shared" ref="AL71:AL78" ca="1" si="147">IFERROR(VLOOKUP(AK71,AH$7:AJ$78,3,0),"")</f>
        <v/>
      </c>
      <c r="AM71" s="295" t="str">
        <f t="shared" ref="AM71:AM78" ca="1" si="148">IFERROR(VLOOKUP(VLOOKUP(AK71,AH$7:AI$78,2,0),$B$8:$C$25,2,0),"")</f>
        <v/>
      </c>
      <c r="AN71" s="44"/>
      <c r="AO71" s="296">
        <f t="shared" ca="1" si="127"/>
        <v>0</v>
      </c>
      <c r="AP71" s="293">
        <f t="shared" ref="AP71:AP78" ca="1" si="149">IF(AQ71&gt;9,99999,$I71)</f>
        <v>99999</v>
      </c>
      <c r="AQ71" s="139" t="str">
        <f t="shared" ref="AQ71:AQ78" ca="1" si="150">IF($K71=AP$6,$M71,IF($M71=AP$6,$K71,""))</f>
        <v/>
      </c>
      <c r="AR71" s="139" t="str">
        <f t="shared" ref="AR71:AR78" ca="1" si="151">IF(AQ71&gt;9,"",$J71)</f>
        <v/>
      </c>
      <c r="AS71" s="294">
        <f t="shared" ref="AS71:AS78" ca="1" si="152">SMALL(AP$7:AP$78,ROW($A65))</f>
        <v>99999</v>
      </c>
      <c r="AT71" s="294" t="str">
        <f t="shared" ref="AT71:AT78" ca="1" si="153">IFERROR(VLOOKUP(AS71,AP$7:AR$78,3,0),"")</f>
        <v/>
      </c>
      <c r="AU71" s="295" t="str">
        <f t="shared" ref="AU71:AU78" ca="1" si="154">IFERROR(VLOOKUP(VLOOKUP(AS71,AP$7:AQ$78,2,0),$B$8:$C$25,2,0),"")</f>
        <v/>
      </c>
      <c r="AV71" s="139"/>
      <c r="AW71" s="296">
        <f t="shared" ca="1" si="128"/>
        <v>0</v>
      </c>
      <c r="AX71" s="293">
        <f t="shared" ref="AX71:AX78" ca="1" si="155">IF(AY71&gt;9,99999,$I71)</f>
        <v>99999</v>
      </c>
      <c r="AY71" s="139" t="str">
        <f t="shared" ref="AY71:AY78" ca="1" si="156">IF($K71=AX$6,$M71,IF($M71=AX$6,$K71,""))</f>
        <v/>
      </c>
      <c r="AZ71" s="139" t="str">
        <f t="shared" ref="AZ71:AZ78" ca="1" si="157">IF(AY71&gt;9,"",$J71)</f>
        <v/>
      </c>
      <c r="BA71" s="294">
        <f t="shared" ref="BA71:BA78" ca="1" si="158">SMALL(AX$7:AX$78,ROW($A65))</f>
        <v>99999</v>
      </c>
      <c r="BB71" s="294" t="str">
        <f t="shared" ref="BB71:BB78" ca="1" si="159">IFERROR(VLOOKUP(BA71,AX$7:AZ$78,3,0),"")</f>
        <v/>
      </c>
      <c r="BC71" s="295" t="str">
        <f t="shared" ref="BC71:BC78" ca="1" si="160">IFERROR(VLOOKUP(VLOOKUP(BA71,AX$7:AY$78,2,0),$B$8:$C$25,2,0),"")</f>
        <v/>
      </c>
      <c r="BD71" s="44"/>
      <c r="BE71" s="296">
        <f t="shared" ca="1" si="129"/>
        <v>0</v>
      </c>
      <c r="BF71" s="293">
        <f t="shared" ref="BF71:BF78" ca="1" si="161">IF(BG71&gt;9,99999,$I71)</f>
        <v>99999</v>
      </c>
      <c r="BG71" s="139" t="str">
        <f t="shared" ref="BG71:BG78" ca="1" si="162">IF($K71=BF$6,$M71,IF($M71=BF$6,$K71,""))</f>
        <v/>
      </c>
      <c r="BH71" s="139" t="str">
        <f t="shared" ref="BH71:BH78" ca="1" si="163">IF(BG71&gt;9,"",$J71)</f>
        <v/>
      </c>
      <c r="BI71" s="294">
        <f t="shared" ref="BI71:BI78" ca="1" si="164">SMALL(BF$7:BF$78,ROW($A65))</f>
        <v>99999</v>
      </c>
      <c r="BJ71" s="294" t="str">
        <f t="shared" ref="BJ71:BJ78" ca="1" si="165">IFERROR(VLOOKUP(BI71,BF$7:BH$78,3,0),"")</f>
        <v/>
      </c>
      <c r="BK71" s="295" t="str">
        <f t="shared" ref="BK71:BK78" ca="1" si="166">IFERROR(VLOOKUP(VLOOKUP(BI71,BF$7:BG$78,2,0),$B$8:$C$25,2,0),"")</f>
        <v/>
      </c>
      <c r="BL71" s="139"/>
      <c r="BM71" s="296">
        <f t="shared" ca="1" si="130"/>
        <v>0</v>
      </c>
      <c r="BN71" s="293">
        <f t="shared" ref="BN71:BN78" ca="1" si="167">IF(BO71&gt;9,99999,$I71)</f>
        <v>99999</v>
      </c>
      <c r="BO71" s="139" t="str">
        <f t="shared" ref="BO71:BO78" ca="1" si="168">IF($K71=BN$6,$M71,IF($M71=BN$6,$K71,""))</f>
        <v/>
      </c>
      <c r="BP71" s="139" t="str">
        <f t="shared" ref="BP71:BP78" ca="1" si="169">IF(BO71&gt;9,"",$J71)</f>
        <v/>
      </c>
      <c r="BQ71" s="294">
        <f t="shared" ref="BQ71:BQ78" ca="1" si="170">SMALL(BN$7:BN$78,ROW($A65))</f>
        <v>99999</v>
      </c>
      <c r="BR71" s="294" t="str">
        <f t="shared" ref="BR71:BR78" ca="1" si="171">IFERROR(VLOOKUP(BQ71,BN$7:BP$78,3,0),"")</f>
        <v/>
      </c>
      <c r="BS71" s="295" t="str">
        <f t="shared" ref="BS71:BS78" ca="1" si="172">IFERROR(VLOOKUP(VLOOKUP(BQ71,BN$7:BO$78,2,0),$B$8:$C$25,2,0),"")</f>
        <v/>
      </c>
      <c r="BT71" s="44"/>
      <c r="BU71" s="296">
        <f t="shared" ca="1" si="131"/>
        <v>0</v>
      </c>
      <c r="BV71" s="293">
        <f t="shared" ref="BV71:BV78" ca="1" si="173">IF(BW71&gt;9,99999,$I71)</f>
        <v>99999</v>
      </c>
      <c r="BW71" s="139" t="str">
        <f t="shared" ref="BW71:BW78" ca="1" si="174">IF($K71=BV$6,$M71,IF($M71=BV$6,$K71,""))</f>
        <v/>
      </c>
      <c r="BX71" s="139" t="str">
        <f t="shared" ref="BX71:BX78" ca="1" si="175">IF(BW71&gt;9,"",$J71)</f>
        <v/>
      </c>
      <c r="BY71" s="294">
        <f t="shared" ref="BY71:BY78" ca="1" si="176">SMALL(BV$7:BV$78,ROW($A65))</f>
        <v>99999</v>
      </c>
      <c r="BZ71" s="294" t="str">
        <f t="shared" ref="BZ71:BZ78" ca="1" si="177">IFERROR(VLOOKUP(BY71,BV$7:BX$78,3,0),"")</f>
        <v/>
      </c>
      <c r="CA71" s="295" t="str">
        <f t="shared" ref="CA71:CA78" ca="1" si="178">IFERROR(VLOOKUP(VLOOKUP(BY71,BV$7:BW$78,2,0),$B$8:$C$25,2,0),"")</f>
        <v/>
      </c>
      <c r="CB71" s="139"/>
      <c r="CC71" s="296">
        <f t="shared" ca="1" si="132"/>
        <v>0</v>
      </c>
      <c r="CD71" s="293">
        <f t="shared" ref="CD71:CD78" ca="1" si="179">IF(CE71&gt;9,99999,$I71)</f>
        <v>99999</v>
      </c>
      <c r="CE71" s="139" t="str">
        <f t="shared" ref="CE71:CE78" ca="1" si="180">IF($K71=CD$6,$M71,IF($M71=CD$6,$K71,""))</f>
        <v/>
      </c>
      <c r="CF71" s="139" t="str">
        <f t="shared" ref="CF71:CF78" ca="1" si="181">IF(CE71&gt;9,"",$J71)</f>
        <v/>
      </c>
      <c r="CG71" s="294">
        <f t="shared" ref="CG71:CG78" ca="1" si="182">SMALL(CD$7:CD$78,ROW($A65))</f>
        <v>99999</v>
      </c>
      <c r="CH71" s="294" t="str">
        <f t="shared" ref="CH71:CH78" ca="1" si="183">IFERROR(VLOOKUP(CG71,CD$7:CF$78,3,0),"")</f>
        <v/>
      </c>
      <c r="CI71" s="295" t="str">
        <f t="shared" ref="CI71:CI78" ca="1" si="184">IFERROR(VLOOKUP(VLOOKUP(CG71,CD$7:CE$78,2,0),$B$8:$C$25,2,0),"")</f>
        <v/>
      </c>
      <c r="CJ71" s="44"/>
      <c r="CK71" s="296">
        <f t="shared" ca="1" si="133"/>
        <v>0</v>
      </c>
      <c r="CL71" s="293">
        <f t="shared" ref="CL71:CL78" ca="1" si="185">IF(CM71&gt;9,99999,$I71)</f>
        <v>99999</v>
      </c>
      <c r="CM71" s="139" t="str">
        <f t="shared" ref="CM71:CM78" ca="1" si="186">IF($K71=CL$6,$M71,IF($M71=CL$6,$K71,""))</f>
        <v/>
      </c>
      <c r="CN71" s="139" t="str">
        <f t="shared" ref="CN71:CN78" ca="1" si="187">IF(CM71&gt;9,"",$J71)</f>
        <v/>
      </c>
      <c r="CO71" s="294">
        <f t="shared" ref="CO71:CO78" ca="1" si="188">SMALL(CL$7:CL$78,ROW($A65))</f>
        <v>99999</v>
      </c>
      <c r="CP71" s="294" t="str">
        <f t="shared" ref="CP71:CP78" ca="1" si="189">IFERROR(VLOOKUP(CO71,CL$7:CN$78,3,0),"")</f>
        <v/>
      </c>
      <c r="CQ71" s="295" t="str">
        <f t="shared" ref="CQ71:CQ78" ca="1" si="190">IFERROR(VLOOKUP(VLOOKUP(CO71,CL$7:CM$78,2,0),$B$8:$C$25,2,0),"")</f>
        <v/>
      </c>
      <c r="CR71" s="44"/>
      <c r="CS71" s="44"/>
    </row>
    <row r="72" spans="1:97" ht="15.95" customHeight="1" x14ac:dyDescent="0.25">
      <c r="A72" s="44"/>
      <c r="B72" s="44"/>
      <c r="C72" s="44"/>
      <c r="D72" s="114">
        <f t="shared" ref="D72:D78" ca="1" si="191">IF($E72="",0,IF(OR(QUOTIENT($E72,10)=MOD($E72,10),COUNTIF($E$7:$E$78,$E72)&gt;1),100,COUNTIF($E$7:$E$150,$E72)))</f>
        <v>0</v>
      </c>
      <c r="E72" s="114" t="str">
        <f t="shared" ca="1" si="134"/>
        <v/>
      </c>
      <c r="F72" s="114">
        <f ca="1">IF($E72="",0,COUNTIF($E$7:$E72,INDEX($E$79:$E$150,ROW($A66))))</f>
        <v>0</v>
      </c>
      <c r="G72" s="142"/>
      <c r="H72" s="137">
        <v>66</v>
      </c>
      <c r="I72" s="164" t="str">
        <f ca="1">IF(OR($Y$3,$H72&gt;Calc!$B$13/2*$D$6),"",$U$6+QUOTIENT(($H72-1),$U$22)*($U$8+$U$10)/1440+SUM($R$7:$R71)/1440)</f>
        <v/>
      </c>
      <c r="J72" s="166" t="str">
        <f ca="1">IF(OR($Y$3,$H72&gt;Calc!$B$13/2*$D$6),"",MOD(($H72-1),$U$22)+1)</f>
        <v/>
      </c>
      <c r="K72" s="417" t="str">
        <f ca="1"/>
        <v/>
      </c>
      <c r="L72" s="418" t="s">
        <v>4</v>
      </c>
      <c r="M72" s="419" t="str">
        <f ca="1"/>
        <v/>
      </c>
      <c r="N72" s="47" t="str">
        <f t="shared" ca="1" si="135"/>
        <v/>
      </c>
      <c r="O72" s="45" t="s">
        <v>4</v>
      </c>
      <c r="P72" s="46" t="str">
        <f t="shared" ca="1" si="136"/>
        <v/>
      </c>
      <c r="Q72" s="281"/>
      <c r="R72" s="427"/>
      <c r="S72" s="157"/>
      <c r="T72" s="158"/>
      <c r="U72" s="158"/>
      <c r="V72" s="158"/>
      <c r="W72" s="158"/>
      <c r="X72" s="139">
        <f t="shared" ref="X72:X78" ca="1" si="192">Y72+AG72+AO72+AW72+BE72+BM72+BU72+CC72+CK72</f>
        <v>0</v>
      </c>
      <c r="Y72" s="296">
        <f t="shared" ref="Y72:Y78" ca="1" si="193">IF(AND(Z72&lt;99999,OR(Z72=Z71,Z72=Z70,Z72=Z69,)),1,0)</f>
        <v>0</v>
      </c>
      <c r="Z72" s="293">
        <f t="shared" ca="1" si="137"/>
        <v>99999</v>
      </c>
      <c r="AA72" s="139" t="str">
        <f t="shared" ca="1" si="138"/>
        <v/>
      </c>
      <c r="AB72" s="139" t="str">
        <f t="shared" ca="1" si="139"/>
        <v/>
      </c>
      <c r="AC72" s="294">
        <f t="shared" ca="1" si="140"/>
        <v>99999</v>
      </c>
      <c r="AD72" s="294" t="str">
        <f t="shared" ca="1" si="141"/>
        <v/>
      </c>
      <c r="AE72" s="295" t="str">
        <f t="shared" ca="1" si="142"/>
        <v/>
      </c>
      <c r="AF72" s="139"/>
      <c r="AG72" s="296">
        <f t="shared" ref="AG72:AG78" ca="1" si="194">IF(AND(AH72&lt;99999,OR(AH72=AH71,AH72=AH70,AH72=AH69,)),1,0)</f>
        <v>0</v>
      </c>
      <c r="AH72" s="293">
        <f t="shared" ca="1" si="143"/>
        <v>99999</v>
      </c>
      <c r="AI72" s="139" t="str">
        <f t="shared" ca="1" si="144"/>
        <v/>
      </c>
      <c r="AJ72" s="139" t="str">
        <f t="shared" ca="1" si="145"/>
        <v/>
      </c>
      <c r="AK72" s="294">
        <f t="shared" ca="1" si="146"/>
        <v>99999</v>
      </c>
      <c r="AL72" s="294" t="str">
        <f t="shared" ca="1" si="147"/>
        <v/>
      </c>
      <c r="AM72" s="295" t="str">
        <f t="shared" ca="1" si="148"/>
        <v/>
      </c>
      <c r="AN72" s="44"/>
      <c r="AO72" s="296">
        <f t="shared" ref="AO72:AO78" ca="1" si="195">IF(AND(AP72&lt;99999,OR(AP72=AP71,AP72=AP70,AP72=AP69,)),1,0)</f>
        <v>0</v>
      </c>
      <c r="AP72" s="293">
        <f t="shared" ca="1" si="149"/>
        <v>99999</v>
      </c>
      <c r="AQ72" s="139" t="str">
        <f t="shared" ca="1" si="150"/>
        <v/>
      </c>
      <c r="AR72" s="139" t="str">
        <f t="shared" ca="1" si="151"/>
        <v/>
      </c>
      <c r="AS72" s="294">
        <f t="shared" ca="1" si="152"/>
        <v>99999</v>
      </c>
      <c r="AT72" s="294" t="str">
        <f t="shared" ca="1" si="153"/>
        <v/>
      </c>
      <c r="AU72" s="295" t="str">
        <f t="shared" ca="1" si="154"/>
        <v/>
      </c>
      <c r="AV72" s="139"/>
      <c r="AW72" s="296">
        <f t="shared" ref="AW72:AW78" ca="1" si="196">IF(AND(AX72&lt;99999,OR(AX72=AX71,AX72=AX70,AX72=AX69,)),1,0)</f>
        <v>0</v>
      </c>
      <c r="AX72" s="293">
        <f t="shared" ca="1" si="155"/>
        <v>99999</v>
      </c>
      <c r="AY72" s="139" t="str">
        <f t="shared" ca="1" si="156"/>
        <v/>
      </c>
      <c r="AZ72" s="139" t="str">
        <f t="shared" ca="1" si="157"/>
        <v/>
      </c>
      <c r="BA72" s="294">
        <f t="shared" ca="1" si="158"/>
        <v>99999</v>
      </c>
      <c r="BB72" s="294" t="str">
        <f t="shared" ca="1" si="159"/>
        <v/>
      </c>
      <c r="BC72" s="295" t="str">
        <f t="shared" ca="1" si="160"/>
        <v/>
      </c>
      <c r="BD72" s="44"/>
      <c r="BE72" s="296">
        <f t="shared" ref="BE72:BE78" ca="1" si="197">IF(AND(BF72&lt;99999,OR(BF72=BF71,BF72=BF70,BF72=BF69,)),1,0)</f>
        <v>0</v>
      </c>
      <c r="BF72" s="293">
        <f t="shared" ca="1" si="161"/>
        <v>99999</v>
      </c>
      <c r="BG72" s="139" t="str">
        <f t="shared" ca="1" si="162"/>
        <v/>
      </c>
      <c r="BH72" s="139" t="str">
        <f t="shared" ca="1" si="163"/>
        <v/>
      </c>
      <c r="BI72" s="294">
        <f t="shared" ca="1" si="164"/>
        <v>99999</v>
      </c>
      <c r="BJ72" s="294" t="str">
        <f t="shared" ca="1" si="165"/>
        <v/>
      </c>
      <c r="BK72" s="295" t="str">
        <f t="shared" ca="1" si="166"/>
        <v/>
      </c>
      <c r="BL72" s="139"/>
      <c r="BM72" s="296">
        <f t="shared" ref="BM72:BM78" ca="1" si="198">IF(AND(BN72&lt;99999,OR(BN72=BN71,BN72=BN70,BN72=BN69,)),1,0)</f>
        <v>0</v>
      </c>
      <c r="BN72" s="293">
        <f t="shared" ca="1" si="167"/>
        <v>99999</v>
      </c>
      <c r="BO72" s="139" t="str">
        <f t="shared" ca="1" si="168"/>
        <v/>
      </c>
      <c r="BP72" s="139" t="str">
        <f t="shared" ca="1" si="169"/>
        <v/>
      </c>
      <c r="BQ72" s="294">
        <f t="shared" ca="1" si="170"/>
        <v>99999</v>
      </c>
      <c r="BR72" s="294" t="str">
        <f t="shared" ca="1" si="171"/>
        <v/>
      </c>
      <c r="BS72" s="295" t="str">
        <f t="shared" ca="1" si="172"/>
        <v/>
      </c>
      <c r="BT72" s="44"/>
      <c r="BU72" s="296">
        <f t="shared" ref="BU72:BU78" ca="1" si="199">IF(AND(BV72&lt;99999,OR(BV72=BV71,BV72=BV70,BV72=BV69,)),1,0)</f>
        <v>0</v>
      </c>
      <c r="BV72" s="293">
        <f t="shared" ca="1" si="173"/>
        <v>99999</v>
      </c>
      <c r="BW72" s="139" t="str">
        <f t="shared" ca="1" si="174"/>
        <v/>
      </c>
      <c r="BX72" s="139" t="str">
        <f t="shared" ca="1" si="175"/>
        <v/>
      </c>
      <c r="BY72" s="294">
        <f t="shared" ca="1" si="176"/>
        <v>99999</v>
      </c>
      <c r="BZ72" s="294" t="str">
        <f t="shared" ca="1" si="177"/>
        <v/>
      </c>
      <c r="CA72" s="295" t="str">
        <f t="shared" ca="1" si="178"/>
        <v/>
      </c>
      <c r="CB72" s="139"/>
      <c r="CC72" s="296">
        <f t="shared" ref="CC72:CC78" ca="1" si="200">IF(AND(CD72&lt;99999,OR(CD72=CD71,CD72=CD70,CD72=CD69,)),1,0)</f>
        <v>0</v>
      </c>
      <c r="CD72" s="293">
        <f t="shared" ca="1" si="179"/>
        <v>99999</v>
      </c>
      <c r="CE72" s="139" t="str">
        <f t="shared" ca="1" si="180"/>
        <v/>
      </c>
      <c r="CF72" s="139" t="str">
        <f t="shared" ca="1" si="181"/>
        <v/>
      </c>
      <c r="CG72" s="294">
        <f t="shared" ca="1" si="182"/>
        <v>99999</v>
      </c>
      <c r="CH72" s="294" t="str">
        <f t="shared" ca="1" si="183"/>
        <v/>
      </c>
      <c r="CI72" s="295" t="str">
        <f t="shared" ca="1" si="184"/>
        <v/>
      </c>
      <c r="CJ72" s="44"/>
      <c r="CK72" s="296">
        <f t="shared" ref="CK72:CK78" ca="1" si="201">IF(AND(CL72&lt;99999,OR(CL72=CL71,CL72=CL70,CL72=CL69,)),1,0)</f>
        <v>0</v>
      </c>
      <c r="CL72" s="293">
        <f t="shared" ca="1" si="185"/>
        <v>99999</v>
      </c>
      <c r="CM72" s="139" t="str">
        <f t="shared" ca="1" si="186"/>
        <v/>
      </c>
      <c r="CN72" s="139" t="str">
        <f t="shared" ca="1" si="187"/>
        <v/>
      </c>
      <c r="CO72" s="294">
        <f t="shared" ca="1" si="188"/>
        <v>99999</v>
      </c>
      <c r="CP72" s="294" t="str">
        <f t="shared" ca="1" si="189"/>
        <v/>
      </c>
      <c r="CQ72" s="295" t="str">
        <f t="shared" ca="1" si="190"/>
        <v/>
      </c>
      <c r="CR72" s="44"/>
      <c r="CS72" s="44"/>
    </row>
    <row r="73" spans="1:97" ht="15.95" customHeight="1" x14ac:dyDescent="0.25">
      <c r="A73" s="44"/>
      <c r="B73" s="44"/>
      <c r="C73" s="44"/>
      <c r="D73" s="114">
        <f t="shared" ca="1" si="191"/>
        <v>0</v>
      </c>
      <c r="E73" s="114" t="str">
        <f t="shared" ca="1" si="134"/>
        <v/>
      </c>
      <c r="F73" s="114">
        <f ca="1">IF($E73="",0,COUNTIF($E$7:$E73,INDEX($E$79:$E$150,ROW($A67))))</f>
        <v>0</v>
      </c>
      <c r="G73" s="142"/>
      <c r="H73" s="137">
        <v>67</v>
      </c>
      <c r="I73" s="164" t="str">
        <f ca="1">IF(OR($Y$3,$H73&gt;Calc!$B$13/2*$D$6),"",$U$6+QUOTIENT(($H73-1),$U$22)*($U$8+$U$10)/1440+SUM($R$7:$R72)/1440)</f>
        <v/>
      </c>
      <c r="J73" s="166" t="str">
        <f ca="1">IF(OR($Y$3,$H73&gt;Calc!$B$13/2*$D$6),"",MOD(($H73-1),$U$22)+1)</f>
        <v/>
      </c>
      <c r="K73" s="417" t="str">
        <f ca="1"/>
        <v/>
      </c>
      <c r="L73" s="418" t="s">
        <v>4</v>
      </c>
      <c r="M73" s="419" t="str">
        <f ca="1"/>
        <v/>
      </c>
      <c r="N73" s="47" t="str">
        <f t="shared" ca="1" si="135"/>
        <v/>
      </c>
      <c r="O73" s="45" t="s">
        <v>4</v>
      </c>
      <c r="P73" s="46" t="str">
        <f t="shared" ca="1" si="136"/>
        <v/>
      </c>
      <c r="Q73" s="281"/>
      <c r="R73" s="427"/>
      <c r="S73" s="157"/>
      <c r="T73" s="158"/>
      <c r="U73" s="158"/>
      <c r="V73" s="158"/>
      <c r="W73" s="158"/>
      <c r="X73" s="139">
        <f t="shared" ca="1" si="192"/>
        <v>0</v>
      </c>
      <c r="Y73" s="296">
        <f t="shared" ca="1" si="193"/>
        <v>0</v>
      </c>
      <c r="Z73" s="293">
        <f t="shared" ca="1" si="137"/>
        <v>99999</v>
      </c>
      <c r="AA73" s="139" t="str">
        <f t="shared" ca="1" si="138"/>
        <v/>
      </c>
      <c r="AB73" s="139" t="str">
        <f t="shared" ca="1" si="139"/>
        <v/>
      </c>
      <c r="AC73" s="294">
        <f t="shared" ca="1" si="140"/>
        <v>99999</v>
      </c>
      <c r="AD73" s="294" t="str">
        <f t="shared" ca="1" si="141"/>
        <v/>
      </c>
      <c r="AE73" s="295" t="str">
        <f t="shared" ca="1" si="142"/>
        <v/>
      </c>
      <c r="AF73" s="139"/>
      <c r="AG73" s="296">
        <f t="shared" ca="1" si="194"/>
        <v>0</v>
      </c>
      <c r="AH73" s="293">
        <f t="shared" ca="1" si="143"/>
        <v>99999</v>
      </c>
      <c r="AI73" s="139" t="str">
        <f t="shared" ca="1" si="144"/>
        <v/>
      </c>
      <c r="AJ73" s="139" t="str">
        <f t="shared" ca="1" si="145"/>
        <v/>
      </c>
      <c r="AK73" s="294">
        <f t="shared" ca="1" si="146"/>
        <v>99999</v>
      </c>
      <c r="AL73" s="294" t="str">
        <f t="shared" ca="1" si="147"/>
        <v/>
      </c>
      <c r="AM73" s="295" t="str">
        <f t="shared" ca="1" si="148"/>
        <v/>
      </c>
      <c r="AN73" s="44"/>
      <c r="AO73" s="296">
        <f t="shared" ca="1" si="195"/>
        <v>0</v>
      </c>
      <c r="AP73" s="293">
        <f t="shared" ca="1" si="149"/>
        <v>99999</v>
      </c>
      <c r="AQ73" s="139" t="str">
        <f t="shared" ca="1" si="150"/>
        <v/>
      </c>
      <c r="AR73" s="139" t="str">
        <f t="shared" ca="1" si="151"/>
        <v/>
      </c>
      <c r="AS73" s="294">
        <f t="shared" ca="1" si="152"/>
        <v>99999</v>
      </c>
      <c r="AT73" s="294" t="str">
        <f t="shared" ca="1" si="153"/>
        <v/>
      </c>
      <c r="AU73" s="295" t="str">
        <f t="shared" ca="1" si="154"/>
        <v/>
      </c>
      <c r="AV73" s="139"/>
      <c r="AW73" s="296">
        <f t="shared" ca="1" si="196"/>
        <v>0</v>
      </c>
      <c r="AX73" s="293">
        <f t="shared" ca="1" si="155"/>
        <v>99999</v>
      </c>
      <c r="AY73" s="139" t="str">
        <f t="shared" ca="1" si="156"/>
        <v/>
      </c>
      <c r="AZ73" s="139" t="str">
        <f t="shared" ca="1" si="157"/>
        <v/>
      </c>
      <c r="BA73" s="294">
        <f t="shared" ca="1" si="158"/>
        <v>99999</v>
      </c>
      <c r="BB73" s="294" t="str">
        <f t="shared" ca="1" si="159"/>
        <v/>
      </c>
      <c r="BC73" s="295" t="str">
        <f t="shared" ca="1" si="160"/>
        <v/>
      </c>
      <c r="BD73" s="44"/>
      <c r="BE73" s="296">
        <f t="shared" ca="1" si="197"/>
        <v>0</v>
      </c>
      <c r="BF73" s="293">
        <f t="shared" ca="1" si="161"/>
        <v>99999</v>
      </c>
      <c r="BG73" s="139" t="str">
        <f t="shared" ca="1" si="162"/>
        <v/>
      </c>
      <c r="BH73" s="139" t="str">
        <f t="shared" ca="1" si="163"/>
        <v/>
      </c>
      <c r="BI73" s="294">
        <f t="shared" ca="1" si="164"/>
        <v>99999</v>
      </c>
      <c r="BJ73" s="294" t="str">
        <f t="shared" ca="1" si="165"/>
        <v/>
      </c>
      <c r="BK73" s="295" t="str">
        <f t="shared" ca="1" si="166"/>
        <v/>
      </c>
      <c r="BL73" s="139"/>
      <c r="BM73" s="296">
        <f t="shared" ca="1" si="198"/>
        <v>0</v>
      </c>
      <c r="BN73" s="293">
        <f t="shared" ca="1" si="167"/>
        <v>99999</v>
      </c>
      <c r="BO73" s="139" t="str">
        <f t="shared" ca="1" si="168"/>
        <v/>
      </c>
      <c r="BP73" s="139" t="str">
        <f t="shared" ca="1" si="169"/>
        <v/>
      </c>
      <c r="BQ73" s="294">
        <f t="shared" ca="1" si="170"/>
        <v>99999</v>
      </c>
      <c r="BR73" s="294" t="str">
        <f t="shared" ca="1" si="171"/>
        <v/>
      </c>
      <c r="BS73" s="295" t="str">
        <f t="shared" ca="1" si="172"/>
        <v/>
      </c>
      <c r="BT73" s="44"/>
      <c r="BU73" s="296">
        <f t="shared" ca="1" si="199"/>
        <v>0</v>
      </c>
      <c r="BV73" s="293">
        <f t="shared" ca="1" si="173"/>
        <v>99999</v>
      </c>
      <c r="BW73" s="139" t="str">
        <f t="shared" ca="1" si="174"/>
        <v/>
      </c>
      <c r="BX73" s="139" t="str">
        <f t="shared" ca="1" si="175"/>
        <v/>
      </c>
      <c r="BY73" s="294">
        <f t="shared" ca="1" si="176"/>
        <v>99999</v>
      </c>
      <c r="BZ73" s="294" t="str">
        <f t="shared" ca="1" si="177"/>
        <v/>
      </c>
      <c r="CA73" s="295" t="str">
        <f t="shared" ca="1" si="178"/>
        <v/>
      </c>
      <c r="CB73" s="139"/>
      <c r="CC73" s="296">
        <f t="shared" ca="1" si="200"/>
        <v>0</v>
      </c>
      <c r="CD73" s="293">
        <f t="shared" ca="1" si="179"/>
        <v>99999</v>
      </c>
      <c r="CE73" s="139" t="str">
        <f t="shared" ca="1" si="180"/>
        <v/>
      </c>
      <c r="CF73" s="139" t="str">
        <f t="shared" ca="1" si="181"/>
        <v/>
      </c>
      <c r="CG73" s="294">
        <f t="shared" ca="1" si="182"/>
        <v>99999</v>
      </c>
      <c r="CH73" s="294" t="str">
        <f t="shared" ca="1" si="183"/>
        <v/>
      </c>
      <c r="CI73" s="295" t="str">
        <f t="shared" ca="1" si="184"/>
        <v/>
      </c>
      <c r="CJ73" s="44"/>
      <c r="CK73" s="296">
        <f t="shared" ca="1" si="201"/>
        <v>0</v>
      </c>
      <c r="CL73" s="293">
        <f t="shared" ca="1" si="185"/>
        <v>99999</v>
      </c>
      <c r="CM73" s="139" t="str">
        <f t="shared" ca="1" si="186"/>
        <v/>
      </c>
      <c r="CN73" s="139" t="str">
        <f t="shared" ca="1" si="187"/>
        <v/>
      </c>
      <c r="CO73" s="294">
        <f t="shared" ca="1" si="188"/>
        <v>99999</v>
      </c>
      <c r="CP73" s="294" t="str">
        <f t="shared" ca="1" si="189"/>
        <v/>
      </c>
      <c r="CQ73" s="295" t="str">
        <f t="shared" ca="1" si="190"/>
        <v/>
      </c>
      <c r="CR73" s="44"/>
      <c r="CS73" s="44"/>
    </row>
    <row r="74" spans="1:97" ht="15.95" customHeight="1" x14ac:dyDescent="0.25">
      <c r="A74" s="44"/>
      <c r="B74" s="44"/>
      <c r="C74" s="44"/>
      <c r="D74" s="114">
        <f t="shared" ca="1" si="191"/>
        <v>0</v>
      </c>
      <c r="E74" s="114" t="str">
        <f t="shared" ca="1" si="134"/>
        <v/>
      </c>
      <c r="F74" s="114">
        <f ca="1">IF($E74="",0,COUNTIF($E$7:$E74,INDEX($E$79:$E$150,ROW($A68))))</f>
        <v>0</v>
      </c>
      <c r="G74" s="142"/>
      <c r="H74" s="137">
        <v>68</v>
      </c>
      <c r="I74" s="164" t="str">
        <f ca="1">IF(OR($Y$3,$H74&gt;Calc!$B$13/2*$D$6),"",$U$6+QUOTIENT(($H74-1),$U$22)*($U$8+$U$10)/1440+SUM($R$7:$R73)/1440)</f>
        <v/>
      </c>
      <c r="J74" s="166" t="str">
        <f ca="1">IF(OR($Y$3,$H74&gt;Calc!$B$13/2*$D$6),"",MOD(($H74-1),$U$22)+1)</f>
        <v/>
      </c>
      <c r="K74" s="417" t="str">
        <f ca="1"/>
        <v/>
      </c>
      <c r="L74" s="418" t="s">
        <v>4</v>
      </c>
      <c r="M74" s="419" t="str">
        <f ca="1"/>
        <v/>
      </c>
      <c r="N74" s="47" t="str">
        <f t="shared" ca="1" si="135"/>
        <v/>
      </c>
      <c r="O74" s="45" t="s">
        <v>4</v>
      </c>
      <c r="P74" s="46" t="str">
        <f t="shared" ca="1" si="136"/>
        <v/>
      </c>
      <c r="Q74" s="281"/>
      <c r="R74" s="427"/>
      <c r="S74" s="157"/>
      <c r="T74" s="158"/>
      <c r="U74" s="158"/>
      <c r="V74" s="158"/>
      <c r="W74" s="158"/>
      <c r="X74" s="139">
        <f t="shared" ca="1" si="192"/>
        <v>0</v>
      </c>
      <c r="Y74" s="296">
        <f t="shared" ca="1" si="193"/>
        <v>0</v>
      </c>
      <c r="Z74" s="293">
        <f t="shared" ca="1" si="137"/>
        <v>99999</v>
      </c>
      <c r="AA74" s="139" t="str">
        <f t="shared" ca="1" si="138"/>
        <v/>
      </c>
      <c r="AB74" s="139" t="str">
        <f t="shared" ca="1" si="139"/>
        <v/>
      </c>
      <c r="AC74" s="294">
        <f t="shared" ca="1" si="140"/>
        <v>99999</v>
      </c>
      <c r="AD74" s="294" t="str">
        <f t="shared" ca="1" si="141"/>
        <v/>
      </c>
      <c r="AE74" s="295" t="str">
        <f t="shared" ca="1" si="142"/>
        <v/>
      </c>
      <c r="AF74" s="139"/>
      <c r="AG74" s="296">
        <f t="shared" ca="1" si="194"/>
        <v>0</v>
      </c>
      <c r="AH74" s="293">
        <f t="shared" ca="1" si="143"/>
        <v>99999</v>
      </c>
      <c r="AI74" s="139" t="str">
        <f t="shared" ca="1" si="144"/>
        <v/>
      </c>
      <c r="AJ74" s="139" t="str">
        <f t="shared" ca="1" si="145"/>
        <v/>
      </c>
      <c r="AK74" s="294">
        <f t="shared" ca="1" si="146"/>
        <v>99999</v>
      </c>
      <c r="AL74" s="294" t="str">
        <f t="shared" ca="1" si="147"/>
        <v/>
      </c>
      <c r="AM74" s="295" t="str">
        <f t="shared" ca="1" si="148"/>
        <v/>
      </c>
      <c r="AN74" s="44"/>
      <c r="AO74" s="296">
        <f t="shared" ca="1" si="195"/>
        <v>0</v>
      </c>
      <c r="AP74" s="293">
        <f t="shared" ca="1" si="149"/>
        <v>99999</v>
      </c>
      <c r="AQ74" s="139" t="str">
        <f t="shared" ca="1" si="150"/>
        <v/>
      </c>
      <c r="AR74" s="139" t="str">
        <f t="shared" ca="1" si="151"/>
        <v/>
      </c>
      <c r="AS74" s="294">
        <f t="shared" ca="1" si="152"/>
        <v>99999</v>
      </c>
      <c r="AT74" s="294" t="str">
        <f t="shared" ca="1" si="153"/>
        <v/>
      </c>
      <c r="AU74" s="295" t="str">
        <f t="shared" ca="1" si="154"/>
        <v/>
      </c>
      <c r="AV74" s="139"/>
      <c r="AW74" s="296">
        <f t="shared" ca="1" si="196"/>
        <v>0</v>
      </c>
      <c r="AX74" s="293">
        <f t="shared" ca="1" si="155"/>
        <v>99999</v>
      </c>
      <c r="AY74" s="139" t="str">
        <f t="shared" ca="1" si="156"/>
        <v/>
      </c>
      <c r="AZ74" s="139" t="str">
        <f t="shared" ca="1" si="157"/>
        <v/>
      </c>
      <c r="BA74" s="294">
        <f t="shared" ca="1" si="158"/>
        <v>99999</v>
      </c>
      <c r="BB74" s="294" t="str">
        <f t="shared" ca="1" si="159"/>
        <v/>
      </c>
      <c r="BC74" s="295" t="str">
        <f t="shared" ca="1" si="160"/>
        <v/>
      </c>
      <c r="BD74" s="44"/>
      <c r="BE74" s="296">
        <f t="shared" ca="1" si="197"/>
        <v>0</v>
      </c>
      <c r="BF74" s="293">
        <f t="shared" ca="1" si="161"/>
        <v>99999</v>
      </c>
      <c r="BG74" s="139" t="str">
        <f t="shared" ca="1" si="162"/>
        <v/>
      </c>
      <c r="BH74" s="139" t="str">
        <f t="shared" ca="1" si="163"/>
        <v/>
      </c>
      <c r="BI74" s="294">
        <f t="shared" ca="1" si="164"/>
        <v>99999</v>
      </c>
      <c r="BJ74" s="294" t="str">
        <f t="shared" ca="1" si="165"/>
        <v/>
      </c>
      <c r="BK74" s="295" t="str">
        <f t="shared" ca="1" si="166"/>
        <v/>
      </c>
      <c r="BL74" s="139"/>
      <c r="BM74" s="296">
        <f t="shared" ca="1" si="198"/>
        <v>0</v>
      </c>
      <c r="BN74" s="293">
        <f t="shared" ca="1" si="167"/>
        <v>99999</v>
      </c>
      <c r="BO74" s="139" t="str">
        <f t="shared" ca="1" si="168"/>
        <v/>
      </c>
      <c r="BP74" s="139" t="str">
        <f t="shared" ca="1" si="169"/>
        <v/>
      </c>
      <c r="BQ74" s="294">
        <f t="shared" ca="1" si="170"/>
        <v>99999</v>
      </c>
      <c r="BR74" s="294" t="str">
        <f t="shared" ca="1" si="171"/>
        <v/>
      </c>
      <c r="BS74" s="295" t="str">
        <f t="shared" ca="1" si="172"/>
        <v/>
      </c>
      <c r="BT74" s="44"/>
      <c r="BU74" s="296">
        <f t="shared" ca="1" si="199"/>
        <v>0</v>
      </c>
      <c r="BV74" s="293">
        <f t="shared" ca="1" si="173"/>
        <v>99999</v>
      </c>
      <c r="BW74" s="139" t="str">
        <f t="shared" ca="1" si="174"/>
        <v/>
      </c>
      <c r="BX74" s="139" t="str">
        <f t="shared" ca="1" si="175"/>
        <v/>
      </c>
      <c r="BY74" s="294">
        <f t="shared" ca="1" si="176"/>
        <v>99999</v>
      </c>
      <c r="BZ74" s="294" t="str">
        <f t="shared" ca="1" si="177"/>
        <v/>
      </c>
      <c r="CA74" s="295" t="str">
        <f t="shared" ca="1" si="178"/>
        <v/>
      </c>
      <c r="CB74" s="139"/>
      <c r="CC74" s="296">
        <f t="shared" ca="1" si="200"/>
        <v>0</v>
      </c>
      <c r="CD74" s="293">
        <f t="shared" ca="1" si="179"/>
        <v>99999</v>
      </c>
      <c r="CE74" s="139" t="str">
        <f t="shared" ca="1" si="180"/>
        <v/>
      </c>
      <c r="CF74" s="139" t="str">
        <f t="shared" ca="1" si="181"/>
        <v/>
      </c>
      <c r="CG74" s="294">
        <f t="shared" ca="1" si="182"/>
        <v>99999</v>
      </c>
      <c r="CH74" s="294" t="str">
        <f t="shared" ca="1" si="183"/>
        <v/>
      </c>
      <c r="CI74" s="295" t="str">
        <f t="shared" ca="1" si="184"/>
        <v/>
      </c>
      <c r="CJ74" s="44"/>
      <c r="CK74" s="296">
        <f t="shared" ca="1" si="201"/>
        <v>0</v>
      </c>
      <c r="CL74" s="293">
        <f t="shared" ca="1" si="185"/>
        <v>99999</v>
      </c>
      <c r="CM74" s="139" t="str">
        <f t="shared" ca="1" si="186"/>
        <v/>
      </c>
      <c r="CN74" s="139" t="str">
        <f t="shared" ca="1" si="187"/>
        <v/>
      </c>
      <c r="CO74" s="294">
        <f t="shared" ca="1" si="188"/>
        <v>99999</v>
      </c>
      <c r="CP74" s="294" t="str">
        <f t="shared" ca="1" si="189"/>
        <v/>
      </c>
      <c r="CQ74" s="295" t="str">
        <f t="shared" ca="1" si="190"/>
        <v/>
      </c>
      <c r="CR74" s="44"/>
      <c r="CS74" s="44"/>
    </row>
    <row r="75" spans="1:97" ht="15.95" customHeight="1" x14ac:dyDescent="0.25">
      <c r="A75" s="44"/>
      <c r="B75" s="44"/>
      <c r="C75" s="44"/>
      <c r="D75" s="114">
        <f t="shared" ca="1" si="191"/>
        <v>0</v>
      </c>
      <c r="E75" s="114" t="str">
        <f t="shared" ca="1" si="134"/>
        <v/>
      </c>
      <c r="F75" s="114">
        <f ca="1">IF($E75="",0,COUNTIF($E$7:$E75,INDEX($E$79:$E$150,ROW($A69))))</f>
        <v>0</v>
      </c>
      <c r="G75" s="142"/>
      <c r="H75" s="137">
        <v>69</v>
      </c>
      <c r="I75" s="164" t="str">
        <f ca="1">IF(OR($Y$3,$H75&gt;Calc!$B$13/2*$D$6),"",$U$6+QUOTIENT(($H75-1),$U$22)*($U$8+$U$10)/1440+SUM($R$7:$R74)/1440)</f>
        <v/>
      </c>
      <c r="J75" s="166" t="str">
        <f ca="1">IF(OR($Y$3,$H75&gt;Calc!$B$13/2*$D$6),"",MOD(($H75-1),$U$22)+1)</f>
        <v/>
      </c>
      <c r="K75" s="417" t="str">
        <f ca="1"/>
        <v/>
      </c>
      <c r="L75" s="418" t="s">
        <v>4</v>
      </c>
      <c r="M75" s="419" t="str">
        <f ca="1"/>
        <v/>
      </c>
      <c r="N75" s="47" t="str">
        <f t="shared" ca="1" si="135"/>
        <v/>
      </c>
      <c r="O75" s="45" t="s">
        <v>4</v>
      </c>
      <c r="P75" s="46" t="str">
        <f t="shared" ca="1" si="136"/>
        <v/>
      </c>
      <c r="Q75" s="281"/>
      <c r="R75" s="427"/>
      <c r="S75" s="157"/>
      <c r="T75" s="158"/>
      <c r="U75" s="158"/>
      <c r="V75" s="158"/>
      <c r="W75" s="158"/>
      <c r="X75" s="139">
        <f t="shared" ca="1" si="192"/>
        <v>0</v>
      </c>
      <c r="Y75" s="296">
        <f t="shared" ca="1" si="193"/>
        <v>0</v>
      </c>
      <c r="Z75" s="293">
        <f t="shared" ca="1" si="137"/>
        <v>99999</v>
      </c>
      <c r="AA75" s="139" t="str">
        <f t="shared" ca="1" si="138"/>
        <v/>
      </c>
      <c r="AB75" s="139" t="str">
        <f t="shared" ca="1" si="139"/>
        <v/>
      </c>
      <c r="AC75" s="294">
        <f t="shared" ca="1" si="140"/>
        <v>99999</v>
      </c>
      <c r="AD75" s="294" t="str">
        <f t="shared" ca="1" si="141"/>
        <v/>
      </c>
      <c r="AE75" s="295" t="str">
        <f t="shared" ca="1" si="142"/>
        <v/>
      </c>
      <c r="AF75" s="139"/>
      <c r="AG75" s="296">
        <f t="shared" ca="1" si="194"/>
        <v>0</v>
      </c>
      <c r="AH75" s="293">
        <f t="shared" ca="1" si="143"/>
        <v>99999</v>
      </c>
      <c r="AI75" s="139" t="str">
        <f t="shared" ca="1" si="144"/>
        <v/>
      </c>
      <c r="AJ75" s="139" t="str">
        <f t="shared" ca="1" si="145"/>
        <v/>
      </c>
      <c r="AK75" s="294">
        <f t="shared" ca="1" si="146"/>
        <v>99999</v>
      </c>
      <c r="AL75" s="294" t="str">
        <f t="shared" ca="1" si="147"/>
        <v/>
      </c>
      <c r="AM75" s="295" t="str">
        <f t="shared" ca="1" si="148"/>
        <v/>
      </c>
      <c r="AN75" s="44"/>
      <c r="AO75" s="296">
        <f t="shared" ca="1" si="195"/>
        <v>0</v>
      </c>
      <c r="AP75" s="293">
        <f t="shared" ca="1" si="149"/>
        <v>99999</v>
      </c>
      <c r="AQ75" s="139" t="str">
        <f t="shared" ca="1" si="150"/>
        <v/>
      </c>
      <c r="AR75" s="139" t="str">
        <f t="shared" ca="1" si="151"/>
        <v/>
      </c>
      <c r="AS75" s="294">
        <f t="shared" ca="1" si="152"/>
        <v>99999</v>
      </c>
      <c r="AT75" s="294" t="str">
        <f t="shared" ca="1" si="153"/>
        <v/>
      </c>
      <c r="AU75" s="295" t="str">
        <f t="shared" ca="1" si="154"/>
        <v/>
      </c>
      <c r="AV75" s="139"/>
      <c r="AW75" s="296">
        <f t="shared" ca="1" si="196"/>
        <v>0</v>
      </c>
      <c r="AX75" s="293">
        <f t="shared" ca="1" si="155"/>
        <v>99999</v>
      </c>
      <c r="AY75" s="139" t="str">
        <f t="shared" ca="1" si="156"/>
        <v/>
      </c>
      <c r="AZ75" s="139" t="str">
        <f t="shared" ca="1" si="157"/>
        <v/>
      </c>
      <c r="BA75" s="294">
        <f t="shared" ca="1" si="158"/>
        <v>99999</v>
      </c>
      <c r="BB75" s="294" t="str">
        <f t="shared" ca="1" si="159"/>
        <v/>
      </c>
      <c r="BC75" s="295" t="str">
        <f t="shared" ca="1" si="160"/>
        <v/>
      </c>
      <c r="BD75" s="44"/>
      <c r="BE75" s="296">
        <f t="shared" ca="1" si="197"/>
        <v>0</v>
      </c>
      <c r="BF75" s="293">
        <f t="shared" ca="1" si="161"/>
        <v>99999</v>
      </c>
      <c r="BG75" s="139" t="str">
        <f t="shared" ca="1" si="162"/>
        <v/>
      </c>
      <c r="BH75" s="139" t="str">
        <f t="shared" ca="1" si="163"/>
        <v/>
      </c>
      <c r="BI75" s="294">
        <f t="shared" ca="1" si="164"/>
        <v>99999</v>
      </c>
      <c r="BJ75" s="294" t="str">
        <f t="shared" ca="1" si="165"/>
        <v/>
      </c>
      <c r="BK75" s="295" t="str">
        <f t="shared" ca="1" si="166"/>
        <v/>
      </c>
      <c r="BL75" s="139"/>
      <c r="BM75" s="296">
        <f t="shared" ca="1" si="198"/>
        <v>0</v>
      </c>
      <c r="BN75" s="293">
        <f t="shared" ca="1" si="167"/>
        <v>99999</v>
      </c>
      <c r="BO75" s="139" t="str">
        <f t="shared" ca="1" si="168"/>
        <v/>
      </c>
      <c r="BP75" s="139" t="str">
        <f t="shared" ca="1" si="169"/>
        <v/>
      </c>
      <c r="BQ75" s="294">
        <f t="shared" ca="1" si="170"/>
        <v>99999</v>
      </c>
      <c r="BR75" s="294" t="str">
        <f t="shared" ca="1" si="171"/>
        <v/>
      </c>
      <c r="BS75" s="295" t="str">
        <f t="shared" ca="1" si="172"/>
        <v/>
      </c>
      <c r="BT75" s="44"/>
      <c r="BU75" s="296">
        <f t="shared" ca="1" si="199"/>
        <v>0</v>
      </c>
      <c r="BV75" s="293">
        <f t="shared" ca="1" si="173"/>
        <v>99999</v>
      </c>
      <c r="BW75" s="139" t="str">
        <f t="shared" ca="1" si="174"/>
        <v/>
      </c>
      <c r="BX75" s="139" t="str">
        <f t="shared" ca="1" si="175"/>
        <v/>
      </c>
      <c r="BY75" s="294">
        <f t="shared" ca="1" si="176"/>
        <v>99999</v>
      </c>
      <c r="BZ75" s="294" t="str">
        <f t="shared" ca="1" si="177"/>
        <v/>
      </c>
      <c r="CA75" s="295" t="str">
        <f t="shared" ca="1" si="178"/>
        <v/>
      </c>
      <c r="CB75" s="139"/>
      <c r="CC75" s="296">
        <f t="shared" ca="1" si="200"/>
        <v>0</v>
      </c>
      <c r="CD75" s="293">
        <f t="shared" ca="1" si="179"/>
        <v>99999</v>
      </c>
      <c r="CE75" s="139" t="str">
        <f t="shared" ca="1" si="180"/>
        <v/>
      </c>
      <c r="CF75" s="139" t="str">
        <f t="shared" ca="1" si="181"/>
        <v/>
      </c>
      <c r="CG75" s="294">
        <f t="shared" ca="1" si="182"/>
        <v>99999</v>
      </c>
      <c r="CH75" s="294" t="str">
        <f t="shared" ca="1" si="183"/>
        <v/>
      </c>
      <c r="CI75" s="295" t="str">
        <f t="shared" ca="1" si="184"/>
        <v/>
      </c>
      <c r="CJ75" s="44"/>
      <c r="CK75" s="296">
        <f t="shared" ca="1" si="201"/>
        <v>0</v>
      </c>
      <c r="CL75" s="293">
        <f t="shared" ca="1" si="185"/>
        <v>99999</v>
      </c>
      <c r="CM75" s="139" t="str">
        <f t="shared" ca="1" si="186"/>
        <v/>
      </c>
      <c r="CN75" s="139" t="str">
        <f t="shared" ca="1" si="187"/>
        <v/>
      </c>
      <c r="CO75" s="294">
        <f t="shared" ca="1" si="188"/>
        <v>99999</v>
      </c>
      <c r="CP75" s="294" t="str">
        <f t="shared" ca="1" si="189"/>
        <v/>
      </c>
      <c r="CQ75" s="295" t="str">
        <f t="shared" ca="1" si="190"/>
        <v/>
      </c>
      <c r="CR75" s="44"/>
      <c r="CS75" s="44"/>
    </row>
    <row r="76" spans="1:97" ht="15.95" customHeight="1" x14ac:dyDescent="0.25">
      <c r="A76" s="44"/>
      <c r="B76" s="44"/>
      <c r="C76" s="44"/>
      <c r="D76" s="114">
        <f t="shared" ca="1" si="191"/>
        <v>0</v>
      </c>
      <c r="E76" s="114" t="str">
        <f t="shared" ca="1" si="134"/>
        <v/>
      </c>
      <c r="F76" s="114">
        <f ca="1">IF($E76="",0,COUNTIF($E$7:$E76,INDEX($E$79:$E$150,ROW($A70))))</f>
        <v>0</v>
      </c>
      <c r="G76" s="142"/>
      <c r="H76" s="137">
        <v>70</v>
      </c>
      <c r="I76" s="164" t="str">
        <f ca="1">IF(OR($Y$3,$H76&gt;Calc!$B$13/2*$D$6),"",$U$6+QUOTIENT(($H76-1),$U$22)*($U$8+$U$10)/1440+SUM($R$7:$R75)/1440)</f>
        <v/>
      </c>
      <c r="J76" s="166" t="str">
        <f ca="1">IF(OR($Y$3,$H76&gt;Calc!$B$13/2*$D$6),"",MOD(($H76-1),$U$22)+1)</f>
        <v/>
      </c>
      <c r="K76" s="417" t="str">
        <f ca="1"/>
        <v/>
      </c>
      <c r="L76" s="418" t="s">
        <v>4</v>
      </c>
      <c r="M76" s="419" t="str">
        <f ca="1"/>
        <v/>
      </c>
      <c r="N76" s="47" t="str">
        <f t="shared" ca="1" si="135"/>
        <v/>
      </c>
      <c r="O76" s="45" t="s">
        <v>4</v>
      </c>
      <c r="P76" s="46" t="str">
        <f t="shared" ca="1" si="136"/>
        <v/>
      </c>
      <c r="Q76" s="281"/>
      <c r="R76" s="427"/>
      <c r="S76" s="157"/>
      <c r="T76" s="158"/>
      <c r="U76" s="158"/>
      <c r="V76" s="158"/>
      <c r="W76" s="158"/>
      <c r="X76" s="139">
        <f t="shared" ca="1" si="192"/>
        <v>0</v>
      </c>
      <c r="Y76" s="296">
        <f t="shared" ca="1" si="193"/>
        <v>0</v>
      </c>
      <c r="Z76" s="293">
        <f t="shared" ca="1" si="137"/>
        <v>99999</v>
      </c>
      <c r="AA76" s="139" t="str">
        <f t="shared" ca="1" si="138"/>
        <v/>
      </c>
      <c r="AB76" s="139" t="str">
        <f t="shared" ca="1" si="139"/>
        <v/>
      </c>
      <c r="AC76" s="294">
        <f t="shared" ca="1" si="140"/>
        <v>99999</v>
      </c>
      <c r="AD76" s="294" t="str">
        <f t="shared" ca="1" si="141"/>
        <v/>
      </c>
      <c r="AE76" s="295" t="str">
        <f t="shared" ca="1" si="142"/>
        <v/>
      </c>
      <c r="AF76" s="139"/>
      <c r="AG76" s="296">
        <f t="shared" ca="1" si="194"/>
        <v>0</v>
      </c>
      <c r="AH76" s="293">
        <f t="shared" ca="1" si="143"/>
        <v>99999</v>
      </c>
      <c r="AI76" s="139" t="str">
        <f t="shared" ca="1" si="144"/>
        <v/>
      </c>
      <c r="AJ76" s="139" t="str">
        <f t="shared" ca="1" si="145"/>
        <v/>
      </c>
      <c r="AK76" s="294">
        <f t="shared" ca="1" si="146"/>
        <v>99999</v>
      </c>
      <c r="AL76" s="294" t="str">
        <f t="shared" ca="1" si="147"/>
        <v/>
      </c>
      <c r="AM76" s="295" t="str">
        <f t="shared" ca="1" si="148"/>
        <v/>
      </c>
      <c r="AN76" s="44"/>
      <c r="AO76" s="296">
        <f t="shared" ca="1" si="195"/>
        <v>0</v>
      </c>
      <c r="AP76" s="293">
        <f t="shared" ca="1" si="149"/>
        <v>99999</v>
      </c>
      <c r="AQ76" s="139" t="str">
        <f t="shared" ca="1" si="150"/>
        <v/>
      </c>
      <c r="AR76" s="139" t="str">
        <f t="shared" ca="1" si="151"/>
        <v/>
      </c>
      <c r="AS76" s="294">
        <f t="shared" ca="1" si="152"/>
        <v>99999</v>
      </c>
      <c r="AT76" s="294" t="str">
        <f t="shared" ca="1" si="153"/>
        <v/>
      </c>
      <c r="AU76" s="295" t="str">
        <f t="shared" ca="1" si="154"/>
        <v/>
      </c>
      <c r="AV76" s="139"/>
      <c r="AW76" s="296">
        <f t="shared" ca="1" si="196"/>
        <v>0</v>
      </c>
      <c r="AX76" s="293">
        <f t="shared" ca="1" si="155"/>
        <v>99999</v>
      </c>
      <c r="AY76" s="139" t="str">
        <f t="shared" ca="1" si="156"/>
        <v/>
      </c>
      <c r="AZ76" s="139" t="str">
        <f t="shared" ca="1" si="157"/>
        <v/>
      </c>
      <c r="BA76" s="294">
        <f t="shared" ca="1" si="158"/>
        <v>99999</v>
      </c>
      <c r="BB76" s="294" t="str">
        <f t="shared" ca="1" si="159"/>
        <v/>
      </c>
      <c r="BC76" s="295" t="str">
        <f t="shared" ca="1" si="160"/>
        <v/>
      </c>
      <c r="BD76" s="44"/>
      <c r="BE76" s="296">
        <f t="shared" ca="1" si="197"/>
        <v>0</v>
      </c>
      <c r="BF76" s="293">
        <f t="shared" ca="1" si="161"/>
        <v>99999</v>
      </c>
      <c r="BG76" s="139" t="str">
        <f t="shared" ca="1" si="162"/>
        <v/>
      </c>
      <c r="BH76" s="139" t="str">
        <f t="shared" ca="1" si="163"/>
        <v/>
      </c>
      <c r="BI76" s="294">
        <f t="shared" ca="1" si="164"/>
        <v>99999</v>
      </c>
      <c r="BJ76" s="294" t="str">
        <f t="shared" ca="1" si="165"/>
        <v/>
      </c>
      <c r="BK76" s="295" t="str">
        <f t="shared" ca="1" si="166"/>
        <v/>
      </c>
      <c r="BL76" s="139"/>
      <c r="BM76" s="296">
        <f t="shared" ca="1" si="198"/>
        <v>0</v>
      </c>
      <c r="BN76" s="293">
        <f t="shared" ca="1" si="167"/>
        <v>99999</v>
      </c>
      <c r="BO76" s="139" t="str">
        <f t="shared" ca="1" si="168"/>
        <v/>
      </c>
      <c r="BP76" s="139" t="str">
        <f t="shared" ca="1" si="169"/>
        <v/>
      </c>
      <c r="BQ76" s="294">
        <f t="shared" ca="1" si="170"/>
        <v>99999</v>
      </c>
      <c r="BR76" s="294" t="str">
        <f t="shared" ca="1" si="171"/>
        <v/>
      </c>
      <c r="BS76" s="295" t="str">
        <f t="shared" ca="1" si="172"/>
        <v/>
      </c>
      <c r="BT76" s="44"/>
      <c r="BU76" s="296">
        <f t="shared" ca="1" si="199"/>
        <v>0</v>
      </c>
      <c r="BV76" s="293">
        <f t="shared" ca="1" si="173"/>
        <v>99999</v>
      </c>
      <c r="BW76" s="139" t="str">
        <f t="shared" ca="1" si="174"/>
        <v/>
      </c>
      <c r="BX76" s="139" t="str">
        <f t="shared" ca="1" si="175"/>
        <v/>
      </c>
      <c r="BY76" s="294">
        <f t="shared" ca="1" si="176"/>
        <v>99999</v>
      </c>
      <c r="BZ76" s="294" t="str">
        <f t="shared" ca="1" si="177"/>
        <v/>
      </c>
      <c r="CA76" s="295" t="str">
        <f t="shared" ca="1" si="178"/>
        <v/>
      </c>
      <c r="CB76" s="139"/>
      <c r="CC76" s="296">
        <f t="shared" ca="1" si="200"/>
        <v>0</v>
      </c>
      <c r="CD76" s="293">
        <f t="shared" ca="1" si="179"/>
        <v>99999</v>
      </c>
      <c r="CE76" s="139" t="str">
        <f t="shared" ca="1" si="180"/>
        <v/>
      </c>
      <c r="CF76" s="139" t="str">
        <f t="shared" ca="1" si="181"/>
        <v/>
      </c>
      <c r="CG76" s="294">
        <f t="shared" ca="1" si="182"/>
        <v>99999</v>
      </c>
      <c r="CH76" s="294" t="str">
        <f t="shared" ca="1" si="183"/>
        <v/>
      </c>
      <c r="CI76" s="295" t="str">
        <f t="shared" ca="1" si="184"/>
        <v/>
      </c>
      <c r="CJ76" s="44"/>
      <c r="CK76" s="296">
        <f t="shared" ca="1" si="201"/>
        <v>0</v>
      </c>
      <c r="CL76" s="293">
        <f t="shared" ca="1" si="185"/>
        <v>99999</v>
      </c>
      <c r="CM76" s="139" t="str">
        <f t="shared" ca="1" si="186"/>
        <v/>
      </c>
      <c r="CN76" s="139" t="str">
        <f t="shared" ca="1" si="187"/>
        <v/>
      </c>
      <c r="CO76" s="294">
        <f t="shared" ca="1" si="188"/>
        <v>99999</v>
      </c>
      <c r="CP76" s="294" t="str">
        <f t="shared" ca="1" si="189"/>
        <v/>
      </c>
      <c r="CQ76" s="295" t="str">
        <f t="shared" ca="1" si="190"/>
        <v/>
      </c>
      <c r="CR76" s="44"/>
      <c r="CS76" s="44"/>
    </row>
    <row r="77" spans="1:97" ht="15.95" customHeight="1" thickBot="1" x14ac:dyDescent="0.3">
      <c r="A77" s="44"/>
      <c r="B77" s="44"/>
      <c r="C77" s="44"/>
      <c r="D77" s="114">
        <f t="shared" ca="1" si="191"/>
        <v>0</v>
      </c>
      <c r="E77" s="114" t="str">
        <f t="shared" ca="1" si="134"/>
        <v/>
      </c>
      <c r="F77" s="114">
        <f ca="1">IF($E77="",0,COUNTIF($E$7:$E77,INDEX($E$79:$E$150,ROW($A71))))</f>
        <v>0</v>
      </c>
      <c r="G77" s="142"/>
      <c r="H77" s="137">
        <v>71</v>
      </c>
      <c r="I77" s="164" t="str">
        <f ca="1">IF(OR($Y$3,$H77&gt;Calc!$B$13/2*$D$6),"",$U$6+QUOTIENT(($H77-1),$U$22)*($U$8+$U$10)/1440+SUM($R$7:$R76)/1440)</f>
        <v/>
      </c>
      <c r="J77" s="166" t="str">
        <f ca="1">IF(OR($Y$3,$H77&gt;Calc!$B$13/2*$D$6),"",MOD(($H77-1),$U$22)+1)</f>
        <v/>
      </c>
      <c r="K77" s="417" t="str">
        <f ca="1"/>
        <v/>
      </c>
      <c r="L77" s="418" t="s">
        <v>4</v>
      </c>
      <c r="M77" s="419" t="str">
        <f ca="1"/>
        <v/>
      </c>
      <c r="N77" s="47" t="str">
        <f t="shared" ca="1" si="135"/>
        <v/>
      </c>
      <c r="O77" s="45" t="s">
        <v>4</v>
      </c>
      <c r="P77" s="46" t="str">
        <f t="shared" ca="1" si="136"/>
        <v/>
      </c>
      <c r="Q77" s="281"/>
      <c r="R77" s="428"/>
      <c r="S77" s="157"/>
      <c r="T77" s="158"/>
      <c r="U77" s="158"/>
      <c r="V77" s="158"/>
      <c r="W77" s="158"/>
      <c r="X77" s="139">
        <f t="shared" ca="1" si="192"/>
        <v>0</v>
      </c>
      <c r="Y77" s="296">
        <f t="shared" ca="1" si="193"/>
        <v>0</v>
      </c>
      <c r="Z77" s="293">
        <f t="shared" ca="1" si="137"/>
        <v>99999</v>
      </c>
      <c r="AA77" s="139" t="str">
        <f t="shared" ca="1" si="138"/>
        <v/>
      </c>
      <c r="AB77" s="139" t="str">
        <f t="shared" ca="1" si="139"/>
        <v/>
      </c>
      <c r="AC77" s="294">
        <f t="shared" ca="1" si="140"/>
        <v>99999</v>
      </c>
      <c r="AD77" s="294" t="str">
        <f t="shared" ca="1" si="141"/>
        <v/>
      </c>
      <c r="AE77" s="295" t="str">
        <f t="shared" ca="1" si="142"/>
        <v/>
      </c>
      <c r="AF77" s="139"/>
      <c r="AG77" s="296">
        <f t="shared" ca="1" si="194"/>
        <v>0</v>
      </c>
      <c r="AH77" s="293">
        <f t="shared" ca="1" si="143"/>
        <v>99999</v>
      </c>
      <c r="AI77" s="139" t="str">
        <f t="shared" ca="1" si="144"/>
        <v/>
      </c>
      <c r="AJ77" s="139" t="str">
        <f t="shared" ca="1" si="145"/>
        <v/>
      </c>
      <c r="AK77" s="294">
        <f t="shared" ca="1" si="146"/>
        <v>99999</v>
      </c>
      <c r="AL77" s="294" t="str">
        <f t="shared" ca="1" si="147"/>
        <v/>
      </c>
      <c r="AM77" s="295" t="str">
        <f t="shared" ca="1" si="148"/>
        <v/>
      </c>
      <c r="AN77" s="44"/>
      <c r="AO77" s="296">
        <f t="shared" ca="1" si="195"/>
        <v>0</v>
      </c>
      <c r="AP77" s="293">
        <f t="shared" ca="1" si="149"/>
        <v>99999</v>
      </c>
      <c r="AQ77" s="139" t="str">
        <f t="shared" ca="1" si="150"/>
        <v/>
      </c>
      <c r="AR77" s="139" t="str">
        <f t="shared" ca="1" si="151"/>
        <v/>
      </c>
      <c r="AS77" s="294">
        <f t="shared" ca="1" si="152"/>
        <v>99999</v>
      </c>
      <c r="AT77" s="294" t="str">
        <f t="shared" ca="1" si="153"/>
        <v/>
      </c>
      <c r="AU77" s="295" t="str">
        <f t="shared" ca="1" si="154"/>
        <v/>
      </c>
      <c r="AV77" s="139"/>
      <c r="AW77" s="296">
        <f t="shared" ca="1" si="196"/>
        <v>0</v>
      </c>
      <c r="AX77" s="293">
        <f t="shared" ca="1" si="155"/>
        <v>99999</v>
      </c>
      <c r="AY77" s="139" t="str">
        <f t="shared" ca="1" si="156"/>
        <v/>
      </c>
      <c r="AZ77" s="139" t="str">
        <f t="shared" ca="1" si="157"/>
        <v/>
      </c>
      <c r="BA77" s="294">
        <f t="shared" ca="1" si="158"/>
        <v>99999</v>
      </c>
      <c r="BB77" s="294" t="str">
        <f t="shared" ca="1" si="159"/>
        <v/>
      </c>
      <c r="BC77" s="295" t="str">
        <f t="shared" ca="1" si="160"/>
        <v/>
      </c>
      <c r="BD77" s="44"/>
      <c r="BE77" s="296">
        <f t="shared" ca="1" si="197"/>
        <v>0</v>
      </c>
      <c r="BF77" s="293">
        <f t="shared" ca="1" si="161"/>
        <v>99999</v>
      </c>
      <c r="BG77" s="139" t="str">
        <f t="shared" ca="1" si="162"/>
        <v/>
      </c>
      <c r="BH77" s="139" t="str">
        <f t="shared" ca="1" si="163"/>
        <v/>
      </c>
      <c r="BI77" s="294">
        <f t="shared" ca="1" si="164"/>
        <v>99999</v>
      </c>
      <c r="BJ77" s="294" t="str">
        <f t="shared" ca="1" si="165"/>
        <v/>
      </c>
      <c r="BK77" s="295" t="str">
        <f t="shared" ca="1" si="166"/>
        <v/>
      </c>
      <c r="BL77" s="139"/>
      <c r="BM77" s="296">
        <f t="shared" ca="1" si="198"/>
        <v>0</v>
      </c>
      <c r="BN77" s="293">
        <f t="shared" ca="1" si="167"/>
        <v>99999</v>
      </c>
      <c r="BO77" s="139" t="str">
        <f t="shared" ca="1" si="168"/>
        <v/>
      </c>
      <c r="BP77" s="139" t="str">
        <f t="shared" ca="1" si="169"/>
        <v/>
      </c>
      <c r="BQ77" s="294">
        <f t="shared" ca="1" si="170"/>
        <v>99999</v>
      </c>
      <c r="BR77" s="294" t="str">
        <f t="shared" ca="1" si="171"/>
        <v/>
      </c>
      <c r="BS77" s="295" t="str">
        <f t="shared" ca="1" si="172"/>
        <v/>
      </c>
      <c r="BT77" s="44"/>
      <c r="BU77" s="296">
        <f t="shared" ca="1" si="199"/>
        <v>0</v>
      </c>
      <c r="BV77" s="293">
        <f t="shared" ca="1" si="173"/>
        <v>99999</v>
      </c>
      <c r="BW77" s="139" t="str">
        <f t="shared" ca="1" si="174"/>
        <v/>
      </c>
      <c r="BX77" s="139" t="str">
        <f t="shared" ca="1" si="175"/>
        <v/>
      </c>
      <c r="BY77" s="294">
        <f t="shared" ca="1" si="176"/>
        <v>99999</v>
      </c>
      <c r="BZ77" s="294" t="str">
        <f t="shared" ca="1" si="177"/>
        <v/>
      </c>
      <c r="CA77" s="295" t="str">
        <f t="shared" ca="1" si="178"/>
        <v/>
      </c>
      <c r="CB77" s="139"/>
      <c r="CC77" s="296">
        <f t="shared" ca="1" si="200"/>
        <v>0</v>
      </c>
      <c r="CD77" s="293">
        <f t="shared" ca="1" si="179"/>
        <v>99999</v>
      </c>
      <c r="CE77" s="139" t="str">
        <f t="shared" ca="1" si="180"/>
        <v/>
      </c>
      <c r="CF77" s="139" t="str">
        <f t="shared" ca="1" si="181"/>
        <v/>
      </c>
      <c r="CG77" s="294">
        <f t="shared" ca="1" si="182"/>
        <v>99999</v>
      </c>
      <c r="CH77" s="294" t="str">
        <f t="shared" ca="1" si="183"/>
        <v/>
      </c>
      <c r="CI77" s="295" t="str">
        <f t="shared" ca="1" si="184"/>
        <v/>
      </c>
      <c r="CJ77" s="44"/>
      <c r="CK77" s="296">
        <f t="shared" ca="1" si="201"/>
        <v>0</v>
      </c>
      <c r="CL77" s="293">
        <f t="shared" ca="1" si="185"/>
        <v>99999</v>
      </c>
      <c r="CM77" s="139" t="str">
        <f t="shared" ca="1" si="186"/>
        <v/>
      </c>
      <c r="CN77" s="139" t="str">
        <f t="shared" ca="1" si="187"/>
        <v/>
      </c>
      <c r="CO77" s="294">
        <f t="shared" ca="1" si="188"/>
        <v>99999</v>
      </c>
      <c r="CP77" s="294" t="str">
        <f t="shared" ca="1" si="189"/>
        <v/>
      </c>
      <c r="CQ77" s="295" t="str">
        <f t="shared" ca="1" si="190"/>
        <v/>
      </c>
      <c r="CR77" s="44"/>
      <c r="CS77" s="44"/>
    </row>
    <row r="78" spans="1:97" ht="15.95" customHeight="1" thickBot="1" x14ac:dyDescent="0.3">
      <c r="A78" s="44"/>
      <c r="B78" s="44"/>
      <c r="C78" s="44"/>
      <c r="D78" s="116">
        <f t="shared" ca="1" si="191"/>
        <v>0</v>
      </c>
      <c r="E78" s="116" t="str">
        <f t="shared" ca="1" si="134"/>
        <v/>
      </c>
      <c r="F78" s="116">
        <f ca="1">IF($E78="",0,COUNTIF($E$7:$E78,INDEX($E$79:$E$150,ROW($A72))))</f>
        <v>0</v>
      </c>
      <c r="G78" s="142"/>
      <c r="H78" s="141">
        <v>72</v>
      </c>
      <c r="I78" s="167" t="str">
        <f ca="1">IF(OR($Y$3,$H78&gt;Calc!$B$13/2*$D$6),"",$U$6+QUOTIENT(($H78-1),$U$22)*($U$8+$U$10)/1440+SUM($R$7:$R77)/1440)</f>
        <v/>
      </c>
      <c r="J78" s="278" t="str">
        <f ca="1">IF(OR($Y$3,$H78&gt;Calc!$B$13/2*$D$6),"",MOD(($H78-1),$U$22)+1)</f>
        <v/>
      </c>
      <c r="K78" s="420" t="str">
        <f ca="1"/>
        <v/>
      </c>
      <c r="L78" s="421" t="s">
        <v>4</v>
      </c>
      <c r="M78" s="422" t="str">
        <f ca="1"/>
        <v/>
      </c>
      <c r="N78" s="242" t="str">
        <f t="shared" ca="1" si="135"/>
        <v/>
      </c>
      <c r="O78" s="168" t="s">
        <v>4</v>
      </c>
      <c r="P78" s="243" t="str">
        <f t="shared" ca="1" si="136"/>
        <v/>
      </c>
      <c r="Q78" s="282"/>
      <c r="R78" s="280"/>
      <c r="S78" s="157"/>
      <c r="T78" s="158"/>
      <c r="U78" s="158"/>
      <c r="V78" s="158"/>
      <c r="W78" s="158"/>
      <c r="X78" s="139">
        <f t="shared" ca="1" si="192"/>
        <v>0</v>
      </c>
      <c r="Y78" s="297">
        <f t="shared" ca="1" si="193"/>
        <v>0</v>
      </c>
      <c r="Z78" s="298">
        <f t="shared" ca="1" si="137"/>
        <v>99999</v>
      </c>
      <c r="AA78" s="290" t="str">
        <f t="shared" ca="1" si="138"/>
        <v/>
      </c>
      <c r="AB78" s="290" t="str">
        <f t="shared" ca="1" si="139"/>
        <v/>
      </c>
      <c r="AC78" s="299">
        <f t="shared" ca="1" si="140"/>
        <v>99999</v>
      </c>
      <c r="AD78" s="299" t="str">
        <f t="shared" ca="1" si="141"/>
        <v/>
      </c>
      <c r="AE78" s="300" t="str">
        <f t="shared" ca="1" si="142"/>
        <v/>
      </c>
      <c r="AF78" s="139"/>
      <c r="AG78" s="297">
        <f t="shared" ca="1" si="194"/>
        <v>0</v>
      </c>
      <c r="AH78" s="298">
        <f t="shared" ca="1" si="143"/>
        <v>99999</v>
      </c>
      <c r="AI78" s="290" t="str">
        <f t="shared" ca="1" si="144"/>
        <v/>
      </c>
      <c r="AJ78" s="290" t="str">
        <f t="shared" ca="1" si="145"/>
        <v/>
      </c>
      <c r="AK78" s="299">
        <f t="shared" ca="1" si="146"/>
        <v>99999</v>
      </c>
      <c r="AL78" s="299" t="str">
        <f t="shared" ca="1" si="147"/>
        <v/>
      </c>
      <c r="AM78" s="300" t="str">
        <f t="shared" ca="1" si="148"/>
        <v/>
      </c>
      <c r="AN78" s="44"/>
      <c r="AO78" s="297">
        <f t="shared" ca="1" si="195"/>
        <v>0</v>
      </c>
      <c r="AP78" s="298">
        <f t="shared" ca="1" si="149"/>
        <v>99999</v>
      </c>
      <c r="AQ78" s="290" t="str">
        <f t="shared" ca="1" si="150"/>
        <v/>
      </c>
      <c r="AR78" s="290" t="str">
        <f t="shared" ca="1" si="151"/>
        <v/>
      </c>
      <c r="AS78" s="299">
        <f t="shared" ca="1" si="152"/>
        <v>99999</v>
      </c>
      <c r="AT78" s="299" t="str">
        <f t="shared" ca="1" si="153"/>
        <v/>
      </c>
      <c r="AU78" s="300" t="str">
        <f t="shared" ca="1" si="154"/>
        <v/>
      </c>
      <c r="AV78" s="139"/>
      <c r="AW78" s="297">
        <f t="shared" ca="1" si="196"/>
        <v>0</v>
      </c>
      <c r="AX78" s="298">
        <f t="shared" ca="1" si="155"/>
        <v>99999</v>
      </c>
      <c r="AY78" s="290" t="str">
        <f t="shared" ca="1" si="156"/>
        <v/>
      </c>
      <c r="AZ78" s="290" t="str">
        <f t="shared" ca="1" si="157"/>
        <v/>
      </c>
      <c r="BA78" s="299">
        <f t="shared" ca="1" si="158"/>
        <v>99999</v>
      </c>
      <c r="BB78" s="299" t="str">
        <f t="shared" ca="1" si="159"/>
        <v/>
      </c>
      <c r="BC78" s="300" t="str">
        <f t="shared" ca="1" si="160"/>
        <v/>
      </c>
      <c r="BD78" s="44"/>
      <c r="BE78" s="297">
        <f t="shared" ca="1" si="197"/>
        <v>0</v>
      </c>
      <c r="BF78" s="298">
        <f t="shared" ca="1" si="161"/>
        <v>99999</v>
      </c>
      <c r="BG78" s="290" t="str">
        <f t="shared" ca="1" si="162"/>
        <v/>
      </c>
      <c r="BH78" s="290" t="str">
        <f t="shared" ca="1" si="163"/>
        <v/>
      </c>
      <c r="BI78" s="299">
        <f t="shared" ca="1" si="164"/>
        <v>99999</v>
      </c>
      <c r="BJ78" s="299" t="str">
        <f t="shared" ca="1" si="165"/>
        <v/>
      </c>
      <c r="BK78" s="300" t="str">
        <f t="shared" ca="1" si="166"/>
        <v/>
      </c>
      <c r="BL78" s="139"/>
      <c r="BM78" s="297">
        <f t="shared" ca="1" si="198"/>
        <v>0</v>
      </c>
      <c r="BN78" s="298">
        <f t="shared" ca="1" si="167"/>
        <v>99999</v>
      </c>
      <c r="BO78" s="290" t="str">
        <f t="shared" ca="1" si="168"/>
        <v/>
      </c>
      <c r="BP78" s="290" t="str">
        <f t="shared" ca="1" si="169"/>
        <v/>
      </c>
      <c r="BQ78" s="299">
        <f t="shared" ca="1" si="170"/>
        <v>99999</v>
      </c>
      <c r="BR78" s="299" t="str">
        <f t="shared" ca="1" si="171"/>
        <v/>
      </c>
      <c r="BS78" s="300" t="str">
        <f t="shared" ca="1" si="172"/>
        <v/>
      </c>
      <c r="BT78" s="44"/>
      <c r="BU78" s="297">
        <f t="shared" ca="1" si="199"/>
        <v>0</v>
      </c>
      <c r="BV78" s="298">
        <f t="shared" ca="1" si="173"/>
        <v>99999</v>
      </c>
      <c r="BW78" s="290" t="str">
        <f t="shared" ca="1" si="174"/>
        <v/>
      </c>
      <c r="BX78" s="290" t="str">
        <f t="shared" ca="1" si="175"/>
        <v/>
      </c>
      <c r="BY78" s="299">
        <f t="shared" ca="1" si="176"/>
        <v>99999</v>
      </c>
      <c r="BZ78" s="299" t="str">
        <f t="shared" ca="1" si="177"/>
        <v/>
      </c>
      <c r="CA78" s="300" t="str">
        <f t="shared" ca="1" si="178"/>
        <v/>
      </c>
      <c r="CB78" s="139"/>
      <c r="CC78" s="297">
        <f t="shared" ca="1" si="200"/>
        <v>0</v>
      </c>
      <c r="CD78" s="298">
        <f t="shared" ca="1" si="179"/>
        <v>99999</v>
      </c>
      <c r="CE78" s="290" t="str">
        <f t="shared" ca="1" si="180"/>
        <v/>
      </c>
      <c r="CF78" s="290" t="str">
        <f t="shared" ca="1" si="181"/>
        <v/>
      </c>
      <c r="CG78" s="299">
        <f t="shared" ca="1" si="182"/>
        <v>99999</v>
      </c>
      <c r="CH78" s="299" t="str">
        <f t="shared" ca="1" si="183"/>
        <v/>
      </c>
      <c r="CI78" s="300" t="str">
        <f t="shared" ca="1" si="184"/>
        <v/>
      </c>
      <c r="CJ78" s="44"/>
      <c r="CK78" s="297">
        <f t="shared" ca="1" si="201"/>
        <v>0</v>
      </c>
      <c r="CL78" s="298">
        <f t="shared" ca="1" si="185"/>
        <v>99999</v>
      </c>
      <c r="CM78" s="290" t="str">
        <f t="shared" ca="1" si="186"/>
        <v/>
      </c>
      <c r="CN78" s="290" t="str">
        <f t="shared" ca="1" si="187"/>
        <v/>
      </c>
      <c r="CO78" s="299">
        <f t="shared" ca="1" si="188"/>
        <v>99999</v>
      </c>
      <c r="CP78" s="299" t="str">
        <f t="shared" ca="1" si="189"/>
        <v/>
      </c>
      <c r="CQ78" s="300" t="str">
        <f t="shared" ca="1" si="190"/>
        <v/>
      </c>
      <c r="CR78" s="44"/>
      <c r="CS78" s="44"/>
    </row>
    <row r="79" spans="1:97" ht="15.95" customHeight="1" thickBot="1" x14ac:dyDescent="0.3">
      <c r="A79" s="44"/>
      <c r="B79" s="44"/>
      <c r="C79" s="44"/>
      <c r="D79" s="114">
        <f ca="1">IF($E79="",0,COUNTIF($E$7:$E$78,$E79))</f>
        <v>1</v>
      </c>
      <c r="E79" s="114">
        <f ca="1">IF(OR($K7="",$M7=""),"",VALUE($M7&amp;$K7))</f>
        <v>27</v>
      </c>
      <c r="F79" s="114"/>
      <c r="G79" s="11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134"/>
      <c r="U79" s="134"/>
      <c r="V79" s="134"/>
      <c r="W79" s="134"/>
      <c r="X79" s="301">
        <f ca="1">SUM(X7:X78)</f>
        <v>0</v>
      </c>
      <c r="Y79" s="138"/>
      <c r="Z79" s="138"/>
      <c r="AA79" s="138"/>
      <c r="AB79" s="138"/>
      <c r="AC79" s="302"/>
      <c r="AD79" s="302"/>
      <c r="AE79" s="138"/>
      <c r="AF79" s="138"/>
      <c r="AG79" s="138"/>
      <c r="AH79" s="138"/>
      <c r="AI79" s="138"/>
      <c r="AJ79" s="138"/>
      <c r="AK79" s="302"/>
      <c r="AL79" s="302"/>
      <c r="AM79" s="138"/>
      <c r="AN79" s="44"/>
      <c r="AO79" s="138"/>
      <c r="AP79" s="138"/>
      <c r="AQ79" s="138"/>
      <c r="AR79" s="138"/>
      <c r="AS79" s="302"/>
      <c r="AT79" s="302"/>
      <c r="AU79" s="138"/>
      <c r="AV79" s="138"/>
      <c r="AW79" s="138"/>
      <c r="AX79" s="138"/>
      <c r="AY79" s="138"/>
      <c r="AZ79" s="138"/>
      <c r="BA79" s="302"/>
      <c r="BB79" s="302"/>
      <c r="BC79" s="138"/>
      <c r="BD79" s="44"/>
      <c r="BE79" s="138"/>
      <c r="BF79" s="138"/>
      <c r="BG79" s="138"/>
      <c r="BH79" s="138"/>
      <c r="BI79" s="302"/>
      <c r="BJ79" s="302"/>
      <c r="BK79" s="138"/>
      <c r="BL79" s="138"/>
      <c r="BM79" s="138"/>
      <c r="BN79" s="138"/>
      <c r="BO79" s="138"/>
      <c r="BP79" s="138"/>
      <c r="BQ79" s="302"/>
      <c r="BR79" s="302"/>
      <c r="BS79" s="138"/>
      <c r="BT79" s="44"/>
      <c r="BU79" s="138"/>
      <c r="BV79" s="138"/>
      <c r="BW79" s="138"/>
      <c r="BX79" s="138"/>
      <c r="BY79" s="302"/>
      <c r="BZ79" s="302"/>
      <c r="CA79" s="138"/>
      <c r="CB79" s="138"/>
      <c r="CC79" s="138"/>
      <c r="CD79" s="138"/>
      <c r="CE79" s="138"/>
      <c r="CF79" s="138"/>
      <c r="CG79" s="302"/>
      <c r="CH79" s="302"/>
      <c r="CI79" s="138"/>
      <c r="CJ79" s="44"/>
      <c r="CK79" s="138"/>
      <c r="CL79" s="138"/>
      <c r="CM79" s="138"/>
      <c r="CN79" s="138"/>
      <c r="CO79" s="302"/>
      <c r="CP79" s="302"/>
      <c r="CQ79" s="138"/>
      <c r="CR79" s="44"/>
      <c r="CS79" s="44"/>
    </row>
    <row r="80" spans="1:97" ht="15.75" x14ac:dyDescent="0.25">
      <c r="A80" s="44"/>
      <c r="B80" s="44"/>
      <c r="C80" s="44"/>
      <c r="D80" s="114">
        <f ca="1">IF($E80="",0,COUNTIF($E$7:$E$78,$E80))</f>
        <v>1</v>
      </c>
      <c r="E80" s="114">
        <f ca="1">IF(OR($K8="",$M8=""),"",VALUE($M8&amp;$K8))</f>
        <v>63</v>
      </c>
      <c r="F80" s="114"/>
      <c r="G80" s="11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134"/>
      <c r="U80" s="134"/>
      <c r="V80" s="134"/>
      <c r="W80" s="134"/>
      <c r="X80" s="134"/>
      <c r="Y80" s="138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4"/>
      <c r="BL80" s="44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4"/>
      <c r="CA80" s="44"/>
      <c r="CB80" s="44"/>
      <c r="CC80" s="44"/>
      <c r="CD80" s="44"/>
      <c r="CE80" s="44"/>
      <c r="CF80" s="44"/>
      <c r="CG80" s="44"/>
      <c r="CH80" s="44"/>
      <c r="CI80" s="44"/>
      <c r="CJ80" s="44"/>
      <c r="CK80" s="44"/>
      <c r="CL80" s="44"/>
      <c r="CM80" s="44"/>
      <c r="CN80" s="44"/>
      <c r="CO80" s="44"/>
      <c r="CP80" s="44"/>
      <c r="CQ80" s="44"/>
      <c r="CR80" s="44"/>
      <c r="CS80" s="44"/>
    </row>
    <row r="81" spans="1:97" ht="15.75" x14ac:dyDescent="0.25">
      <c r="A81" s="44"/>
      <c r="B81" s="44"/>
      <c r="C81" s="44"/>
      <c r="D81" s="114">
        <f t="shared" ref="D81:D144" ca="1" si="202">IF($E81="",0,COUNTIF($E$7:$E$78,$E81))</f>
        <v>1</v>
      </c>
      <c r="E81" s="114">
        <f t="shared" ref="E81:E144" ca="1" si="203">IF(OR($K9="",$M9=""),"",VALUE($M9&amp;$K9))</f>
        <v>45</v>
      </c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134"/>
      <c r="U81" s="134"/>
      <c r="V81" s="134"/>
      <c r="W81" s="134"/>
      <c r="X81" s="134"/>
      <c r="Y81" s="138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44"/>
      <c r="BL81" s="44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4"/>
      <c r="CA81" s="44"/>
      <c r="CB81" s="44"/>
      <c r="CC81" s="44"/>
      <c r="CD81" s="44"/>
      <c r="CE81" s="44"/>
      <c r="CF81" s="44"/>
      <c r="CG81" s="44"/>
      <c r="CH81" s="44"/>
      <c r="CI81" s="44"/>
      <c r="CJ81" s="44"/>
      <c r="CK81" s="44"/>
      <c r="CL81" s="44"/>
      <c r="CM81" s="44"/>
      <c r="CN81" s="44"/>
      <c r="CO81" s="44"/>
      <c r="CP81" s="44"/>
      <c r="CQ81" s="44"/>
      <c r="CR81" s="44"/>
      <c r="CS81" s="44"/>
    </row>
    <row r="82" spans="1:97" hidden="1" x14ac:dyDescent="0.2">
      <c r="D82" s="114">
        <f t="shared" ca="1" si="202"/>
        <v>1</v>
      </c>
      <c r="E82" s="114">
        <f t="shared" ca="1" si="203"/>
        <v>17</v>
      </c>
    </row>
    <row r="83" spans="1:97" hidden="1" x14ac:dyDescent="0.2">
      <c r="D83" s="114">
        <f t="shared" ca="1" si="202"/>
        <v>1</v>
      </c>
      <c r="E83" s="114">
        <f t="shared" ca="1" si="203"/>
        <v>52</v>
      </c>
    </row>
    <row r="84" spans="1:97" hidden="1" x14ac:dyDescent="0.2">
      <c r="D84" s="114">
        <f t="shared" ca="1" si="202"/>
        <v>1</v>
      </c>
      <c r="E84" s="114">
        <f t="shared" ca="1" si="203"/>
        <v>34</v>
      </c>
    </row>
    <row r="85" spans="1:97" hidden="1" x14ac:dyDescent="0.2">
      <c r="D85" s="114">
        <f t="shared" ca="1" si="202"/>
        <v>1</v>
      </c>
      <c r="E85" s="114">
        <f t="shared" ca="1" si="203"/>
        <v>61</v>
      </c>
    </row>
    <row r="86" spans="1:97" hidden="1" x14ac:dyDescent="0.2">
      <c r="D86" s="114">
        <f t="shared" ca="1" si="202"/>
        <v>1</v>
      </c>
      <c r="E86" s="114">
        <f t="shared" ca="1" si="203"/>
        <v>75</v>
      </c>
    </row>
    <row r="87" spans="1:97" hidden="1" x14ac:dyDescent="0.2">
      <c r="D87" s="114">
        <f t="shared" ca="1" si="202"/>
        <v>1</v>
      </c>
      <c r="E87" s="114">
        <f t="shared" ca="1" si="203"/>
        <v>23</v>
      </c>
    </row>
    <row r="88" spans="1:97" hidden="1" x14ac:dyDescent="0.2">
      <c r="D88" s="114">
        <f t="shared" ca="1" si="202"/>
        <v>1</v>
      </c>
      <c r="E88" s="114">
        <f t="shared" ca="1" si="203"/>
        <v>15</v>
      </c>
    </row>
    <row r="89" spans="1:97" hidden="1" x14ac:dyDescent="0.2">
      <c r="D89" s="114">
        <f t="shared" ca="1" si="202"/>
        <v>1</v>
      </c>
      <c r="E89" s="114">
        <f t="shared" ca="1" si="203"/>
        <v>64</v>
      </c>
    </row>
    <row r="90" spans="1:97" hidden="1" x14ac:dyDescent="0.2">
      <c r="D90" s="114">
        <f t="shared" ca="1" si="202"/>
        <v>1</v>
      </c>
      <c r="E90" s="114">
        <f t="shared" ca="1" si="203"/>
        <v>37</v>
      </c>
    </row>
    <row r="91" spans="1:97" hidden="1" x14ac:dyDescent="0.2">
      <c r="D91" s="114">
        <f t="shared" ca="1" si="202"/>
        <v>1</v>
      </c>
      <c r="E91" s="114">
        <f t="shared" ca="1" si="203"/>
        <v>41</v>
      </c>
    </row>
    <row r="92" spans="1:97" hidden="1" x14ac:dyDescent="0.2">
      <c r="D92" s="114">
        <f t="shared" ca="1" si="202"/>
        <v>1</v>
      </c>
      <c r="E92" s="114">
        <f t="shared" ca="1" si="203"/>
        <v>53</v>
      </c>
    </row>
    <row r="93" spans="1:97" hidden="1" x14ac:dyDescent="0.2">
      <c r="D93" s="114">
        <f t="shared" ca="1" si="202"/>
        <v>1</v>
      </c>
      <c r="E93" s="114">
        <f t="shared" ca="1" si="203"/>
        <v>26</v>
      </c>
    </row>
    <row r="94" spans="1:97" hidden="1" x14ac:dyDescent="0.2">
      <c r="D94" s="114">
        <f t="shared" ca="1" si="202"/>
        <v>1</v>
      </c>
      <c r="E94" s="114">
        <f t="shared" ca="1" si="203"/>
        <v>13</v>
      </c>
    </row>
    <row r="95" spans="1:97" hidden="1" x14ac:dyDescent="0.2">
      <c r="D95" s="114">
        <f t="shared" ca="1" si="202"/>
        <v>1</v>
      </c>
      <c r="E95" s="114">
        <f t="shared" ca="1" si="203"/>
        <v>42</v>
      </c>
    </row>
    <row r="96" spans="1:97" hidden="1" x14ac:dyDescent="0.2">
      <c r="D96" s="114">
        <f t="shared" ca="1" si="202"/>
        <v>1</v>
      </c>
      <c r="E96" s="114">
        <f t="shared" ca="1" si="203"/>
        <v>67</v>
      </c>
    </row>
    <row r="97" spans="4:5" hidden="1" x14ac:dyDescent="0.2">
      <c r="D97" s="114">
        <f t="shared" ca="1" si="202"/>
        <v>1</v>
      </c>
      <c r="E97" s="114">
        <f t="shared" ca="1" si="203"/>
        <v>21</v>
      </c>
    </row>
    <row r="98" spans="4:5" hidden="1" x14ac:dyDescent="0.2">
      <c r="D98" s="114">
        <f t="shared" ca="1" si="202"/>
        <v>1</v>
      </c>
      <c r="E98" s="114">
        <f t="shared" ca="1" si="203"/>
        <v>74</v>
      </c>
    </row>
    <row r="99" spans="4:5" hidden="1" x14ac:dyDescent="0.2">
      <c r="D99" s="114">
        <f t="shared" ca="1" si="202"/>
        <v>1</v>
      </c>
      <c r="E99" s="114">
        <f t="shared" ca="1" si="203"/>
        <v>56</v>
      </c>
    </row>
    <row r="100" spans="4:5" hidden="1" x14ac:dyDescent="0.2">
      <c r="D100" s="114">
        <f t="shared" ca="1" si="202"/>
        <v>1</v>
      </c>
      <c r="E100" s="114">
        <f t="shared" ca="1" si="203"/>
        <v>72</v>
      </c>
    </row>
    <row r="101" spans="4:5" hidden="1" x14ac:dyDescent="0.2">
      <c r="D101" s="114">
        <f t="shared" ca="1" si="202"/>
        <v>1</v>
      </c>
      <c r="E101" s="114">
        <f t="shared" ca="1" si="203"/>
        <v>36</v>
      </c>
    </row>
    <row r="102" spans="4:5" hidden="1" x14ac:dyDescent="0.2">
      <c r="D102" s="114">
        <f t="shared" ca="1" si="202"/>
        <v>1</v>
      </c>
      <c r="E102" s="114">
        <f t="shared" ca="1" si="203"/>
        <v>54</v>
      </c>
    </row>
    <row r="103" spans="4:5" hidden="1" x14ac:dyDescent="0.2">
      <c r="D103" s="114">
        <f t="shared" ca="1" si="202"/>
        <v>1</v>
      </c>
      <c r="E103" s="114">
        <f t="shared" ca="1" si="203"/>
        <v>71</v>
      </c>
    </row>
    <row r="104" spans="4:5" hidden="1" x14ac:dyDescent="0.2">
      <c r="D104" s="114">
        <f t="shared" ca="1" si="202"/>
        <v>1</v>
      </c>
      <c r="E104" s="114">
        <f t="shared" ca="1" si="203"/>
        <v>25</v>
      </c>
    </row>
    <row r="105" spans="4:5" hidden="1" x14ac:dyDescent="0.2">
      <c r="D105" s="114">
        <f t="shared" ca="1" si="202"/>
        <v>1</v>
      </c>
      <c r="E105" s="114">
        <f t="shared" ca="1" si="203"/>
        <v>43</v>
      </c>
    </row>
    <row r="106" spans="4:5" hidden="1" x14ac:dyDescent="0.2">
      <c r="D106" s="114">
        <f t="shared" ca="1" si="202"/>
        <v>1</v>
      </c>
      <c r="E106" s="114">
        <f t="shared" ca="1" si="203"/>
        <v>16</v>
      </c>
    </row>
    <row r="107" spans="4:5" hidden="1" x14ac:dyDescent="0.2">
      <c r="D107" s="114">
        <f t="shared" ca="1" si="202"/>
        <v>1</v>
      </c>
      <c r="E107" s="114">
        <f t="shared" ca="1" si="203"/>
        <v>57</v>
      </c>
    </row>
    <row r="108" spans="4:5" hidden="1" x14ac:dyDescent="0.2">
      <c r="D108" s="114">
        <f t="shared" ca="1" si="202"/>
        <v>1</v>
      </c>
      <c r="E108" s="114">
        <f t="shared" ca="1" si="203"/>
        <v>32</v>
      </c>
    </row>
    <row r="109" spans="4:5" hidden="1" x14ac:dyDescent="0.2">
      <c r="D109" s="114">
        <f t="shared" ca="1" si="202"/>
        <v>1</v>
      </c>
      <c r="E109" s="114">
        <f t="shared" ca="1" si="203"/>
        <v>51</v>
      </c>
    </row>
    <row r="110" spans="4:5" hidden="1" x14ac:dyDescent="0.2">
      <c r="D110" s="114">
        <f t="shared" ca="1" si="202"/>
        <v>1</v>
      </c>
      <c r="E110" s="114">
        <f t="shared" ca="1" si="203"/>
        <v>46</v>
      </c>
    </row>
    <row r="111" spans="4:5" hidden="1" x14ac:dyDescent="0.2">
      <c r="D111" s="114">
        <f t="shared" ca="1" si="202"/>
        <v>1</v>
      </c>
      <c r="E111" s="114">
        <f t="shared" ca="1" si="203"/>
        <v>73</v>
      </c>
    </row>
    <row r="112" spans="4:5" hidden="1" x14ac:dyDescent="0.2">
      <c r="D112" s="114">
        <f t="shared" ca="1" si="202"/>
        <v>1</v>
      </c>
      <c r="E112" s="114">
        <f t="shared" ca="1" si="203"/>
        <v>14</v>
      </c>
    </row>
    <row r="113" spans="4:5" hidden="1" x14ac:dyDescent="0.2">
      <c r="D113" s="114">
        <f t="shared" ca="1" si="202"/>
        <v>1</v>
      </c>
      <c r="E113" s="114">
        <f t="shared" ca="1" si="203"/>
        <v>35</v>
      </c>
    </row>
    <row r="114" spans="4:5" hidden="1" x14ac:dyDescent="0.2">
      <c r="D114" s="114">
        <f t="shared" ca="1" si="202"/>
        <v>1</v>
      </c>
      <c r="E114" s="114">
        <f t="shared" ca="1" si="203"/>
        <v>62</v>
      </c>
    </row>
    <row r="115" spans="4:5" hidden="1" x14ac:dyDescent="0.2">
      <c r="D115" s="114">
        <f t="shared" ca="1" si="202"/>
        <v>1</v>
      </c>
      <c r="E115" s="114">
        <f t="shared" ca="1" si="203"/>
        <v>31</v>
      </c>
    </row>
    <row r="116" spans="4:5" hidden="1" x14ac:dyDescent="0.2">
      <c r="D116" s="114">
        <f t="shared" ca="1" si="202"/>
        <v>1</v>
      </c>
      <c r="E116" s="114">
        <f t="shared" ca="1" si="203"/>
        <v>24</v>
      </c>
    </row>
    <row r="117" spans="4:5" hidden="1" x14ac:dyDescent="0.2">
      <c r="D117" s="114">
        <f t="shared" ca="1" si="202"/>
        <v>1</v>
      </c>
      <c r="E117" s="114">
        <f t="shared" ca="1" si="203"/>
        <v>76</v>
      </c>
    </row>
    <row r="118" spans="4:5" hidden="1" x14ac:dyDescent="0.2">
      <c r="D118" s="114">
        <f t="shared" ca="1" si="202"/>
        <v>1</v>
      </c>
      <c r="E118" s="114">
        <f t="shared" ca="1" si="203"/>
        <v>12</v>
      </c>
    </row>
    <row r="119" spans="4:5" hidden="1" x14ac:dyDescent="0.2">
      <c r="D119" s="114">
        <f t="shared" ca="1" si="202"/>
        <v>1</v>
      </c>
      <c r="E119" s="114">
        <f t="shared" ca="1" si="203"/>
        <v>47</v>
      </c>
    </row>
    <row r="120" spans="4:5" hidden="1" x14ac:dyDescent="0.2">
      <c r="D120" s="114">
        <f t="shared" ca="1" si="202"/>
        <v>1</v>
      </c>
      <c r="E120" s="114">
        <f t="shared" ca="1" si="203"/>
        <v>65</v>
      </c>
    </row>
    <row r="121" spans="4:5" hidden="1" x14ac:dyDescent="0.2">
      <c r="D121" s="114">
        <f t="shared" ca="1" si="202"/>
        <v>0</v>
      </c>
      <c r="E121" s="114" t="str">
        <f t="shared" ca="1" si="203"/>
        <v/>
      </c>
    </row>
    <row r="122" spans="4:5" hidden="1" x14ac:dyDescent="0.2">
      <c r="D122" s="114">
        <f t="shared" ca="1" si="202"/>
        <v>0</v>
      </c>
      <c r="E122" s="114" t="str">
        <f t="shared" ca="1" si="203"/>
        <v/>
      </c>
    </row>
    <row r="123" spans="4:5" hidden="1" x14ac:dyDescent="0.2">
      <c r="D123" s="114">
        <f t="shared" ca="1" si="202"/>
        <v>0</v>
      </c>
      <c r="E123" s="114" t="str">
        <f t="shared" ca="1" si="203"/>
        <v/>
      </c>
    </row>
    <row r="124" spans="4:5" hidden="1" x14ac:dyDescent="0.2">
      <c r="D124" s="114">
        <f t="shared" ca="1" si="202"/>
        <v>0</v>
      </c>
      <c r="E124" s="114" t="str">
        <f t="shared" ca="1" si="203"/>
        <v/>
      </c>
    </row>
    <row r="125" spans="4:5" hidden="1" x14ac:dyDescent="0.2">
      <c r="D125" s="114">
        <f t="shared" ca="1" si="202"/>
        <v>0</v>
      </c>
      <c r="E125" s="114" t="str">
        <f t="shared" ca="1" si="203"/>
        <v/>
      </c>
    </row>
    <row r="126" spans="4:5" hidden="1" x14ac:dyDescent="0.2">
      <c r="D126" s="114">
        <f t="shared" ca="1" si="202"/>
        <v>0</v>
      </c>
      <c r="E126" s="114" t="str">
        <f t="shared" ca="1" si="203"/>
        <v/>
      </c>
    </row>
    <row r="127" spans="4:5" hidden="1" x14ac:dyDescent="0.2">
      <c r="D127" s="114">
        <f t="shared" ca="1" si="202"/>
        <v>0</v>
      </c>
      <c r="E127" s="114" t="str">
        <f t="shared" ca="1" si="203"/>
        <v/>
      </c>
    </row>
    <row r="128" spans="4:5" hidden="1" x14ac:dyDescent="0.2">
      <c r="D128" s="114">
        <f t="shared" ca="1" si="202"/>
        <v>0</v>
      </c>
      <c r="E128" s="114" t="str">
        <f t="shared" ca="1" si="203"/>
        <v/>
      </c>
    </row>
    <row r="129" spans="4:5" hidden="1" x14ac:dyDescent="0.2">
      <c r="D129" s="114">
        <f t="shared" ca="1" si="202"/>
        <v>0</v>
      </c>
      <c r="E129" s="114" t="str">
        <f t="shared" ca="1" si="203"/>
        <v/>
      </c>
    </row>
    <row r="130" spans="4:5" hidden="1" x14ac:dyDescent="0.2">
      <c r="D130" s="114">
        <f t="shared" ca="1" si="202"/>
        <v>0</v>
      </c>
      <c r="E130" s="114" t="str">
        <f t="shared" ca="1" si="203"/>
        <v/>
      </c>
    </row>
    <row r="131" spans="4:5" hidden="1" x14ac:dyDescent="0.2">
      <c r="D131" s="114">
        <f t="shared" ca="1" si="202"/>
        <v>0</v>
      </c>
      <c r="E131" s="114" t="str">
        <f t="shared" ca="1" si="203"/>
        <v/>
      </c>
    </row>
    <row r="132" spans="4:5" hidden="1" x14ac:dyDescent="0.2">
      <c r="D132" s="114">
        <f t="shared" ca="1" si="202"/>
        <v>0</v>
      </c>
      <c r="E132" s="114" t="str">
        <f t="shared" ca="1" si="203"/>
        <v/>
      </c>
    </row>
    <row r="133" spans="4:5" hidden="1" x14ac:dyDescent="0.2">
      <c r="D133" s="114">
        <f t="shared" ca="1" si="202"/>
        <v>0</v>
      </c>
      <c r="E133" s="114" t="str">
        <f t="shared" ca="1" si="203"/>
        <v/>
      </c>
    </row>
    <row r="134" spans="4:5" hidden="1" x14ac:dyDescent="0.2">
      <c r="D134" s="114">
        <f t="shared" ca="1" si="202"/>
        <v>0</v>
      </c>
      <c r="E134" s="114" t="str">
        <f t="shared" ca="1" si="203"/>
        <v/>
      </c>
    </row>
    <row r="135" spans="4:5" hidden="1" x14ac:dyDescent="0.2">
      <c r="D135" s="114">
        <f t="shared" ca="1" si="202"/>
        <v>0</v>
      </c>
      <c r="E135" s="114" t="str">
        <f t="shared" ca="1" si="203"/>
        <v/>
      </c>
    </row>
    <row r="136" spans="4:5" hidden="1" x14ac:dyDescent="0.2">
      <c r="D136" s="114">
        <f t="shared" ca="1" si="202"/>
        <v>0</v>
      </c>
      <c r="E136" s="114" t="str">
        <f t="shared" ca="1" si="203"/>
        <v/>
      </c>
    </row>
    <row r="137" spans="4:5" hidden="1" x14ac:dyDescent="0.2">
      <c r="D137" s="114">
        <f t="shared" ca="1" si="202"/>
        <v>0</v>
      </c>
      <c r="E137" s="114" t="str">
        <f t="shared" ca="1" si="203"/>
        <v/>
      </c>
    </row>
    <row r="138" spans="4:5" hidden="1" x14ac:dyDescent="0.2">
      <c r="D138" s="114">
        <f t="shared" ca="1" si="202"/>
        <v>0</v>
      </c>
      <c r="E138" s="114" t="str">
        <f t="shared" ca="1" si="203"/>
        <v/>
      </c>
    </row>
    <row r="139" spans="4:5" hidden="1" x14ac:dyDescent="0.2">
      <c r="D139" s="114">
        <f t="shared" ca="1" si="202"/>
        <v>0</v>
      </c>
      <c r="E139" s="114" t="str">
        <f t="shared" ca="1" si="203"/>
        <v/>
      </c>
    </row>
    <row r="140" spans="4:5" hidden="1" x14ac:dyDescent="0.2">
      <c r="D140" s="114">
        <f t="shared" ca="1" si="202"/>
        <v>0</v>
      </c>
      <c r="E140" s="114" t="str">
        <f t="shared" ca="1" si="203"/>
        <v/>
      </c>
    </row>
    <row r="141" spans="4:5" hidden="1" x14ac:dyDescent="0.2">
      <c r="D141" s="114">
        <f t="shared" ca="1" si="202"/>
        <v>0</v>
      </c>
      <c r="E141" s="114" t="str">
        <f t="shared" ca="1" si="203"/>
        <v/>
      </c>
    </row>
    <row r="142" spans="4:5" hidden="1" x14ac:dyDescent="0.2">
      <c r="D142" s="114">
        <f t="shared" ca="1" si="202"/>
        <v>0</v>
      </c>
      <c r="E142" s="114" t="str">
        <f t="shared" ca="1" si="203"/>
        <v/>
      </c>
    </row>
    <row r="143" spans="4:5" hidden="1" x14ac:dyDescent="0.2">
      <c r="D143" s="114">
        <f t="shared" ca="1" si="202"/>
        <v>0</v>
      </c>
      <c r="E143" s="114" t="str">
        <f t="shared" ca="1" si="203"/>
        <v/>
      </c>
    </row>
    <row r="144" spans="4:5" hidden="1" x14ac:dyDescent="0.2">
      <c r="D144" s="114">
        <f t="shared" ca="1" si="202"/>
        <v>0</v>
      </c>
      <c r="E144" s="114" t="str">
        <f t="shared" ca="1" si="203"/>
        <v/>
      </c>
    </row>
    <row r="145" spans="4:5" hidden="1" x14ac:dyDescent="0.2">
      <c r="D145" s="114">
        <f t="shared" ref="D145:D150" ca="1" si="204">IF($E145="",0,COUNTIF($E$7:$E$78,$E145))</f>
        <v>0</v>
      </c>
      <c r="E145" s="114" t="str">
        <f t="shared" ref="E145:E150" ca="1" si="205">IF(OR($K73="",$M73=""),"",VALUE($M73&amp;$K73))</f>
        <v/>
      </c>
    </row>
    <row r="146" spans="4:5" hidden="1" x14ac:dyDescent="0.2">
      <c r="D146" s="114">
        <f t="shared" ca="1" si="204"/>
        <v>0</v>
      </c>
      <c r="E146" s="114" t="str">
        <f t="shared" ca="1" si="205"/>
        <v/>
      </c>
    </row>
    <row r="147" spans="4:5" hidden="1" x14ac:dyDescent="0.2">
      <c r="D147" s="114">
        <f t="shared" ca="1" si="204"/>
        <v>0</v>
      </c>
      <c r="E147" s="114" t="str">
        <f t="shared" ca="1" si="205"/>
        <v/>
      </c>
    </row>
    <row r="148" spans="4:5" hidden="1" x14ac:dyDescent="0.2">
      <c r="D148" s="114">
        <f t="shared" ca="1" si="204"/>
        <v>0</v>
      </c>
      <c r="E148" s="114" t="str">
        <f t="shared" ca="1" si="205"/>
        <v/>
      </c>
    </row>
    <row r="149" spans="4:5" hidden="1" x14ac:dyDescent="0.2">
      <c r="D149" s="114">
        <f t="shared" ca="1" si="204"/>
        <v>0</v>
      </c>
      <c r="E149" s="114" t="str">
        <f t="shared" ca="1" si="205"/>
        <v/>
      </c>
    </row>
    <row r="150" spans="4:5" hidden="1" x14ac:dyDescent="0.2">
      <c r="D150" s="114">
        <f t="shared" ca="1" si="204"/>
        <v>0</v>
      </c>
      <c r="E150" s="114" t="str">
        <f t="shared" ca="1" si="205"/>
        <v/>
      </c>
    </row>
  </sheetData>
  <sheetProtection sheet="1" selectLockedCells="1"/>
  <mergeCells count="46">
    <mergeCell ref="T19:V19"/>
    <mergeCell ref="T20:V20"/>
    <mergeCell ref="T16:V17"/>
    <mergeCell ref="R5:R6"/>
    <mergeCell ref="V1:W1"/>
    <mergeCell ref="V6:V7"/>
    <mergeCell ref="V8:V9"/>
    <mergeCell ref="V12:V13"/>
    <mergeCell ref="U12:U13"/>
    <mergeCell ref="C6:C7"/>
    <mergeCell ref="C8:C9"/>
    <mergeCell ref="C10:C11"/>
    <mergeCell ref="C12:C13"/>
    <mergeCell ref="C14:C15"/>
    <mergeCell ref="H2:P2"/>
    <mergeCell ref="T14:T15"/>
    <mergeCell ref="U14:U15"/>
    <mergeCell ref="V14:V15"/>
    <mergeCell ref="T12:T13"/>
    <mergeCell ref="K6:M6"/>
    <mergeCell ref="N6:P6"/>
    <mergeCell ref="N4:P4"/>
    <mergeCell ref="H5:P5"/>
    <mergeCell ref="V10:V11"/>
    <mergeCell ref="T6:T7"/>
    <mergeCell ref="T8:T9"/>
    <mergeCell ref="T10:T11"/>
    <mergeCell ref="U6:U7"/>
    <mergeCell ref="U8:U9"/>
    <mergeCell ref="U10:U11"/>
    <mergeCell ref="B6:B7"/>
    <mergeCell ref="B8:B9"/>
    <mergeCell ref="B10:B11"/>
    <mergeCell ref="B12:B13"/>
    <mergeCell ref="B27:C29"/>
    <mergeCell ref="C16:C17"/>
    <mergeCell ref="B16:B17"/>
    <mergeCell ref="C18:C19"/>
    <mergeCell ref="C20:C21"/>
    <mergeCell ref="C22:C23"/>
    <mergeCell ref="C24:C25"/>
    <mergeCell ref="B18:B19"/>
    <mergeCell ref="B20:B21"/>
    <mergeCell ref="B22:B23"/>
    <mergeCell ref="B24:B25"/>
    <mergeCell ref="B14:B15"/>
  </mergeCells>
  <conditionalFormatting sqref="C8:C9">
    <cfRule type="expression" dxfId="68" priority="16">
      <formula>OR($C$8=$C$10,$C$8=$C$12,$C$8=$C$14,$C$8=$C$16,$C$8=$C$18,$C$8=$C$20,$C$8=$C$22,$C$8=$C$24)</formula>
    </cfRule>
  </conditionalFormatting>
  <conditionalFormatting sqref="C10:C11">
    <cfRule type="expression" dxfId="67" priority="15">
      <formula>OR($C$10=$C$8,$C$10=$C$12,$C$10=$C$14,$C$10=$C$16,$C$10=$C$18,$C$10=$C$20,$C$10=$C$22,$C$10=$C$24)</formula>
    </cfRule>
  </conditionalFormatting>
  <conditionalFormatting sqref="C12:C13">
    <cfRule type="expression" dxfId="66" priority="14">
      <formula>OR($C$12=$C$8,$C$12=$C$10,$C$12=$C$14,$C$12=$C$16,$C$12=$C$18,$C$12=$C$20,$C$12=$C$22,$C$12=$C$24)</formula>
    </cfRule>
  </conditionalFormatting>
  <conditionalFormatting sqref="C14:C15">
    <cfRule type="expression" dxfId="65" priority="13">
      <formula>OR($C$14=$C$8,$C$14=$C$10,$C$14=$C$12,$C$14=$C$16,$C$14=$C$18,$C$14=$C$20,$C$14=$C$22,$C$14=$C$24)</formula>
    </cfRule>
  </conditionalFormatting>
  <conditionalFormatting sqref="C16:C17">
    <cfRule type="expression" dxfId="64" priority="12">
      <formula>OR($C$16=$C$8,$C$16=$C$10,$C$16=$C$12,$C$16=$C$14,$C$16=$C$18,$C$16=$C$20,$C$16=$C$22,$C$16=$C$24)</formula>
    </cfRule>
  </conditionalFormatting>
  <conditionalFormatting sqref="C18:C19">
    <cfRule type="expression" dxfId="63" priority="11">
      <formula>OR($C$18=$C$8,$C$18=$C$10,$C$18=$C$12,$C$18=$C$14,$C$18=$C$16,$C$18=$C$20,$C$18=$C$22,$C$18=$C$24)</formula>
    </cfRule>
  </conditionalFormatting>
  <conditionalFormatting sqref="C20:C21">
    <cfRule type="expression" dxfId="62" priority="10">
      <formula>OR($C$20=$C$8,$C$20=$C$10,$C$20=$C$12,$C$20=$C$14,$C$20=$C$16,$C$20=$C$18,$C$20=$C$22,$C$20=$C$24)</formula>
    </cfRule>
  </conditionalFormatting>
  <conditionalFormatting sqref="C22:C23">
    <cfRule type="expression" dxfId="61" priority="9">
      <formula>OR($C$22=$C$8,$C$22=$C$10,$C$22=$C$12,$C$22=$C$14,$C$22=$C$16,$C$22=$C$18,$C$22=$C$20,$C$22=$C$24)</formula>
    </cfRule>
  </conditionalFormatting>
  <conditionalFormatting sqref="C24:C25">
    <cfRule type="expression" dxfId="60" priority="8">
      <formula>OR($C$24=$C$8,$C$24=$C$10,$C$24=$C$12,$C$24=$C$14,$C$24=$C$16,$C$24=$C$18,$C$24=$C$20,$C$24=$C$22)</formula>
    </cfRule>
  </conditionalFormatting>
  <conditionalFormatting sqref="B27">
    <cfRule type="expression" dxfId="59" priority="7">
      <formula>$A$6&gt;1</formula>
    </cfRule>
  </conditionalFormatting>
  <conditionalFormatting sqref="H5:R5">
    <cfRule type="expression" dxfId="58" priority="6">
      <formula>$D$6&gt;2</formula>
    </cfRule>
  </conditionalFormatting>
  <conditionalFormatting sqref="N4:R4">
    <cfRule type="expression" dxfId="57" priority="5">
      <formula>$S$4=FALSE</formula>
    </cfRule>
  </conditionalFormatting>
  <conditionalFormatting sqref="H7:P7 H8:H77 K8:P77 I8:J78 R7:R77">
    <cfRule type="expression" dxfId="56" priority="3">
      <formula>$H7=$F$5</formula>
    </cfRule>
  </conditionalFormatting>
  <conditionalFormatting sqref="K7:K78 M7:M78">
    <cfRule type="expression" dxfId="55" priority="2">
      <formula>$D7&gt;2</formula>
    </cfRule>
  </conditionalFormatting>
  <conditionalFormatting sqref="H7:P7 H8:H77 K8:P77 I8:J78 R7:R77">
    <cfRule type="expression" dxfId="54" priority="4">
      <formula>$H7=$E$5</formula>
    </cfRule>
  </conditionalFormatting>
  <conditionalFormatting sqref="H7:P78 R7:R78">
    <cfRule type="expression" dxfId="53" priority="1">
      <formula>AND($N7&lt;&gt;"",$P7&lt;&gt;"",OR($H7=$U$18,$H7=$V$18),NOT($Y$3))</formula>
    </cfRule>
  </conditionalFormatting>
  <dataValidations count="5">
    <dataValidation type="time" allowBlank="1" showInputMessage="1" showErrorMessage="1" sqref="U6:U7" xr:uid="{3BCAB1DB-132B-4059-A00A-E3BB5FE30AB9}">
      <formula1>0</formula1>
      <formula2>0.999305555555556</formula2>
    </dataValidation>
    <dataValidation type="whole" allowBlank="1" showInputMessage="1" showErrorMessage="1" sqref="U12:U13" xr:uid="{DC2A127C-6CBA-4285-AE65-DC515D218BA8}">
      <formula1>1</formula1>
      <formula2>4</formula2>
    </dataValidation>
    <dataValidation type="whole" allowBlank="1" showInputMessage="1" showErrorMessage="1" sqref="U10:U11" xr:uid="{59F97142-60A8-4A58-B0DB-932B8905A842}">
      <formula1>0</formula1>
      <formula2>120</formula2>
    </dataValidation>
    <dataValidation type="whole" allowBlank="1" showInputMessage="1" showErrorMessage="1" sqref="U8:U9" xr:uid="{1E2B1F9C-CAE6-45D8-BC68-0C447D604C0C}">
      <formula1>1</formula1>
      <formula2>300</formula2>
    </dataValidation>
    <dataValidation type="whole" allowBlank="1" showInputMessage="1" showErrorMessage="1" errorTitle="Unzulässige Teilnehmernummer" error="Es müssen Zahlen von 1 bis 9 eingetragen werden!" sqref="K7:K78 M7:M78" xr:uid="{CAC7C01B-7BAE-47E8-B074-E9CCB35B452D}">
      <formula1>1</formula1>
      <formula2>9</formula2>
    </dataValidation>
  </dataValidation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Check Box 1">
              <controlPr locked="0" defaultSize="0" autoFill="0" autoLine="0" autoPict="0" altText=" ABC">
                <anchor moveWithCells="1">
                  <from>
                    <xdr:col>13</xdr:col>
                    <xdr:colOff>295275</xdr:colOff>
                    <xdr:row>3</xdr:row>
                    <xdr:rowOff>57150</xdr:rowOff>
                  </from>
                  <to>
                    <xdr:col>13</xdr:col>
                    <xdr:colOff>609600</xdr:colOff>
                    <xdr:row>3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CF7D7-0CED-43D5-90E4-57E956454223}">
  <sheetPr codeName="Tabelle8"/>
  <dimension ref="A1:BG72"/>
  <sheetViews>
    <sheetView workbookViewId="0">
      <selection activeCell="B1" sqref="B1"/>
    </sheetView>
  </sheetViews>
  <sheetFormatPr baseColWidth="10" defaultColWidth="11.42578125" defaultRowHeight="12.75" x14ac:dyDescent="0.2"/>
  <cols>
    <col min="2" max="2" width="3.7109375" customWidth="1"/>
    <col min="3" max="3" width="8.85546875" customWidth="1"/>
    <col min="4" max="5" width="5.7109375" customWidth="1"/>
    <col min="6" max="7" width="8.85546875" customWidth="1"/>
    <col min="8" max="9" width="5.7109375" customWidth="1"/>
    <col min="10" max="11" width="8.85546875" customWidth="1"/>
    <col min="12" max="13" width="5.7109375" customWidth="1"/>
    <col min="14" max="15" width="8.85546875" customWidth="1"/>
    <col min="16" max="17" width="5.7109375" customWidth="1"/>
    <col min="18" max="19" width="8.85546875" customWidth="1"/>
    <col min="20" max="21" width="5.7109375" customWidth="1"/>
    <col min="22" max="23" width="8.85546875" customWidth="1"/>
    <col min="24" max="25" width="5.7109375" customWidth="1"/>
    <col min="26" max="27" width="8.85546875" customWidth="1"/>
    <col min="28" max="29" width="5.7109375" customWidth="1"/>
    <col min="30" max="30" width="8.85546875" customWidth="1"/>
    <col min="31" max="31" width="51.5703125" customWidth="1"/>
    <col min="33" max="33" width="8.85546875" customWidth="1"/>
    <col min="34" max="35" width="5.7109375" customWidth="1"/>
    <col min="36" max="37" width="8.85546875" customWidth="1"/>
    <col min="38" max="39" width="5.7109375" customWidth="1"/>
    <col min="40" max="41" width="8.85546875" customWidth="1"/>
    <col min="42" max="43" width="5.7109375" customWidth="1"/>
    <col min="44" max="45" width="8.85546875" customWidth="1"/>
    <col min="46" max="47" width="5.7109375" customWidth="1"/>
    <col min="48" max="49" width="8.85546875" customWidth="1"/>
    <col min="50" max="51" width="5.7109375" customWidth="1"/>
    <col min="52" max="53" width="8.85546875" customWidth="1"/>
    <col min="54" max="55" width="5.7109375" customWidth="1"/>
    <col min="56" max="57" width="8.85546875" customWidth="1"/>
    <col min="58" max="59" width="5.7109375" customWidth="1"/>
  </cols>
  <sheetData>
    <row r="1" spans="1:59" x14ac:dyDescent="0.2">
      <c r="A1" s="705" t="str">
        <f>Language!$E$50</f>
        <v>Matchups</v>
      </c>
      <c r="C1" s="236" t="s">
        <v>208</v>
      </c>
      <c r="D1" s="244">
        <v>3</v>
      </c>
      <c r="E1" s="244">
        <v>2</v>
      </c>
      <c r="G1" s="236" t="s">
        <v>194</v>
      </c>
      <c r="H1" s="75">
        <v>1</v>
      </c>
      <c r="I1" s="75">
        <v>4</v>
      </c>
      <c r="K1" s="236" t="s">
        <v>195</v>
      </c>
      <c r="L1" s="75">
        <v>5</v>
      </c>
      <c r="M1" s="75">
        <v>2</v>
      </c>
      <c r="O1" s="236" t="s">
        <v>196</v>
      </c>
      <c r="P1" s="75">
        <v>1</v>
      </c>
      <c r="Q1" s="75">
        <v>6</v>
      </c>
      <c r="S1" s="236" t="s">
        <v>197</v>
      </c>
      <c r="T1" s="75">
        <v>7</v>
      </c>
      <c r="U1" s="75">
        <v>2</v>
      </c>
      <c r="W1" s="236" t="s">
        <v>198</v>
      </c>
      <c r="X1" s="75">
        <v>1</v>
      </c>
      <c r="Y1" s="75">
        <v>8</v>
      </c>
      <c r="AA1" s="236" t="s">
        <v>199</v>
      </c>
      <c r="AB1" s="75">
        <v>9</v>
      </c>
      <c r="AC1" s="75">
        <v>2</v>
      </c>
      <c r="AG1" s="236" t="s">
        <v>208</v>
      </c>
      <c r="AH1" s="244">
        <v>2</v>
      </c>
      <c r="AI1" s="244">
        <v>3</v>
      </c>
      <c r="AK1" s="236" t="s">
        <v>194</v>
      </c>
      <c r="AL1" s="75">
        <v>1</v>
      </c>
      <c r="AM1" s="75">
        <v>4</v>
      </c>
      <c r="AO1" s="236" t="s">
        <v>195</v>
      </c>
      <c r="AP1" s="75">
        <v>5</v>
      </c>
      <c r="AQ1" s="75">
        <v>2</v>
      </c>
      <c r="AS1" s="236" t="s">
        <v>196</v>
      </c>
      <c r="AT1" s="75">
        <v>1</v>
      </c>
      <c r="AU1" s="75">
        <v>6</v>
      </c>
      <c r="AW1" s="236" t="s">
        <v>197</v>
      </c>
      <c r="AX1" s="75">
        <v>7</v>
      </c>
      <c r="AY1" s="75">
        <v>2</v>
      </c>
      <c r="BA1" s="236" t="s">
        <v>198</v>
      </c>
      <c r="BB1" s="75">
        <v>1</v>
      </c>
      <c r="BC1" s="75">
        <v>8</v>
      </c>
      <c r="BE1" s="236" t="s">
        <v>199</v>
      </c>
      <c r="BF1" s="75">
        <v>9</v>
      </c>
      <c r="BG1" s="75">
        <v>2</v>
      </c>
    </row>
    <row r="2" spans="1:59" ht="12.75" customHeight="1" x14ac:dyDescent="0.2">
      <c r="A2" s="705"/>
      <c r="C2" s="702" t="str">
        <f>Language!$E$18</f>
        <v>First legs</v>
      </c>
      <c r="D2" s="244">
        <v>3</v>
      </c>
      <c r="E2" s="244">
        <v>1</v>
      </c>
      <c r="G2" s="700" t="str">
        <f>Language!$E$18</f>
        <v>First legs</v>
      </c>
      <c r="H2" s="75">
        <v>3</v>
      </c>
      <c r="I2" s="75">
        <v>2</v>
      </c>
      <c r="K2" s="133"/>
      <c r="L2" s="75">
        <v>3</v>
      </c>
      <c r="M2" s="75">
        <v>4</v>
      </c>
      <c r="O2" s="133"/>
      <c r="P2" s="75">
        <v>5</v>
      </c>
      <c r="Q2" s="75">
        <v>2</v>
      </c>
      <c r="S2" s="133"/>
      <c r="T2" s="75">
        <v>3</v>
      </c>
      <c r="U2" s="75">
        <v>6</v>
      </c>
      <c r="W2" s="133"/>
      <c r="X2" s="75">
        <v>7</v>
      </c>
      <c r="Y2" s="75">
        <v>2</v>
      </c>
      <c r="AA2" s="133"/>
      <c r="AB2" s="75">
        <v>3</v>
      </c>
      <c r="AC2" s="75">
        <v>8</v>
      </c>
      <c r="AE2" t="s">
        <v>202</v>
      </c>
      <c r="AG2" s="702" t="str">
        <f>Language!$E$18</f>
        <v>First legs</v>
      </c>
      <c r="AH2" s="244">
        <v>3</v>
      </c>
      <c r="AI2" s="244">
        <v>1</v>
      </c>
      <c r="AK2" s="700" t="str">
        <f>Language!$E$18</f>
        <v>First legs</v>
      </c>
      <c r="AL2" s="75">
        <v>3</v>
      </c>
      <c r="AM2" s="75">
        <v>2</v>
      </c>
      <c r="AO2" s="133"/>
      <c r="AP2" s="75">
        <v>3</v>
      </c>
      <c r="AQ2" s="75">
        <v>4</v>
      </c>
      <c r="AS2" s="133"/>
      <c r="AT2" s="75">
        <v>5</v>
      </c>
      <c r="AU2" s="75">
        <v>2</v>
      </c>
      <c r="AW2" s="133"/>
      <c r="AX2" s="75">
        <v>3</v>
      </c>
      <c r="AY2" s="75">
        <v>6</v>
      </c>
      <c r="BA2" s="133"/>
      <c r="BB2" s="75">
        <v>7</v>
      </c>
      <c r="BC2" s="75">
        <v>2</v>
      </c>
      <c r="BE2" s="133"/>
      <c r="BF2" s="75">
        <v>3</v>
      </c>
      <c r="BG2" s="75">
        <v>8</v>
      </c>
    </row>
    <row r="3" spans="1:59" ht="13.5" thickBot="1" x14ac:dyDescent="0.25">
      <c r="A3" s="705"/>
      <c r="C3" s="703"/>
      <c r="D3" s="244">
        <v>1</v>
      </c>
      <c r="E3" s="244">
        <v>2</v>
      </c>
      <c r="G3" s="700"/>
      <c r="H3" s="75">
        <v>3</v>
      </c>
      <c r="I3" s="75">
        <v>1</v>
      </c>
      <c r="L3" s="75">
        <v>5</v>
      </c>
      <c r="M3" s="75">
        <v>1</v>
      </c>
      <c r="P3" s="75">
        <v>3</v>
      </c>
      <c r="Q3" s="75">
        <v>4</v>
      </c>
      <c r="T3" s="75">
        <v>5</v>
      </c>
      <c r="U3" s="75">
        <v>4</v>
      </c>
      <c r="X3" s="75">
        <v>3</v>
      </c>
      <c r="Y3" s="75">
        <v>6</v>
      </c>
      <c r="AB3" s="75">
        <v>7</v>
      </c>
      <c r="AC3" s="75">
        <v>4</v>
      </c>
      <c r="AE3" s="238" t="s">
        <v>203</v>
      </c>
      <c r="AG3" s="703"/>
      <c r="AH3" s="244">
        <v>1</v>
      </c>
      <c r="AI3" s="244">
        <v>2</v>
      </c>
      <c r="AK3" s="700"/>
      <c r="AL3" s="75">
        <v>3</v>
      </c>
      <c r="AM3" s="75">
        <v>1</v>
      </c>
      <c r="AP3" s="75">
        <v>5</v>
      </c>
      <c r="AQ3" s="75">
        <v>1</v>
      </c>
      <c r="AT3" s="75">
        <v>3</v>
      </c>
      <c r="AU3" s="75">
        <v>4</v>
      </c>
      <c r="AX3" s="75">
        <v>5</v>
      </c>
      <c r="AY3" s="75">
        <v>4</v>
      </c>
      <c r="BB3" s="75">
        <v>3</v>
      </c>
      <c r="BC3" s="75">
        <v>6</v>
      </c>
      <c r="BF3" s="75">
        <v>7</v>
      </c>
      <c r="BG3" s="75">
        <v>4</v>
      </c>
    </row>
    <row r="4" spans="1:59" ht="12.75" customHeight="1" x14ac:dyDescent="0.2">
      <c r="A4" s="705"/>
      <c r="C4" s="704" t="str">
        <f>Language!$E$19</f>
        <v>Second legs</v>
      </c>
      <c r="D4" s="244">
        <v>2</v>
      </c>
      <c r="E4" s="244">
        <v>3</v>
      </c>
      <c r="G4" s="700"/>
      <c r="H4" s="75">
        <v>2</v>
      </c>
      <c r="I4" s="75">
        <v>4</v>
      </c>
      <c r="L4" s="75">
        <v>2</v>
      </c>
      <c r="M4" s="75">
        <v>3</v>
      </c>
      <c r="P4" s="75">
        <v>5</v>
      </c>
      <c r="Q4" s="75">
        <v>1</v>
      </c>
      <c r="T4" s="75">
        <v>7</v>
      </c>
      <c r="U4" s="75">
        <v>1</v>
      </c>
      <c r="X4" s="75">
        <v>5</v>
      </c>
      <c r="Y4" s="75">
        <v>4</v>
      </c>
      <c r="AB4" s="75">
        <v>5</v>
      </c>
      <c r="AC4" s="75">
        <v>6</v>
      </c>
      <c r="AG4" s="704" t="str">
        <f>Language!$E$19</f>
        <v>Second legs</v>
      </c>
      <c r="AH4" s="244"/>
      <c r="AI4" s="244"/>
      <c r="AK4" s="700"/>
      <c r="AL4" s="75">
        <v>2</v>
      </c>
      <c r="AM4" s="75">
        <v>4</v>
      </c>
      <c r="AP4" s="75">
        <v>2</v>
      </c>
      <c r="AQ4" s="75">
        <v>3</v>
      </c>
      <c r="AT4" s="75">
        <v>5</v>
      </c>
      <c r="AU4" s="75">
        <v>1</v>
      </c>
      <c r="AX4" s="75">
        <v>7</v>
      </c>
      <c r="AY4" s="75">
        <v>1</v>
      </c>
      <c r="BB4" s="75">
        <v>5</v>
      </c>
      <c r="BC4" s="75">
        <v>4</v>
      </c>
      <c r="BF4" s="75">
        <v>5</v>
      </c>
      <c r="BG4" s="75">
        <v>6</v>
      </c>
    </row>
    <row r="5" spans="1:59" x14ac:dyDescent="0.2">
      <c r="A5" s="705"/>
      <c r="C5" s="702"/>
      <c r="D5" s="244">
        <v>1</v>
      </c>
      <c r="E5" s="244">
        <v>3</v>
      </c>
      <c r="G5" s="700"/>
      <c r="H5" s="75">
        <v>1</v>
      </c>
      <c r="I5" s="75">
        <v>2</v>
      </c>
      <c r="L5" s="75">
        <v>1</v>
      </c>
      <c r="M5" s="75">
        <v>4</v>
      </c>
      <c r="P5" s="75">
        <v>4</v>
      </c>
      <c r="Q5" s="75">
        <v>6</v>
      </c>
      <c r="T5" s="75">
        <v>2</v>
      </c>
      <c r="U5" s="75">
        <v>5</v>
      </c>
      <c r="X5" s="75">
        <v>7</v>
      </c>
      <c r="Y5" s="75">
        <v>1</v>
      </c>
      <c r="AB5" s="75">
        <v>9</v>
      </c>
      <c r="AC5" s="75">
        <v>1</v>
      </c>
      <c r="AG5" s="702"/>
      <c r="AH5" s="244"/>
      <c r="AI5" s="244"/>
      <c r="AK5" s="700"/>
      <c r="AL5" s="75">
        <v>1</v>
      </c>
      <c r="AM5" s="75">
        <v>2</v>
      </c>
      <c r="AP5" s="75">
        <v>1</v>
      </c>
      <c r="AQ5" s="75">
        <v>4</v>
      </c>
      <c r="AT5" s="75">
        <v>4</v>
      </c>
      <c r="AU5" s="75">
        <v>6</v>
      </c>
      <c r="AX5" s="75">
        <v>2</v>
      </c>
      <c r="AY5" s="75">
        <v>5</v>
      </c>
      <c r="BB5" s="75">
        <v>7</v>
      </c>
      <c r="BC5" s="75">
        <v>1</v>
      </c>
      <c r="BF5" s="75">
        <v>9</v>
      </c>
      <c r="BG5" s="75">
        <v>1</v>
      </c>
    </row>
    <row r="6" spans="1:59" ht="13.5" customHeight="1" thickBot="1" x14ac:dyDescent="0.25">
      <c r="A6" s="705"/>
      <c r="C6" s="702"/>
      <c r="D6" s="244">
        <v>2</v>
      </c>
      <c r="E6" s="244">
        <v>1</v>
      </c>
      <c r="G6" s="701"/>
      <c r="H6" s="75">
        <v>4</v>
      </c>
      <c r="I6" s="75">
        <v>3</v>
      </c>
      <c r="K6" s="700" t="str">
        <f>Language!$E$18</f>
        <v>First legs</v>
      </c>
      <c r="L6" s="75">
        <v>3</v>
      </c>
      <c r="M6" s="75">
        <v>5</v>
      </c>
      <c r="P6" s="75">
        <v>2</v>
      </c>
      <c r="Q6" s="75">
        <v>3</v>
      </c>
      <c r="T6" s="75">
        <v>4</v>
      </c>
      <c r="U6" s="75">
        <v>3</v>
      </c>
      <c r="X6" s="75">
        <v>6</v>
      </c>
      <c r="Y6" s="75">
        <v>8</v>
      </c>
      <c r="AB6" s="75">
        <v>2</v>
      </c>
      <c r="AC6" s="75">
        <v>7</v>
      </c>
      <c r="AG6" s="702"/>
      <c r="AH6" s="244"/>
      <c r="AI6" s="244"/>
      <c r="AK6" s="701"/>
      <c r="AL6" s="75">
        <v>4</v>
      </c>
      <c r="AM6" s="75">
        <v>3</v>
      </c>
      <c r="AO6" s="700" t="str">
        <f>Language!$E$18</f>
        <v>First legs</v>
      </c>
      <c r="AP6" s="75">
        <v>3</v>
      </c>
      <c r="AQ6" s="75">
        <v>5</v>
      </c>
      <c r="AT6" s="75">
        <v>2</v>
      </c>
      <c r="AU6" s="75">
        <v>3</v>
      </c>
      <c r="AX6" s="75">
        <v>4</v>
      </c>
      <c r="AY6" s="75">
        <v>3</v>
      </c>
      <c r="BB6" s="75">
        <v>6</v>
      </c>
      <c r="BC6" s="75">
        <v>8</v>
      </c>
      <c r="BF6" s="75">
        <v>2</v>
      </c>
      <c r="BG6" s="75">
        <v>7</v>
      </c>
    </row>
    <row r="7" spans="1:59" ht="12.75" customHeight="1" x14ac:dyDescent="0.2">
      <c r="A7" s="705"/>
      <c r="D7" s="75"/>
      <c r="E7" s="75"/>
      <c r="G7" s="700" t="str">
        <f>Language!$E$19</f>
        <v>Second legs</v>
      </c>
      <c r="H7" s="75">
        <v>4</v>
      </c>
      <c r="I7" s="75">
        <v>1</v>
      </c>
      <c r="K7" s="700"/>
      <c r="L7" s="75">
        <v>2</v>
      </c>
      <c r="M7" s="75">
        <v>4</v>
      </c>
      <c r="P7" s="75">
        <v>1</v>
      </c>
      <c r="Q7" s="75">
        <v>4</v>
      </c>
      <c r="T7" s="75">
        <v>1</v>
      </c>
      <c r="U7" s="75">
        <v>6</v>
      </c>
      <c r="X7" s="75">
        <v>2</v>
      </c>
      <c r="Y7" s="75">
        <v>5</v>
      </c>
      <c r="AB7" s="75">
        <v>6</v>
      </c>
      <c r="AC7" s="75">
        <v>3</v>
      </c>
      <c r="AH7" s="75"/>
      <c r="AI7" s="75"/>
      <c r="AK7" s="700" t="str">
        <f>Language!$E$19</f>
        <v>Second legs</v>
      </c>
      <c r="AL7" s="75"/>
      <c r="AM7" s="75"/>
      <c r="AO7" s="700"/>
      <c r="AP7" s="75">
        <v>2</v>
      </c>
      <c r="AQ7" s="75">
        <v>4</v>
      </c>
      <c r="AT7" s="75">
        <v>1</v>
      </c>
      <c r="AU7" s="75">
        <v>4</v>
      </c>
      <c r="AX7" s="75">
        <v>1</v>
      </c>
      <c r="AY7" s="75">
        <v>6</v>
      </c>
      <c r="BB7" s="75">
        <v>2</v>
      </c>
      <c r="BC7" s="75">
        <v>5</v>
      </c>
      <c r="BF7" s="75">
        <v>6</v>
      </c>
      <c r="BG7" s="75">
        <v>3</v>
      </c>
    </row>
    <row r="8" spans="1:59" x14ac:dyDescent="0.2">
      <c r="A8" s="705"/>
      <c r="C8" s="245"/>
      <c r="D8" s="75"/>
      <c r="E8" s="75"/>
      <c r="G8" s="700"/>
      <c r="H8" s="75">
        <v>2</v>
      </c>
      <c r="I8" s="75">
        <v>3</v>
      </c>
      <c r="K8" s="700"/>
      <c r="L8" s="75">
        <v>3</v>
      </c>
      <c r="M8" s="75">
        <v>1</v>
      </c>
      <c r="P8" s="75">
        <v>3</v>
      </c>
      <c r="Q8" s="75">
        <v>5</v>
      </c>
      <c r="T8" s="75">
        <v>5</v>
      </c>
      <c r="U8" s="75">
        <v>7</v>
      </c>
      <c r="X8" s="75">
        <v>4</v>
      </c>
      <c r="Y8" s="75">
        <v>3</v>
      </c>
      <c r="AB8" s="75">
        <v>4</v>
      </c>
      <c r="AC8" s="75">
        <v>5</v>
      </c>
      <c r="AG8" s="245"/>
      <c r="AH8" s="75"/>
      <c r="AI8" s="75"/>
      <c r="AK8" s="700"/>
      <c r="AL8" s="75"/>
      <c r="AM8" s="75"/>
      <c r="AO8" s="700"/>
      <c r="AP8" s="75">
        <v>3</v>
      </c>
      <c r="AQ8" s="75">
        <v>1</v>
      </c>
      <c r="AT8" s="75">
        <v>3</v>
      </c>
      <c r="AU8" s="75">
        <v>5</v>
      </c>
      <c r="AX8" s="75">
        <v>5</v>
      </c>
      <c r="AY8" s="75">
        <v>7</v>
      </c>
      <c r="BB8" s="75">
        <v>4</v>
      </c>
      <c r="BC8" s="75">
        <v>3</v>
      </c>
      <c r="BF8" s="75">
        <v>4</v>
      </c>
      <c r="BG8" s="75">
        <v>5</v>
      </c>
    </row>
    <row r="9" spans="1:59" x14ac:dyDescent="0.2">
      <c r="A9" s="705"/>
      <c r="C9" s="245"/>
      <c r="D9" s="75"/>
      <c r="E9" s="75"/>
      <c r="G9" s="700"/>
      <c r="H9" s="75">
        <v>1</v>
      </c>
      <c r="I9" s="75">
        <v>3</v>
      </c>
      <c r="K9" s="700"/>
      <c r="L9" s="75">
        <v>4</v>
      </c>
      <c r="M9" s="75">
        <v>5</v>
      </c>
      <c r="P9" s="75">
        <v>6</v>
      </c>
      <c r="Q9" s="75">
        <v>2</v>
      </c>
      <c r="T9" s="75">
        <v>3</v>
      </c>
      <c r="U9" s="75">
        <v>2</v>
      </c>
      <c r="X9" s="75">
        <v>1</v>
      </c>
      <c r="Y9" s="75">
        <v>6</v>
      </c>
      <c r="AB9" s="75">
        <v>1</v>
      </c>
      <c r="AC9" s="75">
        <v>8</v>
      </c>
      <c r="AG9" s="245"/>
      <c r="AH9" s="75"/>
      <c r="AI9" s="75"/>
      <c r="AK9" s="700"/>
      <c r="AL9" s="75"/>
      <c r="AM9" s="75"/>
      <c r="AO9" s="700"/>
      <c r="AP9" s="75">
        <v>4</v>
      </c>
      <c r="AQ9" s="75">
        <v>5</v>
      </c>
      <c r="AT9" s="75">
        <v>6</v>
      </c>
      <c r="AU9" s="75">
        <v>2</v>
      </c>
      <c r="AX9" s="75">
        <v>3</v>
      </c>
      <c r="AY9" s="75">
        <v>2</v>
      </c>
      <c r="BB9" s="75">
        <v>1</v>
      </c>
      <c r="BC9" s="75">
        <v>6</v>
      </c>
      <c r="BF9" s="75">
        <v>1</v>
      </c>
      <c r="BG9" s="75">
        <v>8</v>
      </c>
    </row>
    <row r="10" spans="1:59" ht="13.5" thickBot="1" x14ac:dyDescent="0.25">
      <c r="A10" s="705"/>
      <c r="C10" s="245"/>
      <c r="D10" s="75"/>
      <c r="E10" s="75"/>
      <c r="G10" s="700"/>
      <c r="H10" s="75">
        <v>4</v>
      </c>
      <c r="I10" s="75">
        <v>2</v>
      </c>
      <c r="K10" s="701"/>
      <c r="L10" s="75">
        <v>1</v>
      </c>
      <c r="M10" s="75">
        <v>2</v>
      </c>
      <c r="P10" s="75">
        <v>3</v>
      </c>
      <c r="Q10" s="75">
        <v>1</v>
      </c>
      <c r="T10" s="75">
        <v>5</v>
      </c>
      <c r="U10" s="75">
        <v>1</v>
      </c>
      <c r="X10" s="75">
        <v>5</v>
      </c>
      <c r="Y10" s="75">
        <v>7</v>
      </c>
      <c r="AB10" s="75">
        <v>7</v>
      </c>
      <c r="AC10" s="75">
        <v>9</v>
      </c>
      <c r="AG10" s="245"/>
      <c r="AH10" s="75"/>
      <c r="AI10" s="75"/>
      <c r="AK10" s="700"/>
      <c r="AL10" s="75"/>
      <c r="AM10" s="75"/>
      <c r="AO10" s="701"/>
      <c r="AP10" s="75">
        <v>1</v>
      </c>
      <c r="AQ10" s="75">
        <v>2</v>
      </c>
      <c r="AT10" s="75">
        <v>3</v>
      </c>
      <c r="AU10" s="75">
        <v>1</v>
      </c>
      <c r="AX10" s="75">
        <v>5</v>
      </c>
      <c r="AY10" s="75">
        <v>1</v>
      </c>
      <c r="BB10" s="75">
        <v>5</v>
      </c>
      <c r="BC10" s="75">
        <v>7</v>
      </c>
      <c r="BF10" s="75">
        <v>7</v>
      </c>
      <c r="BG10" s="75">
        <v>9</v>
      </c>
    </row>
    <row r="11" spans="1:59" x14ac:dyDescent="0.2">
      <c r="A11" s="705"/>
      <c r="C11" s="245"/>
      <c r="D11" s="75"/>
      <c r="E11" s="75"/>
      <c r="G11" s="700"/>
      <c r="H11" s="75">
        <v>2</v>
      </c>
      <c r="I11" s="75">
        <v>1</v>
      </c>
      <c r="K11" s="700" t="str">
        <f>Language!$E$19</f>
        <v>Second legs</v>
      </c>
      <c r="L11" s="75">
        <v>2</v>
      </c>
      <c r="M11" s="75">
        <v>5</v>
      </c>
      <c r="O11" s="700" t="str">
        <f>Language!$E$18</f>
        <v>First legs</v>
      </c>
      <c r="P11" s="75">
        <v>2</v>
      </c>
      <c r="Q11" s="75">
        <v>4</v>
      </c>
      <c r="T11" s="75">
        <v>4</v>
      </c>
      <c r="U11" s="75">
        <v>6</v>
      </c>
      <c r="X11" s="75">
        <v>8</v>
      </c>
      <c r="Y11" s="75">
        <v>4</v>
      </c>
      <c r="AB11" s="75">
        <v>5</v>
      </c>
      <c r="AC11" s="75">
        <v>2</v>
      </c>
      <c r="AG11" s="245"/>
      <c r="AH11" s="75"/>
      <c r="AI11" s="75"/>
      <c r="AK11" s="700"/>
      <c r="AL11" s="75"/>
      <c r="AM11" s="75"/>
      <c r="AO11" s="700" t="str">
        <f>Language!$E$19</f>
        <v>Second legs</v>
      </c>
      <c r="AP11" s="75"/>
      <c r="AQ11" s="75"/>
      <c r="AS11" s="700" t="str">
        <f>Language!$E$18</f>
        <v>First legs</v>
      </c>
      <c r="AT11" s="75">
        <v>2</v>
      </c>
      <c r="AU11" s="75">
        <v>4</v>
      </c>
      <c r="AX11" s="75">
        <v>4</v>
      </c>
      <c r="AY11" s="75">
        <v>6</v>
      </c>
      <c r="BB11" s="75">
        <v>8</v>
      </c>
      <c r="BC11" s="75">
        <v>4</v>
      </c>
      <c r="BF11" s="75">
        <v>5</v>
      </c>
      <c r="BG11" s="75">
        <v>2</v>
      </c>
    </row>
    <row r="12" spans="1:59" x14ac:dyDescent="0.2">
      <c r="A12" s="705"/>
      <c r="D12" s="75"/>
      <c r="E12" s="75"/>
      <c r="H12" s="75">
        <v>3</v>
      </c>
      <c r="I12" s="75">
        <v>4</v>
      </c>
      <c r="K12" s="700"/>
      <c r="L12" s="75">
        <v>4</v>
      </c>
      <c r="M12" s="75">
        <v>3</v>
      </c>
      <c r="O12" s="700"/>
      <c r="P12" s="75">
        <v>5</v>
      </c>
      <c r="Q12" s="75">
        <v>6</v>
      </c>
      <c r="T12" s="75">
        <v>7</v>
      </c>
      <c r="U12" s="75">
        <v>3</v>
      </c>
      <c r="X12" s="75">
        <v>3</v>
      </c>
      <c r="Y12" s="75">
        <v>2</v>
      </c>
      <c r="AB12" s="75">
        <v>3</v>
      </c>
      <c r="AC12" s="75">
        <v>4</v>
      </c>
      <c r="AH12" s="75"/>
      <c r="AI12" s="75"/>
      <c r="AL12" s="75"/>
      <c r="AM12" s="75"/>
      <c r="AO12" s="700"/>
      <c r="AP12" s="75"/>
      <c r="AQ12" s="75"/>
      <c r="AS12" s="700"/>
      <c r="AT12" s="75">
        <v>5</v>
      </c>
      <c r="AU12" s="75">
        <v>6</v>
      </c>
      <c r="AX12" s="75">
        <v>7</v>
      </c>
      <c r="AY12" s="75">
        <v>3</v>
      </c>
      <c r="BB12" s="75">
        <v>3</v>
      </c>
      <c r="BC12" s="75">
        <v>2</v>
      </c>
      <c r="BF12" s="75">
        <v>3</v>
      </c>
      <c r="BG12" s="75">
        <v>4</v>
      </c>
    </row>
    <row r="13" spans="1:59" x14ac:dyDescent="0.2">
      <c r="A13" s="705"/>
      <c r="K13" s="700"/>
      <c r="L13" s="75">
        <v>1</v>
      </c>
      <c r="M13" s="75">
        <v>5</v>
      </c>
      <c r="O13" s="700"/>
      <c r="P13" s="75">
        <v>1</v>
      </c>
      <c r="Q13" s="75">
        <v>2</v>
      </c>
      <c r="T13" s="75">
        <v>1</v>
      </c>
      <c r="U13" s="75">
        <v>4</v>
      </c>
      <c r="X13" s="75">
        <v>5</v>
      </c>
      <c r="Y13" s="75">
        <v>1</v>
      </c>
      <c r="AB13" s="75">
        <v>7</v>
      </c>
      <c r="AC13" s="75">
        <v>1</v>
      </c>
      <c r="AO13" s="700"/>
      <c r="AP13" s="75"/>
      <c r="AQ13" s="75"/>
      <c r="AS13" s="700"/>
      <c r="AT13" s="75">
        <v>1</v>
      </c>
      <c r="AU13" s="75">
        <v>2</v>
      </c>
      <c r="AX13" s="75">
        <v>1</v>
      </c>
      <c r="AY13" s="75">
        <v>4</v>
      </c>
      <c r="BB13" s="75">
        <v>5</v>
      </c>
      <c r="BC13" s="75">
        <v>1</v>
      </c>
      <c r="BF13" s="75">
        <v>7</v>
      </c>
      <c r="BG13" s="75">
        <v>1</v>
      </c>
    </row>
    <row r="14" spans="1:59" x14ac:dyDescent="0.2">
      <c r="A14" s="705"/>
      <c r="K14" s="700"/>
      <c r="L14" s="75">
        <v>3</v>
      </c>
      <c r="M14" s="75">
        <v>2</v>
      </c>
      <c r="O14" s="700"/>
      <c r="P14" s="75">
        <v>6</v>
      </c>
      <c r="Q14" s="75">
        <v>3</v>
      </c>
      <c r="T14" s="75">
        <v>3</v>
      </c>
      <c r="U14" s="75">
        <v>5</v>
      </c>
      <c r="X14" s="75">
        <v>4</v>
      </c>
      <c r="Y14" s="75">
        <v>6</v>
      </c>
      <c r="AB14" s="75">
        <v>6</v>
      </c>
      <c r="AC14" s="75">
        <v>8</v>
      </c>
      <c r="AO14" s="700"/>
      <c r="AP14" s="75"/>
      <c r="AQ14" s="75"/>
      <c r="AS14" s="700"/>
      <c r="AT14" s="75">
        <v>6</v>
      </c>
      <c r="AU14" s="75">
        <v>3</v>
      </c>
      <c r="AX14" s="75">
        <v>3</v>
      </c>
      <c r="AY14" s="75">
        <v>5</v>
      </c>
      <c r="BB14" s="75">
        <v>4</v>
      </c>
      <c r="BC14" s="75">
        <v>6</v>
      </c>
      <c r="BF14" s="75">
        <v>6</v>
      </c>
      <c r="BG14" s="75">
        <v>8</v>
      </c>
    </row>
    <row r="15" spans="1:59" ht="13.5" thickBot="1" x14ac:dyDescent="0.25">
      <c r="A15" s="705"/>
      <c r="K15" s="700"/>
      <c r="L15" s="75">
        <v>4</v>
      </c>
      <c r="M15" s="75">
        <v>1</v>
      </c>
      <c r="O15" s="701"/>
      <c r="P15" s="75">
        <v>4</v>
      </c>
      <c r="Q15" s="75">
        <v>5</v>
      </c>
      <c r="T15" s="75">
        <v>6</v>
      </c>
      <c r="U15" s="75">
        <v>2</v>
      </c>
      <c r="X15" s="75">
        <v>7</v>
      </c>
      <c r="Y15" s="75">
        <v>3</v>
      </c>
      <c r="AB15" s="75">
        <v>9</v>
      </c>
      <c r="AC15" s="75">
        <v>5</v>
      </c>
      <c r="AO15" s="700"/>
      <c r="AP15" s="75"/>
      <c r="AQ15" s="75"/>
      <c r="AS15" s="701"/>
      <c r="AT15" s="75">
        <v>4</v>
      </c>
      <c r="AU15" s="75">
        <v>5</v>
      </c>
      <c r="AX15" s="75">
        <v>6</v>
      </c>
      <c r="AY15" s="75">
        <v>2</v>
      </c>
      <c r="BB15" s="75">
        <v>7</v>
      </c>
      <c r="BC15" s="75">
        <v>3</v>
      </c>
      <c r="BF15" s="75">
        <v>9</v>
      </c>
      <c r="BG15" s="75">
        <v>5</v>
      </c>
    </row>
    <row r="16" spans="1:59" x14ac:dyDescent="0.2">
      <c r="A16" s="705"/>
      <c r="L16" s="75">
        <v>5</v>
      </c>
      <c r="M16" s="75">
        <v>3</v>
      </c>
      <c r="O16" s="700" t="str">
        <f>Language!$E$19</f>
        <v>Second legs</v>
      </c>
      <c r="P16" s="75">
        <v>6</v>
      </c>
      <c r="Q16" s="75">
        <v>1</v>
      </c>
      <c r="T16" s="75">
        <v>3</v>
      </c>
      <c r="U16" s="75">
        <v>1</v>
      </c>
      <c r="X16" s="75">
        <v>2</v>
      </c>
      <c r="Y16" s="75">
        <v>8</v>
      </c>
      <c r="AB16" s="75">
        <v>2</v>
      </c>
      <c r="AC16" s="75">
        <v>3</v>
      </c>
      <c r="AP16" s="75"/>
      <c r="AQ16" s="75"/>
      <c r="AS16" s="700" t="str">
        <f>Language!$E$19</f>
        <v>Second legs</v>
      </c>
      <c r="AT16" s="75"/>
      <c r="AU16" s="75"/>
      <c r="AX16" s="75">
        <v>3</v>
      </c>
      <c r="AY16" s="75">
        <v>1</v>
      </c>
      <c r="BB16" s="75">
        <v>2</v>
      </c>
      <c r="BC16" s="75">
        <v>8</v>
      </c>
      <c r="BF16" s="75">
        <v>2</v>
      </c>
      <c r="BG16" s="75">
        <v>3</v>
      </c>
    </row>
    <row r="17" spans="1:59" x14ac:dyDescent="0.2">
      <c r="A17" s="705"/>
      <c r="L17" s="75">
        <v>4</v>
      </c>
      <c r="M17" s="75">
        <v>2</v>
      </c>
      <c r="O17" s="700"/>
      <c r="P17" s="75">
        <v>2</v>
      </c>
      <c r="Q17" s="75">
        <v>5</v>
      </c>
      <c r="S17" s="700" t="str">
        <f>Language!$E$18</f>
        <v>First legs</v>
      </c>
      <c r="T17" s="75">
        <v>2</v>
      </c>
      <c r="U17" s="75">
        <v>4</v>
      </c>
      <c r="X17" s="75">
        <v>1</v>
      </c>
      <c r="Y17" s="75">
        <v>4</v>
      </c>
      <c r="AB17" s="75">
        <v>1</v>
      </c>
      <c r="AC17" s="75">
        <v>6</v>
      </c>
      <c r="AP17" s="75"/>
      <c r="AQ17" s="75"/>
      <c r="AS17" s="700"/>
      <c r="AT17" s="75"/>
      <c r="AU17" s="75"/>
      <c r="AW17" s="700" t="str">
        <f>Language!$E$18</f>
        <v>First legs</v>
      </c>
      <c r="AX17" s="75">
        <v>2</v>
      </c>
      <c r="AY17" s="75">
        <v>4</v>
      </c>
      <c r="BB17" s="75">
        <v>1</v>
      </c>
      <c r="BC17" s="75">
        <v>4</v>
      </c>
      <c r="BF17" s="75">
        <v>1</v>
      </c>
      <c r="BG17" s="75">
        <v>6</v>
      </c>
    </row>
    <row r="18" spans="1:59" x14ac:dyDescent="0.2">
      <c r="A18" s="705"/>
      <c r="L18" s="75">
        <v>1</v>
      </c>
      <c r="M18" s="75">
        <v>3</v>
      </c>
      <c r="O18" s="700"/>
      <c r="P18" s="75">
        <v>4</v>
      </c>
      <c r="Q18" s="75">
        <v>3</v>
      </c>
      <c r="S18" s="700"/>
      <c r="T18" s="75">
        <v>7</v>
      </c>
      <c r="U18" s="75">
        <v>6</v>
      </c>
      <c r="X18" s="75">
        <v>3</v>
      </c>
      <c r="Y18" s="75">
        <v>5</v>
      </c>
      <c r="AB18" s="75">
        <v>5</v>
      </c>
      <c r="AC18" s="75">
        <v>7</v>
      </c>
      <c r="AP18" s="75"/>
      <c r="AQ18" s="75"/>
      <c r="AS18" s="700"/>
      <c r="AT18" s="75"/>
      <c r="AU18" s="75"/>
      <c r="AW18" s="700"/>
      <c r="AX18" s="75">
        <v>7</v>
      </c>
      <c r="AY18" s="75">
        <v>6</v>
      </c>
      <c r="BB18" s="75">
        <v>3</v>
      </c>
      <c r="BC18" s="75">
        <v>5</v>
      </c>
      <c r="BF18" s="75">
        <v>5</v>
      </c>
      <c r="BG18" s="75">
        <v>7</v>
      </c>
    </row>
    <row r="19" spans="1:59" x14ac:dyDescent="0.2">
      <c r="L19" s="75">
        <v>5</v>
      </c>
      <c r="M19" s="75">
        <v>4</v>
      </c>
      <c r="O19" s="700"/>
      <c r="P19" s="75">
        <v>1</v>
      </c>
      <c r="Q19" s="75">
        <v>5</v>
      </c>
      <c r="S19" s="700"/>
      <c r="T19" s="75">
        <v>1</v>
      </c>
      <c r="U19" s="75">
        <v>2</v>
      </c>
      <c r="X19" s="75">
        <v>6</v>
      </c>
      <c r="Y19" s="75">
        <v>2</v>
      </c>
      <c r="AB19" s="75">
        <v>8</v>
      </c>
      <c r="AC19" s="75">
        <v>4</v>
      </c>
      <c r="AP19" s="75"/>
      <c r="AQ19" s="75"/>
      <c r="AS19" s="700"/>
      <c r="AT19" s="75"/>
      <c r="AU19" s="75"/>
      <c r="AW19" s="700"/>
      <c r="AX19" s="75">
        <v>1</v>
      </c>
      <c r="AY19" s="75">
        <v>2</v>
      </c>
      <c r="BB19" s="75">
        <v>6</v>
      </c>
      <c r="BC19" s="75">
        <v>2</v>
      </c>
      <c r="BF19" s="75">
        <v>8</v>
      </c>
      <c r="BG19" s="75">
        <v>4</v>
      </c>
    </row>
    <row r="20" spans="1:59" x14ac:dyDescent="0.2">
      <c r="L20" s="75">
        <v>2</v>
      </c>
      <c r="M20" s="75">
        <v>1</v>
      </c>
      <c r="O20" s="700"/>
      <c r="P20" s="75">
        <v>6</v>
      </c>
      <c r="Q20" s="75">
        <v>4</v>
      </c>
      <c r="S20" s="700"/>
      <c r="T20" s="75">
        <v>4</v>
      </c>
      <c r="U20" s="75">
        <v>7</v>
      </c>
      <c r="X20" s="75">
        <v>8</v>
      </c>
      <c r="Y20" s="75">
        <v>7</v>
      </c>
      <c r="AB20" s="75">
        <v>3</v>
      </c>
      <c r="AC20" s="75">
        <v>9</v>
      </c>
      <c r="AP20" s="75"/>
      <c r="AQ20" s="75"/>
      <c r="AS20" s="700"/>
      <c r="AT20" s="75"/>
      <c r="AU20" s="75"/>
      <c r="AW20" s="700"/>
      <c r="AX20" s="75">
        <v>4</v>
      </c>
      <c r="AY20" s="75">
        <v>7</v>
      </c>
      <c r="BB20" s="75">
        <v>8</v>
      </c>
      <c r="BC20" s="75">
        <v>7</v>
      </c>
      <c r="BF20" s="75">
        <v>3</v>
      </c>
      <c r="BG20" s="75">
        <v>9</v>
      </c>
    </row>
    <row r="21" spans="1:59" ht="13.5" thickBot="1" x14ac:dyDescent="0.25">
      <c r="P21" s="75">
        <v>3</v>
      </c>
      <c r="Q21" s="75">
        <v>2</v>
      </c>
      <c r="S21" s="701"/>
      <c r="T21" s="75">
        <v>6</v>
      </c>
      <c r="U21" s="75">
        <v>5</v>
      </c>
      <c r="X21" s="75">
        <v>3</v>
      </c>
      <c r="Y21" s="75">
        <v>1</v>
      </c>
      <c r="AB21" s="75">
        <v>5</v>
      </c>
      <c r="AC21" s="75">
        <v>1</v>
      </c>
      <c r="AT21" s="75"/>
      <c r="AU21" s="75"/>
      <c r="AW21" s="701"/>
      <c r="AX21" s="75">
        <v>6</v>
      </c>
      <c r="AY21" s="75">
        <v>5</v>
      </c>
      <c r="BB21" s="75">
        <v>3</v>
      </c>
      <c r="BC21" s="75">
        <v>1</v>
      </c>
      <c r="BF21" s="75">
        <v>5</v>
      </c>
      <c r="BG21" s="75">
        <v>1</v>
      </c>
    </row>
    <row r="22" spans="1:59" x14ac:dyDescent="0.2">
      <c r="P22" s="75">
        <v>4</v>
      </c>
      <c r="Q22" s="75">
        <v>1</v>
      </c>
      <c r="S22" s="700" t="str">
        <f>Language!$E$19</f>
        <v>Second legs</v>
      </c>
      <c r="T22" s="75">
        <v>2</v>
      </c>
      <c r="U22" s="75">
        <v>7</v>
      </c>
      <c r="X22" s="75">
        <v>2</v>
      </c>
      <c r="Y22" s="75">
        <v>4</v>
      </c>
      <c r="AB22" s="75">
        <v>4</v>
      </c>
      <c r="AC22" s="75">
        <v>6</v>
      </c>
      <c r="AT22" s="75"/>
      <c r="AU22" s="75"/>
      <c r="AW22" s="700" t="str">
        <f>Language!$E$19</f>
        <v>Second legs</v>
      </c>
      <c r="AX22" s="75"/>
      <c r="AY22" s="75"/>
      <c r="BB22" s="75">
        <v>2</v>
      </c>
      <c r="BC22" s="75">
        <v>4</v>
      </c>
      <c r="BF22" s="75">
        <v>4</v>
      </c>
      <c r="BG22" s="75">
        <v>6</v>
      </c>
    </row>
    <row r="23" spans="1:59" x14ac:dyDescent="0.2">
      <c r="P23" s="75">
        <v>5</v>
      </c>
      <c r="Q23" s="75">
        <v>3</v>
      </c>
      <c r="S23" s="700"/>
      <c r="T23" s="75">
        <v>6</v>
      </c>
      <c r="U23" s="75">
        <v>3</v>
      </c>
      <c r="X23" s="75">
        <v>5</v>
      </c>
      <c r="Y23" s="75">
        <v>8</v>
      </c>
      <c r="AB23" s="75">
        <v>7</v>
      </c>
      <c r="AC23" s="75">
        <v>3</v>
      </c>
      <c r="AT23" s="75"/>
      <c r="AU23" s="75"/>
      <c r="AW23" s="700"/>
      <c r="AX23" s="75"/>
      <c r="AY23" s="75"/>
      <c r="BB23" s="75">
        <v>5</v>
      </c>
      <c r="BC23" s="75">
        <v>8</v>
      </c>
      <c r="BF23" s="75">
        <v>7</v>
      </c>
      <c r="BG23" s="75">
        <v>3</v>
      </c>
    </row>
    <row r="24" spans="1:59" x14ac:dyDescent="0.2">
      <c r="P24" s="75">
        <v>2</v>
      </c>
      <c r="Q24" s="75">
        <v>6</v>
      </c>
      <c r="S24" s="700"/>
      <c r="T24" s="75">
        <v>4</v>
      </c>
      <c r="U24" s="75">
        <v>5</v>
      </c>
      <c r="W24" s="700" t="str">
        <f>Language!$E$18</f>
        <v>First legs</v>
      </c>
      <c r="X24" s="75">
        <v>7</v>
      </c>
      <c r="Y24" s="75">
        <v>6</v>
      </c>
      <c r="AB24" s="75">
        <v>2</v>
      </c>
      <c r="AC24" s="75">
        <v>8</v>
      </c>
      <c r="AT24" s="75"/>
      <c r="AU24" s="75"/>
      <c r="AW24" s="700"/>
      <c r="AX24" s="75"/>
      <c r="AY24" s="75"/>
      <c r="BA24" s="700" t="str">
        <f>Language!$E$18</f>
        <v>First legs</v>
      </c>
      <c r="BB24" s="75">
        <v>7</v>
      </c>
      <c r="BC24" s="75">
        <v>6</v>
      </c>
      <c r="BF24" s="75">
        <v>2</v>
      </c>
      <c r="BG24" s="75">
        <v>8</v>
      </c>
    </row>
    <row r="25" spans="1:59" x14ac:dyDescent="0.2">
      <c r="P25" s="75">
        <v>1</v>
      </c>
      <c r="Q25" s="75">
        <v>3</v>
      </c>
      <c r="S25" s="700"/>
      <c r="T25" s="75">
        <v>1</v>
      </c>
      <c r="U25" s="75">
        <v>7</v>
      </c>
      <c r="W25" s="700"/>
      <c r="X25" s="75">
        <v>1</v>
      </c>
      <c r="Y25" s="75">
        <v>2</v>
      </c>
      <c r="AB25" s="75">
        <v>1</v>
      </c>
      <c r="AC25" s="75">
        <v>4</v>
      </c>
      <c r="AT25" s="75"/>
      <c r="AU25" s="75"/>
      <c r="AW25" s="700"/>
      <c r="AX25" s="75"/>
      <c r="AY25" s="75"/>
      <c r="BA25" s="700"/>
      <c r="BB25" s="75">
        <v>1</v>
      </c>
      <c r="BC25" s="75">
        <v>2</v>
      </c>
      <c r="BF25" s="75">
        <v>1</v>
      </c>
      <c r="BG25" s="75">
        <v>4</v>
      </c>
    </row>
    <row r="26" spans="1:59" x14ac:dyDescent="0.2">
      <c r="P26" s="75">
        <v>4</v>
      </c>
      <c r="Q26" s="75">
        <v>2</v>
      </c>
      <c r="S26" s="700"/>
      <c r="T26" s="75">
        <v>5</v>
      </c>
      <c r="U26" s="75">
        <v>2</v>
      </c>
      <c r="W26" s="700"/>
      <c r="X26" s="75">
        <v>8</v>
      </c>
      <c r="Y26" s="75">
        <v>3</v>
      </c>
      <c r="AB26" s="75">
        <v>3</v>
      </c>
      <c r="AC26" s="75">
        <v>5</v>
      </c>
      <c r="AT26" s="75"/>
      <c r="AU26" s="75"/>
      <c r="AW26" s="700"/>
      <c r="AX26" s="75"/>
      <c r="AY26" s="75"/>
      <c r="BA26" s="700"/>
      <c r="BB26" s="75">
        <v>8</v>
      </c>
      <c r="BC26" s="75">
        <v>3</v>
      </c>
      <c r="BF26" s="75">
        <v>3</v>
      </c>
      <c r="BG26" s="75">
        <v>5</v>
      </c>
    </row>
    <row r="27" spans="1:59" x14ac:dyDescent="0.2">
      <c r="P27" s="75">
        <v>6</v>
      </c>
      <c r="Q27" s="75">
        <v>5</v>
      </c>
      <c r="T27" s="75">
        <v>3</v>
      </c>
      <c r="U27" s="75">
        <v>4</v>
      </c>
      <c r="W27" s="700"/>
      <c r="X27" s="75">
        <v>4</v>
      </c>
      <c r="Y27" s="75">
        <v>7</v>
      </c>
      <c r="AB27" s="75">
        <v>6</v>
      </c>
      <c r="AC27" s="75">
        <v>2</v>
      </c>
      <c r="AT27" s="75"/>
      <c r="AU27" s="75"/>
      <c r="AX27" s="75"/>
      <c r="AY27" s="75"/>
      <c r="BA27" s="700"/>
      <c r="BB27" s="75">
        <v>4</v>
      </c>
      <c r="BC27" s="75">
        <v>7</v>
      </c>
      <c r="BF27" s="75">
        <v>6</v>
      </c>
      <c r="BG27" s="75">
        <v>2</v>
      </c>
    </row>
    <row r="28" spans="1:59" ht="13.5" thickBot="1" x14ac:dyDescent="0.25">
      <c r="P28" s="75">
        <v>2</v>
      </c>
      <c r="Q28" s="75">
        <v>1</v>
      </c>
      <c r="T28" s="75">
        <v>6</v>
      </c>
      <c r="U28" s="75">
        <v>1</v>
      </c>
      <c r="W28" s="701"/>
      <c r="X28" s="75">
        <v>6</v>
      </c>
      <c r="Y28" s="75">
        <v>5</v>
      </c>
      <c r="AB28" s="75">
        <v>8</v>
      </c>
      <c r="AC28" s="75">
        <v>9</v>
      </c>
      <c r="AT28" s="75"/>
      <c r="AU28" s="75"/>
      <c r="AX28" s="75"/>
      <c r="AY28" s="75"/>
      <c r="BA28" s="701"/>
      <c r="BB28" s="75">
        <v>6</v>
      </c>
      <c r="BC28" s="75">
        <v>5</v>
      </c>
      <c r="BF28" s="75">
        <v>8</v>
      </c>
      <c r="BG28" s="75">
        <v>9</v>
      </c>
    </row>
    <row r="29" spans="1:59" x14ac:dyDescent="0.2">
      <c r="P29" s="75">
        <v>3</v>
      </c>
      <c r="Q29" s="75">
        <v>6</v>
      </c>
      <c r="T29" s="75">
        <v>7</v>
      </c>
      <c r="U29" s="75">
        <v>5</v>
      </c>
      <c r="W29" s="700" t="str">
        <f>Language!$E$19</f>
        <v>Second legs</v>
      </c>
      <c r="X29" s="75">
        <v>8</v>
      </c>
      <c r="Y29" s="75">
        <v>1</v>
      </c>
      <c r="AB29" s="75">
        <v>3</v>
      </c>
      <c r="AC29" s="75">
        <v>1</v>
      </c>
      <c r="AT29" s="75"/>
      <c r="AU29" s="75"/>
      <c r="AX29" s="75"/>
      <c r="AY29" s="75"/>
      <c r="BA29" s="700" t="str">
        <f>Language!$E$19</f>
        <v>Second legs</v>
      </c>
      <c r="BB29" s="75"/>
      <c r="BC29" s="75"/>
      <c r="BF29" s="75">
        <v>3</v>
      </c>
      <c r="BG29" s="75">
        <v>1</v>
      </c>
    </row>
    <row r="30" spans="1:59" x14ac:dyDescent="0.2">
      <c r="P30" s="75">
        <v>5</v>
      </c>
      <c r="Q30" s="75">
        <v>4</v>
      </c>
      <c r="T30" s="75">
        <v>2</v>
      </c>
      <c r="U30" s="75">
        <v>3</v>
      </c>
      <c r="W30" s="700"/>
      <c r="X30" s="75">
        <v>2</v>
      </c>
      <c r="Y30" s="75">
        <v>7</v>
      </c>
      <c r="AB30" s="75">
        <v>2</v>
      </c>
      <c r="AC30" s="75">
        <v>4</v>
      </c>
      <c r="AT30" s="75"/>
      <c r="AU30" s="75"/>
      <c r="AX30" s="75"/>
      <c r="AY30" s="75"/>
      <c r="BA30" s="700"/>
      <c r="BB30" s="75"/>
      <c r="BC30" s="75"/>
      <c r="BF30" s="75">
        <v>2</v>
      </c>
      <c r="BG30" s="75">
        <v>4</v>
      </c>
    </row>
    <row r="31" spans="1:59" x14ac:dyDescent="0.2">
      <c r="T31" s="75">
        <v>1</v>
      </c>
      <c r="U31" s="75">
        <v>5</v>
      </c>
      <c r="W31" s="700"/>
      <c r="X31" s="75">
        <v>6</v>
      </c>
      <c r="Y31" s="75">
        <v>3</v>
      </c>
      <c r="AB31" s="75">
        <v>9</v>
      </c>
      <c r="AC31" s="75">
        <v>6</v>
      </c>
      <c r="AX31" s="75"/>
      <c r="AY31" s="75"/>
      <c r="BA31" s="700"/>
      <c r="BB31" s="75"/>
      <c r="BC31" s="75"/>
      <c r="BF31" s="75">
        <v>9</v>
      </c>
      <c r="BG31" s="75">
        <v>6</v>
      </c>
    </row>
    <row r="32" spans="1:59" x14ac:dyDescent="0.2">
      <c r="T32" s="75">
        <v>6</v>
      </c>
      <c r="U32" s="75">
        <v>4</v>
      </c>
      <c r="W32" s="700"/>
      <c r="X32" s="75">
        <v>4</v>
      </c>
      <c r="Y32" s="75">
        <v>5</v>
      </c>
      <c r="AA32" s="700" t="str">
        <f>Language!$E$18</f>
        <v>First legs</v>
      </c>
      <c r="AB32" s="75">
        <v>7</v>
      </c>
      <c r="AC32" s="75">
        <v>8</v>
      </c>
      <c r="AX32" s="75"/>
      <c r="AY32" s="75"/>
      <c r="BA32" s="700"/>
      <c r="BB32" s="75"/>
      <c r="BC32" s="75"/>
      <c r="BE32" s="700" t="str">
        <f>Language!$E$18</f>
        <v>First legs</v>
      </c>
      <c r="BF32" s="75">
        <v>7</v>
      </c>
      <c r="BG32" s="75">
        <v>8</v>
      </c>
    </row>
    <row r="33" spans="20:59" x14ac:dyDescent="0.2">
      <c r="T33" s="75">
        <v>3</v>
      </c>
      <c r="U33" s="75">
        <v>7</v>
      </c>
      <c r="W33" s="700"/>
      <c r="X33" s="75">
        <v>1</v>
      </c>
      <c r="Y33" s="75">
        <v>7</v>
      </c>
      <c r="AA33" s="700"/>
      <c r="AB33" s="75">
        <v>1</v>
      </c>
      <c r="AC33" s="75">
        <v>2</v>
      </c>
      <c r="AX33" s="75"/>
      <c r="AY33" s="75"/>
      <c r="BA33" s="700"/>
      <c r="BB33" s="75"/>
      <c r="BC33" s="75"/>
      <c r="BE33" s="700"/>
      <c r="BF33" s="75">
        <v>1</v>
      </c>
      <c r="BG33" s="75">
        <v>2</v>
      </c>
    </row>
    <row r="34" spans="20:59" x14ac:dyDescent="0.2">
      <c r="T34" s="75">
        <v>4</v>
      </c>
      <c r="U34" s="75">
        <v>1</v>
      </c>
      <c r="X34" s="75">
        <v>8</v>
      </c>
      <c r="Y34" s="75">
        <v>6</v>
      </c>
      <c r="AA34" s="700"/>
      <c r="AB34" s="75">
        <v>4</v>
      </c>
      <c r="AC34" s="75">
        <v>9</v>
      </c>
      <c r="AX34" s="75"/>
      <c r="AY34" s="75"/>
      <c r="BB34" s="75"/>
      <c r="BC34" s="75"/>
      <c r="BE34" s="700"/>
      <c r="BF34" s="75">
        <v>4</v>
      </c>
      <c r="BG34" s="75">
        <v>9</v>
      </c>
    </row>
    <row r="35" spans="20:59" x14ac:dyDescent="0.2">
      <c r="T35" s="75">
        <v>5</v>
      </c>
      <c r="U35" s="75">
        <v>3</v>
      </c>
      <c r="X35" s="75">
        <v>5</v>
      </c>
      <c r="Y35" s="75">
        <v>2</v>
      </c>
      <c r="AA35" s="700"/>
      <c r="AB35" s="75">
        <v>8</v>
      </c>
      <c r="AC35" s="75">
        <v>5</v>
      </c>
      <c r="AX35" s="75"/>
      <c r="AY35" s="75"/>
      <c r="BB35" s="75"/>
      <c r="BC35" s="75"/>
      <c r="BE35" s="700"/>
      <c r="BF35" s="75">
        <v>8</v>
      </c>
      <c r="BG35" s="75">
        <v>5</v>
      </c>
    </row>
    <row r="36" spans="20:59" ht="13.5" thickBot="1" x14ac:dyDescent="0.25">
      <c r="T36" s="75">
        <v>2</v>
      </c>
      <c r="U36" s="75">
        <v>6</v>
      </c>
      <c r="X36" s="75">
        <v>3</v>
      </c>
      <c r="Y36" s="75">
        <v>4</v>
      </c>
      <c r="AA36" s="701"/>
      <c r="AB36" s="75">
        <v>6</v>
      </c>
      <c r="AC36" s="75">
        <v>7</v>
      </c>
      <c r="AX36" s="75"/>
      <c r="AY36" s="75"/>
      <c r="BB36" s="75"/>
      <c r="BC36" s="75"/>
      <c r="BE36" s="701"/>
      <c r="BF36" s="75">
        <v>6</v>
      </c>
      <c r="BG36" s="75">
        <v>7</v>
      </c>
    </row>
    <row r="37" spans="20:59" x14ac:dyDescent="0.2">
      <c r="T37" s="75">
        <v>1</v>
      </c>
      <c r="U37" s="75">
        <v>3</v>
      </c>
      <c r="X37" s="75">
        <v>6</v>
      </c>
      <c r="Y37" s="75">
        <v>1</v>
      </c>
      <c r="AA37" s="700" t="str">
        <f>Language!$E$19</f>
        <v>Second legs</v>
      </c>
      <c r="AB37" s="75">
        <v>2</v>
      </c>
      <c r="AC37" s="75">
        <v>9</v>
      </c>
      <c r="AX37" s="75"/>
      <c r="AY37" s="75"/>
      <c r="BB37" s="75"/>
      <c r="BC37" s="75"/>
      <c r="BE37" s="700" t="str">
        <f>Language!$E$19</f>
        <v>Second legs</v>
      </c>
      <c r="BF37" s="75"/>
      <c r="BG37" s="75"/>
    </row>
    <row r="38" spans="20:59" x14ac:dyDescent="0.2">
      <c r="T38" s="75">
        <v>4</v>
      </c>
      <c r="U38" s="75">
        <v>2</v>
      </c>
      <c r="X38" s="75">
        <v>7</v>
      </c>
      <c r="Y38" s="75">
        <v>5</v>
      </c>
      <c r="AA38" s="700"/>
      <c r="AB38" s="75">
        <v>8</v>
      </c>
      <c r="AC38" s="75">
        <v>3</v>
      </c>
      <c r="AX38" s="75"/>
      <c r="AY38" s="75"/>
      <c r="BB38" s="75"/>
      <c r="BC38" s="75"/>
      <c r="BE38" s="700"/>
      <c r="BF38" s="75"/>
      <c r="BG38" s="75"/>
    </row>
    <row r="39" spans="20:59" x14ac:dyDescent="0.2">
      <c r="T39" s="75">
        <v>6</v>
      </c>
      <c r="U39" s="75">
        <v>7</v>
      </c>
      <c r="X39" s="75">
        <v>4</v>
      </c>
      <c r="Y39" s="75">
        <v>8</v>
      </c>
      <c r="AA39" s="700"/>
      <c r="AB39" s="75">
        <v>4</v>
      </c>
      <c r="AC39" s="75">
        <v>7</v>
      </c>
      <c r="AX39" s="75"/>
      <c r="AY39" s="75"/>
      <c r="BB39" s="75"/>
      <c r="BC39" s="75"/>
      <c r="BE39" s="700"/>
      <c r="BF39" s="75"/>
      <c r="BG39" s="75"/>
    </row>
    <row r="40" spans="20:59" x14ac:dyDescent="0.2">
      <c r="T40" s="75">
        <v>2</v>
      </c>
      <c r="U40" s="75">
        <v>1</v>
      </c>
      <c r="X40" s="75">
        <v>2</v>
      </c>
      <c r="Y40" s="75">
        <v>3</v>
      </c>
      <c r="AA40" s="700"/>
      <c r="AB40" s="75">
        <v>6</v>
      </c>
      <c r="AC40" s="75">
        <v>5</v>
      </c>
      <c r="AX40" s="75"/>
      <c r="AY40" s="75"/>
      <c r="BB40" s="75"/>
      <c r="BC40" s="75"/>
      <c r="BE40" s="700"/>
      <c r="BF40" s="75"/>
      <c r="BG40" s="75"/>
    </row>
    <row r="41" spans="20:59" x14ac:dyDescent="0.2">
      <c r="T41" s="75">
        <v>7</v>
      </c>
      <c r="U41" s="75">
        <v>4</v>
      </c>
      <c r="X41" s="75">
        <v>1</v>
      </c>
      <c r="Y41" s="75">
        <v>5</v>
      </c>
      <c r="AA41" s="700"/>
      <c r="AB41" s="75">
        <v>1</v>
      </c>
      <c r="AC41" s="75">
        <v>9</v>
      </c>
      <c r="AX41" s="75"/>
      <c r="AY41" s="75"/>
      <c r="BB41" s="75"/>
      <c r="BC41" s="75"/>
      <c r="BE41" s="700"/>
      <c r="BF41" s="75"/>
      <c r="BG41" s="75"/>
    </row>
    <row r="42" spans="20:59" x14ac:dyDescent="0.2">
      <c r="T42" s="75">
        <v>5</v>
      </c>
      <c r="U42" s="75">
        <v>6</v>
      </c>
      <c r="X42" s="75">
        <v>6</v>
      </c>
      <c r="Y42" s="75">
        <v>4</v>
      </c>
      <c r="AB42" s="75">
        <v>7</v>
      </c>
      <c r="AC42" s="75">
        <v>2</v>
      </c>
      <c r="AX42" s="75"/>
      <c r="AY42" s="75"/>
      <c r="BB42" s="75"/>
      <c r="BC42" s="75"/>
      <c r="BF42" s="75"/>
      <c r="BG42" s="75"/>
    </row>
    <row r="43" spans="20:59" x14ac:dyDescent="0.2">
      <c r="X43" s="75">
        <v>3</v>
      </c>
      <c r="Y43" s="75">
        <v>7</v>
      </c>
      <c r="AB43" s="75">
        <v>3</v>
      </c>
      <c r="AC43" s="75">
        <v>6</v>
      </c>
      <c r="BB43" s="75"/>
      <c r="BC43" s="75"/>
      <c r="BF43" s="75"/>
      <c r="BG43" s="75"/>
    </row>
    <row r="44" spans="20:59" x14ac:dyDescent="0.2">
      <c r="X44" s="75">
        <v>8</v>
      </c>
      <c r="Y44" s="75">
        <v>2</v>
      </c>
      <c r="AB44" s="75">
        <v>5</v>
      </c>
      <c r="AC44" s="75">
        <v>4</v>
      </c>
      <c r="BB44" s="75"/>
      <c r="BC44" s="75"/>
      <c r="BF44" s="75"/>
      <c r="BG44" s="75"/>
    </row>
    <row r="45" spans="20:59" x14ac:dyDescent="0.2">
      <c r="X45" s="75">
        <v>4</v>
      </c>
      <c r="Y45" s="75">
        <v>1</v>
      </c>
      <c r="AB45" s="75">
        <v>8</v>
      </c>
      <c r="AC45" s="75">
        <v>1</v>
      </c>
      <c r="BB45" s="75"/>
      <c r="BC45" s="75"/>
      <c r="BF45" s="75"/>
      <c r="BG45" s="75"/>
    </row>
    <row r="46" spans="20:59" x14ac:dyDescent="0.2">
      <c r="X46" s="75">
        <v>5</v>
      </c>
      <c r="Y46" s="75">
        <v>3</v>
      </c>
      <c r="AB46" s="75">
        <v>9</v>
      </c>
      <c r="AC46" s="75">
        <v>7</v>
      </c>
      <c r="BB46" s="75"/>
      <c r="BC46" s="75"/>
      <c r="BF46" s="75"/>
      <c r="BG46" s="75"/>
    </row>
    <row r="47" spans="20:59" x14ac:dyDescent="0.2">
      <c r="X47" s="75">
        <v>2</v>
      </c>
      <c r="Y47" s="75">
        <v>6</v>
      </c>
      <c r="AB47" s="75">
        <v>2</v>
      </c>
      <c r="AC47" s="75">
        <v>5</v>
      </c>
      <c r="BB47" s="75"/>
      <c r="BC47" s="75"/>
      <c r="BF47" s="75"/>
      <c r="BG47" s="75"/>
    </row>
    <row r="48" spans="20:59" x14ac:dyDescent="0.2">
      <c r="X48" s="75">
        <v>7</v>
      </c>
      <c r="Y48" s="75">
        <v>8</v>
      </c>
      <c r="AB48" s="75">
        <v>4</v>
      </c>
      <c r="AC48" s="75">
        <v>3</v>
      </c>
      <c r="BB48" s="75"/>
      <c r="BC48" s="75"/>
      <c r="BF48" s="75"/>
      <c r="BG48" s="75"/>
    </row>
    <row r="49" spans="24:59" x14ac:dyDescent="0.2">
      <c r="X49" s="75">
        <v>1</v>
      </c>
      <c r="Y49" s="75">
        <v>3</v>
      </c>
      <c r="AB49" s="75">
        <v>1</v>
      </c>
      <c r="AC49" s="75">
        <v>7</v>
      </c>
      <c r="BB49" s="75"/>
      <c r="BC49" s="75"/>
      <c r="BF49" s="75"/>
      <c r="BG49" s="75"/>
    </row>
    <row r="50" spans="24:59" x14ac:dyDescent="0.2">
      <c r="X50" s="75">
        <v>4</v>
      </c>
      <c r="Y50" s="75">
        <v>2</v>
      </c>
      <c r="AB50" s="75">
        <v>8</v>
      </c>
      <c r="AC50" s="75">
        <v>6</v>
      </c>
      <c r="BB50" s="75"/>
      <c r="BC50" s="75"/>
      <c r="BF50" s="75"/>
      <c r="BG50" s="75"/>
    </row>
    <row r="51" spans="24:59" x14ac:dyDescent="0.2">
      <c r="X51" s="75">
        <v>8</v>
      </c>
      <c r="Y51" s="75">
        <v>5</v>
      </c>
      <c r="AB51" s="75">
        <v>5</v>
      </c>
      <c r="AC51" s="75">
        <v>9</v>
      </c>
      <c r="BB51" s="75"/>
      <c r="BC51" s="75"/>
      <c r="BF51" s="75"/>
      <c r="BG51" s="75"/>
    </row>
    <row r="52" spans="24:59" x14ac:dyDescent="0.2">
      <c r="X52" s="75">
        <v>6</v>
      </c>
      <c r="Y52" s="75">
        <v>7</v>
      </c>
      <c r="AB52" s="75">
        <v>3</v>
      </c>
      <c r="AC52" s="75">
        <v>2</v>
      </c>
      <c r="BB52" s="75"/>
      <c r="BC52" s="75"/>
      <c r="BF52" s="75"/>
      <c r="BG52" s="75"/>
    </row>
    <row r="53" spans="24:59" x14ac:dyDescent="0.2">
      <c r="X53" s="75">
        <v>2</v>
      </c>
      <c r="Y53" s="75">
        <v>1</v>
      </c>
      <c r="AB53" s="75">
        <v>6</v>
      </c>
      <c r="AC53" s="75">
        <v>1</v>
      </c>
      <c r="BB53" s="75"/>
      <c r="BC53" s="75"/>
      <c r="BF53" s="75"/>
      <c r="BG53" s="75"/>
    </row>
    <row r="54" spans="24:59" x14ac:dyDescent="0.2">
      <c r="X54" s="75">
        <v>3</v>
      </c>
      <c r="Y54" s="75">
        <v>8</v>
      </c>
      <c r="AB54" s="75">
        <v>7</v>
      </c>
      <c r="AC54" s="75">
        <v>5</v>
      </c>
      <c r="BB54" s="75"/>
      <c r="BC54" s="75"/>
      <c r="BF54" s="75"/>
      <c r="BG54" s="75"/>
    </row>
    <row r="55" spans="24:59" x14ac:dyDescent="0.2">
      <c r="X55" s="75">
        <v>7</v>
      </c>
      <c r="Y55" s="75">
        <v>4</v>
      </c>
      <c r="AB55" s="75">
        <v>4</v>
      </c>
      <c r="AC55" s="75">
        <v>8</v>
      </c>
      <c r="BB55" s="75"/>
      <c r="BC55" s="75"/>
      <c r="BF55" s="75"/>
      <c r="BG55" s="75"/>
    </row>
    <row r="56" spans="24:59" x14ac:dyDescent="0.2">
      <c r="X56" s="75">
        <v>5</v>
      </c>
      <c r="Y56" s="75">
        <v>6</v>
      </c>
      <c r="AB56" s="75">
        <v>9</v>
      </c>
      <c r="AC56" s="75">
        <v>3</v>
      </c>
      <c r="BB56" s="75"/>
      <c r="BC56" s="75"/>
      <c r="BF56" s="75"/>
      <c r="BG56" s="75"/>
    </row>
    <row r="57" spans="24:59" x14ac:dyDescent="0.2">
      <c r="AB57" s="75">
        <v>1</v>
      </c>
      <c r="AC57" s="75">
        <v>5</v>
      </c>
      <c r="BF57" s="75"/>
      <c r="BG57" s="75"/>
    </row>
    <row r="58" spans="24:59" x14ac:dyDescent="0.2">
      <c r="AB58" s="75">
        <v>6</v>
      </c>
      <c r="AC58" s="75">
        <v>4</v>
      </c>
      <c r="BF58" s="75"/>
      <c r="BG58" s="75"/>
    </row>
    <row r="59" spans="24:59" x14ac:dyDescent="0.2">
      <c r="AB59" s="75">
        <v>3</v>
      </c>
      <c r="AC59" s="75">
        <v>7</v>
      </c>
      <c r="BF59" s="75"/>
      <c r="BG59" s="75"/>
    </row>
    <row r="60" spans="24:59" x14ac:dyDescent="0.2">
      <c r="AB60" s="75">
        <v>8</v>
      </c>
      <c r="AC60" s="75">
        <v>2</v>
      </c>
      <c r="BF60" s="75"/>
      <c r="BG60" s="75"/>
    </row>
    <row r="61" spans="24:59" x14ac:dyDescent="0.2">
      <c r="AB61" s="75">
        <v>4</v>
      </c>
      <c r="AC61" s="75">
        <v>1</v>
      </c>
      <c r="BF61" s="75"/>
      <c r="BG61" s="75"/>
    </row>
    <row r="62" spans="24:59" x14ac:dyDescent="0.2">
      <c r="AB62" s="75">
        <v>5</v>
      </c>
      <c r="AC62" s="75">
        <v>3</v>
      </c>
      <c r="BF62" s="75"/>
      <c r="BG62" s="75"/>
    </row>
    <row r="63" spans="24:59" x14ac:dyDescent="0.2">
      <c r="AB63" s="75">
        <v>2</v>
      </c>
      <c r="AC63" s="75">
        <v>6</v>
      </c>
      <c r="BF63" s="75"/>
      <c r="BG63" s="75"/>
    </row>
    <row r="64" spans="24:59" x14ac:dyDescent="0.2">
      <c r="AB64" s="75">
        <v>9</v>
      </c>
      <c r="AC64" s="75">
        <v>8</v>
      </c>
      <c r="BF64" s="75"/>
      <c r="BG64" s="75"/>
    </row>
    <row r="65" spans="28:59" x14ac:dyDescent="0.2">
      <c r="AB65" s="75">
        <v>1</v>
      </c>
      <c r="AC65" s="75">
        <v>3</v>
      </c>
      <c r="BF65" s="75"/>
      <c r="BG65" s="75"/>
    </row>
    <row r="66" spans="28:59" x14ac:dyDescent="0.2">
      <c r="AB66" s="75">
        <v>4</v>
      </c>
      <c r="AC66" s="75">
        <v>2</v>
      </c>
      <c r="BF66" s="75"/>
      <c r="BG66" s="75"/>
    </row>
    <row r="67" spans="28:59" x14ac:dyDescent="0.2">
      <c r="AB67" s="75">
        <v>6</v>
      </c>
      <c r="AC67" s="75">
        <v>9</v>
      </c>
      <c r="BF67" s="75"/>
      <c r="BG67" s="75"/>
    </row>
    <row r="68" spans="28:59" x14ac:dyDescent="0.2">
      <c r="AB68" s="75">
        <v>8</v>
      </c>
      <c r="AC68" s="75">
        <v>7</v>
      </c>
      <c r="BF68" s="75"/>
      <c r="BG68" s="75"/>
    </row>
    <row r="69" spans="28:59" x14ac:dyDescent="0.2">
      <c r="AB69" s="75">
        <v>2</v>
      </c>
      <c r="AC69" s="75">
        <v>1</v>
      </c>
      <c r="BF69" s="75"/>
      <c r="BG69" s="75"/>
    </row>
    <row r="70" spans="28:59" x14ac:dyDescent="0.2">
      <c r="AB70" s="75">
        <v>9</v>
      </c>
      <c r="AC70" s="75">
        <v>4</v>
      </c>
      <c r="BF70" s="75"/>
      <c r="BG70" s="75"/>
    </row>
    <row r="71" spans="28:59" x14ac:dyDescent="0.2">
      <c r="AB71" s="75">
        <v>5</v>
      </c>
      <c r="AC71" s="75">
        <v>8</v>
      </c>
      <c r="BF71" s="75"/>
      <c r="BG71" s="75"/>
    </row>
    <row r="72" spans="28:59" x14ac:dyDescent="0.2">
      <c r="AB72" s="75">
        <v>7</v>
      </c>
      <c r="AC72" s="75">
        <v>6</v>
      </c>
      <c r="BF72" s="75"/>
      <c r="BG72" s="75"/>
    </row>
  </sheetData>
  <mergeCells count="29">
    <mergeCell ref="AA37:AA41"/>
    <mergeCell ref="A1:A18"/>
    <mergeCell ref="G2:G6"/>
    <mergeCell ref="K6:K10"/>
    <mergeCell ref="G7:G11"/>
    <mergeCell ref="K11:K15"/>
    <mergeCell ref="O11:O15"/>
    <mergeCell ref="O16:O20"/>
    <mergeCell ref="S17:S21"/>
    <mergeCell ref="S22:S26"/>
    <mergeCell ref="W24:W28"/>
    <mergeCell ref="W29:W33"/>
    <mergeCell ref="AA32:AA36"/>
    <mergeCell ref="C2:C3"/>
    <mergeCell ref="C4:C6"/>
    <mergeCell ref="AG2:AG3"/>
    <mergeCell ref="AK2:AK6"/>
    <mergeCell ref="AG4:AG6"/>
    <mergeCell ref="AO6:AO10"/>
    <mergeCell ref="AK7:AK11"/>
    <mergeCell ref="AO11:AO15"/>
    <mergeCell ref="BA29:BA33"/>
    <mergeCell ref="BE32:BE36"/>
    <mergeCell ref="BE37:BE41"/>
    <mergeCell ref="AS11:AS15"/>
    <mergeCell ref="AS16:AS20"/>
    <mergeCell ref="AW17:AW21"/>
    <mergeCell ref="AW22:AW26"/>
    <mergeCell ref="BA24:BA28"/>
  </mergeCells>
  <hyperlinks>
    <hyperlink ref="AE3" r:id="rId1" location="generateMatchups" xr:uid="{453BE069-96C8-4EDD-B408-3B5B1A5142FC}"/>
  </hyperlink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58FAB-BA20-41E5-AEEE-96A9576609FF}">
  <dimension ref="A1:Q93"/>
  <sheetViews>
    <sheetView showGridLines="0" showRowColHeaders="0" workbookViewId="0"/>
  </sheetViews>
  <sheetFormatPr baseColWidth="10" defaultColWidth="0" defaultRowHeight="12.75" customHeight="1" zeroHeight="1" x14ac:dyDescent="0.2"/>
  <cols>
    <col min="1" max="1" width="8.5703125" style="267" customWidth="1"/>
    <col min="2" max="8" width="11.42578125" style="267" customWidth="1"/>
    <col min="9" max="9" width="4.140625" style="267" customWidth="1"/>
    <col min="10" max="17" width="11.42578125" style="267" customWidth="1"/>
    <col min="18" max="16384" width="11.42578125" style="267" hidden="1"/>
  </cols>
  <sheetData>
    <row r="1" spans="1:17" x14ac:dyDescent="0.2">
      <c r="A1" s="500"/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501"/>
      <c r="O1" s="501"/>
      <c r="P1" s="501"/>
      <c r="Q1" s="501"/>
    </row>
    <row r="2" spans="1:17" x14ac:dyDescent="0.2">
      <c r="A2" s="501"/>
      <c r="B2" s="502"/>
      <c r="C2" s="501"/>
      <c r="D2" s="501"/>
      <c r="E2" s="501"/>
      <c r="F2" s="501"/>
      <c r="G2" s="501"/>
      <c r="H2" s="501"/>
      <c r="I2" s="501"/>
      <c r="J2" s="502"/>
      <c r="K2" s="501"/>
      <c r="L2" s="501"/>
      <c r="M2" s="501"/>
      <c r="N2" s="501"/>
      <c r="O2" s="501"/>
      <c r="P2" s="501"/>
      <c r="Q2" s="501"/>
    </row>
    <row r="3" spans="1:17" x14ac:dyDescent="0.2">
      <c r="A3" s="501"/>
      <c r="B3" s="501"/>
      <c r="C3" s="501"/>
      <c r="D3" s="501"/>
      <c r="E3" s="501"/>
      <c r="F3" s="501"/>
      <c r="G3" s="501"/>
      <c r="H3" s="501"/>
      <c r="I3" s="501"/>
      <c r="J3" s="501"/>
      <c r="K3" s="501"/>
      <c r="L3" s="501"/>
      <c r="M3" s="501"/>
      <c r="N3" s="501"/>
      <c r="O3" s="501"/>
      <c r="P3" s="501"/>
      <c r="Q3" s="501"/>
    </row>
    <row r="4" spans="1:17" x14ac:dyDescent="0.2">
      <c r="A4" s="501"/>
      <c r="B4" s="501"/>
      <c r="C4" s="501"/>
      <c r="D4" s="501"/>
      <c r="E4" s="501"/>
      <c r="F4" s="501"/>
      <c r="G4" s="501"/>
      <c r="H4" s="501"/>
      <c r="I4" s="501"/>
      <c r="J4" s="501"/>
      <c r="K4" s="501"/>
      <c r="L4" s="501"/>
      <c r="M4" s="501"/>
      <c r="N4" s="501"/>
      <c r="O4" s="501"/>
      <c r="P4" s="501"/>
      <c r="Q4" s="501"/>
    </row>
    <row r="5" spans="1:17" x14ac:dyDescent="0.2">
      <c r="A5" s="501"/>
      <c r="B5" s="501"/>
      <c r="C5" s="501"/>
      <c r="D5" s="501"/>
      <c r="E5" s="501"/>
      <c r="F5" s="501"/>
      <c r="G5" s="501"/>
      <c r="H5" s="501"/>
      <c r="I5" s="501"/>
      <c r="J5" s="501"/>
      <c r="K5" s="501"/>
      <c r="L5" s="501"/>
      <c r="M5" s="501"/>
      <c r="N5" s="501"/>
      <c r="O5" s="501"/>
      <c r="P5" s="501"/>
      <c r="Q5" s="501"/>
    </row>
    <row r="6" spans="1:17" x14ac:dyDescent="0.2">
      <c r="A6" s="501"/>
      <c r="B6" s="501"/>
      <c r="C6" s="501"/>
      <c r="D6" s="501"/>
      <c r="E6" s="501"/>
      <c r="F6" s="501"/>
      <c r="G6" s="501"/>
      <c r="H6" s="501"/>
      <c r="I6" s="501"/>
      <c r="J6" s="501"/>
      <c r="K6" s="501"/>
      <c r="L6" s="501"/>
      <c r="M6" s="501"/>
      <c r="N6" s="501"/>
      <c r="O6" s="501"/>
      <c r="P6" s="501"/>
      <c r="Q6" s="501"/>
    </row>
    <row r="7" spans="1:17" x14ac:dyDescent="0.2">
      <c r="A7" s="501"/>
      <c r="B7" s="501"/>
      <c r="C7" s="501"/>
      <c r="D7" s="501"/>
      <c r="E7" s="501"/>
      <c r="F7" s="501"/>
      <c r="G7" s="501"/>
      <c r="H7" s="501"/>
      <c r="I7" s="501"/>
      <c r="J7" s="501"/>
      <c r="K7" s="501"/>
      <c r="L7" s="501"/>
      <c r="M7" s="501"/>
      <c r="N7" s="501"/>
      <c r="O7" s="501"/>
      <c r="P7" s="501"/>
      <c r="Q7" s="501"/>
    </row>
    <row r="8" spans="1:17" x14ac:dyDescent="0.2">
      <c r="A8" s="501"/>
      <c r="B8" s="501"/>
      <c r="C8" s="501"/>
      <c r="D8" s="501"/>
      <c r="E8" s="501"/>
      <c r="F8" s="501"/>
      <c r="G8" s="501"/>
      <c r="H8" s="501"/>
      <c r="I8" s="501"/>
      <c r="J8" s="501"/>
      <c r="K8" s="501"/>
      <c r="L8" s="501"/>
      <c r="M8" s="501"/>
      <c r="N8" s="501"/>
      <c r="O8" s="501"/>
      <c r="P8" s="501"/>
      <c r="Q8" s="501"/>
    </row>
    <row r="9" spans="1:17" x14ac:dyDescent="0.2">
      <c r="A9" s="501"/>
      <c r="B9" s="501"/>
      <c r="C9" s="501"/>
      <c r="D9" s="501"/>
      <c r="E9" s="501"/>
      <c r="F9" s="501"/>
      <c r="G9" s="501"/>
      <c r="H9" s="501"/>
      <c r="I9" s="501"/>
      <c r="J9" s="501"/>
      <c r="K9" s="501"/>
      <c r="L9" s="501"/>
      <c r="M9" s="501"/>
      <c r="N9" s="501"/>
      <c r="O9" s="501"/>
      <c r="P9" s="501"/>
      <c r="Q9" s="501"/>
    </row>
    <row r="10" spans="1:17" x14ac:dyDescent="0.2">
      <c r="A10" s="501"/>
      <c r="B10" s="501"/>
      <c r="C10" s="501"/>
      <c r="D10" s="501"/>
      <c r="E10" s="501"/>
      <c r="F10" s="501"/>
      <c r="G10" s="501"/>
      <c r="H10" s="501"/>
      <c r="I10" s="501"/>
      <c r="J10" s="501"/>
      <c r="K10" s="501"/>
      <c r="L10" s="501"/>
      <c r="M10" s="501"/>
      <c r="N10" s="501"/>
      <c r="O10" s="501"/>
      <c r="P10" s="501"/>
      <c r="Q10" s="501"/>
    </row>
    <row r="11" spans="1:17" x14ac:dyDescent="0.2">
      <c r="A11" s="501"/>
      <c r="B11" s="501"/>
      <c r="C11" s="501"/>
      <c r="D11" s="501"/>
      <c r="E11" s="501"/>
      <c r="F11" s="501"/>
      <c r="G11" s="501"/>
      <c r="H11" s="501"/>
      <c r="I11" s="501"/>
      <c r="J11" s="501"/>
      <c r="K11" s="501"/>
      <c r="L11" s="501"/>
      <c r="M11" s="501"/>
      <c r="N11" s="501"/>
      <c r="O11" s="501"/>
      <c r="P11" s="501"/>
      <c r="Q11" s="501"/>
    </row>
    <row r="12" spans="1:17" x14ac:dyDescent="0.2">
      <c r="A12" s="501"/>
      <c r="B12" s="501"/>
      <c r="C12" s="501"/>
      <c r="D12" s="501"/>
      <c r="E12" s="501"/>
      <c r="F12" s="501"/>
      <c r="G12" s="501"/>
      <c r="H12" s="501"/>
      <c r="I12" s="501"/>
      <c r="J12" s="501"/>
      <c r="K12" s="501"/>
      <c r="L12" s="501"/>
      <c r="M12" s="501"/>
      <c r="N12" s="501"/>
      <c r="O12" s="501"/>
      <c r="P12" s="501"/>
      <c r="Q12" s="501"/>
    </row>
    <row r="13" spans="1:17" x14ac:dyDescent="0.2">
      <c r="A13" s="501"/>
      <c r="B13" s="501"/>
      <c r="C13" s="501"/>
      <c r="D13" s="501"/>
      <c r="E13" s="501"/>
      <c r="F13" s="501"/>
      <c r="G13" s="501"/>
      <c r="H13" s="501"/>
      <c r="I13" s="501"/>
      <c r="J13" s="501"/>
      <c r="K13" s="501"/>
      <c r="L13" s="501"/>
      <c r="M13" s="501"/>
      <c r="N13" s="501"/>
      <c r="O13" s="501"/>
      <c r="P13" s="501"/>
      <c r="Q13" s="501"/>
    </row>
    <row r="14" spans="1:17" x14ac:dyDescent="0.2">
      <c r="A14" s="501"/>
      <c r="B14" s="501"/>
      <c r="C14" s="501"/>
      <c r="D14" s="501"/>
      <c r="E14" s="501"/>
      <c r="F14" s="501"/>
      <c r="G14" s="501"/>
      <c r="H14" s="501"/>
      <c r="I14" s="501"/>
      <c r="J14" s="501"/>
      <c r="K14" s="501"/>
      <c r="L14" s="501"/>
      <c r="M14" s="501"/>
      <c r="N14" s="501"/>
      <c r="O14" s="501"/>
      <c r="P14" s="501"/>
      <c r="Q14" s="501"/>
    </row>
    <row r="15" spans="1:17" x14ac:dyDescent="0.2">
      <c r="A15" s="501"/>
      <c r="B15" s="501"/>
      <c r="C15" s="501"/>
      <c r="D15" s="501"/>
      <c r="E15" s="501"/>
      <c r="F15" s="501"/>
      <c r="G15" s="501"/>
      <c r="H15" s="501"/>
      <c r="I15" s="501"/>
      <c r="J15" s="501"/>
      <c r="K15" s="501"/>
      <c r="L15" s="501"/>
      <c r="M15" s="501"/>
      <c r="N15" s="501"/>
      <c r="O15" s="501"/>
      <c r="P15" s="501"/>
      <c r="Q15" s="501"/>
    </row>
    <row r="16" spans="1:17" x14ac:dyDescent="0.2">
      <c r="A16" s="501"/>
      <c r="B16" s="501"/>
      <c r="C16" s="501"/>
      <c r="D16" s="501"/>
      <c r="E16" s="501"/>
      <c r="F16" s="501"/>
      <c r="G16" s="501"/>
      <c r="H16" s="501"/>
      <c r="I16" s="501"/>
      <c r="J16" s="501"/>
      <c r="K16" s="501"/>
      <c r="L16" s="501"/>
      <c r="M16" s="501"/>
      <c r="N16" s="501"/>
      <c r="O16" s="501"/>
      <c r="P16" s="501"/>
      <c r="Q16" s="501"/>
    </row>
    <row r="17" spans="1:17" x14ac:dyDescent="0.2">
      <c r="A17" s="501"/>
      <c r="B17" s="501"/>
      <c r="C17" s="501"/>
      <c r="D17" s="501"/>
      <c r="E17" s="501"/>
      <c r="F17" s="501"/>
      <c r="G17" s="501"/>
      <c r="H17" s="501"/>
      <c r="I17" s="501"/>
      <c r="J17" s="501"/>
      <c r="K17" s="501"/>
      <c r="L17" s="501"/>
      <c r="M17" s="501"/>
      <c r="N17" s="501"/>
      <c r="O17" s="501"/>
      <c r="P17" s="501"/>
      <c r="Q17" s="501"/>
    </row>
    <row r="18" spans="1:17" x14ac:dyDescent="0.2">
      <c r="A18" s="501"/>
      <c r="B18" s="501"/>
      <c r="C18" s="501"/>
      <c r="D18" s="501"/>
      <c r="E18" s="501"/>
      <c r="F18" s="501"/>
      <c r="G18" s="501"/>
      <c r="H18" s="501"/>
      <c r="I18" s="501"/>
      <c r="J18" s="501"/>
      <c r="K18" s="501"/>
      <c r="L18" s="501"/>
      <c r="M18" s="501"/>
      <c r="N18" s="501"/>
      <c r="O18" s="501"/>
      <c r="P18" s="501"/>
      <c r="Q18" s="501"/>
    </row>
    <row r="19" spans="1:17" x14ac:dyDescent="0.2">
      <c r="A19" s="501"/>
      <c r="B19" s="501"/>
      <c r="C19" s="501"/>
      <c r="D19" s="501"/>
      <c r="E19" s="501"/>
      <c r="F19" s="501"/>
      <c r="G19" s="501"/>
      <c r="H19" s="501"/>
      <c r="I19" s="501"/>
      <c r="J19" s="501"/>
      <c r="K19" s="501"/>
      <c r="L19" s="501"/>
      <c r="M19" s="501"/>
      <c r="N19" s="501"/>
      <c r="O19" s="501"/>
      <c r="P19" s="501"/>
      <c r="Q19" s="501"/>
    </row>
    <row r="20" spans="1:17" x14ac:dyDescent="0.2">
      <c r="A20" s="501"/>
      <c r="B20" s="501"/>
      <c r="C20" s="501"/>
      <c r="D20" s="501"/>
      <c r="E20" s="501"/>
      <c r="F20" s="501"/>
      <c r="G20" s="501"/>
      <c r="H20" s="501"/>
      <c r="I20" s="501"/>
      <c r="J20" s="501"/>
      <c r="K20" s="501"/>
      <c r="L20" s="501"/>
      <c r="M20" s="501"/>
      <c r="N20" s="501"/>
      <c r="O20" s="501"/>
      <c r="P20" s="501"/>
      <c r="Q20" s="501"/>
    </row>
    <row r="21" spans="1:17" x14ac:dyDescent="0.2">
      <c r="A21" s="501"/>
      <c r="B21" s="501"/>
      <c r="C21" s="501"/>
      <c r="D21" s="501"/>
      <c r="E21" s="501"/>
      <c r="F21" s="501"/>
      <c r="G21" s="501"/>
      <c r="H21" s="501"/>
      <c r="I21" s="501"/>
      <c r="J21" s="501"/>
      <c r="K21" s="501"/>
      <c r="L21" s="501"/>
      <c r="M21" s="501"/>
      <c r="N21" s="501"/>
      <c r="O21" s="501"/>
      <c r="P21" s="501"/>
      <c r="Q21" s="501"/>
    </row>
    <row r="22" spans="1:17" x14ac:dyDescent="0.2">
      <c r="A22" s="501"/>
      <c r="B22" s="501"/>
      <c r="C22" s="501"/>
      <c r="D22" s="501"/>
      <c r="E22" s="501"/>
      <c r="F22" s="501"/>
      <c r="G22" s="501"/>
      <c r="H22" s="501"/>
      <c r="I22" s="501"/>
      <c r="J22" s="501"/>
      <c r="K22" s="501"/>
      <c r="L22" s="501"/>
      <c r="M22" s="501"/>
      <c r="N22" s="501"/>
      <c r="O22" s="501"/>
      <c r="P22" s="501"/>
      <c r="Q22" s="501"/>
    </row>
    <row r="23" spans="1:17" x14ac:dyDescent="0.2">
      <c r="A23" s="501"/>
      <c r="B23" s="501"/>
      <c r="C23" s="501"/>
      <c r="D23" s="501"/>
      <c r="E23" s="501"/>
      <c r="F23" s="501"/>
      <c r="G23" s="501"/>
      <c r="H23" s="501"/>
      <c r="I23" s="501"/>
      <c r="J23" s="501"/>
      <c r="K23" s="501"/>
      <c r="L23" s="501"/>
      <c r="M23" s="501"/>
      <c r="N23" s="501"/>
      <c r="O23" s="501"/>
      <c r="P23" s="501"/>
      <c r="Q23" s="501"/>
    </row>
    <row r="24" spans="1:17" x14ac:dyDescent="0.2">
      <c r="A24" s="501"/>
      <c r="B24" s="501"/>
      <c r="C24" s="501"/>
      <c r="D24" s="501"/>
      <c r="E24" s="501"/>
      <c r="F24" s="501"/>
      <c r="G24" s="501"/>
      <c r="H24" s="501"/>
      <c r="I24" s="501"/>
      <c r="J24" s="501"/>
      <c r="K24" s="501"/>
      <c r="L24" s="501"/>
      <c r="M24" s="501"/>
      <c r="N24" s="501"/>
      <c r="O24" s="501"/>
      <c r="P24" s="501"/>
      <c r="Q24" s="501"/>
    </row>
    <row r="25" spans="1:17" x14ac:dyDescent="0.2">
      <c r="A25" s="501"/>
      <c r="B25" s="501"/>
      <c r="C25" s="501"/>
      <c r="D25" s="501"/>
      <c r="E25" s="501"/>
      <c r="F25" s="501"/>
      <c r="G25" s="501"/>
      <c r="H25" s="501"/>
      <c r="I25" s="501"/>
      <c r="J25" s="501"/>
      <c r="K25" s="501"/>
      <c r="L25" s="501"/>
      <c r="M25" s="501"/>
      <c r="N25" s="501"/>
      <c r="O25" s="501"/>
      <c r="P25" s="501"/>
      <c r="Q25" s="501"/>
    </row>
    <row r="26" spans="1:17" x14ac:dyDescent="0.2">
      <c r="A26" s="501"/>
      <c r="B26" s="501"/>
      <c r="C26" s="501"/>
      <c r="D26" s="501"/>
      <c r="E26" s="501"/>
      <c r="F26" s="501"/>
      <c r="G26" s="501"/>
      <c r="H26" s="501"/>
      <c r="I26" s="501"/>
      <c r="J26" s="501"/>
      <c r="K26" s="501"/>
      <c r="L26" s="501"/>
      <c r="M26" s="501"/>
      <c r="N26" s="501"/>
      <c r="O26" s="501"/>
      <c r="P26" s="501"/>
      <c r="Q26" s="501"/>
    </row>
    <row r="27" spans="1:17" x14ac:dyDescent="0.2">
      <c r="A27" s="501"/>
      <c r="B27" s="501"/>
      <c r="C27" s="501"/>
      <c r="D27" s="501"/>
      <c r="E27" s="501"/>
      <c r="F27" s="501"/>
      <c r="G27" s="501"/>
      <c r="H27" s="501"/>
      <c r="I27" s="501"/>
      <c r="J27" s="501"/>
      <c r="K27" s="501"/>
      <c r="L27" s="501"/>
      <c r="M27" s="501"/>
      <c r="N27" s="501"/>
      <c r="O27" s="501"/>
      <c r="P27" s="501"/>
      <c r="Q27" s="501"/>
    </row>
    <row r="28" spans="1:17" x14ac:dyDescent="0.2">
      <c r="A28" s="501"/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1"/>
      <c r="M28" s="501"/>
      <c r="N28" s="501"/>
      <c r="O28" s="501"/>
      <c r="P28" s="501"/>
      <c r="Q28" s="501"/>
    </row>
    <row r="29" spans="1:17" x14ac:dyDescent="0.2">
      <c r="A29" s="501"/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1"/>
      <c r="M29" s="501"/>
      <c r="N29" s="501"/>
      <c r="O29" s="501"/>
      <c r="P29" s="501"/>
      <c r="Q29" s="501"/>
    </row>
    <row r="30" spans="1:17" x14ac:dyDescent="0.2">
      <c r="A30" s="501"/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1"/>
      <c r="M30" s="501"/>
      <c r="N30" s="501"/>
      <c r="O30" s="501"/>
      <c r="P30" s="501"/>
      <c r="Q30" s="501"/>
    </row>
    <row r="31" spans="1:17" x14ac:dyDescent="0.2">
      <c r="A31" s="501"/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1"/>
      <c r="M31" s="501"/>
      <c r="N31" s="501"/>
      <c r="O31" s="501"/>
      <c r="P31" s="501"/>
      <c r="Q31" s="501"/>
    </row>
    <row r="32" spans="1:17" x14ac:dyDescent="0.2">
      <c r="A32" s="501"/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1"/>
      <c r="M32" s="501"/>
      <c r="N32" s="501"/>
      <c r="O32" s="501"/>
      <c r="P32" s="501"/>
      <c r="Q32" s="501"/>
    </row>
    <row r="33" spans="1:17" x14ac:dyDescent="0.2">
      <c r="A33" s="501"/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1"/>
      <c r="M33" s="501"/>
      <c r="N33" s="501"/>
      <c r="O33" s="501"/>
      <c r="P33" s="501"/>
      <c r="Q33" s="501"/>
    </row>
    <row r="34" spans="1:17" x14ac:dyDescent="0.2">
      <c r="A34" s="501"/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1"/>
      <c r="M34" s="501"/>
      <c r="N34" s="501"/>
      <c r="O34" s="501"/>
      <c r="P34" s="501"/>
      <c r="Q34" s="501"/>
    </row>
    <row r="35" spans="1:17" x14ac:dyDescent="0.2">
      <c r="A35" s="501"/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1"/>
      <c r="M35" s="501"/>
      <c r="N35" s="501"/>
      <c r="O35" s="501"/>
      <c r="P35" s="501"/>
      <c r="Q35" s="501"/>
    </row>
    <row r="36" spans="1:17" x14ac:dyDescent="0.2">
      <c r="A36" s="501"/>
      <c r="B36" s="501"/>
      <c r="C36" s="501"/>
      <c r="D36" s="501"/>
      <c r="E36" s="501"/>
      <c r="F36" s="501"/>
      <c r="G36" s="501"/>
      <c r="H36" s="501"/>
      <c r="I36" s="501"/>
      <c r="J36" s="501"/>
      <c r="K36" s="501"/>
      <c r="L36" s="501"/>
      <c r="M36" s="501"/>
      <c r="N36" s="501"/>
      <c r="O36" s="501"/>
      <c r="P36" s="501"/>
      <c r="Q36" s="501"/>
    </row>
    <row r="37" spans="1:17" x14ac:dyDescent="0.2">
      <c r="A37" s="501"/>
      <c r="B37" s="501"/>
      <c r="C37" s="501"/>
      <c r="D37" s="501"/>
      <c r="E37" s="501"/>
      <c r="F37" s="501"/>
      <c r="G37" s="501"/>
      <c r="H37" s="501"/>
      <c r="I37" s="501"/>
      <c r="J37" s="501"/>
      <c r="K37" s="501"/>
      <c r="L37" s="501"/>
      <c r="M37" s="501"/>
      <c r="N37" s="501"/>
      <c r="O37" s="501"/>
      <c r="P37" s="501"/>
      <c r="Q37" s="501"/>
    </row>
    <row r="38" spans="1:17" x14ac:dyDescent="0.2">
      <c r="A38" s="501"/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1"/>
      <c r="M38" s="501"/>
      <c r="N38" s="501"/>
      <c r="O38" s="501"/>
      <c r="P38" s="501"/>
      <c r="Q38" s="501"/>
    </row>
    <row r="39" spans="1:17" x14ac:dyDescent="0.2">
      <c r="A39" s="501"/>
      <c r="B39" s="501"/>
      <c r="C39" s="501"/>
      <c r="D39" s="501"/>
      <c r="E39" s="501"/>
      <c r="F39" s="501"/>
      <c r="G39" s="501"/>
      <c r="H39" s="501"/>
      <c r="I39" s="501"/>
      <c r="J39" s="501"/>
      <c r="K39" s="501"/>
      <c r="L39" s="501"/>
      <c r="M39" s="501"/>
      <c r="N39" s="501"/>
      <c r="O39" s="501"/>
      <c r="P39" s="501"/>
      <c r="Q39" s="501"/>
    </row>
    <row r="40" spans="1:17" x14ac:dyDescent="0.2">
      <c r="A40" s="501"/>
      <c r="B40" s="501"/>
      <c r="C40" s="501"/>
      <c r="D40" s="501"/>
      <c r="E40" s="501"/>
      <c r="F40" s="501"/>
      <c r="G40" s="501"/>
      <c r="H40" s="501"/>
      <c r="I40" s="501"/>
      <c r="J40" s="501"/>
      <c r="K40" s="501"/>
      <c r="L40" s="501"/>
      <c r="M40" s="501"/>
      <c r="N40" s="501"/>
      <c r="O40" s="501"/>
      <c r="P40" s="501"/>
      <c r="Q40" s="501"/>
    </row>
    <row r="41" spans="1:17" x14ac:dyDescent="0.2">
      <c r="A41" s="501"/>
      <c r="B41" s="501"/>
      <c r="C41" s="501"/>
      <c r="D41" s="501"/>
      <c r="E41" s="501"/>
      <c r="F41" s="501"/>
      <c r="G41" s="501"/>
      <c r="H41" s="501"/>
      <c r="I41" s="501"/>
      <c r="J41" s="501"/>
      <c r="K41" s="501"/>
      <c r="L41" s="501"/>
      <c r="M41" s="501"/>
      <c r="N41" s="501"/>
      <c r="O41" s="501"/>
      <c r="P41" s="501"/>
      <c r="Q41" s="501"/>
    </row>
    <row r="42" spans="1:17" x14ac:dyDescent="0.2">
      <c r="A42" s="501"/>
      <c r="B42" s="501"/>
      <c r="C42" s="501"/>
      <c r="D42" s="501"/>
      <c r="E42" s="501"/>
      <c r="F42" s="501"/>
      <c r="G42" s="501"/>
      <c r="H42" s="501"/>
      <c r="I42" s="501"/>
      <c r="J42" s="501"/>
      <c r="K42" s="501"/>
      <c r="L42" s="501"/>
      <c r="M42" s="501"/>
      <c r="N42" s="501"/>
      <c r="O42" s="501"/>
      <c r="P42" s="501"/>
      <c r="Q42" s="501"/>
    </row>
    <row r="43" spans="1:17" x14ac:dyDescent="0.2">
      <c r="A43" s="501"/>
      <c r="B43" s="501"/>
      <c r="C43" s="501"/>
      <c r="D43" s="501"/>
      <c r="E43" s="501"/>
      <c r="F43" s="501"/>
      <c r="G43" s="501"/>
      <c r="H43" s="501"/>
      <c r="I43" s="501"/>
      <c r="J43" s="501"/>
      <c r="K43" s="501"/>
      <c r="L43" s="501"/>
      <c r="M43" s="501"/>
      <c r="N43" s="501"/>
      <c r="O43" s="501"/>
      <c r="P43" s="501"/>
      <c r="Q43" s="501"/>
    </row>
    <row r="44" spans="1:17" x14ac:dyDescent="0.2">
      <c r="A44" s="501"/>
      <c r="B44" s="501"/>
      <c r="C44" s="501"/>
      <c r="D44" s="501"/>
      <c r="E44" s="501"/>
      <c r="F44" s="501"/>
      <c r="G44" s="501"/>
      <c r="H44" s="501"/>
      <c r="I44" s="501"/>
      <c r="J44" s="501"/>
      <c r="K44" s="501"/>
      <c r="L44" s="501"/>
      <c r="M44" s="501"/>
      <c r="N44" s="501"/>
      <c r="O44" s="501"/>
      <c r="P44" s="501"/>
      <c r="Q44" s="501"/>
    </row>
    <row r="45" spans="1:17" x14ac:dyDescent="0.2">
      <c r="A45" s="501"/>
      <c r="B45" s="501"/>
      <c r="C45" s="501"/>
      <c r="D45" s="501"/>
      <c r="E45" s="501"/>
      <c r="F45" s="501"/>
      <c r="G45" s="501"/>
      <c r="H45" s="501"/>
      <c r="I45" s="501"/>
      <c r="J45" s="501"/>
      <c r="K45" s="501"/>
      <c r="L45" s="501"/>
      <c r="M45" s="501"/>
      <c r="N45" s="501"/>
      <c r="O45" s="501"/>
      <c r="P45" s="501"/>
      <c r="Q45" s="501"/>
    </row>
    <row r="46" spans="1:17" x14ac:dyDescent="0.2">
      <c r="A46" s="501"/>
      <c r="B46" s="501"/>
      <c r="C46" s="501"/>
      <c r="D46" s="501"/>
      <c r="E46" s="501"/>
      <c r="F46" s="501"/>
      <c r="G46" s="501"/>
      <c r="H46" s="501"/>
      <c r="I46" s="501"/>
      <c r="J46" s="501"/>
      <c r="K46" s="501"/>
      <c r="L46" s="501"/>
      <c r="M46" s="501"/>
      <c r="N46" s="501"/>
      <c r="O46" s="501"/>
      <c r="P46" s="501"/>
      <c r="Q46" s="501"/>
    </row>
    <row r="47" spans="1:17" x14ac:dyDescent="0.2">
      <c r="A47" s="501"/>
      <c r="B47" s="501"/>
      <c r="C47" s="501"/>
      <c r="D47" s="501"/>
      <c r="E47" s="501"/>
      <c r="F47" s="501"/>
      <c r="G47" s="501"/>
      <c r="H47" s="501"/>
      <c r="I47" s="501"/>
      <c r="J47" s="501"/>
      <c r="K47" s="501"/>
      <c r="L47" s="501"/>
      <c r="M47" s="501"/>
      <c r="N47" s="501"/>
      <c r="O47" s="501"/>
      <c r="P47" s="501"/>
      <c r="Q47" s="501"/>
    </row>
    <row r="48" spans="1:17" x14ac:dyDescent="0.2">
      <c r="A48" s="501"/>
      <c r="B48" s="501"/>
      <c r="C48" s="501"/>
      <c r="D48" s="501"/>
      <c r="E48" s="501"/>
      <c r="F48" s="501"/>
      <c r="G48" s="501"/>
      <c r="H48" s="501"/>
      <c r="I48" s="501"/>
      <c r="J48" s="501"/>
      <c r="K48" s="501"/>
      <c r="L48" s="501"/>
      <c r="M48" s="501"/>
      <c r="N48" s="501"/>
      <c r="O48" s="501"/>
      <c r="P48" s="501"/>
      <c r="Q48" s="501"/>
    </row>
    <row r="49" spans="1:17" x14ac:dyDescent="0.2">
      <c r="A49" s="501"/>
      <c r="B49" s="501"/>
      <c r="C49" s="501"/>
      <c r="D49" s="501"/>
      <c r="E49" s="501"/>
      <c r="F49" s="501"/>
      <c r="G49" s="501"/>
      <c r="H49" s="501"/>
      <c r="I49" s="501"/>
      <c r="J49" s="501"/>
      <c r="K49" s="501"/>
      <c r="L49" s="501"/>
      <c r="M49" s="501"/>
      <c r="N49" s="501"/>
      <c r="O49" s="501"/>
      <c r="P49" s="501"/>
      <c r="Q49" s="501"/>
    </row>
    <row r="50" spans="1:17" x14ac:dyDescent="0.2">
      <c r="A50" s="501"/>
      <c r="B50" s="501"/>
      <c r="C50" s="501"/>
      <c r="D50" s="501"/>
      <c r="E50" s="501"/>
      <c r="F50" s="501"/>
      <c r="G50" s="501"/>
      <c r="H50" s="501"/>
      <c r="I50" s="501"/>
      <c r="J50" s="501"/>
      <c r="K50" s="501"/>
      <c r="L50" s="501"/>
      <c r="M50" s="501"/>
      <c r="N50" s="501"/>
      <c r="O50" s="501"/>
      <c r="P50" s="501"/>
      <c r="Q50" s="501"/>
    </row>
    <row r="51" spans="1:17" x14ac:dyDescent="0.2">
      <c r="A51" s="501"/>
      <c r="B51" s="501"/>
      <c r="C51" s="501"/>
      <c r="D51" s="501"/>
      <c r="E51" s="501"/>
      <c r="F51" s="501"/>
      <c r="G51" s="501"/>
      <c r="H51" s="501"/>
      <c r="I51" s="501"/>
      <c r="J51" s="501"/>
      <c r="K51" s="501"/>
      <c r="L51" s="501"/>
      <c r="M51" s="501"/>
      <c r="N51" s="501"/>
      <c r="O51" s="501"/>
      <c r="P51" s="501"/>
      <c r="Q51" s="501"/>
    </row>
    <row r="52" spans="1:17" x14ac:dyDescent="0.2">
      <c r="A52" s="501"/>
      <c r="B52" s="501"/>
      <c r="C52" s="501"/>
      <c r="D52" s="501"/>
      <c r="E52" s="501"/>
      <c r="F52" s="501"/>
      <c r="G52" s="501"/>
      <c r="H52" s="501"/>
      <c r="I52" s="501"/>
      <c r="J52" s="501"/>
      <c r="K52" s="501"/>
      <c r="L52" s="501"/>
      <c r="M52" s="501"/>
      <c r="N52" s="501"/>
      <c r="O52" s="501"/>
      <c r="P52" s="501"/>
      <c r="Q52" s="501"/>
    </row>
    <row r="53" spans="1:17" x14ac:dyDescent="0.2">
      <c r="A53" s="501"/>
      <c r="B53" s="501"/>
      <c r="C53" s="501"/>
      <c r="D53" s="501"/>
      <c r="E53" s="501"/>
      <c r="F53" s="501"/>
      <c r="G53" s="501"/>
      <c r="H53" s="501"/>
      <c r="I53" s="501"/>
      <c r="J53" s="501"/>
      <c r="K53" s="501"/>
      <c r="L53" s="501"/>
      <c r="M53" s="501"/>
      <c r="N53" s="501"/>
      <c r="O53" s="501"/>
      <c r="P53" s="501"/>
      <c r="Q53" s="501"/>
    </row>
    <row r="54" spans="1:17" x14ac:dyDescent="0.2">
      <c r="A54" s="501"/>
      <c r="B54" s="501"/>
      <c r="C54" s="501"/>
      <c r="D54" s="501"/>
      <c r="E54" s="501"/>
      <c r="F54" s="501"/>
      <c r="G54" s="501"/>
      <c r="H54" s="501"/>
      <c r="I54" s="501"/>
      <c r="J54" s="501"/>
      <c r="K54" s="501"/>
      <c r="L54" s="501"/>
      <c r="M54" s="501"/>
      <c r="N54" s="501"/>
      <c r="O54" s="501"/>
      <c r="P54" s="501"/>
      <c r="Q54" s="501"/>
    </row>
    <row r="55" spans="1:17" x14ac:dyDescent="0.2">
      <c r="A55" s="501"/>
      <c r="B55" s="501"/>
      <c r="C55" s="501"/>
      <c r="D55" s="501"/>
      <c r="E55" s="501"/>
      <c r="F55" s="501"/>
      <c r="G55" s="501"/>
      <c r="H55" s="501"/>
      <c r="I55" s="501"/>
      <c r="J55" s="501"/>
      <c r="K55" s="501"/>
      <c r="L55" s="501"/>
      <c r="M55" s="501"/>
      <c r="N55" s="501"/>
      <c r="O55" s="501"/>
      <c r="P55" s="501"/>
      <c r="Q55" s="501"/>
    </row>
    <row r="56" spans="1:17" x14ac:dyDescent="0.2">
      <c r="A56" s="501"/>
      <c r="B56" s="501"/>
      <c r="C56" s="501"/>
      <c r="D56" s="501"/>
      <c r="E56" s="501"/>
      <c r="F56" s="501"/>
      <c r="G56" s="501"/>
      <c r="H56" s="501"/>
      <c r="I56" s="501"/>
      <c r="J56" s="501"/>
      <c r="K56" s="501"/>
      <c r="L56" s="501"/>
      <c r="M56" s="501"/>
      <c r="N56" s="501"/>
      <c r="O56" s="501"/>
      <c r="P56" s="501"/>
      <c r="Q56" s="501"/>
    </row>
    <row r="57" spans="1:17" x14ac:dyDescent="0.2">
      <c r="A57" s="501"/>
      <c r="B57" s="501"/>
      <c r="C57" s="501"/>
      <c r="D57" s="501"/>
      <c r="E57" s="501"/>
      <c r="F57" s="501"/>
      <c r="G57" s="501"/>
      <c r="H57" s="501"/>
      <c r="I57" s="501"/>
      <c r="J57" s="501"/>
      <c r="K57" s="501"/>
      <c r="L57" s="501"/>
      <c r="M57" s="501"/>
      <c r="N57" s="501"/>
      <c r="O57" s="501"/>
      <c r="P57" s="501"/>
      <c r="Q57" s="501"/>
    </row>
    <row r="58" spans="1:17" x14ac:dyDescent="0.2">
      <c r="A58" s="501"/>
      <c r="B58" s="501"/>
      <c r="C58" s="501"/>
      <c r="D58" s="501"/>
      <c r="E58" s="501"/>
      <c r="F58" s="501"/>
      <c r="G58" s="501"/>
      <c r="H58" s="501"/>
      <c r="I58" s="501"/>
      <c r="J58" s="501"/>
      <c r="K58" s="501"/>
      <c r="L58" s="501"/>
      <c r="M58" s="501"/>
      <c r="N58" s="501"/>
      <c r="O58" s="501"/>
      <c r="P58" s="501"/>
      <c r="Q58" s="501"/>
    </row>
    <row r="59" spans="1:17" x14ac:dyDescent="0.2">
      <c r="A59" s="501"/>
      <c r="B59" s="501"/>
      <c r="C59" s="501"/>
      <c r="D59" s="501"/>
      <c r="E59" s="501"/>
      <c r="F59" s="501"/>
      <c r="G59" s="501"/>
      <c r="H59" s="501"/>
      <c r="I59" s="501"/>
      <c r="J59" s="501"/>
      <c r="K59" s="501"/>
      <c r="L59" s="501"/>
      <c r="M59" s="501"/>
      <c r="N59" s="501"/>
      <c r="O59" s="501"/>
      <c r="P59" s="501"/>
      <c r="Q59" s="501"/>
    </row>
    <row r="60" spans="1:17" x14ac:dyDescent="0.2">
      <c r="A60" s="501"/>
      <c r="B60" s="501"/>
      <c r="C60" s="501"/>
      <c r="D60" s="501"/>
      <c r="E60" s="501"/>
      <c r="F60" s="501"/>
      <c r="G60" s="501"/>
      <c r="H60" s="501"/>
      <c r="I60" s="501"/>
      <c r="J60" s="501"/>
      <c r="K60" s="501"/>
      <c r="L60" s="501"/>
      <c r="M60" s="501"/>
      <c r="N60" s="501"/>
      <c r="O60" s="501"/>
      <c r="P60" s="501"/>
      <c r="Q60" s="501"/>
    </row>
    <row r="61" spans="1:17" x14ac:dyDescent="0.2">
      <c r="A61" s="501"/>
      <c r="B61" s="501"/>
      <c r="C61" s="501"/>
      <c r="D61" s="501"/>
      <c r="E61" s="501"/>
      <c r="F61" s="501"/>
      <c r="G61" s="501"/>
      <c r="H61" s="501"/>
      <c r="I61" s="501"/>
      <c r="J61" s="501"/>
      <c r="K61" s="501"/>
      <c r="L61" s="501"/>
      <c r="M61" s="501"/>
      <c r="N61" s="501"/>
      <c r="O61" s="501"/>
      <c r="P61" s="501"/>
      <c r="Q61" s="501"/>
    </row>
    <row r="62" spans="1:17" x14ac:dyDescent="0.2">
      <c r="A62" s="501"/>
      <c r="B62" s="501"/>
      <c r="C62" s="501"/>
      <c r="D62" s="501"/>
      <c r="E62" s="501"/>
      <c r="F62" s="501"/>
      <c r="G62" s="501"/>
      <c r="H62" s="501"/>
      <c r="I62" s="501"/>
      <c r="J62" s="501"/>
      <c r="K62" s="501"/>
      <c r="L62" s="501"/>
      <c r="M62" s="501"/>
      <c r="N62" s="501"/>
      <c r="O62" s="501"/>
      <c r="P62" s="501"/>
      <c r="Q62" s="501"/>
    </row>
    <row r="63" spans="1:17" x14ac:dyDescent="0.2">
      <c r="A63" s="501"/>
      <c r="B63" s="501"/>
      <c r="C63" s="501"/>
      <c r="D63" s="501"/>
      <c r="E63" s="501"/>
      <c r="F63" s="501"/>
      <c r="G63" s="501"/>
      <c r="H63" s="501"/>
      <c r="I63" s="501"/>
      <c r="J63" s="501"/>
      <c r="K63" s="501"/>
      <c r="L63" s="501"/>
      <c r="M63" s="501"/>
      <c r="N63" s="501"/>
      <c r="O63" s="501"/>
      <c r="P63" s="501"/>
      <c r="Q63" s="501"/>
    </row>
    <row r="64" spans="1:17" x14ac:dyDescent="0.2">
      <c r="A64" s="501"/>
      <c r="B64" s="501"/>
      <c r="C64" s="501"/>
      <c r="D64" s="501"/>
      <c r="E64" s="501"/>
      <c r="F64" s="501"/>
      <c r="G64" s="501"/>
      <c r="H64" s="501"/>
      <c r="I64" s="501"/>
      <c r="J64" s="501"/>
      <c r="K64" s="501"/>
      <c r="L64" s="501"/>
      <c r="M64" s="501"/>
      <c r="N64" s="501"/>
      <c r="O64" s="501"/>
      <c r="P64" s="501"/>
      <c r="Q64" s="501"/>
    </row>
    <row r="65" spans="1:17" x14ac:dyDescent="0.2">
      <c r="A65" s="501"/>
      <c r="B65" s="501"/>
      <c r="C65" s="501"/>
      <c r="D65" s="501"/>
      <c r="E65" s="501"/>
      <c r="F65" s="501"/>
      <c r="G65" s="501"/>
      <c r="H65" s="501"/>
      <c r="I65" s="501"/>
      <c r="J65" s="501"/>
      <c r="K65" s="501"/>
      <c r="L65" s="501"/>
      <c r="M65" s="501"/>
      <c r="N65" s="501"/>
      <c r="O65" s="501"/>
      <c r="P65" s="501"/>
      <c r="Q65" s="501"/>
    </row>
    <row r="66" spans="1:17" x14ac:dyDescent="0.2">
      <c r="A66" s="501"/>
      <c r="B66" s="501"/>
      <c r="C66" s="501"/>
      <c r="D66" s="501"/>
      <c r="E66" s="501"/>
      <c r="F66" s="501"/>
      <c r="G66" s="501"/>
      <c r="H66" s="501"/>
      <c r="I66" s="501"/>
      <c r="J66" s="501"/>
      <c r="K66" s="501"/>
      <c r="L66" s="501"/>
      <c r="M66" s="501"/>
      <c r="N66" s="501"/>
      <c r="O66" s="501"/>
      <c r="P66" s="501"/>
      <c r="Q66" s="501"/>
    </row>
    <row r="67" spans="1:17" x14ac:dyDescent="0.2">
      <c r="A67" s="501"/>
      <c r="B67" s="501"/>
      <c r="C67" s="501"/>
      <c r="D67" s="501"/>
      <c r="E67" s="501"/>
      <c r="F67" s="501"/>
      <c r="G67" s="501"/>
      <c r="H67" s="501"/>
      <c r="I67" s="501"/>
      <c r="J67" s="501"/>
      <c r="K67" s="501"/>
      <c r="L67" s="501"/>
      <c r="M67" s="501"/>
      <c r="N67" s="501"/>
      <c r="O67" s="501"/>
      <c r="P67" s="501"/>
      <c r="Q67" s="501"/>
    </row>
    <row r="68" spans="1:17" x14ac:dyDescent="0.2">
      <c r="A68" s="501"/>
      <c r="B68" s="501"/>
      <c r="C68" s="501"/>
      <c r="D68" s="501"/>
      <c r="E68" s="501"/>
      <c r="F68" s="501"/>
      <c r="G68" s="501"/>
      <c r="H68" s="501"/>
      <c r="I68" s="501"/>
      <c r="J68" s="501"/>
      <c r="K68" s="501"/>
      <c r="L68" s="501"/>
      <c r="M68" s="501"/>
      <c r="N68" s="501"/>
      <c r="O68" s="501"/>
      <c r="P68" s="501"/>
      <c r="Q68" s="501"/>
    </row>
    <row r="69" spans="1:17" x14ac:dyDescent="0.2">
      <c r="A69" s="501"/>
      <c r="B69" s="501"/>
      <c r="C69" s="501"/>
      <c r="D69" s="501"/>
      <c r="E69" s="501"/>
      <c r="F69" s="501"/>
      <c r="G69" s="501"/>
      <c r="H69" s="501"/>
      <c r="I69" s="501"/>
      <c r="J69" s="501"/>
      <c r="K69" s="501"/>
      <c r="L69" s="501"/>
      <c r="M69" s="501"/>
      <c r="N69" s="501"/>
      <c r="O69" s="501"/>
      <c r="P69" s="501"/>
      <c r="Q69" s="501"/>
    </row>
    <row r="70" spans="1:17" x14ac:dyDescent="0.2">
      <c r="A70" s="501"/>
      <c r="B70" s="501"/>
      <c r="C70" s="501"/>
      <c r="D70" s="501"/>
      <c r="E70" s="501"/>
      <c r="F70" s="501"/>
      <c r="G70" s="501"/>
      <c r="H70" s="501"/>
      <c r="I70" s="501"/>
      <c r="J70" s="501"/>
      <c r="K70" s="501"/>
      <c r="L70" s="501"/>
      <c r="M70" s="501"/>
      <c r="N70" s="501"/>
      <c r="O70" s="501"/>
      <c r="P70" s="501"/>
      <c r="Q70" s="501"/>
    </row>
    <row r="71" spans="1:17" x14ac:dyDescent="0.2">
      <c r="A71" s="501"/>
      <c r="B71" s="501"/>
      <c r="C71" s="501"/>
      <c r="D71" s="501"/>
      <c r="E71" s="501"/>
      <c r="F71" s="501"/>
      <c r="G71" s="501"/>
      <c r="H71" s="501"/>
      <c r="I71" s="501"/>
      <c r="J71" s="501"/>
      <c r="K71" s="501"/>
      <c r="L71" s="501"/>
      <c r="M71" s="501"/>
      <c r="N71" s="501"/>
      <c r="O71" s="501"/>
      <c r="P71" s="501"/>
      <c r="Q71" s="501"/>
    </row>
    <row r="72" spans="1:17" x14ac:dyDescent="0.2">
      <c r="A72" s="501"/>
      <c r="B72" s="501"/>
      <c r="C72" s="501"/>
      <c r="D72" s="501"/>
      <c r="E72" s="501"/>
      <c r="F72" s="501"/>
      <c r="G72" s="501"/>
      <c r="H72" s="501"/>
      <c r="I72" s="501"/>
      <c r="J72" s="501"/>
      <c r="K72" s="501"/>
      <c r="L72" s="501"/>
      <c r="M72" s="501"/>
      <c r="N72" s="501"/>
      <c r="O72" s="501"/>
      <c r="P72" s="501"/>
      <c r="Q72" s="501"/>
    </row>
    <row r="73" spans="1:17" x14ac:dyDescent="0.2">
      <c r="A73" s="501"/>
      <c r="B73" s="501"/>
      <c r="C73" s="501"/>
      <c r="D73" s="501"/>
      <c r="E73" s="501"/>
      <c r="F73" s="501"/>
      <c r="G73" s="501"/>
      <c r="H73" s="501"/>
      <c r="I73" s="501"/>
      <c r="J73" s="501"/>
      <c r="K73" s="501"/>
      <c r="L73" s="501"/>
      <c r="M73" s="501"/>
      <c r="N73" s="501"/>
      <c r="O73" s="501"/>
      <c r="P73" s="501"/>
      <c r="Q73" s="501"/>
    </row>
    <row r="74" spans="1:17" x14ac:dyDescent="0.2">
      <c r="A74" s="501"/>
      <c r="B74" s="501"/>
      <c r="C74" s="501"/>
      <c r="D74" s="501"/>
      <c r="E74" s="501"/>
      <c r="F74" s="501"/>
      <c r="G74" s="501"/>
      <c r="H74" s="501"/>
      <c r="I74" s="501"/>
      <c r="J74" s="501"/>
      <c r="K74" s="501"/>
      <c r="L74" s="501"/>
      <c r="M74" s="501"/>
      <c r="N74" s="501"/>
      <c r="O74" s="501"/>
      <c r="P74" s="501"/>
      <c r="Q74" s="501"/>
    </row>
    <row r="75" spans="1:17" x14ac:dyDescent="0.2">
      <c r="A75" s="501"/>
      <c r="B75" s="501"/>
      <c r="C75" s="501"/>
      <c r="D75" s="501"/>
      <c r="E75" s="501"/>
      <c r="F75" s="501"/>
      <c r="G75" s="501"/>
      <c r="H75" s="501"/>
      <c r="I75" s="501"/>
      <c r="J75" s="501"/>
      <c r="K75" s="501"/>
      <c r="L75" s="501"/>
      <c r="M75" s="501"/>
      <c r="N75" s="501"/>
      <c r="O75" s="501"/>
      <c r="P75" s="501"/>
      <c r="Q75" s="501"/>
    </row>
    <row r="76" spans="1:17" x14ac:dyDescent="0.2">
      <c r="A76" s="501"/>
      <c r="B76" s="501"/>
      <c r="C76" s="501"/>
      <c r="D76" s="501"/>
      <c r="E76" s="501"/>
      <c r="F76" s="501"/>
      <c r="G76" s="501"/>
      <c r="H76" s="501"/>
      <c r="I76" s="501"/>
      <c r="J76" s="501"/>
      <c r="K76" s="501"/>
      <c r="L76" s="501"/>
      <c r="M76" s="501"/>
      <c r="N76" s="501"/>
      <c r="O76" s="501"/>
      <c r="P76" s="501"/>
      <c r="Q76" s="501"/>
    </row>
    <row r="77" spans="1:17" x14ac:dyDescent="0.2">
      <c r="A77" s="501"/>
      <c r="B77" s="501"/>
      <c r="C77" s="501"/>
      <c r="D77" s="501"/>
      <c r="E77" s="501"/>
      <c r="F77" s="501"/>
      <c r="G77" s="501"/>
      <c r="H77" s="501"/>
      <c r="I77" s="501"/>
      <c r="J77" s="501"/>
      <c r="K77" s="501"/>
      <c r="L77" s="501"/>
      <c r="M77" s="501"/>
      <c r="N77" s="501"/>
      <c r="O77" s="501"/>
      <c r="P77" s="501"/>
      <c r="Q77" s="501"/>
    </row>
    <row r="78" spans="1:17" x14ac:dyDescent="0.2">
      <c r="A78" s="501"/>
      <c r="B78" s="501"/>
      <c r="C78" s="501"/>
      <c r="D78" s="501"/>
      <c r="E78" s="501"/>
      <c r="F78" s="501"/>
      <c r="G78" s="501"/>
      <c r="H78" s="501"/>
      <c r="I78" s="501"/>
      <c r="J78" s="501"/>
      <c r="K78" s="501"/>
      <c r="L78" s="501"/>
      <c r="M78" s="501"/>
      <c r="N78" s="501"/>
      <c r="O78" s="501"/>
      <c r="P78" s="501"/>
      <c r="Q78" s="501"/>
    </row>
    <row r="79" spans="1:17" x14ac:dyDescent="0.2">
      <c r="A79" s="501"/>
      <c r="Q79" s="501"/>
    </row>
    <row r="80" spans="1:17" x14ac:dyDescent="0.2">
      <c r="A80" s="501"/>
      <c r="Q80" s="501"/>
    </row>
    <row r="81" spans="1:17" x14ac:dyDescent="0.2">
      <c r="A81" s="501"/>
      <c r="Q81" s="501"/>
    </row>
    <row r="82" spans="1:17" x14ac:dyDescent="0.2">
      <c r="A82" s="501"/>
      <c r="Q82" s="501"/>
    </row>
    <row r="83" spans="1:17" x14ac:dyDescent="0.2">
      <c r="A83" s="501"/>
      <c r="Q83" s="501"/>
    </row>
    <row r="84" spans="1:17" x14ac:dyDescent="0.2">
      <c r="A84" s="501"/>
      <c r="Q84" s="501"/>
    </row>
    <row r="85" spans="1:17" ht="12.75" customHeight="1" x14ac:dyDescent="0.2"/>
    <row r="86" spans="1:17" ht="12.75" customHeight="1" x14ac:dyDescent="0.2"/>
    <row r="87" spans="1:17" ht="12.75" customHeight="1" x14ac:dyDescent="0.2"/>
    <row r="88" spans="1:17" ht="12.75" customHeight="1" x14ac:dyDescent="0.2">
      <c r="B88" s="503"/>
      <c r="C88" s="504"/>
      <c r="D88" s="504"/>
      <c r="E88" s="504"/>
      <c r="F88" s="504"/>
      <c r="G88" s="504"/>
      <c r="H88" s="504"/>
      <c r="I88" s="505"/>
      <c r="J88" s="503"/>
      <c r="K88" s="504"/>
      <c r="L88" s="504"/>
      <c r="M88" s="504"/>
      <c r="N88" s="504"/>
      <c r="O88" s="504"/>
      <c r="P88" s="506"/>
    </row>
    <row r="89" spans="1:17" ht="12.75" customHeight="1" x14ac:dyDescent="0.2">
      <c r="B89" s="706" t="s">
        <v>146</v>
      </c>
      <c r="C89" s="707"/>
      <c r="D89" s="707"/>
      <c r="E89" s="707"/>
      <c r="F89" s="707"/>
      <c r="G89" s="707"/>
      <c r="H89" s="707"/>
      <c r="I89" s="507"/>
      <c r="J89" s="706" t="s">
        <v>57</v>
      </c>
      <c r="K89" s="707"/>
      <c r="L89" s="707"/>
      <c r="M89" s="707"/>
      <c r="N89" s="707"/>
      <c r="O89" s="707"/>
      <c r="P89" s="708"/>
    </row>
    <row r="90" spans="1:17" ht="12.75" customHeight="1" x14ac:dyDescent="0.2">
      <c r="B90" s="709" t="s">
        <v>56</v>
      </c>
      <c r="C90" s="710"/>
      <c r="D90" s="710"/>
      <c r="E90" s="710"/>
      <c r="F90" s="710"/>
      <c r="G90" s="710"/>
      <c r="H90" s="710"/>
      <c r="I90" s="508"/>
      <c r="J90" s="709" t="s">
        <v>56</v>
      </c>
      <c r="K90" s="710"/>
      <c r="L90" s="710"/>
      <c r="M90" s="710"/>
      <c r="N90" s="710"/>
      <c r="O90" s="710"/>
      <c r="P90" s="711"/>
    </row>
    <row r="91" spans="1:17" ht="12.75" customHeight="1" x14ac:dyDescent="0.2">
      <c r="B91" s="509"/>
      <c r="C91" s="510"/>
      <c r="D91" s="510"/>
      <c r="E91" s="510"/>
      <c r="F91" s="510"/>
      <c r="G91" s="510"/>
      <c r="H91" s="510"/>
      <c r="I91" s="505"/>
      <c r="J91" s="509"/>
      <c r="K91" s="510"/>
      <c r="L91" s="510"/>
      <c r="M91" s="510"/>
      <c r="N91" s="510"/>
      <c r="O91" s="510"/>
      <c r="P91" s="511"/>
    </row>
    <row r="92" spans="1:17" ht="12.75" customHeight="1" x14ac:dyDescent="0.2"/>
    <row r="93" spans="1:17" ht="12.75" customHeight="1" x14ac:dyDescent="0.2"/>
  </sheetData>
  <sheetProtection sheet="1" selectLockedCells="1"/>
  <mergeCells count="4">
    <mergeCell ref="B89:H89"/>
    <mergeCell ref="J89:P89"/>
    <mergeCell ref="B90:H90"/>
    <mergeCell ref="J90:P90"/>
  </mergeCells>
  <hyperlinks>
    <hyperlink ref="B90:H90" r:id="rId1" display="mail@hermann-baum.de" xr:uid="{2AB1D259-EF2C-4D3E-A292-73C96D2BBD32}"/>
    <hyperlink ref="J90:P90" r:id="rId2" display="mail@hermann-baum.de" xr:uid="{5503C29A-2CFE-44B9-9F0C-6133CD214519}"/>
  </hyperlinks>
  <pageMargins left="0.7" right="0.7" top="0.78740157499999996" bottom="0.78740157499999996" header="0.3" footer="0.3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11"/>
  <dimension ref="A1:CK208"/>
  <sheetViews>
    <sheetView zoomScaleNormal="100" workbookViewId="0"/>
  </sheetViews>
  <sheetFormatPr baseColWidth="10" defaultColWidth="2.7109375" defaultRowHeight="12" x14ac:dyDescent="0.2"/>
  <cols>
    <col min="1" max="2" width="4.7109375" style="9" customWidth="1"/>
    <col min="3" max="3" width="8.140625" style="9" customWidth="1"/>
    <col min="4" max="4" width="6.85546875" style="9" customWidth="1"/>
    <col min="5" max="5" width="7.140625" style="9" customWidth="1"/>
    <col min="6" max="6" width="11.28515625" style="9" customWidth="1"/>
    <col min="7" max="7" width="9.5703125" style="9" customWidth="1"/>
    <col min="8" max="8" width="6.42578125" style="9" customWidth="1"/>
    <col min="9" max="10" width="8.85546875" style="9" customWidth="1"/>
    <col min="11" max="11" width="11" style="9" customWidth="1"/>
    <col min="12" max="12" width="16.28515625" style="9" customWidth="1"/>
    <col min="13" max="13" width="6.28515625" style="9" customWidth="1"/>
    <col min="14" max="14" width="7.140625" style="9" customWidth="1"/>
    <col min="15" max="15" width="9.85546875" style="9" customWidth="1"/>
    <col min="16" max="16" width="12.42578125" style="9" customWidth="1"/>
    <col min="17" max="17" width="21" style="9" customWidth="1"/>
    <col min="18" max="18" width="8" style="9" customWidth="1"/>
    <col min="19" max="19" width="7.42578125" style="9" customWidth="1"/>
    <col min="20" max="20" width="6" style="9" customWidth="1"/>
    <col min="21" max="21" width="5.7109375" style="9" customWidth="1"/>
    <col min="22" max="22" width="17.5703125" style="9" customWidth="1"/>
    <col min="23" max="23" width="21.140625" style="9" customWidth="1"/>
    <col min="24" max="24" width="11" style="9" customWidth="1"/>
    <col min="25" max="25" width="10.28515625" style="9" customWidth="1"/>
    <col min="26" max="26" width="14.42578125" style="9" customWidth="1"/>
    <col min="27" max="27" width="8.7109375" style="9" customWidth="1"/>
    <col min="28" max="28" width="8.85546875" style="9" customWidth="1"/>
    <col min="29" max="29" width="12.5703125" style="9" customWidth="1"/>
    <col min="30" max="30" width="10.5703125" style="9" customWidth="1"/>
    <col min="31" max="31" width="12.85546875" style="9" customWidth="1"/>
    <col min="32" max="32" width="8" style="9" customWidth="1"/>
    <col min="33" max="33" width="9" style="9" customWidth="1"/>
    <col min="34" max="34" width="11.5703125" style="9" customWidth="1"/>
    <col min="35" max="35" width="9.28515625" style="9" customWidth="1"/>
    <col min="36" max="36" width="8" style="9" customWidth="1"/>
    <col min="37" max="39" width="4.7109375" style="9" customWidth="1"/>
    <col min="40" max="40" width="8.5703125" style="9" customWidth="1"/>
    <col min="41" max="41" width="9" style="9" customWidth="1"/>
    <col min="42" max="43" width="4.7109375" style="9" customWidth="1"/>
    <col min="44" max="44" width="8.28515625" style="9" customWidth="1"/>
    <col min="45" max="45" width="8.7109375" style="9" customWidth="1"/>
    <col min="46" max="46" width="8.85546875" style="9" customWidth="1"/>
    <col min="47" max="47" width="8.28515625" style="9" customWidth="1"/>
    <col min="48" max="48" width="12.42578125" style="9" customWidth="1"/>
    <col min="49" max="49" width="9.42578125" style="9" customWidth="1"/>
    <col min="50" max="50" width="9.5703125" style="9" customWidth="1"/>
    <col min="51" max="78" width="4.7109375" style="9" customWidth="1"/>
    <col min="79" max="89" width="6.7109375" style="9" customWidth="1"/>
    <col min="90" max="16384" width="2.7109375" style="9"/>
  </cols>
  <sheetData>
    <row r="1" spans="1:50" s="2" customFormat="1" x14ac:dyDescent="0.2"/>
    <row r="2" spans="1:50" s="2" customFormat="1" x14ac:dyDescent="0.2">
      <c r="B2" s="12"/>
      <c r="C2" s="12"/>
      <c r="D2" s="12"/>
      <c r="E2" s="12"/>
      <c r="F2" s="1"/>
      <c r="G2" s="1"/>
      <c r="H2" s="1"/>
      <c r="I2" s="1"/>
      <c r="J2" s="1"/>
      <c r="K2" s="1"/>
      <c r="L2" s="1"/>
      <c r="M2" s="1"/>
      <c r="N2" s="12"/>
      <c r="O2" s="1"/>
      <c r="P2" s="1"/>
      <c r="Q2" s="1"/>
      <c r="W2" s="2" t="s">
        <v>160</v>
      </c>
      <c r="AV2" s="1" t="s">
        <v>325</v>
      </c>
    </row>
    <row r="3" spans="1:50" s="2" customFormat="1" ht="13.5" customHeight="1" thickBot="1" x14ac:dyDescent="0.25">
      <c r="B3" s="1"/>
      <c r="C3" s="12"/>
      <c r="D3" s="12"/>
      <c r="E3" s="12"/>
      <c r="F3" s="12"/>
      <c r="G3" s="70" t="s">
        <v>108</v>
      </c>
      <c r="H3" s="70" t="s">
        <v>109</v>
      </c>
      <c r="I3" s="330" t="s">
        <v>280</v>
      </c>
      <c r="J3" s="330" t="s">
        <v>111</v>
      </c>
      <c r="K3" s="330" t="s">
        <v>104</v>
      </c>
      <c r="L3" s="24" t="s">
        <v>105</v>
      </c>
      <c r="M3" s="24" t="s">
        <v>106</v>
      </c>
      <c r="N3" s="24" t="s">
        <v>107</v>
      </c>
      <c r="O3" s="110">
        <f t="shared" ref="O3:V3" ca="1" si="0">IF(9-COUNTIF(O$17:O$25,"")&gt;1,O$16,99999)</f>
        <v>99999</v>
      </c>
      <c r="P3" s="111">
        <f t="shared" ca="1" si="0"/>
        <v>99999</v>
      </c>
      <c r="Q3" s="111">
        <f t="shared" ca="1" si="0"/>
        <v>99999</v>
      </c>
      <c r="R3" s="111">
        <f t="shared" ca="1" si="0"/>
        <v>99999</v>
      </c>
      <c r="S3" s="111">
        <f t="shared" ca="1" si="0"/>
        <v>99999</v>
      </c>
      <c r="T3" s="111">
        <f t="shared" ca="1" si="0"/>
        <v>99999</v>
      </c>
      <c r="U3" s="111">
        <f t="shared" ca="1" si="0"/>
        <v>99999</v>
      </c>
      <c r="V3" s="111">
        <f t="shared" ca="1" si="0"/>
        <v>99999</v>
      </c>
      <c r="W3" s="713">
        <f ca="1">IF($O$4&lt;10,$O$4,0)</f>
        <v>0</v>
      </c>
      <c r="X3" s="714"/>
      <c r="Y3" s="714"/>
      <c r="Z3" s="714"/>
      <c r="AA3" s="714"/>
      <c r="AB3" s="713">
        <f ca="1">IF($P$4&lt;10,$P$4,0)</f>
        <v>0</v>
      </c>
      <c r="AC3" s="714"/>
      <c r="AD3" s="714"/>
      <c r="AE3" s="714"/>
      <c r="AF3" s="714"/>
      <c r="AG3" s="713">
        <f ca="1">IF($Q$4&lt;10,$Q$4,0)</f>
        <v>0</v>
      </c>
      <c r="AH3" s="714"/>
      <c r="AI3" s="714"/>
      <c r="AJ3" s="714"/>
      <c r="AK3" s="714"/>
      <c r="AL3" s="713">
        <f ca="1">IF($R$4&lt;10,$R$4,0)</f>
        <v>0</v>
      </c>
      <c r="AM3" s="714"/>
      <c r="AN3" s="714"/>
      <c r="AO3" s="714"/>
      <c r="AP3" s="714"/>
      <c r="AS3" s="24" t="s">
        <v>294</v>
      </c>
      <c r="AT3" s="24" t="s">
        <v>323</v>
      </c>
      <c r="AU3" s="24" t="s">
        <v>324</v>
      </c>
      <c r="AV3" s="24" t="s">
        <v>293</v>
      </c>
      <c r="AW3" s="24"/>
      <c r="AX3" s="24" t="s">
        <v>326</v>
      </c>
    </row>
    <row r="4" spans="1:50" s="2" customFormat="1" ht="12.75" thickTop="1" x14ac:dyDescent="0.2">
      <c r="A4" s="241"/>
      <c r="B4" s="1">
        <v>1</v>
      </c>
      <c r="C4" s="18">
        <f t="shared" ref="C4:C12" ca="1" si="1">RANK(D4,$D$4:$D$12,1)</f>
        <v>2</v>
      </c>
      <c r="D4" s="12">
        <f t="shared" ref="D4:D12" ca="1" si="2">E4+ROW()/1000+(F4="")*10</f>
        <v>2.004</v>
      </c>
      <c r="E4" s="248">
        <f t="shared" ref="E4:E12" ca="1" si="3">IF($AI$15,RANK(AH17,AH$17:AH$25,1),RANK(X17,X$17:X$25,1))</f>
        <v>2</v>
      </c>
      <c r="F4" s="1" t="str">
        <f>$Q64</f>
        <v>1. FC Riedwald</v>
      </c>
      <c r="G4" s="1">
        <f ca="1">SUMIFS($AJ$64:$AJ$135,$V$64:$V$135,$F4)+SUMIFS($AK$64:$AK$135,$W$64:$W$135,$F4)</f>
        <v>553</v>
      </c>
      <c r="H4" s="1">
        <f ca="1">SUMIFS($AK$64:$AK$135,$V$64:$V$135,$F4)+SUMIFS($AJ$64:$AJ$135,$W$64:$W$135,$F4)</f>
        <v>545</v>
      </c>
      <c r="I4" s="12">
        <f ca="1">IF(Settings!$G$24,G4-H4,IF(H4=0,IF(G4=0,0,Settings!$F$24),G4/H4))</f>
        <v>1.0146788990825688</v>
      </c>
      <c r="J4" s="1">
        <f ca="1">$L4*Settings!$C$4+$M4</f>
        <v>13</v>
      </c>
      <c r="K4" s="1">
        <f ca="1">SUMPRODUCT(($V$64:$V$135=F4)*($AL$64:$AL$135&lt;&gt;"")*($AA$64:$AA$135=1))+SUMPRODUCT(($W$64:$W$135=F4)*($AM$64:$AM$135&lt;&gt;"")*($AA$64:$AA$135=1))</f>
        <v>12</v>
      </c>
      <c r="L4" s="1">
        <f ca="1">SUMPRODUCT(($V$64:$V$135=F4)*($AL$64:$AL$135&gt;$AM$64:$AM$135))+SUMPRODUCT(($W$64:$W$135=F4)*($AL$64:$AL$135&lt;$AM$64:$AM$135))</f>
        <v>4</v>
      </c>
      <c r="M4" s="1">
        <f t="shared" ref="M4:M12" ca="1" si="4">SUMPRODUCT(($V$64:$W$135=F4)*($AL$64:$AL$135=$AM$64:$AM$135)*$AA$64:$AA$135)</f>
        <v>5</v>
      </c>
      <c r="N4" s="1">
        <f ca="1">K4-L4-M4</f>
        <v>3</v>
      </c>
      <c r="O4" s="112">
        <f ca="1">SMALL($O$3:$V$3,1)</f>
        <v>99999</v>
      </c>
      <c r="P4" s="112">
        <f ca="1">SMALL($O$3:$V$3,2)</f>
        <v>99999</v>
      </c>
      <c r="Q4" s="112">
        <f ca="1">SMALL($O$3:$V$3,3)</f>
        <v>99999</v>
      </c>
      <c r="R4" s="112">
        <f ca="1">SMALL($O$3:$V$3,4)</f>
        <v>99999</v>
      </c>
      <c r="V4" s="1"/>
      <c r="W4" s="307" t="str">
        <f t="shared" ref="W4:W12" ca="1" si="5">IFERROR(INDEX($O$17:$V$25,ROW(A1),$W$3),"")</f>
        <v/>
      </c>
      <c r="X4" s="308" t="str">
        <f t="shared" ref="X4:X12" ca="1" si="6">INDEX($W$4:$W$12,MATCH(ROW(A1),$AA$4:$AA$12,0))</f>
        <v/>
      </c>
      <c r="Y4" s="309">
        <f t="shared" ref="Y4:Y12" ca="1" si="7">IF($W4="",99999,VLOOKUP($W4,$C$17:$Z$25,24,0))</f>
        <v>99999</v>
      </c>
      <c r="Z4" s="310">
        <f ca="1">RANK(Y4,Y$4:Y$12,1)+IF(W4="",9,INDEX($E$4:$E$12,MATCH(W4,$F$4:$F$12,0)))/100+ROW()/10000</f>
        <v>1.0904</v>
      </c>
      <c r="AA4" s="311">
        <f t="shared" ref="AA4:AA12" ca="1" si="8">RANK($Z4,$Z$4:$Z$12,1)</f>
        <v>1</v>
      </c>
      <c r="AB4" s="312" t="str">
        <f t="shared" ref="AB4:AB12" ca="1" si="9">IFERROR(INDEX($O$17:$V$25,ROW(A1),$AB$3),"")</f>
        <v/>
      </c>
      <c r="AC4" s="313" t="str">
        <f t="shared" ref="AC4:AC12" ca="1" si="10">INDEX($AB$4:$AB$12,MATCH(ROW(A1),$AF$4:$AF$12,0))</f>
        <v/>
      </c>
      <c r="AD4" s="314">
        <f t="shared" ref="AD4:AD12" ca="1" si="11">IF($AB4="",99999,VLOOKUP($AB4,$C$17:$Z$25,24,0))</f>
        <v>99999</v>
      </c>
      <c r="AE4" s="310">
        <f ca="1">RANK(AD4,AD$4:AD$12,1)+IF(AB4="",9,INDEX($E$4:$E$12,MATCH(AB4,$F$4:$F$12,0)))/100+ROW()/10000</f>
        <v>1.0904</v>
      </c>
      <c r="AF4" s="310">
        <f t="shared" ref="AF4:AF12" ca="1" si="12">RANK($AE4,$AE$4:$AE$12,1)</f>
        <v>1</v>
      </c>
      <c r="AG4" s="312" t="str">
        <f t="shared" ref="AG4:AG12" ca="1" si="13">IFERROR(INDEX($O$17:$V$25,ROW(C1),$AG$3),"")</f>
        <v/>
      </c>
      <c r="AH4" s="313" t="str">
        <f t="shared" ref="AH4:AH12" ca="1" si="14">INDEX($AG$4:$AG$12,MATCH(ROW(A1),$AK$4:$AK$12,0))</f>
        <v/>
      </c>
      <c r="AI4" s="314">
        <f t="shared" ref="AI4:AI12" ca="1" si="15">IF($AG4="",99999,VLOOKUP($AG4,$C$17:$Z$25,24,0))</f>
        <v>99999</v>
      </c>
      <c r="AJ4" s="310">
        <f ca="1">RANK(AI4,AI$4:AI$12,1)+IF(AG4="",9,INDEX($E$4:$E$12,MATCH(AG4,$F$4:$F$12,0)))/100+ROW()/10000</f>
        <v>1.0904</v>
      </c>
      <c r="AK4" s="315">
        <f t="shared" ref="AK4:AK12" ca="1" si="16">RANK($AJ4,$AJ$4:$AJ$12,1)</f>
        <v>1</v>
      </c>
      <c r="AL4" s="313" t="str">
        <f t="shared" ref="AL4:AL12" ca="1" si="17">IFERROR(INDEX($O$17:$V$25,ROW(E1),$AL$3),"")</f>
        <v/>
      </c>
      <c r="AM4" s="313" t="str">
        <f t="shared" ref="AM4:AM12" ca="1" si="18">INDEX($AL$4:$AL$12,MATCH(ROW(A1),$AP$4:$AP$12,0))</f>
        <v/>
      </c>
      <c r="AN4" s="314">
        <f t="shared" ref="AN4:AN12" ca="1" si="19">IF($AL4="",99999,VLOOKUP($AL4,$C$17:$Z$25,24,0))</f>
        <v>99999</v>
      </c>
      <c r="AO4" s="310">
        <f ca="1">RANK(AN4,AN$4:AN$12,1)+IF(AL4="",9,INDEX($E$4:$E$12,MATCH(AL4,$F$4:$F$12,0)))/100+ROW()/10000</f>
        <v>1.0904</v>
      </c>
      <c r="AP4" s="315">
        <f t="shared" ref="AP4:AP12" ca="1" si="20">RANK($AO4,$AO$4:$AO$12,1)</f>
        <v>1</v>
      </c>
      <c r="AS4" s="1">
        <f ca="1">SUMPRODUCT(($W$64:$W$135=F4)*$AL$64:$AL$135)+SUMPRODUCT(($V$64:$V$135=F4)*$AM$64:$AM$135)</f>
        <v>11</v>
      </c>
      <c r="AT4" s="1">
        <f ca="1">SUMPRODUCT(($V$64:$V$135=F4)*$AL$64:$AL$135)+SUMPRODUCT(($W$64:$W$135=F4)*$AM$64:$AM$135)</f>
        <v>14</v>
      </c>
      <c r="AU4" s="1">
        <f ca="1">AT4-AS4</f>
        <v>3</v>
      </c>
      <c r="AV4" s="1">
        <f ca="1">IF(Settings!$G$24,$I4,ROUND($I4,Settings!$H$24))</f>
        <v>1.0149999999999999</v>
      </c>
      <c r="AW4" s="1">
        <f t="shared" ref="AW4:AW12" ca="1" si="21">I4-(F4="")*10000</f>
        <v>1.0146788990825688</v>
      </c>
      <c r="AX4" s="1">
        <f t="shared" ref="AX4:AX12" ca="1" si="22" xml:space="preserve"> RANK(AW4,$AW$4:$AW$12,1)</f>
        <v>8</v>
      </c>
    </row>
    <row r="5" spans="1:50" s="2" customFormat="1" x14ac:dyDescent="0.2">
      <c r="A5" s="241"/>
      <c r="B5" s="1">
        <v>2</v>
      </c>
      <c r="C5" s="19">
        <f t="shared" ca="1" si="1"/>
        <v>3</v>
      </c>
      <c r="D5" s="12">
        <f t="shared" ca="1" si="2"/>
        <v>3.0049999999999999</v>
      </c>
      <c r="E5" s="248">
        <f t="shared" ca="1" si="3"/>
        <v>3</v>
      </c>
      <c r="F5" s="1" t="str">
        <f t="shared" ref="F5:F12" si="23">$Q65</f>
        <v>FC Barcelona</v>
      </c>
      <c r="G5" s="1">
        <f t="shared" ref="G5:G12" ca="1" si="24">SUMIFS($AJ$64:$AJ$135,$V$64:$V$135,$F5)+SUMIFS($AK$64:$AK$135,$W$64:$W$135,$F5)</f>
        <v>537</v>
      </c>
      <c r="H5" s="1">
        <f t="shared" ref="H5:H12" ca="1" si="25">SUMIFS($AK$64:$AK$135,$V$64:$V$135,$F5)+SUMIFS($AJ$64:$AJ$135,$W$64:$W$135,$F5)</f>
        <v>545</v>
      </c>
      <c r="I5" s="12">
        <f ca="1">IF(Settings!$G$24,G5-H5,IF(H5=0,IF(G5=0,0,Settings!$F$24),G5/H5))</f>
        <v>0.98532110091743119</v>
      </c>
      <c r="J5" s="1">
        <f ca="1">$L5*Settings!$C$4+$M5</f>
        <v>12</v>
      </c>
      <c r="K5" s="1">
        <f t="shared" ref="K5:K12" ca="1" si="26">SUMPRODUCT(($V$64:$V$135=F5)*($AL$64:$AL$135&lt;&gt;"")*($AA$64:$AA$135=1))+SUMPRODUCT(($W$64:$W$135=F5)*($AM$64:$AM$135&lt;&gt;"")*($AA$64:$AA$135=1))</f>
        <v>12</v>
      </c>
      <c r="L5" s="1">
        <f t="shared" ref="L5:L12" ca="1" si="27">SUMPRODUCT(($V$64:$V$135=F5)*($AL$64:$AL$135&gt;$AM$64:$AM$135))+SUMPRODUCT(($W$64:$W$135=F5)*($AL$64:$AL$135&lt;$AM$64:$AM$135))</f>
        <v>4</v>
      </c>
      <c r="M5" s="1">
        <f t="shared" ca="1" si="4"/>
        <v>4</v>
      </c>
      <c r="N5" s="1">
        <f t="shared" ref="N5:N12" ca="1" si="28">K5-L5-M5</f>
        <v>4</v>
      </c>
      <c r="O5" s="21"/>
      <c r="P5" s="22"/>
      <c r="V5" s="1"/>
      <c r="W5" s="312" t="str">
        <f t="shared" ca="1" si="5"/>
        <v/>
      </c>
      <c r="X5" s="313" t="str">
        <f t="shared" ca="1" si="6"/>
        <v/>
      </c>
      <c r="Y5" s="310">
        <f t="shared" ca="1" si="7"/>
        <v>99999</v>
      </c>
      <c r="Z5" s="310">
        <f t="shared" ref="Z5:Z12" ca="1" si="29">RANK(Y5,Y$4:Y$12,1)+IF(W5="",9,INDEX($E$4:$E$12,MATCH(W5,$F$4:$F$12,0)))/100+ROW()/10000</f>
        <v>1.0905</v>
      </c>
      <c r="AA5" s="315">
        <f t="shared" ca="1" si="8"/>
        <v>2</v>
      </c>
      <c r="AB5" s="312" t="str">
        <f t="shared" ca="1" si="9"/>
        <v/>
      </c>
      <c r="AC5" s="313" t="str">
        <f t="shared" ca="1" si="10"/>
        <v/>
      </c>
      <c r="AD5" s="314">
        <f t="shared" ca="1" si="11"/>
        <v>99999</v>
      </c>
      <c r="AE5" s="310">
        <f t="shared" ref="AE5:AE12" ca="1" si="30">RANK(AD5,AD$4:AD$12,1)+IF(AB5="",9,INDEX($E$4:$E$12,MATCH(AB5,$F$4:$F$12,0)))/100+ROW()/10000</f>
        <v>1.0905</v>
      </c>
      <c r="AF5" s="310">
        <f t="shared" ca="1" si="12"/>
        <v>2</v>
      </c>
      <c r="AG5" s="312" t="str">
        <f t="shared" ca="1" si="13"/>
        <v/>
      </c>
      <c r="AH5" s="313" t="str">
        <f t="shared" ca="1" si="14"/>
        <v/>
      </c>
      <c r="AI5" s="314">
        <f t="shared" ca="1" si="15"/>
        <v>99999</v>
      </c>
      <c r="AJ5" s="310">
        <f t="shared" ref="AJ5:AJ12" ca="1" si="31">RANK(AI5,AI$4:AI$12,1)+IF(AG5="",9,INDEX($E$4:$E$12,MATCH(AG5,$F$4:$F$12,0)))/100+ROW()/10000</f>
        <v>1.0905</v>
      </c>
      <c r="AK5" s="315">
        <f t="shared" ca="1" si="16"/>
        <v>2</v>
      </c>
      <c r="AL5" s="313" t="str">
        <f t="shared" ca="1" si="17"/>
        <v/>
      </c>
      <c r="AM5" s="313" t="str">
        <f t="shared" ca="1" si="18"/>
        <v/>
      </c>
      <c r="AN5" s="314">
        <f t="shared" ca="1" si="19"/>
        <v>99999</v>
      </c>
      <c r="AO5" s="310">
        <f t="shared" ref="AO5:AO12" ca="1" si="32">RANK(AN5,AN$4:AN$12,1)+IF(AL5="",9,INDEX($E$4:$E$12,MATCH(AL5,$F$4:$F$12,0)))/100+ROW()/10000</f>
        <v>1.0905</v>
      </c>
      <c r="AP5" s="315">
        <f t="shared" ca="1" si="20"/>
        <v>2</v>
      </c>
      <c r="AS5" s="1">
        <f t="shared" ref="AS5:AS12" ca="1" si="33">SUMPRODUCT(($W$64:$W$135=F5)*$AL$64:$AL$135)+SUMPRODUCT(($V$64:$V$135=F5)*$AM$64:$AM$135)</f>
        <v>12</v>
      </c>
      <c r="AT5" s="1">
        <f t="shared" ref="AT5:AT12" ca="1" si="34">SUMPRODUCT(($V$64:$V$135=F5)*$AL$64:$AL$135)+SUMPRODUCT(($W$64:$W$135=F5)*$AM$64:$AM$135)</f>
        <v>13</v>
      </c>
      <c r="AU5" s="1">
        <f t="shared" ref="AU5:AU12" ca="1" si="35">AT5-AS5</f>
        <v>1</v>
      </c>
      <c r="AV5" s="1">
        <f ca="1">IF(Settings!$G$24,$I5,ROUND($I5,Settings!$H$24))</f>
        <v>0.98499999999999999</v>
      </c>
      <c r="AW5" s="1">
        <f t="shared" ca="1" si="21"/>
        <v>0.98532110091743119</v>
      </c>
      <c r="AX5" s="1">
        <f t="shared" ca="1" si="22"/>
        <v>5</v>
      </c>
    </row>
    <row r="6" spans="1:50" s="2" customFormat="1" x14ac:dyDescent="0.2">
      <c r="A6" s="241"/>
      <c r="B6" s="1">
        <v>3</v>
      </c>
      <c r="C6" s="19">
        <f t="shared" ca="1" si="1"/>
        <v>5</v>
      </c>
      <c r="D6" s="12">
        <f t="shared" ca="1" si="2"/>
        <v>5.0060000000000002</v>
      </c>
      <c r="E6" s="248">
        <f t="shared" ca="1" si="3"/>
        <v>5</v>
      </c>
      <c r="F6" s="1" t="str">
        <f t="shared" si="23"/>
        <v>Eintracht Frankfurt</v>
      </c>
      <c r="G6" s="1">
        <f t="shared" ca="1" si="24"/>
        <v>535</v>
      </c>
      <c r="H6" s="1">
        <f t="shared" ca="1" si="25"/>
        <v>532</v>
      </c>
      <c r="I6" s="12">
        <f ca="1">IF(Settings!$G$24,G6-H6,IF(H6=0,IF(G6=0,0,Settings!$F$24),G6/H6))</f>
        <v>1.005639097744361</v>
      </c>
      <c r="J6" s="1">
        <f ca="1">$L6*Settings!$C$4+$M6</f>
        <v>12</v>
      </c>
      <c r="K6" s="1">
        <f t="shared" ca="1" si="26"/>
        <v>12</v>
      </c>
      <c r="L6" s="1">
        <f t="shared" ca="1" si="27"/>
        <v>3</v>
      </c>
      <c r="M6" s="1">
        <f t="shared" ca="1" si="4"/>
        <v>6</v>
      </c>
      <c r="N6" s="1">
        <f t="shared" ca="1" si="28"/>
        <v>3</v>
      </c>
      <c r="O6" s="21"/>
      <c r="P6" s="22"/>
      <c r="V6" s="1"/>
      <c r="W6" s="312" t="str">
        <f t="shared" ca="1" si="5"/>
        <v/>
      </c>
      <c r="X6" s="313" t="str">
        <f t="shared" ca="1" si="6"/>
        <v/>
      </c>
      <c r="Y6" s="310">
        <f t="shared" ca="1" si="7"/>
        <v>99999</v>
      </c>
      <c r="Z6" s="310">
        <f t="shared" ca="1" si="29"/>
        <v>1.0906</v>
      </c>
      <c r="AA6" s="315">
        <f t="shared" ca="1" si="8"/>
        <v>3</v>
      </c>
      <c r="AB6" s="312" t="str">
        <f t="shared" ca="1" si="9"/>
        <v/>
      </c>
      <c r="AC6" s="313" t="str">
        <f t="shared" ca="1" si="10"/>
        <v/>
      </c>
      <c r="AD6" s="314">
        <f t="shared" ca="1" si="11"/>
        <v>99999</v>
      </c>
      <c r="AE6" s="310">
        <f t="shared" ca="1" si="30"/>
        <v>1.0906</v>
      </c>
      <c r="AF6" s="310">
        <f t="shared" ca="1" si="12"/>
        <v>3</v>
      </c>
      <c r="AG6" s="312" t="str">
        <f t="shared" ca="1" si="13"/>
        <v/>
      </c>
      <c r="AH6" s="313" t="str">
        <f t="shared" ca="1" si="14"/>
        <v/>
      </c>
      <c r="AI6" s="314">
        <f t="shared" ca="1" si="15"/>
        <v>99999</v>
      </c>
      <c r="AJ6" s="310">
        <f t="shared" ca="1" si="31"/>
        <v>1.0906</v>
      </c>
      <c r="AK6" s="315">
        <f t="shared" ca="1" si="16"/>
        <v>3</v>
      </c>
      <c r="AL6" s="313" t="str">
        <f t="shared" ca="1" si="17"/>
        <v/>
      </c>
      <c r="AM6" s="313" t="str">
        <f t="shared" ca="1" si="18"/>
        <v/>
      </c>
      <c r="AN6" s="314">
        <f t="shared" ca="1" si="19"/>
        <v>99999</v>
      </c>
      <c r="AO6" s="310">
        <f t="shared" ca="1" si="32"/>
        <v>1.0906</v>
      </c>
      <c r="AP6" s="315">
        <f t="shared" ca="1" si="20"/>
        <v>3</v>
      </c>
      <c r="AS6" s="1">
        <f t="shared" ca="1" si="33"/>
        <v>12</v>
      </c>
      <c r="AT6" s="1">
        <f t="shared" ca="1" si="34"/>
        <v>12</v>
      </c>
      <c r="AU6" s="1">
        <f t="shared" ca="1" si="35"/>
        <v>0</v>
      </c>
      <c r="AV6" s="1">
        <f ca="1">IF(Settings!$G$24,$I6,ROUND($I6,Settings!$H$24))</f>
        <v>1.006</v>
      </c>
      <c r="AW6" s="1">
        <f t="shared" ca="1" si="21"/>
        <v>1.005639097744361</v>
      </c>
      <c r="AX6" s="1">
        <f t="shared" ca="1" si="22"/>
        <v>6</v>
      </c>
    </row>
    <row r="7" spans="1:50" s="2" customFormat="1" x14ac:dyDescent="0.2">
      <c r="A7" s="241"/>
      <c r="B7" s="1">
        <v>4</v>
      </c>
      <c r="C7" s="19">
        <f t="shared" ca="1" si="1"/>
        <v>1</v>
      </c>
      <c r="D7" s="12">
        <f t="shared" ca="1" si="2"/>
        <v>1.0069999999999999</v>
      </c>
      <c r="E7" s="248">
        <f t="shared" ca="1" si="3"/>
        <v>1</v>
      </c>
      <c r="F7" s="1" t="str">
        <f t="shared" si="23"/>
        <v>Maibach 1822 eV</v>
      </c>
      <c r="G7" s="1">
        <f t="shared" ca="1" si="24"/>
        <v>552</v>
      </c>
      <c r="H7" s="1">
        <f t="shared" ca="1" si="25"/>
        <v>496</v>
      </c>
      <c r="I7" s="12">
        <f ca="1">IF(Settings!$G$24,G7-H7,IF(H7=0,IF(G7=0,0,Settings!$F$24),G7/H7))</f>
        <v>1.1129032258064515</v>
      </c>
      <c r="J7" s="1">
        <f ca="1">$L7*Settings!$C$4+$M7</f>
        <v>15</v>
      </c>
      <c r="K7" s="1">
        <f t="shared" ca="1" si="26"/>
        <v>12</v>
      </c>
      <c r="L7" s="1">
        <f t="shared" ca="1" si="27"/>
        <v>5</v>
      </c>
      <c r="M7" s="1">
        <f t="shared" ca="1" si="4"/>
        <v>5</v>
      </c>
      <c r="N7" s="1">
        <f t="shared" ca="1" si="28"/>
        <v>2</v>
      </c>
      <c r="O7" s="21"/>
      <c r="P7" s="22"/>
      <c r="V7" s="1"/>
      <c r="W7" s="312" t="str">
        <f t="shared" ca="1" si="5"/>
        <v/>
      </c>
      <c r="X7" s="313" t="str">
        <f t="shared" ca="1" si="6"/>
        <v/>
      </c>
      <c r="Y7" s="310">
        <f t="shared" ca="1" si="7"/>
        <v>99999</v>
      </c>
      <c r="Z7" s="310">
        <f t="shared" ca="1" si="29"/>
        <v>1.0907</v>
      </c>
      <c r="AA7" s="315">
        <f t="shared" ca="1" si="8"/>
        <v>4</v>
      </c>
      <c r="AB7" s="312" t="str">
        <f t="shared" ca="1" si="9"/>
        <v/>
      </c>
      <c r="AC7" s="313" t="str">
        <f t="shared" ca="1" si="10"/>
        <v/>
      </c>
      <c r="AD7" s="314">
        <f t="shared" ca="1" si="11"/>
        <v>99999</v>
      </c>
      <c r="AE7" s="310">
        <f t="shared" ca="1" si="30"/>
        <v>1.0907</v>
      </c>
      <c r="AF7" s="310">
        <f t="shared" ca="1" si="12"/>
        <v>4</v>
      </c>
      <c r="AG7" s="312" t="str">
        <f t="shared" ca="1" si="13"/>
        <v/>
      </c>
      <c r="AH7" s="313" t="str">
        <f t="shared" ca="1" si="14"/>
        <v/>
      </c>
      <c r="AI7" s="314">
        <f t="shared" ca="1" si="15"/>
        <v>99999</v>
      </c>
      <c r="AJ7" s="310">
        <f t="shared" ca="1" si="31"/>
        <v>1.0907</v>
      </c>
      <c r="AK7" s="315">
        <f t="shared" ca="1" si="16"/>
        <v>4</v>
      </c>
      <c r="AL7" s="313" t="str">
        <f t="shared" ca="1" si="17"/>
        <v/>
      </c>
      <c r="AM7" s="313" t="str">
        <f t="shared" ca="1" si="18"/>
        <v/>
      </c>
      <c r="AN7" s="314">
        <f t="shared" ca="1" si="19"/>
        <v>99999</v>
      </c>
      <c r="AO7" s="310">
        <f t="shared" ca="1" si="32"/>
        <v>1.0907</v>
      </c>
      <c r="AP7" s="315">
        <f t="shared" ca="1" si="20"/>
        <v>4</v>
      </c>
      <c r="AS7" s="1">
        <f t="shared" ca="1" si="33"/>
        <v>9</v>
      </c>
      <c r="AT7" s="1">
        <f t="shared" ca="1" si="34"/>
        <v>15</v>
      </c>
      <c r="AU7" s="1">
        <f t="shared" ca="1" si="35"/>
        <v>6</v>
      </c>
      <c r="AV7" s="1">
        <f ca="1">IF(Settings!$G$24,$I7,ROUND($I7,Settings!$H$24))</f>
        <v>1.113</v>
      </c>
      <c r="AW7" s="1">
        <f t="shared" ca="1" si="21"/>
        <v>1.1129032258064515</v>
      </c>
      <c r="AX7" s="1">
        <f t="shared" ca="1" si="22"/>
        <v>9</v>
      </c>
    </row>
    <row r="8" spans="1:50" s="2" customFormat="1" x14ac:dyDescent="0.2">
      <c r="A8" s="241"/>
      <c r="B8" s="1">
        <v>5</v>
      </c>
      <c r="C8" s="19">
        <f t="shared" ca="1" si="1"/>
        <v>4</v>
      </c>
      <c r="D8" s="12">
        <f t="shared" ca="1" si="2"/>
        <v>4.008</v>
      </c>
      <c r="E8" s="248">
        <f t="shared" ca="1" si="3"/>
        <v>4</v>
      </c>
      <c r="F8" s="1" t="str">
        <f t="shared" si="23"/>
        <v>VFB Essenheim</v>
      </c>
      <c r="G8" s="1">
        <f t="shared" ca="1" si="24"/>
        <v>524</v>
      </c>
      <c r="H8" s="1">
        <f t="shared" ca="1" si="25"/>
        <v>521</v>
      </c>
      <c r="I8" s="12">
        <f ca="1">IF(Settings!$G$24,G8-H8,IF(H8=0,IF(G8=0,0,Settings!$F$24),G8/H8))</f>
        <v>1.0057581573896353</v>
      </c>
      <c r="J8" s="1">
        <f ca="1">$L8*Settings!$C$4+$M8</f>
        <v>12</v>
      </c>
      <c r="K8" s="1">
        <f t="shared" ca="1" si="26"/>
        <v>12</v>
      </c>
      <c r="L8" s="1">
        <f t="shared" ca="1" si="27"/>
        <v>2</v>
      </c>
      <c r="M8" s="1">
        <f t="shared" ca="1" si="4"/>
        <v>8</v>
      </c>
      <c r="N8" s="1">
        <f t="shared" ca="1" si="28"/>
        <v>2</v>
      </c>
      <c r="P8" s="22"/>
      <c r="W8" s="312" t="str">
        <f t="shared" ca="1" si="5"/>
        <v/>
      </c>
      <c r="X8" s="313" t="str">
        <f t="shared" ca="1" si="6"/>
        <v/>
      </c>
      <c r="Y8" s="310">
        <f t="shared" ca="1" si="7"/>
        <v>99999</v>
      </c>
      <c r="Z8" s="310">
        <f t="shared" ca="1" si="29"/>
        <v>1.0908</v>
      </c>
      <c r="AA8" s="315">
        <f t="shared" ca="1" si="8"/>
        <v>5</v>
      </c>
      <c r="AB8" s="312" t="str">
        <f t="shared" ca="1" si="9"/>
        <v/>
      </c>
      <c r="AC8" s="313" t="str">
        <f t="shared" ca="1" si="10"/>
        <v/>
      </c>
      <c r="AD8" s="314">
        <f t="shared" ca="1" si="11"/>
        <v>99999</v>
      </c>
      <c r="AE8" s="310">
        <f t="shared" ca="1" si="30"/>
        <v>1.0908</v>
      </c>
      <c r="AF8" s="310">
        <f t="shared" ca="1" si="12"/>
        <v>5</v>
      </c>
      <c r="AG8" s="312" t="str">
        <f t="shared" ca="1" si="13"/>
        <v/>
      </c>
      <c r="AH8" s="313" t="str">
        <f t="shared" ca="1" si="14"/>
        <v/>
      </c>
      <c r="AI8" s="314">
        <f t="shared" ca="1" si="15"/>
        <v>99999</v>
      </c>
      <c r="AJ8" s="310">
        <f t="shared" ca="1" si="31"/>
        <v>1.0908</v>
      </c>
      <c r="AK8" s="315">
        <f t="shared" ca="1" si="16"/>
        <v>5</v>
      </c>
      <c r="AL8" s="313" t="str">
        <f t="shared" ca="1" si="17"/>
        <v/>
      </c>
      <c r="AM8" s="313" t="str">
        <f t="shared" ca="1" si="18"/>
        <v/>
      </c>
      <c r="AN8" s="314">
        <f t="shared" ca="1" si="19"/>
        <v>99999</v>
      </c>
      <c r="AO8" s="310">
        <f t="shared" ca="1" si="32"/>
        <v>1.0908</v>
      </c>
      <c r="AP8" s="315">
        <f t="shared" ca="1" si="20"/>
        <v>5</v>
      </c>
      <c r="AS8" s="1">
        <f t="shared" ca="1" si="33"/>
        <v>12</v>
      </c>
      <c r="AT8" s="1">
        <f t="shared" ca="1" si="34"/>
        <v>12</v>
      </c>
      <c r="AU8" s="1">
        <f t="shared" ca="1" si="35"/>
        <v>0</v>
      </c>
      <c r="AV8" s="1">
        <f ca="1">IF(Settings!$G$24,$I8,ROUND($I8,Settings!$H$24))</f>
        <v>1.006</v>
      </c>
      <c r="AW8" s="1">
        <f t="shared" ca="1" si="21"/>
        <v>1.0057581573896353</v>
      </c>
      <c r="AX8" s="1">
        <f t="shared" ca="1" si="22"/>
        <v>7</v>
      </c>
    </row>
    <row r="9" spans="1:50" s="2" customFormat="1" x14ac:dyDescent="0.2">
      <c r="A9" s="241"/>
      <c r="B9" s="1">
        <v>6</v>
      </c>
      <c r="C9" s="19">
        <f t="shared" ca="1" si="1"/>
        <v>7</v>
      </c>
      <c r="D9" s="12">
        <f t="shared" ca="1" si="2"/>
        <v>7.0090000000000003</v>
      </c>
      <c r="E9" s="248">
        <f t="shared" ca="1" si="3"/>
        <v>7</v>
      </c>
      <c r="F9" s="1" t="str">
        <f t="shared" si="23"/>
        <v>Inter Mailand</v>
      </c>
      <c r="G9" s="1">
        <f t="shared" ca="1" si="24"/>
        <v>524</v>
      </c>
      <c r="H9" s="1">
        <f t="shared" ca="1" si="25"/>
        <v>559</v>
      </c>
      <c r="I9" s="12">
        <f ca="1">IF(Settings!$G$24,G9-H9,IF(H9=0,IF(G9=0,0,Settings!$F$24),G9/H9))</f>
        <v>0.93738819320214672</v>
      </c>
      <c r="J9" s="1">
        <f ca="1">$L9*Settings!$C$4+$M9</f>
        <v>10</v>
      </c>
      <c r="K9" s="1">
        <f t="shared" ca="1" si="26"/>
        <v>12</v>
      </c>
      <c r="L9" s="1">
        <f t="shared" ca="1" si="27"/>
        <v>3</v>
      </c>
      <c r="M9" s="1">
        <f t="shared" ca="1" si="4"/>
        <v>4</v>
      </c>
      <c r="N9" s="1">
        <f t="shared" ca="1" si="28"/>
        <v>5</v>
      </c>
      <c r="P9" s="22"/>
      <c r="W9" s="312" t="str">
        <f t="shared" ca="1" si="5"/>
        <v/>
      </c>
      <c r="X9" s="313" t="str">
        <f t="shared" ca="1" si="6"/>
        <v/>
      </c>
      <c r="Y9" s="310">
        <f t="shared" ca="1" si="7"/>
        <v>99999</v>
      </c>
      <c r="Z9" s="310">
        <f t="shared" ca="1" si="29"/>
        <v>1.0909</v>
      </c>
      <c r="AA9" s="315">
        <f t="shared" ca="1" si="8"/>
        <v>6</v>
      </c>
      <c r="AB9" s="312" t="str">
        <f t="shared" ca="1" si="9"/>
        <v/>
      </c>
      <c r="AC9" s="313" t="str">
        <f t="shared" ca="1" si="10"/>
        <v/>
      </c>
      <c r="AD9" s="314">
        <f t="shared" ca="1" si="11"/>
        <v>99999</v>
      </c>
      <c r="AE9" s="310">
        <f t="shared" ca="1" si="30"/>
        <v>1.0909</v>
      </c>
      <c r="AF9" s="310">
        <f t="shared" ca="1" si="12"/>
        <v>6</v>
      </c>
      <c r="AG9" s="312" t="str">
        <f t="shared" ca="1" si="13"/>
        <v/>
      </c>
      <c r="AH9" s="313" t="str">
        <f t="shared" ca="1" si="14"/>
        <v/>
      </c>
      <c r="AI9" s="314">
        <f t="shared" ca="1" si="15"/>
        <v>99999</v>
      </c>
      <c r="AJ9" s="310">
        <f t="shared" ca="1" si="31"/>
        <v>1.0909</v>
      </c>
      <c r="AK9" s="315">
        <f t="shared" ca="1" si="16"/>
        <v>6</v>
      </c>
      <c r="AL9" s="313" t="str">
        <f t="shared" ca="1" si="17"/>
        <v/>
      </c>
      <c r="AM9" s="313" t="str">
        <f t="shared" ca="1" si="18"/>
        <v/>
      </c>
      <c r="AN9" s="314">
        <f t="shared" ca="1" si="19"/>
        <v>99999</v>
      </c>
      <c r="AO9" s="310">
        <f t="shared" ca="1" si="32"/>
        <v>1.0909</v>
      </c>
      <c r="AP9" s="315">
        <f t="shared" ca="1" si="20"/>
        <v>6</v>
      </c>
      <c r="AS9" s="1">
        <f t="shared" ca="1" si="33"/>
        <v>15</v>
      </c>
      <c r="AT9" s="1">
        <f t="shared" ca="1" si="34"/>
        <v>10</v>
      </c>
      <c r="AU9" s="1">
        <f t="shared" ca="1" si="35"/>
        <v>-5</v>
      </c>
      <c r="AV9" s="1">
        <f ca="1">IF(Settings!$G$24,$I9,ROUND($I9,Settings!$H$24))</f>
        <v>0.93700000000000006</v>
      </c>
      <c r="AW9" s="1">
        <f t="shared" ca="1" si="21"/>
        <v>0.93738819320214672</v>
      </c>
      <c r="AX9" s="1">
        <f t="shared" ca="1" si="22"/>
        <v>3</v>
      </c>
    </row>
    <row r="10" spans="1:50" s="2" customFormat="1" x14ac:dyDescent="0.2">
      <c r="A10" s="241"/>
      <c r="B10" s="1">
        <v>7</v>
      </c>
      <c r="C10" s="19">
        <f t="shared" ca="1" si="1"/>
        <v>6</v>
      </c>
      <c r="D10" s="12">
        <f t="shared" ca="1" si="2"/>
        <v>6.01</v>
      </c>
      <c r="E10" s="248">
        <f t="shared" ca="1" si="3"/>
        <v>6</v>
      </c>
      <c r="F10" s="1" t="str">
        <f t="shared" si="23"/>
        <v>SSV Wildbach</v>
      </c>
      <c r="G10" s="1">
        <f t="shared" ca="1" si="24"/>
        <v>519</v>
      </c>
      <c r="H10" s="1">
        <f t="shared" ca="1" si="25"/>
        <v>546</v>
      </c>
      <c r="I10" s="12">
        <f ca="1">IF(Settings!$G$24,G10-H10,IF(H10=0,IF(G10=0,0,Settings!$F$24),G10/H10))</f>
        <v>0.9505494505494505</v>
      </c>
      <c r="J10" s="1">
        <f ca="1">$L10*Settings!$C$4+$M10</f>
        <v>10</v>
      </c>
      <c r="K10" s="1">
        <f t="shared" ca="1" si="26"/>
        <v>12</v>
      </c>
      <c r="L10" s="1">
        <f t="shared" ca="1" si="27"/>
        <v>2</v>
      </c>
      <c r="M10" s="1">
        <f t="shared" ca="1" si="4"/>
        <v>6</v>
      </c>
      <c r="N10" s="1">
        <f t="shared" ca="1" si="28"/>
        <v>4</v>
      </c>
      <c r="P10" s="22"/>
      <c r="W10" s="312" t="str">
        <f t="shared" ca="1" si="5"/>
        <v/>
      </c>
      <c r="X10" s="313" t="str">
        <f t="shared" ca="1" si="6"/>
        <v/>
      </c>
      <c r="Y10" s="310">
        <f t="shared" ca="1" si="7"/>
        <v>99999</v>
      </c>
      <c r="Z10" s="310">
        <f t="shared" ca="1" si="29"/>
        <v>1.091</v>
      </c>
      <c r="AA10" s="315">
        <f t="shared" ca="1" si="8"/>
        <v>7</v>
      </c>
      <c r="AB10" s="312" t="str">
        <f t="shared" ca="1" si="9"/>
        <v/>
      </c>
      <c r="AC10" s="313" t="str">
        <f t="shared" ca="1" si="10"/>
        <v/>
      </c>
      <c r="AD10" s="314">
        <f t="shared" ca="1" si="11"/>
        <v>99999</v>
      </c>
      <c r="AE10" s="310">
        <f t="shared" ca="1" si="30"/>
        <v>1.091</v>
      </c>
      <c r="AF10" s="310">
        <f t="shared" ca="1" si="12"/>
        <v>7</v>
      </c>
      <c r="AG10" s="312" t="str">
        <f t="shared" ca="1" si="13"/>
        <v/>
      </c>
      <c r="AH10" s="313" t="str">
        <f t="shared" ca="1" si="14"/>
        <v/>
      </c>
      <c r="AI10" s="314">
        <f t="shared" ca="1" si="15"/>
        <v>99999</v>
      </c>
      <c r="AJ10" s="310">
        <f t="shared" ca="1" si="31"/>
        <v>1.091</v>
      </c>
      <c r="AK10" s="315">
        <f t="shared" ca="1" si="16"/>
        <v>7</v>
      </c>
      <c r="AL10" s="313" t="str">
        <f t="shared" ca="1" si="17"/>
        <v/>
      </c>
      <c r="AM10" s="313" t="str">
        <f t="shared" ca="1" si="18"/>
        <v/>
      </c>
      <c r="AN10" s="314">
        <f t="shared" ca="1" si="19"/>
        <v>99999</v>
      </c>
      <c r="AO10" s="310">
        <f t="shared" ca="1" si="32"/>
        <v>1.091</v>
      </c>
      <c r="AP10" s="315">
        <f t="shared" ca="1" si="20"/>
        <v>7</v>
      </c>
      <c r="AS10" s="1">
        <f t="shared" ca="1" si="33"/>
        <v>15</v>
      </c>
      <c r="AT10" s="1">
        <f t="shared" ca="1" si="34"/>
        <v>10</v>
      </c>
      <c r="AU10" s="1">
        <f t="shared" ca="1" si="35"/>
        <v>-5</v>
      </c>
      <c r="AV10" s="1">
        <f ca="1">IF(Settings!$G$24,$I10,ROUND($I10,Settings!$H$24))</f>
        <v>0.95099999999999996</v>
      </c>
      <c r="AW10" s="1">
        <f t="shared" ca="1" si="21"/>
        <v>0.9505494505494505</v>
      </c>
      <c r="AX10" s="1">
        <f t="shared" ca="1" si="22"/>
        <v>4</v>
      </c>
    </row>
    <row r="11" spans="1:50" s="2" customFormat="1" x14ac:dyDescent="0.2">
      <c r="A11" s="241"/>
      <c r="B11" s="1">
        <v>8</v>
      </c>
      <c r="C11" s="19">
        <f t="shared" ca="1" si="1"/>
        <v>8</v>
      </c>
      <c r="D11" s="12">
        <f t="shared" ca="1" si="2"/>
        <v>18.010999999999999</v>
      </c>
      <c r="E11" s="248">
        <f t="shared" ca="1" si="3"/>
        <v>8</v>
      </c>
      <c r="F11" s="1" t="str">
        <f t="shared" si="23"/>
        <v/>
      </c>
      <c r="G11" s="1">
        <f t="shared" ca="1" si="24"/>
        <v>0</v>
      </c>
      <c r="H11" s="1">
        <f t="shared" ca="1" si="25"/>
        <v>0</v>
      </c>
      <c r="I11" s="12">
        <f ca="1">IF(Settings!$G$24,G11-H11,IF(H11=0,IF(G11=0,0,Settings!$F$24),G11/H11))</f>
        <v>0</v>
      </c>
      <c r="J11" s="1">
        <f ca="1">$L11*Settings!$C$4+$M11</f>
        <v>0</v>
      </c>
      <c r="K11" s="1">
        <f t="shared" ca="1" si="26"/>
        <v>0</v>
      </c>
      <c r="L11" s="1">
        <f t="shared" ca="1" si="27"/>
        <v>0</v>
      </c>
      <c r="M11" s="1">
        <f t="shared" ca="1" si="4"/>
        <v>0</v>
      </c>
      <c r="N11" s="1">
        <f t="shared" ca="1" si="28"/>
        <v>0</v>
      </c>
      <c r="O11" s="12"/>
      <c r="P11" s="12"/>
      <c r="Q11" s="12"/>
      <c r="R11" s="12"/>
      <c r="S11" s="12"/>
      <c r="T11" s="12"/>
      <c r="U11" s="12"/>
      <c r="V11" s="12"/>
      <c r="W11" s="312" t="str">
        <f t="shared" ca="1" si="5"/>
        <v/>
      </c>
      <c r="X11" s="313" t="str">
        <f t="shared" ca="1" si="6"/>
        <v/>
      </c>
      <c r="Y11" s="310">
        <f t="shared" ca="1" si="7"/>
        <v>99999</v>
      </c>
      <c r="Z11" s="310">
        <f t="shared" ca="1" si="29"/>
        <v>1.0911000000000002</v>
      </c>
      <c r="AA11" s="315">
        <f t="shared" ca="1" si="8"/>
        <v>8</v>
      </c>
      <c r="AB11" s="312" t="str">
        <f t="shared" ca="1" si="9"/>
        <v/>
      </c>
      <c r="AC11" s="313" t="str">
        <f t="shared" ca="1" si="10"/>
        <v/>
      </c>
      <c r="AD11" s="314">
        <f t="shared" ca="1" si="11"/>
        <v>99999</v>
      </c>
      <c r="AE11" s="310">
        <f t="shared" ca="1" si="30"/>
        <v>1.0911000000000002</v>
      </c>
      <c r="AF11" s="310">
        <f t="shared" ca="1" si="12"/>
        <v>8</v>
      </c>
      <c r="AG11" s="312" t="str">
        <f t="shared" ca="1" si="13"/>
        <v/>
      </c>
      <c r="AH11" s="313" t="str">
        <f t="shared" ca="1" si="14"/>
        <v/>
      </c>
      <c r="AI11" s="314">
        <f t="shared" ca="1" si="15"/>
        <v>99999</v>
      </c>
      <c r="AJ11" s="310">
        <f t="shared" ca="1" si="31"/>
        <v>1.0911000000000002</v>
      </c>
      <c r="AK11" s="315">
        <f t="shared" ca="1" si="16"/>
        <v>8</v>
      </c>
      <c r="AL11" s="313" t="str">
        <f t="shared" ca="1" si="17"/>
        <v/>
      </c>
      <c r="AM11" s="313" t="str">
        <f t="shared" ca="1" si="18"/>
        <v/>
      </c>
      <c r="AN11" s="314">
        <f t="shared" ca="1" si="19"/>
        <v>99999</v>
      </c>
      <c r="AO11" s="310">
        <f t="shared" ca="1" si="32"/>
        <v>1.0911000000000002</v>
      </c>
      <c r="AP11" s="315">
        <f t="shared" ca="1" si="20"/>
        <v>8</v>
      </c>
      <c r="AS11" s="1">
        <f t="shared" ca="1" si="33"/>
        <v>0</v>
      </c>
      <c r="AT11" s="1">
        <f t="shared" ca="1" si="34"/>
        <v>0</v>
      </c>
      <c r="AU11" s="1">
        <f t="shared" ca="1" si="35"/>
        <v>0</v>
      </c>
      <c r="AV11" s="1">
        <f ca="1">IF(Settings!$G$24,$I11,ROUND($I11,Settings!$H$24))</f>
        <v>0</v>
      </c>
      <c r="AW11" s="1">
        <f t="shared" ca="1" si="21"/>
        <v>-10000</v>
      </c>
      <c r="AX11" s="1">
        <f t="shared" ca="1" si="22"/>
        <v>1</v>
      </c>
    </row>
    <row r="12" spans="1:50" s="2" customFormat="1" ht="12.75" thickBot="1" x14ac:dyDescent="0.25">
      <c r="A12" s="241"/>
      <c r="B12" s="1">
        <v>9</v>
      </c>
      <c r="C12" s="20">
        <f t="shared" ca="1" si="1"/>
        <v>9</v>
      </c>
      <c r="D12" s="12">
        <f t="shared" ca="1" si="2"/>
        <v>18.012</v>
      </c>
      <c r="E12" s="248">
        <f t="shared" ca="1" si="3"/>
        <v>8</v>
      </c>
      <c r="F12" s="1" t="str">
        <f t="shared" si="23"/>
        <v/>
      </c>
      <c r="G12" s="1">
        <f t="shared" ca="1" si="24"/>
        <v>0</v>
      </c>
      <c r="H12" s="1">
        <f t="shared" ca="1" si="25"/>
        <v>0</v>
      </c>
      <c r="I12" s="12">
        <f ca="1">IF(Settings!$G$24,G12-H12,IF(H12=0,IF(G12=0,0,Settings!$F$24),G12/H12))</f>
        <v>0</v>
      </c>
      <c r="J12" s="1">
        <f ca="1">$L12*Settings!$C$4+$M12</f>
        <v>0</v>
      </c>
      <c r="K12" s="25">
        <f t="shared" ca="1" si="26"/>
        <v>0</v>
      </c>
      <c r="L12" s="1">
        <f t="shared" ca="1" si="27"/>
        <v>0</v>
      </c>
      <c r="M12" s="1">
        <f t="shared" ca="1" si="4"/>
        <v>0</v>
      </c>
      <c r="N12" s="1">
        <f t="shared" ca="1" si="28"/>
        <v>0</v>
      </c>
      <c r="O12" s="1"/>
      <c r="P12" s="1"/>
      <c r="Q12" s="1"/>
      <c r="R12" s="1"/>
      <c r="S12" s="1"/>
      <c r="T12" s="1"/>
      <c r="U12" s="1"/>
      <c r="V12" s="1"/>
      <c r="W12" s="316" t="str">
        <f t="shared" ca="1" si="5"/>
        <v/>
      </c>
      <c r="X12" s="317" t="str">
        <f t="shared" ca="1" si="6"/>
        <v/>
      </c>
      <c r="Y12" s="318">
        <f t="shared" ca="1" si="7"/>
        <v>99999</v>
      </c>
      <c r="Z12" s="318">
        <f t="shared" ca="1" si="29"/>
        <v>1.0912000000000002</v>
      </c>
      <c r="AA12" s="319">
        <f t="shared" ca="1" si="8"/>
        <v>9</v>
      </c>
      <c r="AB12" s="316" t="str">
        <f t="shared" ca="1" si="9"/>
        <v/>
      </c>
      <c r="AC12" s="317" t="str">
        <f t="shared" ca="1" si="10"/>
        <v/>
      </c>
      <c r="AD12" s="320">
        <f t="shared" ca="1" si="11"/>
        <v>99999</v>
      </c>
      <c r="AE12" s="318">
        <f t="shared" ca="1" si="30"/>
        <v>1.0912000000000002</v>
      </c>
      <c r="AF12" s="318">
        <f t="shared" ca="1" si="12"/>
        <v>9</v>
      </c>
      <c r="AG12" s="316" t="str">
        <f t="shared" ca="1" si="13"/>
        <v/>
      </c>
      <c r="AH12" s="317" t="str">
        <f t="shared" ca="1" si="14"/>
        <v/>
      </c>
      <c r="AI12" s="320">
        <f t="shared" ca="1" si="15"/>
        <v>99999</v>
      </c>
      <c r="AJ12" s="318">
        <f t="shared" ca="1" si="31"/>
        <v>1.0912000000000002</v>
      </c>
      <c r="AK12" s="319">
        <f t="shared" ca="1" si="16"/>
        <v>9</v>
      </c>
      <c r="AL12" s="317" t="str">
        <f t="shared" ca="1" si="17"/>
        <v/>
      </c>
      <c r="AM12" s="317" t="str">
        <f t="shared" ca="1" si="18"/>
        <v/>
      </c>
      <c r="AN12" s="320">
        <f t="shared" ca="1" si="19"/>
        <v>99999</v>
      </c>
      <c r="AO12" s="318">
        <f t="shared" ca="1" si="32"/>
        <v>1.0912000000000002</v>
      </c>
      <c r="AP12" s="319">
        <f t="shared" ca="1" si="20"/>
        <v>9</v>
      </c>
      <c r="AS12" s="1">
        <f t="shared" ca="1" si="33"/>
        <v>0</v>
      </c>
      <c r="AT12" s="1">
        <f t="shared" ca="1" si="34"/>
        <v>0</v>
      </c>
      <c r="AU12" s="1">
        <f t="shared" ca="1" si="35"/>
        <v>0</v>
      </c>
      <c r="AV12" s="1">
        <f ca="1">IF(Settings!$G$24,$I12,ROUND($I12,Settings!$H$24))</f>
        <v>0</v>
      </c>
      <c r="AW12" s="1">
        <f t="shared" ca="1" si="21"/>
        <v>-10000</v>
      </c>
      <c r="AX12" s="1">
        <f t="shared" ca="1" si="22"/>
        <v>1</v>
      </c>
    </row>
    <row r="13" spans="1:50" s="2" customFormat="1" ht="12.75" thickTop="1" x14ac:dyDescent="0.2">
      <c r="B13" s="12">
        <f>$F$13*($F$13-1)</f>
        <v>42</v>
      </c>
      <c r="C13" s="12"/>
      <c r="D13" s="12"/>
      <c r="E13" s="12"/>
      <c r="F13" s="12">
        <f>9-COUNTBLANK($F$4:$F$12)</f>
        <v>7</v>
      </c>
      <c r="G13" s="12"/>
      <c r="H13" s="12"/>
      <c r="I13" s="12"/>
      <c r="J13" s="12"/>
      <c r="K13" s="24">
        <f ca="1">QUOTIENT(SUM(K4:K12),2)</f>
        <v>42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Y13" s="1"/>
      <c r="Z13" s="1"/>
    </row>
    <row r="14" spans="1:50" s="2" customFormat="1" x14ac:dyDescent="0.2">
      <c r="B14" s="12"/>
      <c r="C14" s="3"/>
      <c r="D14" s="12"/>
      <c r="E14" s="3"/>
      <c r="F14" s="12"/>
      <c r="O14" s="1"/>
      <c r="P14" s="1"/>
      <c r="Q14" s="1"/>
      <c r="R14" s="1"/>
      <c r="S14" s="1"/>
      <c r="T14" s="1"/>
      <c r="U14" s="1"/>
      <c r="V14" s="1"/>
      <c r="W14" s="1"/>
      <c r="Y14" s="1"/>
      <c r="Z14" s="1"/>
    </row>
    <row r="15" spans="1:50" s="2" customFormat="1" x14ac:dyDescent="0.2">
      <c r="O15" s="11"/>
      <c r="AD15" s="715"/>
      <c r="AE15" s="715"/>
      <c r="AF15" s="715"/>
      <c r="AG15" s="715"/>
      <c r="AH15" s="715"/>
      <c r="AI15" s="3"/>
      <c r="AK15" s="241"/>
    </row>
    <row r="16" spans="1:50" s="2" customFormat="1" ht="15.75" thickBot="1" x14ac:dyDescent="0.25">
      <c r="B16" s="12" t="s">
        <v>5</v>
      </c>
      <c r="C16" s="330" t="s">
        <v>99</v>
      </c>
      <c r="D16" s="330" t="s">
        <v>104</v>
      </c>
      <c r="E16" s="330" t="s">
        <v>105</v>
      </c>
      <c r="F16" s="330" t="s">
        <v>106</v>
      </c>
      <c r="G16" s="330" t="s">
        <v>107</v>
      </c>
      <c r="H16" s="330" t="s">
        <v>108</v>
      </c>
      <c r="I16" s="330" t="s">
        <v>109</v>
      </c>
      <c r="J16" s="330" t="s">
        <v>110</v>
      </c>
      <c r="K16" s="330" t="s">
        <v>327</v>
      </c>
      <c r="L16" s="10" t="s">
        <v>259</v>
      </c>
      <c r="M16" s="70" t="s">
        <v>98</v>
      </c>
      <c r="N16" s="70" t="s">
        <v>14</v>
      </c>
      <c r="O16" s="27">
        <v>1</v>
      </c>
      <c r="P16" s="1">
        <v>2</v>
      </c>
      <c r="Q16" s="1">
        <v>3</v>
      </c>
      <c r="R16" s="1">
        <v>4</v>
      </c>
      <c r="S16" s="1">
        <v>5</v>
      </c>
      <c r="T16" s="1">
        <v>6</v>
      </c>
      <c r="U16" s="1">
        <v>7</v>
      </c>
      <c r="V16" s="1">
        <v>8</v>
      </c>
      <c r="W16" s="10" t="s">
        <v>100</v>
      </c>
      <c r="X16" s="183" t="s">
        <v>192</v>
      </c>
      <c r="Y16" s="10" t="s">
        <v>328</v>
      </c>
      <c r="Z16" s="183" t="s">
        <v>329</v>
      </c>
      <c r="AA16" s="1" t="s">
        <v>320</v>
      </c>
      <c r="AB16" s="1" t="s">
        <v>110</v>
      </c>
      <c r="AC16" s="1" t="s">
        <v>108</v>
      </c>
      <c r="AD16" s="1" t="s">
        <v>297</v>
      </c>
      <c r="AE16" s="489"/>
      <c r="AF16" s="12"/>
      <c r="AG16" s="12"/>
      <c r="AH16" s="490"/>
      <c r="AI16" s="3"/>
    </row>
    <row r="17" spans="2:89" s="2" customFormat="1" ht="12.75" thickTop="1" x14ac:dyDescent="0.2">
      <c r="C17" s="2" t="str">
        <f>$Q64</f>
        <v>1. FC Riedwald</v>
      </c>
      <c r="D17" s="1">
        <f t="shared" ref="D17:D25" ca="1" si="36">K4</f>
        <v>12</v>
      </c>
      <c r="E17" s="1">
        <f t="shared" ref="E17:E25" ca="1" si="37">L4</f>
        <v>4</v>
      </c>
      <c r="F17" s="1">
        <f t="shared" ref="F17:F25" ca="1" si="38">M4</f>
        <v>5</v>
      </c>
      <c r="G17" s="1">
        <f t="shared" ref="G17:G25" ca="1" si="39">N4</f>
        <v>3</v>
      </c>
      <c r="H17" s="1">
        <f t="shared" ref="H17:J25" ca="1" si="40">G4</f>
        <v>553</v>
      </c>
      <c r="I17" s="1">
        <f t="shared" ca="1" si="40"/>
        <v>545</v>
      </c>
      <c r="J17" s="12">
        <f t="shared" ca="1" si="40"/>
        <v>1.0146788990825688</v>
      </c>
      <c r="K17" s="1">
        <f ca="1">IF(Settings!$G$9,J4,$AT4)</f>
        <v>14</v>
      </c>
      <c r="L17" s="26">
        <f ca="1">K17*$F$64+(AU4+$H$65)*$F$65*Settings!$G$14+AT4*$F$66*Settings!$G$19+AX4*$F$67</f>
        <v>14000000.007999999</v>
      </c>
      <c r="M17" s="13">
        <f t="shared" ref="M17:M25" ca="1" si="41">IF($AI$15,COUNTIF($K$17:$K$25,K17),COUNTIF($L$17:$L$25,L17))</f>
        <v>1</v>
      </c>
      <c r="N17" s="13">
        <f t="array" aca="1" ref="N17" ca="1">IF($AI$15,SUM(($K$17:$K$25&gt;=K17)/COUNTIF($K$17:$K$25,$K$17:$K$25)),SUM(($L$17:$L$25&gt;=L17)/COUNTIF($L$17:$L$25,$L$17:$L$25)))</f>
        <v>2</v>
      </c>
      <c r="O17" s="50" t="str">
        <f t="shared" ref="O17:O25" ca="1" si="42">IF(AND(M17&gt;1,N17=1),C17,"")</f>
        <v/>
      </c>
      <c r="P17" s="51" t="str">
        <f t="shared" ref="P17:P25" ca="1" si="43">IF(AND(M17&gt;1,N17=2),C17,"")</f>
        <v/>
      </c>
      <c r="Q17" s="51" t="str">
        <f t="shared" ref="Q17:Q25" ca="1" si="44">IF(AND(M17&gt;1,N17=3),C17,"")</f>
        <v/>
      </c>
      <c r="R17" s="51" t="str">
        <f t="shared" ref="R17:R25" ca="1" si="45">IF(AND(M17&gt;1,N17=4),C17,"")</f>
        <v/>
      </c>
      <c r="S17" s="51" t="str">
        <f t="shared" ref="S17:S25" ca="1" si="46">IF(AND(M17&gt;1,N17=5),C17,"")</f>
        <v/>
      </c>
      <c r="T17" s="51" t="str">
        <f t="shared" ref="T17:T25" ca="1" si="47">IF(AND($M17&gt;1,$N17=6),$C17,"")</f>
        <v/>
      </c>
      <c r="U17" s="51" t="str">
        <f t="shared" ref="U17:U25" ca="1" si="48">IF(AND($M17&gt;1,$N17=7),$C17,"")</f>
        <v/>
      </c>
      <c r="V17" s="52" t="str">
        <f t="shared" ref="V17:V25" ca="1" si="49">IF(AND($M17&gt;1,$N17=8),$C17,"")</f>
        <v/>
      </c>
      <c r="W17" s="61">
        <f t="shared" ref="W17:W25" ca="1" si="50">AA17*$F$64+(AB17+$H$65)*$F$65</f>
        <v>500000</v>
      </c>
      <c r="X17" s="18">
        <f ca="1">RANK($L17,$L$17:$L$25)+RANK($W17,$W$17:$W$25)/100+(9-$Y17)/10000+($C17="")*100</f>
        <v>2.0108999999999999</v>
      </c>
      <c r="Y17" s="12">
        <f>AD17+TieBreak!$D7</f>
        <v>0</v>
      </c>
      <c r="Z17" s="1">
        <f t="shared" ref="Z17:Z25" ca="1" si="51">RANK($W17,$W$17:$W$25)+(9-$Y17)/10</f>
        <v>1.9</v>
      </c>
      <c r="AA17" s="1">
        <f t="shared" ref="AA17:AA25" ca="1" si="52">SUM(E30:BP30)</f>
        <v>0</v>
      </c>
      <c r="AB17" s="1">
        <f t="shared" ref="AB17:AB25" ca="1" si="53">SUM(E41:BP41)</f>
        <v>0</v>
      </c>
      <c r="AC17" s="1">
        <f ca="1">SUM(E52:BP52)</f>
        <v>0</v>
      </c>
      <c r="AD17" s="1">
        <f>IF($C17="",0,COUNTIF(Playoffs!$U$12:$U$17,$C17))</f>
        <v>0</v>
      </c>
      <c r="AE17" s="26"/>
      <c r="AF17" s="12"/>
      <c r="AG17" s="12"/>
      <c r="AH17" s="488"/>
      <c r="AI17" s="12"/>
    </row>
    <row r="18" spans="2:89" s="2" customFormat="1" x14ac:dyDescent="0.2">
      <c r="C18" s="2" t="str">
        <f t="shared" ref="C18:C25" si="54">$Q65</f>
        <v>FC Barcelona</v>
      </c>
      <c r="D18" s="1">
        <f t="shared" ca="1" si="36"/>
        <v>12</v>
      </c>
      <c r="E18" s="1">
        <f t="shared" ca="1" si="37"/>
        <v>4</v>
      </c>
      <c r="F18" s="1">
        <f t="shared" ca="1" si="38"/>
        <v>4</v>
      </c>
      <c r="G18" s="1">
        <f t="shared" ca="1" si="39"/>
        <v>4</v>
      </c>
      <c r="H18" s="1">
        <f t="shared" ca="1" si="40"/>
        <v>537</v>
      </c>
      <c r="I18" s="1">
        <f t="shared" ca="1" si="40"/>
        <v>545</v>
      </c>
      <c r="J18" s="12">
        <f t="shared" ca="1" si="40"/>
        <v>0.98532110091743119</v>
      </c>
      <c r="K18" s="1">
        <f ca="1">IF(Settings!$G$9,J5,$AT5)</f>
        <v>13</v>
      </c>
      <c r="L18" s="26">
        <f ca="1">K18*$F$64+(AU5+$H$65)*$F$65*Settings!$G$14+AT5*$F$66*Settings!$G$19+AX5*$F$67</f>
        <v>13000000.005000001</v>
      </c>
      <c r="M18" s="13">
        <f t="shared" ca="1" si="41"/>
        <v>1</v>
      </c>
      <c r="N18" s="13">
        <f t="array" aca="1" ref="N18" ca="1">IF($AI$15,SUM(($K$17:$K$25&gt;=K18)/COUNTIF($K$17:$K$25,$K$17:$K$25)),SUM(($L$17:$L$25&gt;=L18)/COUNTIF($L$17:$L$25,$L$17:$L$25)))</f>
        <v>3</v>
      </c>
      <c r="O18" s="5" t="str">
        <f t="shared" ca="1" si="42"/>
        <v/>
      </c>
      <c r="P18" s="3" t="str">
        <f t="shared" ca="1" si="43"/>
        <v/>
      </c>
      <c r="Q18" s="3" t="str">
        <f t="shared" ca="1" si="44"/>
        <v/>
      </c>
      <c r="R18" s="3" t="str">
        <f t="shared" ca="1" si="45"/>
        <v/>
      </c>
      <c r="S18" s="3" t="str">
        <f t="shared" ca="1" si="46"/>
        <v/>
      </c>
      <c r="T18" s="3" t="str">
        <f t="shared" ca="1" si="47"/>
        <v/>
      </c>
      <c r="U18" s="3" t="str">
        <f t="shared" ca="1" si="48"/>
        <v/>
      </c>
      <c r="V18" s="53" t="str">
        <f t="shared" ca="1" si="49"/>
        <v/>
      </c>
      <c r="W18" s="61">
        <f t="shared" ca="1" si="50"/>
        <v>500000</v>
      </c>
      <c r="X18" s="19">
        <f t="shared" ref="X18:X25" ca="1" si="55">RANK($L18,$L$17:$L$25)+RANK($W18,$W$17:$W$25)/100+(9-$Y18)/10000+($C18="")*100</f>
        <v>3.0108999999999999</v>
      </c>
      <c r="Y18" s="12">
        <f>AD18+TieBreak!$D8</f>
        <v>0</v>
      </c>
      <c r="Z18" s="1">
        <f t="shared" ca="1" si="51"/>
        <v>1.9</v>
      </c>
      <c r="AA18" s="1">
        <f t="shared" ca="1" si="52"/>
        <v>0</v>
      </c>
      <c r="AB18" s="1">
        <f t="shared" ca="1" si="53"/>
        <v>0</v>
      </c>
      <c r="AC18" s="1">
        <f t="shared" ref="AC18:AC25" ca="1" si="56">SUM(E53:BP53)</f>
        <v>0</v>
      </c>
      <c r="AD18" s="1">
        <f>IF($C18="",0,COUNTIF(Playoffs!$U$12:$U$17,$C18))</f>
        <v>0</v>
      </c>
      <c r="AE18" s="26"/>
      <c r="AF18" s="12"/>
      <c r="AG18" s="12"/>
      <c r="AH18" s="488"/>
      <c r="AI18" s="12"/>
    </row>
    <row r="19" spans="2:89" s="2" customFormat="1" x14ac:dyDescent="0.2">
      <c r="C19" s="2" t="str">
        <f t="shared" si="54"/>
        <v>Eintracht Frankfurt</v>
      </c>
      <c r="D19" s="1">
        <f t="shared" ca="1" si="36"/>
        <v>12</v>
      </c>
      <c r="E19" s="1">
        <f t="shared" ca="1" si="37"/>
        <v>3</v>
      </c>
      <c r="F19" s="1">
        <f t="shared" ca="1" si="38"/>
        <v>6</v>
      </c>
      <c r="G19" s="1">
        <f t="shared" ca="1" si="39"/>
        <v>3</v>
      </c>
      <c r="H19" s="1">
        <f t="shared" ca="1" si="40"/>
        <v>535</v>
      </c>
      <c r="I19" s="1">
        <f t="shared" ca="1" si="40"/>
        <v>532</v>
      </c>
      <c r="J19" s="12">
        <f t="shared" ca="1" si="40"/>
        <v>1.005639097744361</v>
      </c>
      <c r="K19" s="1">
        <f ca="1">IF(Settings!$G$9,J6,$AT6)</f>
        <v>12</v>
      </c>
      <c r="L19" s="26">
        <f ca="1">K19*$F$64+(AU6+$H$65)*$F$65*Settings!$G$14+AT6*$F$66*Settings!$G$19+AX6*$F$67</f>
        <v>12000000.005999999</v>
      </c>
      <c r="M19" s="13">
        <f t="shared" ca="1" si="41"/>
        <v>1</v>
      </c>
      <c r="N19" s="13">
        <f t="array" aca="1" ref="N19" ca="1">IF($AI$15,SUM(($K$17:$K$25&gt;=K19)/COUNTIF($K$17:$K$25,$K$17:$K$25)),SUM(($L$17:$L$25&gt;=L19)/COUNTIF($L$17:$L$25,$L$17:$L$25)))</f>
        <v>5</v>
      </c>
      <c r="O19" s="5" t="str">
        <f t="shared" ca="1" si="42"/>
        <v/>
      </c>
      <c r="P19" s="3" t="str">
        <f t="shared" ca="1" si="43"/>
        <v/>
      </c>
      <c r="Q19" s="3" t="str">
        <f t="shared" ca="1" si="44"/>
        <v/>
      </c>
      <c r="R19" s="3" t="str">
        <f t="shared" ca="1" si="45"/>
        <v/>
      </c>
      <c r="S19" s="3" t="str">
        <f t="shared" ca="1" si="46"/>
        <v/>
      </c>
      <c r="T19" s="3" t="str">
        <f t="shared" ca="1" si="47"/>
        <v/>
      </c>
      <c r="U19" s="3" t="str">
        <f t="shared" ca="1" si="48"/>
        <v/>
      </c>
      <c r="V19" s="53" t="str">
        <f t="shared" ca="1" si="49"/>
        <v/>
      </c>
      <c r="W19" s="61">
        <f t="shared" ca="1" si="50"/>
        <v>500000</v>
      </c>
      <c r="X19" s="19">
        <f t="shared" ca="1" si="55"/>
        <v>5.0108999999999995</v>
      </c>
      <c r="Y19" s="12">
        <f>AD19+TieBreak!$D9</f>
        <v>0</v>
      </c>
      <c r="Z19" s="1">
        <f t="shared" ca="1" si="51"/>
        <v>1.9</v>
      </c>
      <c r="AA19" s="1">
        <f t="shared" ca="1" si="52"/>
        <v>0</v>
      </c>
      <c r="AB19" s="1">
        <f t="shared" ca="1" si="53"/>
        <v>0</v>
      </c>
      <c r="AC19" s="1">
        <f t="shared" ca="1" si="56"/>
        <v>0</v>
      </c>
      <c r="AD19" s="1">
        <f>IF($C19="",0,COUNTIF(Playoffs!$U$12:$U$17,$C19))</f>
        <v>0</v>
      </c>
      <c r="AE19" s="26"/>
      <c r="AF19" s="12"/>
      <c r="AG19" s="12"/>
      <c r="AH19" s="488"/>
      <c r="AI19" s="12"/>
    </row>
    <row r="20" spans="2:89" s="2" customFormat="1" x14ac:dyDescent="0.2">
      <c r="C20" s="2" t="str">
        <f t="shared" si="54"/>
        <v>Maibach 1822 eV</v>
      </c>
      <c r="D20" s="1">
        <f t="shared" ca="1" si="36"/>
        <v>12</v>
      </c>
      <c r="E20" s="1">
        <f t="shared" ca="1" si="37"/>
        <v>5</v>
      </c>
      <c r="F20" s="1">
        <f t="shared" ca="1" si="38"/>
        <v>5</v>
      </c>
      <c r="G20" s="1">
        <f t="shared" ca="1" si="39"/>
        <v>2</v>
      </c>
      <c r="H20" s="1">
        <f t="shared" ca="1" si="40"/>
        <v>552</v>
      </c>
      <c r="I20" s="1">
        <f t="shared" ca="1" si="40"/>
        <v>496</v>
      </c>
      <c r="J20" s="12">
        <f t="shared" ca="1" si="40"/>
        <v>1.1129032258064515</v>
      </c>
      <c r="K20" s="1">
        <f ca="1">IF(Settings!$G$9,J7,$AT7)</f>
        <v>15</v>
      </c>
      <c r="L20" s="26">
        <f ca="1">K20*$F$64+(AU7+$H$65)*$F$65*Settings!$G$14+AT7*$F$66*Settings!$G$19+AX7*$F$67</f>
        <v>15000000.009</v>
      </c>
      <c r="M20" s="13">
        <f t="shared" ca="1" si="41"/>
        <v>1</v>
      </c>
      <c r="N20" s="13">
        <f t="array" aca="1" ref="N20" ca="1">IF($AI$15,SUM(($K$17:$K$25&gt;=K20)/COUNTIF($K$17:$K$25,$K$17:$K$25)),SUM(($L$17:$L$25&gt;=L20)/COUNTIF($L$17:$L$25,$L$17:$L$25)))</f>
        <v>1</v>
      </c>
      <c r="O20" s="5" t="str">
        <f t="shared" ca="1" si="42"/>
        <v/>
      </c>
      <c r="P20" s="3" t="str">
        <f t="shared" ca="1" si="43"/>
        <v/>
      </c>
      <c r="Q20" s="3" t="str">
        <f t="shared" ca="1" si="44"/>
        <v/>
      </c>
      <c r="R20" s="3" t="str">
        <f t="shared" ca="1" si="45"/>
        <v/>
      </c>
      <c r="S20" s="3" t="str">
        <f t="shared" ca="1" si="46"/>
        <v/>
      </c>
      <c r="T20" s="3" t="str">
        <f t="shared" ca="1" si="47"/>
        <v/>
      </c>
      <c r="U20" s="3" t="str">
        <f t="shared" ca="1" si="48"/>
        <v/>
      </c>
      <c r="V20" s="53" t="str">
        <f t="shared" ca="1" si="49"/>
        <v/>
      </c>
      <c r="W20" s="61">
        <f t="shared" ca="1" si="50"/>
        <v>500000</v>
      </c>
      <c r="X20" s="19">
        <f t="shared" ca="1" si="55"/>
        <v>1.0108999999999999</v>
      </c>
      <c r="Y20" s="12">
        <f>AD20+TieBreak!$D10</f>
        <v>0</v>
      </c>
      <c r="Z20" s="1">
        <f t="shared" ca="1" si="51"/>
        <v>1.9</v>
      </c>
      <c r="AA20" s="1">
        <f t="shared" ca="1" si="52"/>
        <v>0</v>
      </c>
      <c r="AB20" s="1">
        <f t="shared" ca="1" si="53"/>
        <v>0</v>
      </c>
      <c r="AC20" s="1">
        <f t="shared" ca="1" si="56"/>
        <v>0</v>
      </c>
      <c r="AD20" s="1">
        <f>IF($C20="",0,COUNTIF(Playoffs!$U$12:$U$17,$C20))</f>
        <v>0</v>
      </c>
      <c r="AE20" s="26"/>
      <c r="AF20" s="12"/>
      <c r="AG20" s="12"/>
      <c r="AH20" s="488"/>
      <c r="AI20" s="12"/>
    </row>
    <row r="21" spans="2:89" s="2" customFormat="1" x14ac:dyDescent="0.2">
      <c r="C21" s="2" t="str">
        <f t="shared" si="54"/>
        <v>VFB Essenheim</v>
      </c>
      <c r="D21" s="1">
        <f t="shared" ca="1" si="36"/>
        <v>12</v>
      </c>
      <c r="E21" s="1">
        <f t="shared" ca="1" si="37"/>
        <v>2</v>
      </c>
      <c r="F21" s="1">
        <f t="shared" ca="1" si="38"/>
        <v>8</v>
      </c>
      <c r="G21" s="1">
        <f t="shared" ca="1" si="39"/>
        <v>2</v>
      </c>
      <c r="H21" s="1">
        <f t="shared" ca="1" si="40"/>
        <v>524</v>
      </c>
      <c r="I21" s="1">
        <f t="shared" ca="1" si="40"/>
        <v>521</v>
      </c>
      <c r="J21" s="12">
        <f t="shared" ca="1" si="40"/>
        <v>1.0057581573896353</v>
      </c>
      <c r="K21" s="1">
        <f ca="1">IF(Settings!$G$9,J8,$AT8)</f>
        <v>12</v>
      </c>
      <c r="L21" s="26">
        <f ca="1">K21*$F$64+(AU8+$H$65)*$F$65*Settings!$G$14+AT8*$F$66*Settings!$G$19+AX8*$F$67</f>
        <v>12000000.006999999</v>
      </c>
      <c r="M21" s="13">
        <f t="shared" ca="1" si="41"/>
        <v>1</v>
      </c>
      <c r="N21" s="13">
        <f t="array" aca="1" ref="N21" ca="1">IF($AI$15,SUM(($K$17:$K$25&gt;=K21)/COUNTIF($K$17:$K$25,$K$17:$K$25)),SUM(($L$17:$L$25&gt;=L21)/COUNTIF($L$17:$L$25,$L$17:$L$25)))</f>
        <v>4</v>
      </c>
      <c r="O21" s="5" t="str">
        <f t="shared" ca="1" si="42"/>
        <v/>
      </c>
      <c r="P21" s="3" t="str">
        <f t="shared" ca="1" si="43"/>
        <v/>
      </c>
      <c r="Q21" s="3" t="str">
        <f t="shared" ca="1" si="44"/>
        <v/>
      </c>
      <c r="R21" s="3" t="str">
        <f t="shared" ca="1" si="45"/>
        <v/>
      </c>
      <c r="S21" s="3" t="str">
        <f t="shared" ca="1" si="46"/>
        <v/>
      </c>
      <c r="T21" s="3" t="str">
        <f t="shared" ca="1" si="47"/>
        <v/>
      </c>
      <c r="U21" s="3" t="str">
        <f t="shared" ca="1" si="48"/>
        <v/>
      </c>
      <c r="V21" s="53" t="str">
        <f t="shared" ca="1" si="49"/>
        <v/>
      </c>
      <c r="W21" s="61">
        <f t="shared" ca="1" si="50"/>
        <v>500000</v>
      </c>
      <c r="X21" s="19">
        <f t="shared" ca="1" si="55"/>
        <v>4.0108999999999995</v>
      </c>
      <c r="Y21" s="12">
        <f>AD21+TieBreak!$D11</f>
        <v>0</v>
      </c>
      <c r="Z21" s="1">
        <f t="shared" ca="1" si="51"/>
        <v>1.9</v>
      </c>
      <c r="AA21" s="1">
        <f t="shared" ca="1" si="52"/>
        <v>0</v>
      </c>
      <c r="AB21" s="1">
        <f t="shared" ca="1" si="53"/>
        <v>0</v>
      </c>
      <c r="AC21" s="1">
        <f t="shared" ca="1" si="56"/>
        <v>0</v>
      </c>
      <c r="AD21" s="1">
        <f>IF($C21="",0,COUNTIF(Playoffs!$U$12:$U$17,$C21))</f>
        <v>0</v>
      </c>
      <c r="AE21" s="26"/>
      <c r="AF21" s="12"/>
      <c r="AG21" s="12"/>
      <c r="AH21" s="488"/>
      <c r="AI21" s="12"/>
    </row>
    <row r="22" spans="2:89" s="2" customFormat="1" x14ac:dyDescent="0.2">
      <c r="C22" s="2" t="str">
        <f t="shared" si="54"/>
        <v>Inter Mailand</v>
      </c>
      <c r="D22" s="1">
        <f t="shared" ca="1" si="36"/>
        <v>12</v>
      </c>
      <c r="E22" s="1">
        <f t="shared" ca="1" si="37"/>
        <v>3</v>
      </c>
      <c r="F22" s="1">
        <f t="shared" ca="1" si="38"/>
        <v>4</v>
      </c>
      <c r="G22" s="1">
        <f t="shared" ca="1" si="39"/>
        <v>5</v>
      </c>
      <c r="H22" s="1">
        <f t="shared" ca="1" si="40"/>
        <v>524</v>
      </c>
      <c r="I22" s="1">
        <f t="shared" ca="1" si="40"/>
        <v>559</v>
      </c>
      <c r="J22" s="12">
        <f t="shared" ca="1" si="40"/>
        <v>0.93738819320214672</v>
      </c>
      <c r="K22" s="1">
        <f ca="1">IF(Settings!$G$9,J9,$AT9)</f>
        <v>10</v>
      </c>
      <c r="L22" s="26">
        <f ca="1">K22*$F$64+(AU9+$H$65)*$F$65*Settings!$G$14+AT9*$F$66*Settings!$G$19+AX9*$F$67</f>
        <v>10000000.003</v>
      </c>
      <c r="M22" s="13">
        <f t="shared" ca="1" si="41"/>
        <v>1</v>
      </c>
      <c r="N22" s="13">
        <f t="array" aca="1" ref="N22" ca="1">IF($AI$15,SUM(($K$17:$K$25&gt;=K22)/COUNTIF($K$17:$K$25,$K$17:$K$25)),SUM(($L$17:$L$25&gt;=L22)/COUNTIF($L$17:$L$25,$L$17:$L$25)))</f>
        <v>7</v>
      </c>
      <c r="O22" s="5" t="str">
        <f t="shared" ca="1" si="42"/>
        <v/>
      </c>
      <c r="P22" s="3" t="str">
        <f t="shared" ca="1" si="43"/>
        <v/>
      </c>
      <c r="Q22" s="3" t="str">
        <f t="shared" ca="1" si="44"/>
        <v/>
      </c>
      <c r="R22" s="3" t="str">
        <f t="shared" ca="1" si="45"/>
        <v/>
      </c>
      <c r="S22" s="3" t="str">
        <f t="shared" ca="1" si="46"/>
        <v/>
      </c>
      <c r="T22" s="3" t="str">
        <f t="shared" ca="1" si="47"/>
        <v/>
      </c>
      <c r="U22" s="3" t="str">
        <f t="shared" ca="1" si="48"/>
        <v/>
      </c>
      <c r="V22" s="53" t="str">
        <f t="shared" ca="1" si="49"/>
        <v/>
      </c>
      <c r="W22" s="61">
        <f t="shared" ca="1" si="50"/>
        <v>500000</v>
      </c>
      <c r="X22" s="19">
        <f t="shared" ca="1" si="55"/>
        <v>7.0108999999999995</v>
      </c>
      <c r="Y22" s="12">
        <f>AD22+TieBreak!$D12</f>
        <v>0</v>
      </c>
      <c r="Z22" s="1">
        <f t="shared" ca="1" si="51"/>
        <v>1.9</v>
      </c>
      <c r="AA22" s="1">
        <f t="shared" ca="1" si="52"/>
        <v>0</v>
      </c>
      <c r="AB22" s="1">
        <f t="shared" ca="1" si="53"/>
        <v>0</v>
      </c>
      <c r="AC22" s="1">
        <f t="shared" ca="1" si="56"/>
        <v>0</v>
      </c>
      <c r="AD22" s="1">
        <f>IF($C22="",0,COUNTIF(Playoffs!$U$12:$U$17,$C22))</f>
        <v>0</v>
      </c>
      <c r="AE22" s="26"/>
      <c r="AF22" s="12"/>
      <c r="AG22" s="12"/>
      <c r="AH22" s="488"/>
      <c r="AI22" s="12"/>
    </row>
    <row r="23" spans="2:89" s="2" customFormat="1" x14ac:dyDescent="0.2">
      <c r="C23" s="2" t="str">
        <f t="shared" si="54"/>
        <v>SSV Wildbach</v>
      </c>
      <c r="D23" s="1">
        <f t="shared" ca="1" si="36"/>
        <v>12</v>
      </c>
      <c r="E23" s="1">
        <f t="shared" ca="1" si="37"/>
        <v>2</v>
      </c>
      <c r="F23" s="1">
        <f t="shared" ca="1" si="38"/>
        <v>6</v>
      </c>
      <c r="G23" s="1">
        <f t="shared" ca="1" si="39"/>
        <v>4</v>
      </c>
      <c r="H23" s="1">
        <f t="shared" ca="1" si="40"/>
        <v>519</v>
      </c>
      <c r="I23" s="1">
        <f t="shared" ca="1" si="40"/>
        <v>546</v>
      </c>
      <c r="J23" s="12">
        <f t="shared" ca="1" si="40"/>
        <v>0.9505494505494505</v>
      </c>
      <c r="K23" s="1">
        <f ca="1">IF(Settings!$G$9,J10,$AT10)</f>
        <v>10</v>
      </c>
      <c r="L23" s="26">
        <f ca="1">K23*$F$64+(AU10+$H$65)*$F$65*Settings!$G$14+AT10*$F$66*Settings!$G$19+AX10*$F$67</f>
        <v>10000000.004000001</v>
      </c>
      <c r="M23" s="13">
        <f t="shared" ca="1" si="41"/>
        <v>1</v>
      </c>
      <c r="N23" s="13">
        <f t="array" aca="1" ref="N23" ca="1">IF($AI$15,SUM(($K$17:$K$25&gt;=K23)/COUNTIF($K$17:$K$25,$K$17:$K$25)),SUM(($L$17:$L$25&gt;=L23)/COUNTIF($L$17:$L$25,$L$17:$L$25)))</f>
        <v>6</v>
      </c>
      <c r="O23" s="5" t="str">
        <f t="shared" ca="1" si="42"/>
        <v/>
      </c>
      <c r="P23" s="3" t="str">
        <f t="shared" ca="1" si="43"/>
        <v/>
      </c>
      <c r="Q23" s="3" t="str">
        <f t="shared" ca="1" si="44"/>
        <v/>
      </c>
      <c r="R23" s="3" t="str">
        <f t="shared" ca="1" si="45"/>
        <v/>
      </c>
      <c r="S23" s="3" t="str">
        <f t="shared" ca="1" si="46"/>
        <v/>
      </c>
      <c r="T23" s="3" t="str">
        <f t="shared" ca="1" si="47"/>
        <v/>
      </c>
      <c r="U23" s="3" t="str">
        <f t="shared" ca="1" si="48"/>
        <v/>
      </c>
      <c r="V23" s="53" t="str">
        <f t="shared" ca="1" si="49"/>
        <v/>
      </c>
      <c r="W23" s="61">
        <f t="shared" ca="1" si="50"/>
        <v>500000</v>
      </c>
      <c r="X23" s="19">
        <f t="shared" ca="1" si="55"/>
        <v>6.0108999999999995</v>
      </c>
      <c r="Y23" s="12">
        <f>AD23+TieBreak!$D13</f>
        <v>0</v>
      </c>
      <c r="Z23" s="1">
        <f t="shared" ca="1" si="51"/>
        <v>1.9</v>
      </c>
      <c r="AA23" s="1">
        <f t="shared" ca="1" si="52"/>
        <v>0</v>
      </c>
      <c r="AB23" s="1">
        <f t="shared" ca="1" si="53"/>
        <v>0</v>
      </c>
      <c r="AC23" s="1">
        <f t="shared" ca="1" si="56"/>
        <v>0</v>
      </c>
      <c r="AD23" s="1">
        <f>IF($C23="",0,COUNTIF(Playoffs!$U$12:$U$17,$C23))</f>
        <v>0</v>
      </c>
      <c r="AE23" s="26"/>
      <c r="AF23" s="12"/>
      <c r="AG23" s="12"/>
      <c r="AH23" s="488"/>
      <c r="AI23" s="12"/>
    </row>
    <row r="24" spans="2:89" s="2" customFormat="1" x14ac:dyDescent="0.2">
      <c r="C24" s="2" t="str">
        <f t="shared" si="54"/>
        <v/>
      </c>
      <c r="D24" s="1">
        <f t="shared" ca="1" si="36"/>
        <v>0</v>
      </c>
      <c r="E24" s="1">
        <f t="shared" ca="1" si="37"/>
        <v>0</v>
      </c>
      <c r="F24" s="1">
        <f t="shared" ca="1" si="38"/>
        <v>0</v>
      </c>
      <c r="G24" s="1">
        <f t="shared" ca="1" si="39"/>
        <v>0</v>
      </c>
      <c r="H24" s="1">
        <f t="shared" ca="1" si="40"/>
        <v>0</v>
      </c>
      <c r="I24" s="1">
        <f t="shared" ca="1" si="40"/>
        <v>0</v>
      </c>
      <c r="J24" s="12">
        <f t="shared" ca="1" si="40"/>
        <v>0</v>
      </c>
      <c r="K24" s="1">
        <f ca="1">IF(Settings!$G$9,J11,$AT11)</f>
        <v>0</v>
      </c>
      <c r="L24" s="26">
        <f ca="1">K24*$F$64+(AU11+$H$65)*$F$65*Settings!$G$14+AT11*$F$66*Settings!$G$19+AX11*$F$67</f>
        <v>1E-3</v>
      </c>
      <c r="M24" s="13">
        <f t="shared" ca="1" si="41"/>
        <v>2</v>
      </c>
      <c r="N24" s="13">
        <f t="array" aca="1" ref="N24" ca="1">IF($AI$15,SUM(($K$17:$K$25&gt;=K24)/COUNTIF($K$17:$K$25,$K$17:$K$25)),SUM(($L$17:$L$25&gt;=L24)/COUNTIF($L$17:$L$25,$L$17:$L$25)))</f>
        <v>8</v>
      </c>
      <c r="O24" s="5" t="str">
        <f t="shared" ca="1" si="42"/>
        <v/>
      </c>
      <c r="P24" s="3" t="str">
        <f t="shared" ca="1" si="43"/>
        <v/>
      </c>
      <c r="Q24" s="3" t="str">
        <f t="shared" ca="1" si="44"/>
        <v/>
      </c>
      <c r="R24" s="3" t="str">
        <f t="shared" ca="1" si="45"/>
        <v/>
      </c>
      <c r="S24" s="3" t="str">
        <f t="shared" ca="1" si="46"/>
        <v/>
      </c>
      <c r="T24" s="3" t="str">
        <f t="shared" ca="1" si="47"/>
        <v/>
      </c>
      <c r="U24" s="3" t="str">
        <f t="shared" ca="1" si="48"/>
        <v/>
      </c>
      <c r="V24" s="53" t="str">
        <f t="shared" ca="1" si="49"/>
        <v/>
      </c>
      <c r="W24" s="61">
        <f t="shared" ca="1" si="50"/>
        <v>500000</v>
      </c>
      <c r="X24" s="19">
        <f t="shared" ca="1" si="55"/>
        <v>108.01089999999999</v>
      </c>
      <c r="Y24" s="12">
        <f>AD24+TieBreak!$D14</f>
        <v>0</v>
      </c>
      <c r="Z24" s="1">
        <f t="shared" ca="1" si="51"/>
        <v>1.9</v>
      </c>
      <c r="AA24" s="1">
        <f t="shared" ca="1" si="52"/>
        <v>0</v>
      </c>
      <c r="AB24" s="1">
        <f t="shared" ca="1" si="53"/>
        <v>0</v>
      </c>
      <c r="AC24" s="1">
        <f t="shared" ca="1" si="56"/>
        <v>0</v>
      </c>
      <c r="AD24" s="1">
        <f>IF($C24="",0,COUNTIF(Playoffs!$U$12:$U$17,$C24))</f>
        <v>0</v>
      </c>
      <c r="AE24" s="26"/>
      <c r="AF24" s="12"/>
      <c r="AG24" s="12"/>
      <c r="AH24" s="488"/>
      <c r="AI24" s="12"/>
    </row>
    <row r="25" spans="2:89" s="2" customFormat="1" ht="12.75" thickBot="1" x14ac:dyDescent="0.25">
      <c r="C25" s="2" t="str">
        <f t="shared" si="54"/>
        <v/>
      </c>
      <c r="D25" s="1">
        <f t="shared" ca="1" si="36"/>
        <v>0</v>
      </c>
      <c r="E25" s="1">
        <f t="shared" ca="1" si="37"/>
        <v>0</v>
      </c>
      <c r="F25" s="1">
        <f t="shared" ca="1" si="38"/>
        <v>0</v>
      </c>
      <c r="G25" s="1">
        <f t="shared" ca="1" si="39"/>
        <v>0</v>
      </c>
      <c r="H25" s="1">
        <f t="shared" ca="1" si="40"/>
        <v>0</v>
      </c>
      <c r="I25" s="1">
        <f t="shared" ca="1" si="40"/>
        <v>0</v>
      </c>
      <c r="J25" s="12">
        <f t="shared" ca="1" si="40"/>
        <v>0</v>
      </c>
      <c r="K25" s="1">
        <f ca="1">IF(Settings!$G$9,J12,$AT12)</f>
        <v>0</v>
      </c>
      <c r="L25" s="26">
        <f ca="1">K25*$F$64+(AU12+$H$65)*$F$65*Settings!$G$14+AT12*$F$66*Settings!$G$19+AX12*$F$67</f>
        <v>1E-3</v>
      </c>
      <c r="M25" s="13">
        <f t="shared" ca="1" si="41"/>
        <v>2</v>
      </c>
      <c r="N25" s="13">
        <f t="array" aca="1" ref="N25" ca="1">IF($AI$15,SUM(($K$17:$K$25&gt;=K25)/COUNTIF($K$17:$K$25,$K$17:$K$25)),SUM(($L$17:$L$25&gt;=L25)/COUNTIF($L$17:$L$25,$L$17:$L$25)))</f>
        <v>8</v>
      </c>
      <c r="O25" s="54" t="str">
        <f t="shared" ca="1" si="42"/>
        <v/>
      </c>
      <c r="P25" s="55" t="str">
        <f t="shared" ca="1" si="43"/>
        <v/>
      </c>
      <c r="Q25" s="55" t="str">
        <f t="shared" ca="1" si="44"/>
        <v/>
      </c>
      <c r="R25" s="55" t="str">
        <f t="shared" ca="1" si="45"/>
        <v/>
      </c>
      <c r="S25" s="55" t="str">
        <f t="shared" ca="1" si="46"/>
        <v/>
      </c>
      <c r="T25" s="55" t="str">
        <f t="shared" ca="1" si="47"/>
        <v/>
      </c>
      <c r="U25" s="55" t="str">
        <f t="shared" ca="1" si="48"/>
        <v/>
      </c>
      <c r="V25" s="56" t="str">
        <f t="shared" ca="1" si="49"/>
        <v/>
      </c>
      <c r="W25" s="61">
        <f t="shared" ca="1" si="50"/>
        <v>500000</v>
      </c>
      <c r="X25" s="20">
        <f t="shared" ca="1" si="55"/>
        <v>108.01089999999999</v>
      </c>
      <c r="Y25" s="12">
        <f>AD25+TieBreak!$D15</f>
        <v>0</v>
      </c>
      <c r="Z25" s="1">
        <f t="shared" ca="1" si="51"/>
        <v>1.9</v>
      </c>
      <c r="AA25" s="1">
        <f t="shared" ca="1" si="52"/>
        <v>0</v>
      </c>
      <c r="AB25" s="1">
        <f t="shared" ca="1" si="53"/>
        <v>0</v>
      </c>
      <c r="AC25" s="1">
        <f t="shared" ca="1" si="56"/>
        <v>0</v>
      </c>
      <c r="AD25" s="1">
        <f>IF($C25="",0,COUNTIF(Playoffs!$U$12:$U$17,$C25))</f>
        <v>0</v>
      </c>
      <c r="AE25" s="26"/>
      <c r="AF25" s="12"/>
      <c r="AG25" s="12"/>
      <c r="AH25" s="488"/>
      <c r="AI25" s="12"/>
    </row>
    <row r="26" spans="2:89" s="2" customFormat="1" ht="12.75" thickTop="1" x14ac:dyDescent="0.2">
      <c r="O26" s="1"/>
      <c r="P26" s="1"/>
      <c r="Q26" s="1"/>
      <c r="R26" s="1"/>
      <c r="S26" s="1"/>
      <c r="T26" s="1"/>
      <c r="U26" s="1"/>
      <c r="V26" s="1"/>
    </row>
    <row r="27" spans="2:89" s="2" customFormat="1" x14ac:dyDescent="0.2">
      <c r="O27" s="1"/>
      <c r="P27" s="1"/>
      <c r="Q27" s="1"/>
      <c r="R27" s="1"/>
      <c r="S27" s="1"/>
      <c r="T27" s="1"/>
      <c r="U27" s="1"/>
      <c r="V27" s="1"/>
    </row>
    <row r="28" spans="2:89" s="2" customFormat="1" ht="12.75" thickBot="1" x14ac:dyDescent="0.25">
      <c r="B28" s="4" t="s">
        <v>101</v>
      </c>
    </row>
    <row r="29" spans="2:89" s="2" customFormat="1" ht="13.5" customHeight="1" thickTop="1" x14ac:dyDescent="0.2">
      <c r="B29" s="487" t="s">
        <v>322</v>
      </c>
      <c r="E29" s="722">
        <v>1</v>
      </c>
      <c r="F29" s="719"/>
      <c r="G29" s="719"/>
      <c r="H29" s="719"/>
      <c r="I29" s="719"/>
      <c r="J29" s="719"/>
      <c r="K29" s="719"/>
      <c r="L29" s="719"/>
      <c r="M29" s="720"/>
      <c r="N29" s="718">
        <v>2</v>
      </c>
      <c r="O29" s="719"/>
      <c r="P29" s="719"/>
      <c r="Q29" s="719"/>
      <c r="R29" s="719"/>
      <c r="S29" s="719"/>
      <c r="T29" s="719"/>
      <c r="U29" s="719"/>
      <c r="V29" s="720"/>
      <c r="W29" s="718">
        <v>3</v>
      </c>
      <c r="X29" s="719"/>
      <c r="Y29" s="719"/>
      <c r="Z29" s="719"/>
      <c r="AA29" s="719"/>
      <c r="AB29" s="719"/>
      <c r="AC29" s="719"/>
      <c r="AD29" s="719"/>
      <c r="AE29" s="720"/>
      <c r="AF29" s="718">
        <v>4</v>
      </c>
      <c r="AG29" s="719"/>
      <c r="AH29" s="719"/>
      <c r="AI29" s="719"/>
      <c r="AJ29" s="719"/>
      <c r="AK29" s="719"/>
      <c r="AL29" s="719"/>
      <c r="AM29" s="719"/>
      <c r="AN29" s="720"/>
      <c r="AO29" s="718">
        <v>5</v>
      </c>
      <c r="AP29" s="719"/>
      <c r="AQ29" s="719"/>
      <c r="AR29" s="719"/>
      <c r="AS29" s="719"/>
      <c r="AT29" s="719"/>
      <c r="AU29" s="719"/>
      <c r="AV29" s="719"/>
      <c r="AW29" s="720"/>
      <c r="AX29" s="718">
        <v>6</v>
      </c>
      <c r="AY29" s="719"/>
      <c r="AZ29" s="719"/>
      <c r="BA29" s="719"/>
      <c r="BB29" s="719"/>
      <c r="BC29" s="719"/>
      <c r="BD29" s="719"/>
      <c r="BE29" s="719"/>
      <c r="BF29" s="720"/>
      <c r="BG29" s="718">
        <v>7</v>
      </c>
      <c r="BH29" s="719"/>
      <c r="BI29" s="719"/>
      <c r="BJ29" s="719"/>
      <c r="BK29" s="719"/>
      <c r="BL29" s="719"/>
      <c r="BM29" s="719"/>
      <c r="BN29" s="719"/>
      <c r="BO29" s="720"/>
      <c r="BP29" s="718">
        <v>8</v>
      </c>
      <c r="BQ29" s="719"/>
      <c r="BR29" s="719"/>
      <c r="BS29" s="719"/>
      <c r="BT29" s="719"/>
      <c r="BU29" s="719"/>
      <c r="BV29" s="719"/>
      <c r="BW29" s="719"/>
      <c r="BX29" s="721"/>
      <c r="BY29" s="413"/>
      <c r="BZ29" s="12"/>
      <c r="CA29" s="4" t="s">
        <v>97</v>
      </c>
      <c r="CB29" s="2" t="str">
        <f>$F$4</f>
        <v>1. FC Riedwald</v>
      </c>
      <c r="CC29" s="2" t="str">
        <f>$F$5</f>
        <v>FC Barcelona</v>
      </c>
      <c r="CD29" s="2" t="str">
        <f>$F$6</f>
        <v>Eintracht Frankfurt</v>
      </c>
      <c r="CE29" s="2" t="str">
        <f>$F$7</f>
        <v>Maibach 1822 eV</v>
      </c>
      <c r="CF29" s="2" t="str">
        <f>$F$8</f>
        <v>VFB Essenheim</v>
      </c>
      <c r="CG29" s="2" t="str">
        <f>$F$9</f>
        <v>Inter Mailand</v>
      </c>
      <c r="CH29" s="2" t="str">
        <f>$F$10</f>
        <v>SSV Wildbach</v>
      </c>
      <c r="CI29" s="2" t="str">
        <f>$F$11</f>
        <v/>
      </c>
      <c r="CJ29" s="2" t="str">
        <f>$F$12</f>
        <v/>
      </c>
      <c r="CK29" s="49"/>
    </row>
    <row r="30" spans="2:89" s="2" customFormat="1" x14ac:dyDescent="0.2">
      <c r="C30" s="2" t="str">
        <f>$Q64</f>
        <v>1. FC Riedwald</v>
      </c>
      <c r="E30" s="14">
        <v>0</v>
      </c>
      <c r="F30" s="3">
        <f ca="1">IF(AND($O$17=$C$17,$O$18&lt;&gt;""),INDEX($CB$52:$CJ$60,MATCH($C$17,$CA$52:$CA$60,0),MATCH($O$18,$CB$51:$CJ$51,0)),0)</f>
        <v>0</v>
      </c>
      <c r="G30" s="3">
        <f ca="1">IF(AND($O$17=$C$17,$O$19&lt;&gt;""),INDEX($CB$52:$CJ$60,MATCH($C$17,$CA$52:$CA$60,0),MATCH($O$19,$CB$51:$CJ$51,0)),0)</f>
        <v>0</v>
      </c>
      <c r="H30" s="3">
        <f ca="1">IF(AND($O$17=$C$17,$O$20&lt;&gt;""),INDEX($CB$52:$CJ$60,MATCH($C$17,$CA$52:$CA$60,0),MATCH($O$20,$CB$51:$CJ$51,0)),0)</f>
        <v>0</v>
      </c>
      <c r="I30" s="3">
        <f ca="1">IF(AND($O$17=$C$17,$O$21&lt;&gt;""),INDEX($CB$52:$CJ$60,MATCH($C$17,$CA$52:$CA$60,0),MATCH($O$21,$CB$51:$CJ$51,0)),0)</f>
        <v>0</v>
      </c>
      <c r="J30" s="3">
        <f ca="1">IF(AND($O$17=$C$17,$O$22&lt;&gt;""),INDEX($CB$52:$CJ$60,MATCH($C$17,$CA$52:$CA$60,0),MATCH($O$22,$CB$51:$CJ$51,0)),0)</f>
        <v>0</v>
      </c>
      <c r="K30" s="3">
        <f ca="1">IF(AND($O$17=$C$17,$O$23&lt;&gt;""),INDEX($CB$52:$CJ$60,MATCH($C$17,$CA$52:$CA$60,0),MATCH($O$23,$CB$51:$CJ$51,0)),0)</f>
        <v>0</v>
      </c>
      <c r="L30" s="3">
        <f ca="1">IF(AND($O$17=$C$17,$O$24&lt;&gt;""),INDEX($CB$52:$CJ$60,MATCH($C$17,$CA$52:$CA$60,0),MATCH($O$24,$CB$51:$CJ$51,0)),0)</f>
        <v>0</v>
      </c>
      <c r="M30" s="53">
        <f ca="1">IF(AND($O$17=$C$17,$O$25&lt;&gt;""),INDEX($CB$52:$CJ$60,MATCH($C$17,$CA$52:$CA$60,0),MATCH($O$25,$CB$51:$CJ$51,0)),0)</f>
        <v>0</v>
      </c>
      <c r="N30" s="5">
        <v>0</v>
      </c>
      <c r="O30" s="3">
        <f ca="1">IF(AND($P$17=$C$17,$P$18&lt;&gt;""),INDEX($CB$52:$CJ$60,MATCH($C$17,$CA$52:$CA$60,0),MATCH($P$18,$CB$51:$CJ$51,0)),0)</f>
        <v>0</v>
      </c>
      <c r="P30" s="3">
        <f ca="1">IF(AND($P$17=$C$17,$P$19&lt;&gt;""),INDEX($CB$52:$CJ$60,MATCH($C$17,$CA$52:$CA$60,0),MATCH($P$19,$CB$51:$CJ$51,0)),0)</f>
        <v>0</v>
      </c>
      <c r="Q30" s="3">
        <f ca="1">IF(AND($P$17=$C$17,$P$20&lt;&gt;""),INDEX($CB$52:$CJ$60,MATCH($C$17,$CA$52:$CA$60,0),MATCH($P$20,$CB$51:$CJ$51,0)),0)</f>
        <v>0</v>
      </c>
      <c r="R30" s="3">
        <f ca="1">IF(AND($P$17=$C$17,$P$21&lt;&gt;""),INDEX($CB$52:$CJ$60,MATCH($C$17,$CA$52:$CA$60,0),MATCH($P$21,$CB$51:$CJ$51,0)),0)</f>
        <v>0</v>
      </c>
      <c r="S30" s="3">
        <f ca="1">IF(AND($P$17=$C$17,$P$22&lt;&gt;""),INDEX($CB$52:$CJ$60,MATCH($C$17,$CA$52:$CA$60,0),MATCH($P$22,$CB$51:$CJ$51,0)),0)</f>
        <v>0</v>
      </c>
      <c r="T30" s="3">
        <f ca="1">IF(AND($P$17=$C$17,$P$23&lt;&gt;""),INDEX($CB$52:$CJ$60,MATCH($C$17,$CA$52:$CA$60,0),MATCH($P$23,$CB$51:$CJ$51,0)),0)</f>
        <v>0</v>
      </c>
      <c r="U30" s="3">
        <f ca="1">IF(AND($P$17=$C$17,$P$24&lt;&gt;""),INDEX($CB$52:$CJ$60,MATCH($C$17,$CA$52:$CA$60,0),MATCH($P$24,$CB$51:$CJ$51,0)),0)</f>
        <v>0</v>
      </c>
      <c r="V30" s="53">
        <f ca="1">IF(AND($P$17=$C$17,$P$25&lt;&gt;""),INDEX($CB$52:$CJ$60,MATCH($C$17,$CA$52:$CA$60,0),MATCH($P$25,$CB$51:$CJ$51,0)),0)</f>
        <v>0</v>
      </c>
      <c r="W30" s="5">
        <v>0</v>
      </c>
      <c r="X30" s="3">
        <f ca="1">IF(AND($Q$17=$C$17,$Q$18&lt;&gt;""),INDEX($CB$52:$CJ$60,MATCH($C$17,$CA$52:$CA$60,0),MATCH($Q$18,$CB$51:$CJ$51,0)),0)</f>
        <v>0</v>
      </c>
      <c r="Y30" s="3">
        <f ca="1">IF(AND($Q$17=$C$17,$Q$19&lt;&gt;""),INDEX($CB$52:$CJ$60,MATCH($C$17,$CA$52:$CA$60,0),MATCH($Q$19,$CB$51:$CJ$51,0)),0)</f>
        <v>0</v>
      </c>
      <c r="Z30" s="3">
        <f ca="1">IF(AND($Q$17=$C$17,$Q$20&lt;&gt;""),INDEX($CB$52:$CJ$60,MATCH($C$17,$CA$52:$CA$60,0),MATCH($Q$20,$CB$51:$CJ$51,0)),0)</f>
        <v>0</v>
      </c>
      <c r="AA30" s="3">
        <f ca="1">IF(AND($Q$17=$C$17,$Q$21&lt;&gt;""),INDEX($CB$52:$CJ$60,MATCH($C$17,$CA$52:$CA$60,0),MATCH($Q$21,$CB$51:$CJ$51,0)),0)</f>
        <v>0</v>
      </c>
      <c r="AB30" s="3">
        <f ca="1">IF(AND($Q$17=$C$17,$Q$22&lt;&gt;""),INDEX($CB$52:$CJ$60,MATCH($C$17,$CA$52:$CA$60,0),MATCH($Q$22,$CB$51:$CJ$51,0)),0)</f>
        <v>0</v>
      </c>
      <c r="AC30" s="3">
        <f ca="1">IF(AND($Q$17=$C$17,$Q$23&lt;&gt;""),INDEX($CB$52:$CJ$60,MATCH($C$17,$CA$52:$CA$60,0),MATCH($Q$23,$CB$51:$CJ$51,0)),0)</f>
        <v>0</v>
      </c>
      <c r="AD30" s="3">
        <f ca="1">IF(AND($Q$17=$C$17,$Q$24&lt;&gt;""),INDEX($CB$52:$CJ$60,MATCH($C$17,$CA$52:$CA$60,0),MATCH($Q$24,$CB$51:$CJ$51,0)),0)</f>
        <v>0</v>
      </c>
      <c r="AE30" s="53">
        <f ca="1">IF(AND($Q$17=$C$17,$Q$25&lt;&gt;""),INDEX($CB$52:$CJ$60,MATCH($C$17,$CA$52:$CA$60,0),MATCH($Q$25,$CB$51:$CJ$51,0)),0)</f>
        <v>0</v>
      </c>
      <c r="AF30" s="5">
        <v>0</v>
      </c>
      <c r="AG30" s="3">
        <f ca="1">IF(AND($R$17=$C$17,$R$18&lt;&gt;""),INDEX($CB$52:$CJ$60,MATCH($C$17,$CA$52:$CA$60,0),MATCH($R$18,$CB$51:$CJ$51,0)),0)</f>
        <v>0</v>
      </c>
      <c r="AH30" s="3">
        <f ca="1">IF(AND($R$17=$C$17,$R$19&lt;&gt;""),INDEX($CB$52:$CJ$60,MATCH($C$17,$CA$52:$CA$60,0),MATCH($R$19,$CB$51:$CJ$51,0)),0)</f>
        <v>0</v>
      </c>
      <c r="AI30" s="3">
        <f ca="1">IF(AND($R$17=$C$17,$R$20&lt;&gt;""),INDEX($CB$52:$CJ$60,MATCH($C$17,$CA$52:$CA$60,0),MATCH($R$20,$CB$51:$CJ$51,0)),0)</f>
        <v>0</v>
      </c>
      <c r="AJ30" s="3">
        <f ca="1">IF(AND($R$17=$C$17,$R$21&lt;&gt;""),INDEX($CB$52:$CJ$60,MATCH($C$17,$CA$52:$CA$60,0),MATCH($R$21,$CB$51:$CJ$51,0)),0)</f>
        <v>0</v>
      </c>
      <c r="AK30" s="3">
        <f ca="1">IF(AND($R$17=$C$17,$R$22&lt;&gt;""),INDEX($CB$52:$CJ$60,MATCH($C$17,$CA$52:$CA$60,0),MATCH($R$22,$CB$51:$CJ$51,0)),0)</f>
        <v>0</v>
      </c>
      <c r="AL30" s="3">
        <f ca="1">IF(AND($R$17=$C$17,$R$23&lt;&gt;""),INDEX($CB$52:$CJ$60,MATCH($C$17,$CA$52:$CA$60,0),MATCH($R$23,$CB$51:$CJ$51,0)),0)</f>
        <v>0</v>
      </c>
      <c r="AM30" s="3">
        <f ca="1">IF(AND($R$17=$C$17,$R$24&lt;&gt;""),INDEX($CB$52:$CJ$60,MATCH($C$17,$CA$52:$CA$60,0),MATCH($R$24,$CB$51:$CJ$51,0)),0)</f>
        <v>0</v>
      </c>
      <c r="AN30" s="53">
        <f ca="1">IF(AND($R$17=$C$17,$R$25&lt;&gt;""),INDEX($CB$52:$CJ$60,MATCH($C$17,$CA$52:$CA$60,0),MATCH($R$25,$CB$51:$CJ$51,0)),0)</f>
        <v>0</v>
      </c>
      <c r="AO30" s="5">
        <v>0</v>
      </c>
      <c r="AP30" s="3">
        <f ca="1">IF(AND($S$17=$C$17,$S$18&lt;&gt;""),INDEX($CB$52:$CJ$60,MATCH($C$17,$CA$52:$CA$60,0),MATCH($S$18,$CB$51:$CJ$51,0)),0)</f>
        <v>0</v>
      </c>
      <c r="AQ30" s="3">
        <f ca="1">IF(AND($S$17=$C$17,$S$19&lt;&gt;""),INDEX($CB$52:$CJ$60,MATCH($C$17,$CA$52:$CA$60,0),MATCH($S$19,$CB$51:$CJ$51,0)),0)</f>
        <v>0</v>
      </c>
      <c r="AR30" s="3">
        <f ca="1">IF(AND($S$17=$C$17,$S$20&lt;&gt;""),INDEX($CB$52:$CJ$60,MATCH($C$17,$CA$52:$CA$60,0),MATCH($S$20,$CB$51:$CJ$51,0)),0)</f>
        <v>0</v>
      </c>
      <c r="AS30" s="3">
        <f ca="1">IF(AND($S$17=$C$17,$S$21&lt;&gt;""),INDEX($CB$52:$CJ$60,MATCH($C$17,$CA$52:$CA$60,0),MATCH($S$21,$CB$51:$CJ$51,0)),0)</f>
        <v>0</v>
      </c>
      <c r="AT30" s="3">
        <f ca="1">IF(AND($S$17=$C$17,$S$22&lt;&gt;""),INDEX($CB$52:$CJ$60,MATCH($C$17,$CA$52:$CA$60,0),MATCH($S$22,$CB$51:$CJ$51,0)),0)</f>
        <v>0</v>
      </c>
      <c r="AU30" s="3">
        <f ca="1">IF(AND($S$17=$C$17,$S$23&lt;&gt;""),INDEX($CB$52:$CJ$60,MATCH($C$17,$CA$52:$CA$60,0),MATCH($S$23,$CB$51:$CJ$51,0)),0)</f>
        <v>0</v>
      </c>
      <c r="AV30" s="3">
        <f ca="1">IF(AND($S$17=$C$17,$S$24&lt;&gt;""),INDEX($CB$52:$CJ$60,MATCH($C$17,$CA$52:$CA$60,0),MATCH($S$24,$CB$51:$CJ$51,0)),0)</f>
        <v>0</v>
      </c>
      <c r="AW30" s="53">
        <f ca="1">IF(AND($S$17=$C$17,$S$25&lt;&gt;""),INDEX($CB$52:$CJ$60,MATCH($C$17,$CA$52:$CA$60,0),MATCH($S$25,$CB$51:$CJ$51,0)),0)</f>
        <v>0</v>
      </c>
      <c r="AX30" s="5">
        <v>0</v>
      </c>
      <c r="AY30" s="3">
        <f ca="1">IF(AND($T$17=$C$17,$T$18&lt;&gt;""),INDEX($CB$52:$CJ$60,MATCH($C$17,$CA$52:$CA$60,0),MATCH($T$18,$CB$51:$CJ$51,0)),0)</f>
        <v>0</v>
      </c>
      <c r="AZ30" s="3">
        <f ca="1">IF(AND($T$17=$C$17,$T$19&lt;&gt;""),INDEX($CB$52:$CJ$60,MATCH($C$17,$CA$52:$CA$60,0),MATCH($T$19,$CB$51:$CJ$51,0)),0)</f>
        <v>0</v>
      </c>
      <c r="BA30" s="3">
        <f ca="1">IF(AND($T$17=$C$17,$T$20&lt;&gt;""),INDEX($CB$52:$CJ$60,MATCH($C$17,$CA$52:$CA$60,0),MATCH($T$20,$CB$51:$CJ$51,0)),0)</f>
        <v>0</v>
      </c>
      <c r="BB30" s="3">
        <f ca="1">IF(AND($T$17=$C$17,$T$21&lt;&gt;""),INDEX($CB$52:$CJ$60,MATCH($C$17,$CA$52:$CA$60,0),MATCH($T$21,$CB$51:$CJ$51,0)),0)</f>
        <v>0</v>
      </c>
      <c r="BC30" s="3">
        <f ca="1">IF(AND($T$17=$C$17,$T$22&lt;&gt;""),INDEX($CB$52:$CJ$60,MATCH($C$17,$CA$52:$CA$60,0),MATCH($T$22,$CB$51:$CJ$51,0)),0)</f>
        <v>0</v>
      </c>
      <c r="BD30" s="3">
        <f ca="1">IF(AND($T$17=$C$17,$T$23&lt;&gt;""),INDEX($CB$52:$CJ$60,MATCH($C$17,$CA$52:$CA$60,0),MATCH($T$23,$CB$51:$CJ$51,0)),0)</f>
        <v>0</v>
      </c>
      <c r="BE30" s="3">
        <f ca="1">IF(AND($T$17=$C$17,$T$24&lt;&gt;""),INDEX($CB$52:$CJ$60,MATCH($C$17,$CA$52:$CA$60,0),MATCH($T$24,$CB$51:$CJ$51,0)),0)</f>
        <v>0</v>
      </c>
      <c r="BF30" s="53">
        <f ca="1">IF(AND($T$17=$C$17,$T$25&lt;&gt;""),INDEX($CB$52:$CJ$60,MATCH($C$17,$CA$52:$CA$60,0),MATCH($T$25,$CB$51:$CJ$51,0)),0)</f>
        <v>0</v>
      </c>
      <c r="BG30" s="5">
        <v>0</v>
      </c>
      <c r="BH30" s="3">
        <f ca="1">IF(AND($U$17=$C$17,$U$18&lt;&gt;""),INDEX($CB$52:$CJ$60,MATCH($C$17,$CA$52:$CA$60,0),MATCH($U$18,$CB$51:$CJ$51,0)),0)</f>
        <v>0</v>
      </c>
      <c r="BI30" s="3">
        <f ca="1">IF(AND($U$17=$C$17,$U$19&lt;&gt;""),INDEX($CB$52:$CJ$60,MATCH($C$17,$CA$52:$CA$60,0),MATCH($U$19,$CB$51:$CJ$51,0)),0)</f>
        <v>0</v>
      </c>
      <c r="BJ30" s="3">
        <f ca="1">IF(AND($U$17=$C$17,$U$20&lt;&gt;""),INDEX($CB$52:$CJ$60,MATCH($C$17,$CA$52:$CA$60,0),MATCH($U$20,$CB$51:$CJ$51,0)),0)</f>
        <v>0</v>
      </c>
      <c r="BK30" s="3">
        <f ca="1">IF(AND($U$17=$C$17,$U$21&lt;&gt;""),INDEX($CB$52:$CJ$60,MATCH($C$17,$CA$52:$CA$60,0),MATCH($U$21,$CB$51:$CJ$51,0)),0)</f>
        <v>0</v>
      </c>
      <c r="BL30" s="3">
        <f ca="1">IF(AND($U$17=$C$17,$U$22&lt;&gt;""),INDEX($CB$52:$CJ$60,MATCH($C$17,$CA$52:$CA$60,0),MATCH($U$22,$CB$51:$CJ$51,0)),0)</f>
        <v>0</v>
      </c>
      <c r="BM30" s="3">
        <f ca="1">IF(AND($U$17=$C$17,$U$23&lt;&gt;""),INDEX($CB$52:$CJ$60,MATCH($C$17,$CA$52:$CA$60,0),MATCH($U$23,$CB$51:$CJ$51,0)),0)</f>
        <v>0</v>
      </c>
      <c r="BN30" s="3">
        <f ca="1">IF(AND($U$17=$C$17,$U$24&lt;&gt;""),INDEX($CB$52:$CJ$60,MATCH($C$17,$CA$52:$CA$60,0),MATCH($U$24,$CB$51:$CJ$51,0)),0)</f>
        <v>0</v>
      </c>
      <c r="BO30" s="53">
        <f ca="1">IF(AND($U$17=$C$17,$U$25&lt;&gt;""),INDEX($CB$52:$CJ$60,MATCH($C$17,$CA$52:$CA$60,0),MATCH($U$25,$CB$51:$CJ$51,0)),0)</f>
        <v>0</v>
      </c>
      <c r="BP30" s="5">
        <v>0</v>
      </c>
      <c r="BQ30" s="3">
        <f ca="1">IF(AND($V$17=$C$17,$V$18&lt;&gt;""),INDEX($CB$52:$CJ$60,MATCH($C$17,$CA$52:$CA$60,0),MATCH($V$18,$CB$51:$CJ$51,0)),0)</f>
        <v>0</v>
      </c>
      <c r="BR30" s="3">
        <f ca="1">IF(AND($V$17=$C$17,$V$19&lt;&gt;""),INDEX($CB$52:$CJ$60,MATCH($C$17,$CA$52:$CA$60,0),MATCH($V$19,$CB$51:$CJ$51,0)),0)</f>
        <v>0</v>
      </c>
      <c r="BS30" s="3">
        <f ca="1">IF(AND($V$17=$C$17,$V$20&lt;&gt;""),INDEX($CB$52:$CJ$60,MATCH($C$17,$CA$52:$CA$60,0),MATCH($V$20,$CB$51:$CJ$51,0)),0)</f>
        <v>0</v>
      </c>
      <c r="BT30" s="3">
        <f ca="1">IF(AND($V$17=$C$17,$V$21&lt;&gt;""),INDEX($CB$52:$CJ$60,MATCH($C$17,$CA$52:$CA$60,0),MATCH($V$21,$CB$51:$CJ$51,0)),0)</f>
        <v>0</v>
      </c>
      <c r="BU30" s="3">
        <f ca="1">IF(AND($V$17=$C$17,$V$22&lt;&gt;""),INDEX($CB$52:$CJ$60,MATCH($C$17,$CA$52:$CA$60,0),MATCH($V$22,$CB$51:$CJ$51,0)),0)</f>
        <v>0</v>
      </c>
      <c r="BV30" s="3">
        <f ca="1">IF(AND($V$17=$C$17,$V$23&lt;&gt;""),INDEX($CB$52:$CJ$60,MATCH($C$17,$CA$52:$CA$60,0),MATCH($V$23,$CB$51:$CJ$51,0)),0)</f>
        <v>0</v>
      </c>
      <c r="BW30" s="3">
        <f ca="1">IF(AND($V$17=$C$17,$V$24&lt;&gt;""),INDEX($CB$52:$CJ$60,MATCH($C$17,$CA$52:$CA$60,0),MATCH($V$24,$CB$51:$CJ$51,0)),0)</f>
        <v>0</v>
      </c>
      <c r="BX30" s="53">
        <f ca="1">IF(AND($V$17=$C$17,$V$25&lt;&gt;""),INDEX($CB$52:$CJ$60,MATCH($C$17,$CA$52:$CA$60,0),MATCH($V$25,$CB$51:$CJ$51,0)),0)</f>
        <v>0</v>
      </c>
      <c r="BY30" s="14"/>
      <c r="BZ30" s="3"/>
      <c r="CA30" s="2" t="str">
        <f t="shared" ref="CA30:CA38" si="57">F4</f>
        <v>1. FC Riedwald</v>
      </c>
      <c r="CB30" s="6"/>
      <c r="CC30" s="7">
        <f t="shared" ref="CC30:CJ30" ca="1" si="58">SUMIFS($AJ$64:$AJ$135,$V$64:$V$135,$CA30,$W$64:$W$135,CC$29)+SUMIFS($AK$64:$AK$135,$W$64:$W$135,$CA30,$V$64:$V$135,CC$29)</f>
        <v>89</v>
      </c>
      <c r="CD30" s="7">
        <f t="shared" ca="1" si="58"/>
        <v>100</v>
      </c>
      <c r="CE30" s="7">
        <f t="shared" ca="1" si="58"/>
        <v>71</v>
      </c>
      <c r="CF30" s="7">
        <f t="shared" ca="1" si="58"/>
        <v>88</v>
      </c>
      <c r="CG30" s="7">
        <f t="shared" ca="1" si="58"/>
        <v>110</v>
      </c>
      <c r="CH30" s="7">
        <f t="shared" ca="1" si="58"/>
        <v>95</v>
      </c>
      <c r="CI30" s="7">
        <f t="shared" ca="1" si="58"/>
        <v>0</v>
      </c>
      <c r="CJ30" s="7">
        <f t="shared" ca="1" si="58"/>
        <v>0</v>
      </c>
      <c r="CK30" s="3"/>
    </row>
    <row r="31" spans="2:89" s="2" customFormat="1" x14ac:dyDescent="0.2">
      <c r="C31" s="2" t="str">
        <f t="shared" ref="C31:C38" si="59">$Q65</f>
        <v>FC Barcelona</v>
      </c>
      <c r="E31" s="14">
        <f ca="1">IF(AND($O$18=$C$18,$O$17&lt;&gt;""),INDEX($CB$52:$CJ$60,MATCH($C$18,$CA$52:$CA$60,0),MATCH($O$17,$CB$51:$CJ$51,0)),0)</f>
        <v>0</v>
      </c>
      <c r="F31" s="3">
        <v>0</v>
      </c>
      <c r="G31" s="3">
        <f ca="1">IF(AND($O$18=$C$18,$O$19&lt;&gt;""),INDEX($CB$52:$CJ$60,MATCH($C$18,$CA$52:$CA$60,0),MATCH($O$19,$CB$51:$CJ$51,0)),0)</f>
        <v>0</v>
      </c>
      <c r="H31" s="3">
        <f ca="1">IF(AND($O$18=$C$18,$O$20&lt;&gt;""),INDEX($CB$52:$CJ$60,MATCH($C$18,$CA$52:$CA$60,0),MATCH($O$20,$CB$51:$CJ$51,0)),0)</f>
        <v>0</v>
      </c>
      <c r="I31" s="3">
        <f ca="1">IF(AND($O$18=$C$18,$O$21&lt;&gt;""),INDEX($CB$52:$CJ$60,MATCH($C$18,$CA$52:$CA$60,0),MATCH($O$21,$CB$51:$CJ$51,0)),0)</f>
        <v>0</v>
      </c>
      <c r="J31" s="3">
        <f ca="1">IF(AND($O$18=$C$18,$O$22&lt;&gt;""),INDEX($CB$52:$CJ$60,MATCH($C$18,$CA$52:$CA$60,0),MATCH($O$22,$CB$51:$CJ$51,0)),0)</f>
        <v>0</v>
      </c>
      <c r="K31" s="3">
        <f ca="1">IF(AND($O$18=$C$18,$O$23&lt;&gt;""),INDEX($CB$52:$CJ$60,MATCH($C$18,$CA$52:$CA$60,0),MATCH($O$23,$CB$51:$CJ$51,0)),0)</f>
        <v>0</v>
      </c>
      <c r="L31" s="3">
        <f ca="1">IF(AND($O$18=$C$18,$O$24&lt;&gt;""),INDEX($CB$52:$CJ$60,MATCH($C$18,$CA$52:$CA$60,0),MATCH($O$24,$CB$51:$CJ$51,0)),0)</f>
        <v>0</v>
      </c>
      <c r="M31" s="53">
        <f ca="1">IF(AND($O$18=$C$18,$O$25&lt;&gt;""),INDEX($CB$52:$CJ$60,MATCH($C$18,$CA$52:$CA$60,0),MATCH($O$25,$CB$51:$CJ$51,0)),0)</f>
        <v>0</v>
      </c>
      <c r="N31" s="5">
        <f ca="1">IF(AND($P$18=$C$18,$P$17&lt;&gt;""),INDEX($CB$52:$CJ$60,MATCH($C$18,$CA$52:$CA$60,0),MATCH($P$17,$CB$51:$CJ$51,0)),0)</f>
        <v>0</v>
      </c>
      <c r="O31" s="3">
        <v>0</v>
      </c>
      <c r="P31" s="3">
        <f ca="1">IF(AND($P$18=$C$18,$P$19&lt;&gt;""),INDEX($CB$52:$CJ$60,MATCH($C$18,$CA$52:$CA$60,0),MATCH($P$19,$CB$51:$CJ$51,0)),0)</f>
        <v>0</v>
      </c>
      <c r="Q31" s="3">
        <f ca="1">IF(AND($P$18=$C$18,$P$20&lt;&gt;""),INDEX($CB$52:$CJ$60,MATCH($C$18,$CA$52:$CA$60,0),MATCH($P$20,$CB$51:$CJ$51,0)),0)</f>
        <v>0</v>
      </c>
      <c r="R31" s="3">
        <f ca="1">IF(AND($P$18=$C$18,$P$21&lt;&gt;""),INDEX($CB$52:$CJ$60,MATCH($C$18,$CA$52:$CA$60,0),MATCH($P$21,$CB$51:$CJ$51,0)),0)</f>
        <v>0</v>
      </c>
      <c r="S31" s="3">
        <f ca="1">IF(AND($P$18=$C$18,$P$22&lt;&gt;""),INDEX($CB$52:$CJ$60,MATCH($C$18,$CA$52:$CA$60,0),MATCH($P$22,$CB$51:$CJ$51,0)),0)</f>
        <v>0</v>
      </c>
      <c r="T31" s="3">
        <f ca="1">IF(AND($P$18=$C$18,$P$23&lt;&gt;""),INDEX($CB$52:$CJ$60,MATCH($C$18,$CA$52:$CA$60,0),MATCH($P$23,$CB$51:$CJ$51,0)),0)</f>
        <v>0</v>
      </c>
      <c r="U31" s="3">
        <f ca="1">IF(AND($P$18=$C$18,$P$24&lt;&gt;""),INDEX($CB$52:$CJ$60,MATCH($C$18,$CA$52:$CA$60,0),MATCH($P$24,$CB$51:$CJ$51,0)),0)</f>
        <v>0</v>
      </c>
      <c r="V31" s="53">
        <f ca="1">IF(AND($P$18=$C$18,$P$25&lt;&gt;""),INDEX($CB$52:$CJ$60,MATCH($C$18,$CA$52:$CA$60,0),MATCH($P$25,$CB$51:$CJ$51,0)),0)</f>
        <v>0</v>
      </c>
      <c r="W31" s="5">
        <f ca="1">IF(AND($Q$18=$C$18,$Q$17&lt;&gt;""),INDEX($CB$52:$CJ$60,MATCH($C$18,$CA$52:$CA$60,0),MATCH($Q$17,$CB$51:$CJ$51,0)),0)</f>
        <v>0</v>
      </c>
      <c r="X31" s="3">
        <v>0</v>
      </c>
      <c r="Y31" s="3">
        <f ca="1">IF(AND($Q$18=$C$18,$Q$19&lt;&gt;""),INDEX($CB$52:$CJ$60,MATCH($C$18,$CA$52:$CA$60,0),MATCH($Q$19,$CB$51:$CJ$51,0)),0)</f>
        <v>0</v>
      </c>
      <c r="Z31" s="3">
        <f ca="1">IF(AND($Q$18=$C$18,$Q$20&lt;&gt;""),INDEX($CB$52:$CJ$60,MATCH($C$18,$CA$52:$CA$60,0),MATCH($Q$20,$CB$51:$CJ$51,0)),0)</f>
        <v>0</v>
      </c>
      <c r="AA31" s="3">
        <f ca="1">IF(AND($Q$18=$C$18,$Q$21&lt;&gt;""),INDEX($CB$52:$CJ$60,MATCH($C$18,$CA$52:$CA$60,0),MATCH($Q$21,$CB$51:$CJ$51,0)),0)</f>
        <v>0</v>
      </c>
      <c r="AB31" s="3">
        <f ca="1">IF(AND($Q$18=$C$18,$Q$22&lt;&gt;""),INDEX($CB$52:$CJ$60,MATCH($C$18,$CA$52:$CA$60,0),MATCH($Q$22,$CB$51:$CJ$51,0)),0)</f>
        <v>0</v>
      </c>
      <c r="AC31" s="3">
        <f ca="1">IF(AND($Q$18=$C$18,$Q$23&lt;&gt;""),INDEX($CB$52:$CJ$60,MATCH($C$18,$CA$52:$CA$60,0),MATCH($Q$23,$CB$51:$CJ$51,0)),0)</f>
        <v>0</v>
      </c>
      <c r="AD31" s="3">
        <f ca="1">IF(AND($Q$18=$C$18,$Q$24&lt;&gt;""),INDEX($CB$52:$CJ$60,MATCH($C$18,$CA$52:$CA$60,0),MATCH($Q$24,$CB$51:$CJ$51,0)),0)</f>
        <v>0</v>
      </c>
      <c r="AE31" s="53">
        <f ca="1">IF(AND($Q$18=$C$18,$Q$25&lt;&gt;""),INDEX($CB$52:$CJ$60,MATCH($C$18,$CA$52:$CA$60,0),MATCH($Q$25,$CB$51:$CJ$51,0)),0)</f>
        <v>0</v>
      </c>
      <c r="AF31" s="5">
        <f ca="1">IF(AND($R$18=$C$18,$R$17&lt;&gt;""),INDEX($CB$52:$CJ$60,MATCH($C$18,$CA$52:$CA$60,0),MATCH($R$17,$CB$51:$CJ$51,0)),0)</f>
        <v>0</v>
      </c>
      <c r="AG31" s="3">
        <v>0</v>
      </c>
      <c r="AH31" s="3">
        <f ca="1">IF(AND($R$18=$C$18,$R$19&lt;&gt;""),INDEX($CB$52:$CJ$60,MATCH($C$18,$CA$52:$CA$60,0),MATCH($R$19,$CB$51:$CJ$51,0)),0)</f>
        <v>0</v>
      </c>
      <c r="AI31" s="3">
        <f ca="1">IF(AND($R$18=$C$18,$R$20&lt;&gt;""),INDEX($CB$52:$CJ$60,MATCH($C$18,$CA$52:$CA$60,0),MATCH($R$20,$CB$51:$CJ$51,0)),0)</f>
        <v>0</v>
      </c>
      <c r="AJ31" s="3">
        <f ca="1">IF(AND($R$18=$C$18,$R$21&lt;&gt;""),INDEX($CB$52:$CJ$60,MATCH($C$18,$CA$52:$CA$60,0),MATCH($R$21,$CB$51:$CJ$51,0)),0)</f>
        <v>0</v>
      </c>
      <c r="AK31" s="3">
        <f ca="1">IF(AND($R$18=$C$18,$R$22&lt;&gt;""),INDEX($CB$52:$CJ$60,MATCH($C$18,$CA$52:$CA$60,0),MATCH($R$22,$CB$51:$CJ$51,0)),0)</f>
        <v>0</v>
      </c>
      <c r="AL31" s="3">
        <f ca="1">IF(AND($R$18=$C$18,$R$23&lt;&gt;""),INDEX($CB$52:$CJ$60,MATCH($C$18,$CA$52:$CA$60,0),MATCH($R$23,$CB$51:$CJ$51,0)),0)</f>
        <v>0</v>
      </c>
      <c r="AM31" s="3">
        <f ca="1">IF(AND($R$18=$C$18,$R$24&lt;&gt;""),INDEX($CB$52:$CJ$60,MATCH($C$18,$CA$52:$CA$60,0),MATCH($R$24,$CB$51:$CJ$51,0)),0)</f>
        <v>0</v>
      </c>
      <c r="AN31" s="53">
        <f ca="1">IF(AND($R$18=$C$18,$R$25&lt;&gt;""),INDEX($CB$52:$CJ$60,MATCH($C$18,$CA$52:$CA$60,0),MATCH($R$25,$CB$51:$CJ$51,0)),0)</f>
        <v>0</v>
      </c>
      <c r="AO31" s="5">
        <f ca="1">IF(AND($S$18=$C$18,$S$17&lt;&gt;""),INDEX($CB$52:$CJ$60,MATCH($C$18,$CA$52:$CA$60,0),MATCH($S$17,$CB$51:$CJ$51,0)),0)</f>
        <v>0</v>
      </c>
      <c r="AP31" s="3">
        <v>0</v>
      </c>
      <c r="AQ31" s="3">
        <f ca="1">IF(AND($S$18=$C$18,$S$19&lt;&gt;""),INDEX($CB$52:$CJ$60,MATCH($C$18,$CA$52:$CA$60,0),MATCH($S$19,$CB$51:$CJ$51,0)),0)</f>
        <v>0</v>
      </c>
      <c r="AR31" s="3">
        <f ca="1">IF(AND($S$18=$C$18,$S$20&lt;&gt;""),INDEX($CB$52:$CJ$60,MATCH($C$18,$CA$52:$CA$60,0),MATCH($S$20,$CB$51:$CJ$51,0)),0)</f>
        <v>0</v>
      </c>
      <c r="AS31" s="3">
        <f ca="1">IF(AND($S$18=$C$18,$S$21&lt;&gt;""),INDEX($CB$52:$CJ$60,MATCH($C$18,$CA$52:$CA$60,0),MATCH($S$21,$CB$51:$CJ$51,0)),0)</f>
        <v>0</v>
      </c>
      <c r="AT31" s="3">
        <f ca="1">IF(AND($S$18=$C$18,$S$22&lt;&gt;""),INDEX($CB$52:$CJ$60,MATCH($C$18,$CA$52:$CA$60,0),MATCH($S$22,$CB$51:$CJ$51,0)),0)</f>
        <v>0</v>
      </c>
      <c r="AU31" s="3">
        <f ca="1">IF(AND($S$18=$C$18,$S$23&lt;&gt;""),INDEX($CB$52:$CJ$60,MATCH($C$18,$CA$52:$CA$60,0),MATCH($S$23,$CB$51:$CJ$51,0)),0)</f>
        <v>0</v>
      </c>
      <c r="AV31" s="3">
        <f ca="1">IF(AND($S$18=$C$18,$S$24&lt;&gt;""),INDEX($CB$52:$CJ$60,MATCH($C$18,$CA$52:$CA$60,0),MATCH($S$24,$CB$51:$CJ$51,0)),0)</f>
        <v>0</v>
      </c>
      <c r="AW31" s="53">
        <f ca="1">IF(AND($S$18=$C$18,$S$25&lt;&gt;""),INDEX($CB$52:$CJ$60,MATCH($C$18,$CA$52:$CA$60,0),MATCH($S$25,$CB$51:$CJ$51,0)),0)</f>
        <v>0</v>
      </c>
      <c r="AX31" s="5">
        <f ca="1">IF(AND($T$18=$C$18,$T$17&lt;&gt;""),INDEX($CB$52:$CJ$60,MATCH($C$18,$CA$52:$CA$60,0),MATCH($T$17,$CB$51:$CJ$51,0)),0)</f>
        <v>0</v>
      </c>
      <c r="AY31" s="3">
        <v>0</v>
      </c>
      <c r="AZ31" s="3">
        <f ca="1">IF(AND($T$18=$C$18,$T$19&lt;&gt;""),INDEX($CB$52:$CJ$60,MATCH($C$18,$CA$52:$CA$60,0),MATCH($T$19,$CB$51:$CJ$51,0)),0)</f>
        <v>0</v>
      </c>
      <c r="BA31" s="3">
        <f ca="1">IF(AND($T$18=$C$18,$T$20&lt;&gt;""),INDEX($CB$52:$CJ$60,MATCH($C$18,$CA$52:$CA$60,0),MATCH($T$20,$CB$51:$CJ$51,0)),0)</f>
        <v>0</v>
      </c>
      <c r="BB31" s="3">
        <f ca="1">IF(AND($T$18=$C$18,$T$21&lt;&gt;""),INDEX($CB$52:$CJ$60,MATCH($C$18,$CA$52:$CA$60,0),MATCH($T$21,$CB$51:$CJ$51,0)),0)</f>
        <v>0</v>
      </c>
      <c r="BC31" s="3">
        <f ca="1">IF(AND($T$18=$C$18,$T$22&lt;&gt;""),INDEX($CB$52:$CJ$60,MATCH($C$18,$CA$52:$CA$60,0),MATCH($T$22,$CB$51:$CJ$51,0)),0)</f>
        <v>0</v>
      </c>
      <c r="BD31" s="3">
        <f ca="1">IF(AND($T$18=$C$18,$T$23&lt;&gt;""),INDEX($CB$52:$CJ$60,MATCH($C$18,$CA$52:$CA$60,0),MATCH($T$23,$CB$51:$CJ$51,0)),0)</f>
        <v>0</v>
      </c>
      <c r="BE31" s="3">
        <f ca="1">IF(AND($T$18=$C$18,$T$24&lt;&gt;""),INDEX($CB$52:$CJ$60,MATCH($C$18,$CA$52:$CA$60,0),MATCH($T$24,$CB$51:$CJ$51,0)),0)</f>
        <v>0</v>
      </c>
      <c r="BF31" s="53">
        <f ca="1">IF(AND($T$18=$C$18,$T$25&lt;&gt;""),INDEX($CB$52:$CJ$60,MATCH($C$18,$CA$52:$CA$60,0),MATCH($T$25,$CB$51:$CJ$51,0)),0)</f>
        <v>0</v>
      </c>
      <c r="BG31" s="5">
        <f ca="1">IF(AND($U$18=$C$18,$U$17&lt;&gt;""),INDEX($CB$52:$CJ$60,MATCH($C$18,$CA$52:$CA$60,0),MATCH($U$17,$CB$51:$CJ$51,0)),0)</f>
        <v>0</v>
      </c>
      <c r="BH31" s="3">
        <v>0</v>
      </c>
      <c r="BI31" s="3">
        <f ca="1">IF(AND($U$18=$C$18,$U$19&lt;&gt;""),INDEX($CB$52:$CJ$60,MATCH($C$18,$CA$52:$CA$60,0),MATCH($U$19,$CB$51:$CJ$51,0)),0)</f>
        <v>0</v>
      </c>
      <c r="BJ31" s="3">
        <f ca="1">IF(AND($U$18=$C$18,$U$20&lt;&gt;""),INDEX($CB$52:$CJ$60,MATCH($C$18,$CA$52:$CA$60,0),MATCH($U$20,$CB$51:$CJ$51,0)),0)</f>
        <v>0</v>
      </c>
      <c r="BK31" s="3">
        <f ca="1">IF(AND($U$18=$C$18,$U$21&lt;&gt;""),INDEX($CB$52:$CJ$60,MATCH($C$18,$CA$52:$CA$60,0),MATCH($U$21,$CB$51:$CJ$51,0)),0)</f>
        <v>0</v>
      </c>
      <c r="BL31" s="3">
        <f ca="1">IF(AND($U$18=$C$18,$U$22&lt;&gt;""),INDEX($CB$52:$CJ$60,MATCH($C$18,$CA$52:$CA$60,0),MATCH($U$22,$CB$51:$CJ$51,0)),0)</f>
        <v>0</v>
      </c>
      <c r="BM31" s="3">
        <f ca="1">IF(AND($U$18=$C$18,$U$23&lt;&gt;""),INDEX($CB$52:$CJ$60,MATCH($C$18,$CA$52:$CA$60,0),MATCH($U$23,$CB$51:$CJ$51,0)),0)</f>
        <v>0</v>
      </c>
      <c r="BN31" s="3">
        <f ca="1">IF(AND($U$18=$C$18,$U$24&lt;&gt;""),INDEX($CB$52:$CJ$60,MATCH($C$18,$CA$52:$CA$60,0),MATCH($U$24,$CB$51:$CJ$51,0)),0)</f>
        <v>0</v>
      </c>
      <c r="BO31" s="53">
        <f ca="1">IF(AND($U$18=$C$18,$U$25&lt;&gt;""),INDEX($CB$52:$CJ$60,MATCH($C$18,$CA$52:$CA$60,0),MATCH($U$25,$CB$51:$CJ$51,0)),0)</f>
        <v>0</v>
      </c>
      <c r="BP31" s="5">
        <f ca="1">IF(AND($V$18=$C$18,$V$17&lt;&gt;""),INDEX($CB$52:$CJ$60,MATCH($C$18,$CA$52:$CA$60,0),MATCH($V$17,$CB$51:$CJ$51,0)),0)</f>
        <v>0</v>
      </c>
      <c r="BQ31" s="3">
        <v>0</v>
      </c>
      <c r="BR31" s="3">
        <f ca="1">IF(AND($V$18=$C$18,$V$19&lt;&gt;""),INDEX($CB$52:$CJ$60,MATCH($C$18,$CA$52:$CA$60,0),MATCH($V$19,$CB$51:$CJ$51,0)),0)</f>
        <v>0</v>
      </c>
      <c r="BS31" s="3">
        <f ca="1">IF(AND($V$18=$C$18,$V$20&lt;&gt;""),INDEX($CB$52:$CJ$60,MATCH($C$18,$CA$52:$CA$60,0),MATCH($V$20,$CB$51:$CJ$51,0)),0)</f>
        <v>0</v>
      </c>
      <c r="BT31" s="3">
        <f ca="1">IF(AND($V$18=$C$18,$V$21&lt;&gt;""),INDEX($CB$52:$CJ$60,MATCH($C$18,$CA$52:$CA$60,0),MATCH($V$21,$CB$51:$CJ$51,0)),0)</f>
        <v>0</v>
      </c>
      <c r="BU31" s="3">
        <f ca="1">IF(AND($V$18=$C$18,$V$22&lt;&gt;""),INDEX($CB$52:$CJ$60,MATCH($C$18,$CA$52:$CA$60,0),MATCH($V$22,$CB$51:$CJ$51,0)),0)</f>
        <v>0</v>
      </c>
      <c r="BV31" s="3">
        <f ca="1">IF(AND($V$18=$C$18,$V$23&lt;&gt;""),INDEX($CB$52:$CJ$60,MATCH($C$18,$CA$52:$CA$60,0),MATCH($V$23,$CB$51:$CJ$51,0)),0)</f>
        <v>0</v>
      </c>
      <c r="BW31" s="3">
        <f ca="1">IF(AND($V$18=$C$18,$V$24&lt;&gt;""),INDEX($CB$52:$CJ$60,MATCH($C$18,$CA$52:$CA$60,0),MATCH($V$24,$CB$51:$CJ$51,0)),0)</f>
        <v>0</v>
      </c>
      <c r="BX31" s="53">
        <f ca="1">IF(AND($V$18=$C$18,$V$25&lt;&gt;""),INDEX($CB$52:$CJ$60,MATCH($C$18,$CA$52:$CA$60,0),MATCH($V$25,$CB$51:$CJ$51,0)),0)</f>
        <v>0</v>
      </c>
      <c r="BY31" s="14"/>
      <c r="BZ31" s="3"/>
      <c r="CA31" s="2" t="str">
        <f t="shared" si="57"/>
        <v>FC Barcelona</v>
      </c>
      <c r="CB31" s="8">
        <f t="shared" ref="CB31:CB38" ca="1" si="60">SUMIFS($AJ$64:$AJ$135,$V$64:$V$135,$CA31,$W$64:$W$135,CB$29)+SUMIFS($AK$64:$AK$135,$W$64:$W$135,$CA31,$V$64:$V$135,CB$29)</f>
        <v>91</v>
      </c>
      <c r="CC31" s="6"/>
      <c r="CD31" s="7">
        <f t="shared" ref="CD31:CJ31" ca="1" si="61">SUMIFS($AJ$64:$AJ$135,$V$64:$V$135,$CA31,$W$64:$W$135,CD$29)+SUMIFS($AK$64:$AK$135,$W$64:$W$135,$CA31,$V$64:$V$135,CD$29)</f>
        <v>75</v>
      </c>
      <c r="CE31" s="7">
        <f t="shared" ca="1" si="61"/>
        <v>87</v>
      </c>
      <c r="CF31" s="7">
        <f t="shared" ca="1" si="61"/>
        <v>96</v>
      </c>
      <c r="CG31" s="7">
        <f t="shared" ca="1" si="61"/>
        <v>90</v>
      </c>
      <c r="CH31" s="7">
        <f t="shared" ca="1" si="61"/>
        <v>98</v>
      </c>
      <c r="CI31" s="7">
        <f t="shared" ca="1" si="61"/>
        <v>0</v>
      </c>
      <c r="CJ31" s="7">
        <f t="shared" ca="1" si="61"/>
        <v>0</v>
      </c>
      <c r="CK31" s="3"/>
    </row>
    <row r="32" spans="2:89" s="2" customFormat="1" x14ac:dyDescent="0.2">
      <c r="C32" s="2" t="str">
        <f t="shared" si="59"/>
        <v>Eintracht Frankfurt</v>
      </c>
      <c r="E32" s="14">
        <f ca="1">IF(AND($O$19=$C$19,$O$17&lt;&gt;""),INDEX($CB$52:$CJ$60,MATCH($C$19,$CA$52:$CA$60,0),MATCH($O$17,$CB$51:$CJ$51,0)),0)</f>
        <v>0</v>
      </c>
      <c r="F32" s="3">
        <f ca="1">IF(AND($O$19=$C$19,$O$18&lt;&gt;""),INDEX($CB$52:$CJ$60,MATCH($C$19,$CA$52:$CA$60,0),MATCH($O$18,$CB$51:$CJ$51,0)),0)</f>
        <v>0</v>
      </c>
      <c r="G32" s="3">
        <v>0</v>
      </c>
      <c r="H32" s="3">
        <f ca="1">IF(AND($O$19=$C$19,$O$20&lt;&gt;""),INDEX($CB$52:$CJ$60,MATCH($C$19,$CA$52:$CA$60,0),MATCH($O$20,$CB$51:$CJ$51,0)),0)</f>
        <v>0</v>
      </c>
      <c r="I32" s="3">
        <f ca="1">IF(AND($O$19=$C$19,$O$21&lt;&gt;""),INDEX($CB$52:$CJ$60,MATCH($C$19,$CA$52:$CA$60,0),MATCH($O$21,$CB$51:$CJ$51,0)),0)</f>
        <v>0</v>
      </c>
      <c r="J32" s="3">
        <f ca="1">IF(AND($O$19=$C$19,$O$22&lt;&gt;""),INDEX($CB$52:$CJ$60,MATCH($C$19,$CA$52:$CA$60,0),MATCH($O$22,$CB$51:$CJ$51,0)),0)</f>
        <v>0</v>
      </c>
      <c r="K32" s="3">
        <f ca="1">IF(AND($O$19=$C$19,$O$23&lt;&gt;""),INDEX($CB$52:$CJ$60,MATCH($C$19,$CA$52:$CA$60,0),MATCH($O$23,$CB$51:$CJ$51,0)),0)</f>
        <v>0</v>
      </c>
      <c r="L32" s="3">
        <f ca="1">IF(AND($O$19=$C$19,$O$24&lt;&gt;""),INDEX($CB$52:$CJ$60,MATCH($C$19,$CA$52:$CA$60,0),MATCH($O$24,$CB$51:$CJ$51,0)),0)</f>
        <v>0</v>
      </c>
      <c r="M32" s="53">
        <f ca="1">IF(AND($O$19=$C$19,$O$25&lt;&gt;""),INDEX($CB$52:$CJ$60,MATCH($C$19,$CA$52:$CA$60,0),MATCH($O$25,$CB$51:$CJ$51,0)),0)</f>
        <v>0</v>
      </c>
      <c r="N32" s="5">
        <f ca="1">IF(AND($P$19=$C$19,$P$17&lt;&gt;""),INDEX($CB$52:$CJ$60,MATCH($C$19,$CA$52:$CA$60,0),MATCH($P$17,$CB$51:$CJ$51,0)),0)</f>
        <v>0</v>
      </c>
      <c r="O32" s="3">
        <f ca="1">IF(AND($P$19=$C$19,$P$18&lt;&gt;""),INDEX($CB$52:$CJ$60,MATCH($C$19,$CA$52:$CA$60,0),MATCH($P$18,$CB$51:$CJ$51,0)),0)</f>
        <v>0</v>
      </c>
      <c r="P32" s="3">
        <v>0</v>
      </c>
      <c r="Q32" s="3">
        <f ca="1">IF(AND($P$19=$C$19,$P$20&lt;&gt;""),INDEX($CB$52:$CJ$60,MATCH($C$19,$CA$52:$CA$60,0),MATCH($P$20,$CB$51:$CJ$51,0)),0)</f>
        <v>0</v>
      </c>
      <c r="R32" s="3">
        <f ca="1">IF(AND($P$19=$C$19,$P$21&lt;&gt;""),INDEX($CB$52:$CJ$60,MATCH($C$19,$CA$52:$CA$60,0),MATCH($P$21,$CB$51:$CJ$51,0)),0)</f>
        <v>0</v>
      </c>
      <c r="S32" s="3">
        <f ca="1">IF(AND($P$19=$C$19,$P$22&lt;&gt;""),INDEX($CB$52:$CJ$60,MATCH($C$19,$CA$52:$CA$60,0),MATCH($P$22,$CB$51:$CJ$51,0)),0)</f>
        <v>0</v>
      </c>
      <c r="T32" s="3">
        <f ca="1">IF(AND($P$19=$C$19,$P$23&lt;&gt;""),INDEX($CB$52:$CJ$60,MATCH($C$19,$CA$52:$CA$60,0),MATCH($P$23,$CB$51:$CJ$51,0)),0)</f>
        <v>0</v>
      </c>
      <c r="U32" s="3">
        <f ca="1">IF(AND($P$19=$C$19,$P$24&lt;&gt;""),INDEX($CB$52:$CJ$60,MATCH($C$19,$CA$52:$CA$60,0),MATCH($P$24,$CB$51:$CJ$51,0)),0)</f>
        <v>0</v>
      </c>
      <c r="V32" s="53">
        <f ca="1">IF(AND($P$19=$C$19,$P$25&lt;&gt;""),INDEX($CB$52:$CJ$60,MATCH($C$19,$CA$52:$CA$60,0),MATCH($P$25,$CB$51:$CJ$51,0)),0)</f>
        <v>0</v>
      </c>
      <c r="W32" s="5">
        <f ca="1">IF(AND($Q$19=$C$19,$Q$17&lt;&gt;""),INDEX($CB$52:$CJ$60,MATCH($C$19,$CA$52:$CA$60,0),MATCH($Q$17,$CB$51:$CJ$51,0)),0)</f>
        <v>0</v>
      </c>
      <c r="X32" s="3">
        <f ca="1">IF(AND($Q$19=$C$19,$Q$18&lt;&gt;""),INDEX($CB$52:$CJ$60,MATCH($C$19,$CA$52:$CA$60,0),MATCH($Q$18,$CB$51:$CJ$51,0)),0)</f>
        <v>0</v>
      </c>
      <c r="Y32" s="3">
        <v>0</v>
      </c>
      <c r="Z32" s="3">
        <f ca="1">IF(AND($Q$19=$C$19,$Q$20&lt;&gt;""),INDEX($CB$52:$CJ$60,MATCH($C$19,$CA$52:$CA$60,0),MATCH($Q$20,$CB$51:$CJ$51,0)),0)</f>
        <v>0</v>
      </c>
      <c r="AA32" s="3">
        <f ca="1">IF(AND($Q$19=$C$19,$Q$21&lt;&gt;""),INDEX($CB$52:$CJ$60,MATCH($C$19,$CA$52:$CA$60,0),MATCH($Q$21,$CB$51:$CJ$51,0)),0)</f>
        <v>0</v>
      </c>
      <c r="AB32" s="3">
        <f ca="1">IF(AND($Q$19=$C$19,$Q$22&lt;&gt;""),INDEX($CB$52:$CJ$60,MATCH($C$19,$CA$52:$CA$60,0),MATCH($Q$22,$CB$51:$CJ$51,0)),0)</f>
        <v>0</v>
      </c>
      <c r="AC32" s="3">
        <f ca="1">IF(AND($Q$19=$C$19,$Q$23&lt;&gt;""),INDEX($CB$52:$CJ$60,MATCH($C$19,$CA$52:$CA$60,0),MATCH($Q$23,$CB$51:$CJ$51,0)),0)</f>
        <v>0</v>
      </c>
      <c r="AD32" s="3">
        <f ca="1">IF(AND($Q$19=$C$19,$Q$24&lt;&gt;""),INDEX($CB$52:$CJ$60,MATCH($C$19,$CA$52:$CA$60,0),MATCH($Q$24,$CB$51:$CJ$51,0)),0)</f>
        <v>0</v>
      </c>
      <c r="AE32" s="53">
        <f ca="1">IF(AND($Q$19=$C$19,$Q$25&lt;&gt;""),INDEX($CB$52:$CJ$60,MATCH($C$19,$CA$52:$CA$60,0),MATCH($Q$25,$CB$51:$CJ$51,0)),0)</f>
        <v>0</v>
      </c>
      <c r="AF32" s="5">
        <f ca="1">IF(AND($R$19=$C$19,$R$17&lt;&gt;""),INDEX($CB$52:$CJ$60,MATCH($C$19,$CA$52:$CA$60,0),MATCH($R$17,$CB$51:$CJ$51,0)),0)</f>
        <v>0</v>
      </c>
      <c r="AG32" s="3">
        <f ca="1">IF(AND($R$19=$C$19,$R$18&lt;&gt;""),INDEX($CB$52:$CJ$60,MATCH($C$19,$CA$52:$CA$60,0),MATCH($R$18,$CB$51:$CJ$51,0)),0)</f>
        <v>0</v>
      </c>
      <c r="AH32" s="3">
        <v>0</v>
      </c>
      <c r="AI32" s="3">
        <f ca="1">IF(AND($R$19=$C$19,$R$20&lt;&gt;""),INDEX($CB$52:$CJ$60,MATCH($C$19,$CA$52:$CA$60,0),MATCH($R$20,$CB$51:$CJ$51,0)),0)</f>
        <v>0</v>
      </c>
      <c r="AJ32" s="3">
        <f ca="1">IF(AND($R$19=$C$19,$R$21&lt;&gt;""),INDEX($CB$52:$CJ$60,MATCH($C$19,$CA$52:$CA$60,0),MATCH($R$21,$CB$51:$CJ$51,0)),0)</f>
        <v>0</v>
      </c>
      <c r="AK32" s="3">
        <f ca="1">IF(AND($R$19=$C$19,$R$22&lt;&gt;""),INDEX($CB$52:$CJ$60,MATCH($C$19,$CA$52:$CA$60,0),MATCH($R$22,$CB$51:$CJ$51,0)),0)</f>
        <v>0</v>
      </c>
      <c r="AL32" s="3">
        <f ca="1">IF(AND($R$19=$C$19,$R$23&lt;&gt;""),INDEX($CB$52:$CJ$60,MATCH($C$19,$CA$52:$CA$60,0),MATCH($R$23,$CB$51:$CJ$51,0)),0)</f>
        <v>0</v>
      </c>
      <c r="AM32" s="3">
        <f ca="1">IF(AND($R$19=$C$19,$R$24&lt;&gt;""),INDEX($CB$52:$CJ$60,MATCH($C$19,$CA$52:$CA$60,0),MATCH($R$24,$CB$51:$CJ$51,0)),0)</f>
        <v>0</v>
      </c>
      <c r="AN32" s="53">
        <f ca="1">IF(AND($R$19=$C$19,$R$25&lt;&gt;""),INDEX($CB$52:$CJ$60,MATCH($C$19,$CA$52:$CA$60,0),MATCH($R$25,$CB$51:$CJ$51,0)),0)</f>
        <v>0</v>
      </c>
      <c r="AO32" s="5">
        <f ca="1">IF(AND($S$19=$C$19,$S$17&lt;&gt;""),INDEX($CB$52:$CJ$60,MATCH($C$19,$CA$52:$CA$60,0),MATCH($S$17,$CB$51:$CJ$51,0)),0)</f>
        <v>0</v>
      </c>
      <c r="AP32" s="3">
        <f ca="1">IF(AND($S$19=$C$19,$S$18&lt;&gt;""),INDEX($CB$52:$CJ$60,MATCH($C$19,$CA$52:$CA$60,0),MATCH($S$18,$CB$51:$CJ$51,0)),0)</f>
        <v>0</v>
      </c>
      <c r="AQ32" s="3">
        <v>0</v>
      </c>
      <c r="AR32" s="3">
        <f ca="1">IF(AND($S$19=$C$19,$S$20&lt;&gt;""),INDEX($CB$52:$CJ$60,MATCH($C$19,$CA$52:$CA$60,0),MATCH($S$20,$CB$51:$CJ$51,0)),0)</f>
        <v>0</v>
      </c>
      <c r="AS32" s="3">
        <f ca="1">IF(AND($S$19=$C$19,$S$21&lt;&gt;""),INDEX($CB$52:$CJ$60,MATCH($C$19,$CA$52:$CA$60,0),MATCH($S$21,$CB$51:$CJ$51,0)),0)</f>
        <v>0</v>
      </c>
      <c r="AT32" s="3">
        <f ca="1">IF(AND($S$19=$C$19,$S$22&lt;&gt;""),INDEX($CB$52:$CJ$60,MATCH($C$19,$CA$52:$CA$60,0),MATCH($S$22,$CB$51:$CJ$51,0)),0)</f>
        <v>0</v>
      </c>
      <c r="AU32" s="3">
        <f ca="1">IF(AND($S$19=$C$19,$S$23&lt;&gt;""),INDEX($CB$52:$CJ$60,MATCH($C$19,$CA$52:$CA$60,0),MATCH($S$23,$CB$51:$CJ$51,0)),0)</f>
        <v>0</v>
      </c>
      <c r="AV32" s="3">
        <f ca="1">IF(AND($S$19=$C$19,$S$24&lt;&gt;""),INDEX($CB$52:$CJ$60,MATCH($C$19,$CA$52:$CA$60,0),MATCH($S$24,$CB$51:$CJ$51,0)),0)</f>
        <v>0</v>
      </c>
      <c r="AW32" s="53">
        <f ca="1">IF(AND($S$19=$C$19,$S$25&lt;&gt;""),INDEX($CB$52:$CJ$60,MATCH($C$19,$CA$52:$CA$60,0),MATCH($S$25,$CB$51:$CJ$51,0)),0)</f>
        <v>0</v>
      </c>
      <c r="AX32" s="5">
        <f ca="1">IF(AND($T$19=$C$19,$T$17&lt;&gt;""),INDEX($CB$52:$CJ$60,MATCH($C$19,$CA$52:$CA$60,0),MATCH($T$17,$CB$51:$CJ$51,0)),0)</f>
        <v>0</v>
      </c>
      <c r="AY32" s="3">
        <f ca="1">IF(AND($T$19=$C$19,$T$18&lt;&gt;""),INDEX($CB$52:$CJ$60,MATCH($C$19,$CA$52:$CA$60,0),MATCH($T$18,$CB$51:$CJ$51,0)),0)</f>
        <v>0</v>
      </c>
      <c r="AZ32" s="3">
        <v>0</v>
      </c>
      <c r="BA32" s="3">
        <f ca="1">IF(AND($T$19=$C$19,$T$20&lt;&gt;""),INDEX($CB$52:$CJ$60,MATCH($C$19,$CA$52:$CA$60,0),MATCH($T$20,$CB$51:$CJ$51,0)),0)</f>
        <v>0</v>
      </c>
      <c r="BB32" s="3">
        <f ca="1">IF(AND($T$19=$C$19,$T$21&lt;&gt;""),INDEX($CB$52:$CJ$60,MATCH($C$19,$CA$52:$CA$60,0),MATCH($T$21,$CB$51:$CJ$51,0)),0)</f>
        <v>0</v>
      </c>
      <c r="BC32" s="3">
        <f ca="1">IF(AND($T$19=$C$19,$T$22&lt;&gt;""),INDEX($CB$52:$CJ$60,MATCH($C$19,$CA$52:$CA$60,0),MATCH($T$22,$CB$51:$CJ$51,0)),0)</f>
        <v>0</v>
      </c>
      <c r="BD32" s="3">
        <f ca="1">IF(AND($T$19=$C$19,$T$23&lt;&gt;""),INDEX($CB$52:$CJ$60,MATCH($C$19,$CA$52:$CA$60,0),MATCH($T$23,$CB$51:$CJ$51,0)),0)</f>
        <v>0</v>
      </c>
      <c r="BE32" s="3">
        <f ca="1">IF(AND($T$19=$C$19,$T$24&lt;&gt;""),INDEX($CB$52:$CJ$60,MATCH($C$19,$CA$52:$CA$60,0),MATCH($T$24,$CB$51:$CJ$51,0)),0)</f>
        <v>0</v>
      </c>
      <c r="BF32" s="53">
        <f ca="1">IF(AND($T$19=$C$19,$T$25&lt;&gt;""),INDEX($CB$52:$CJ$60,MATCH($C$19,$CA$52:$CA$60,0),MATCH($T$25,$CB$51:$CJ$51,0)),0)</f>
        <v>0</v>
      </c>
      <c r="BG32" s="5">
        <f ca="1">IF(AND($U$19=$C$19,$U$17&lt;&gt;""),INDEX($CB$52:$CJ$60,MATCH($C$19,$CA$52:$CA$60,0),MATCH($U$17,$CB$51:$CJ$51,0)),0)</f>
        <v>0</v>
      </c>
      <c r="BH32" s="3">
        <f ca="1">IF(AND($U$19=$C$19,$U$18&lt;&gt;""),INDEX($CB$52:$CJ$60,MATCH($C$19,$CA$52:$CA$60,0),MATCH($U$18,$CB$51:$CJ$51,0)),0)</f>
        <v>0</v>
      </c>
      <c r="BI32" s="3">
        <v>0</v>
      </c>
      <c r="BJ32" s="3">
        <f ca="1">IF(AND($U$19=$C$19,$U$20&lt;&gt;""),INDEX($CB$52:$CJ$60,MATCH($C$19,$CA$52:$CA$60,0),MATCH($U$20,$CB$51:$CJ$51,0)),0)</f>
        <v>0</v>
      </c>
      <c r="BK32" s="3">
        <f ca="1">IF(AND($U$19=$C$19,$U$21&lt;&gt;""),INDEX($CB$52:$CJ$60,MATCH($C$19,$CA$52:$CA$60,0),MATCH($U$21,$CB$51:$CJ$51,0)),0)</f>
        <v>0</v>
      </c>
      <c r="BL32" s="3">
        <f ca="1">IF(AND($U$19=$C$19,$U$22&lt;&gt;""),INDEX($CB$52:$CJ$60,MATCH($C$19,$CA$52:$CA$60,0),MATCH($U$22,$CB$51:$CJ$51,0)),0)</f>
        <v>0</v>
      </c>
      <c r="BM32" s="3">
        <f ca="1">IF(AND($U$19=$C$19,$U$23&lt;&gt;""),INDEX($CB$52:$CJ$60,MATCH($C$19,$CA$52:$CA$60,0),MATCH($U$23,$CB$51:$CJ$51,0)),0)</f>
        <v>0</v>
      </c>
      <c r="BN32" s="3">
        <f ca="1">IF(AND($U$19=$C$19,$U$24&lt;&gt;""),INDEX($CB$52:$CJ$60,MATCH($C$19,$CA$52:$CA$60,0),MATCH($U$24,$CB$51:$CJ$51,0)),0)</f>
        <v>0</v>
      </c>
      <c r="BO32" s="53">
        <f ca="1">IF(AND($U$19=$C$19,$U$25&lt;&gt;""),INDEX($CB$52:$CJ$60,MATCH($C$19,$CA$52:$CA$60,0),MATCH($U$25,$CB$51:$CJ$51,0)),0)</f>
        <v>0</v>
      </c>
      <c r="BP32" s="5">
        <f ca="1">IF(AND($V$19=$C$19,$V$17&lt;&gt;""),INDEX($CB$52:$CJ$60,MATCH($C$19,$CA$52:$CA$60,0),MATCH($V$17,$CB$51:$CJ$51,0)),0)</f>
        <v>0</v>
      </c>
      <c r="BQ32" s="3">
        <f ca="1">IF(AND($V$19=$C$19,$V$18&lt;&gt;""),INDEX($CB$52:$CJ$60,MATCH($C$19,$CA$52:$CA$60,0),MATCH($V$18,$CB$51:$CJ$51,0)),0)</f>
        <v>0</v>
      </c>
      <c r="BR32" s="3">
        <v>0</v>
      </c>
      <c r="BS32" s="3">
        <f ca="1">IF(AND($V$19=$C$19,$V$20&lt;&gt;""),INDEX($CB$52:$CJ$60,MATCH($C$19,$CA$52:$CA$60,0),MATCH($V$20,$CB$51:$CJ$51,0)),0)</f>
        <v>0</v>
      </c>
      <c r="BT32" s="3">
        <f ca="1">IF(AND($V$19=$C$19,$V$21&lt;&gt;""),INDEX($CB$52:$CJ$60,MATCH($C$19,$CA$52:$CA$60,0),MATCH($V$21,$CB$51:$CJ$51,0)),0)</f>
        <v>0</v>
      </c>
      <c r="BU32" s="3">
        <f ca="1">IF(AND($V$19=$C$19,$V$22&lt;&gt;""),INDEX($CB$52:$CJ$60,MATCH($C$19,$CA$52:$CA$60,0),MATCH($V$22,$CB$51:$CJ$51,0)),0)</f>
        <v>0</v>
      </c>
      <c r="BV32" s="3">
        <f ca="1">IF(AND($V$19=$C$19,$V$23&lt;&gt;""),INDEX($CB$52:$CJ$60,MATCH($C$19,$CA$52:$CA$60,0),MATCH($V$23,$CB$51:$CJ$51,0)),0)</f>
        <v>0</v>
      </c>
      <c r="BW32" s="3">
        <f ca="1">IF(AND($V$19=$C$19,$V$24&lt;&gt;""),INDEX($CB$52:$CJ$60,MATCH($C$19,$CA$52:$CA$60,0),MATCH($V$24,$CB$51:$CJ$51,0)),0)</f>
        <v>0</v>
      </c>
      <c r="BX32" s="53">
        <f ca="1">IF(AND($V$19=$C$19,$V$25&lt;&gt;""),INDEX($CB$52:$CJ$60,MATCH($C$19,$CA$52:$CA$60,0),MATCH($V$25,$CB$51:$CJ$51,0)),0)</f>
        <v>0</v>
      </c>
      <c r="BY32" s="14"/>
      <c r="BZ32" s="3"/>
      <c r="CA32" s="2" t="str">
        <f t="shared" si="57"/>
        <v>Eintracht Frankfurt</v>
      </c>
      <c r="CB32" s="8">
        <f t="shared" ca="1" si="60"/>
        <v>87</v>
      </c>
      <c r="CC32" s="8">
        <f t="shared" ref="CC32:CC38" ca="1" si="62">SUMIFS($AJ$64:$AJ$135,$V$64:$V$135,$CA32,$W$64:$W$135,CC$29)+SUMIFS($AK$64:$AK$135,$W$64:$W$135,$CA32,$V$64:$V$135,CC$29)</f>
        <v>91</v>
      </c>
      <c r="CD32" s="6"/>
      <c r="CE32" s="7">
        <f t="shared" ref="CE32:CJ32" ca="1" si="63">SUMIFS($AJ$64:$AJ$135,$V$64:$V$135,$CA32,$W$64:$W$135,CE$29)+SUMIFS($AK$64:$AK$135,$W$64:$W$135,$CA32,$V$64:$V$135,CE$29)</f>
        <v>81</v>
      </c>
      <c r="CF32" s="7">
        <f t="shared" ca="1" si="63"/>
        <v>91</v>
      </c>
      <c r="CG32" s="7">
        <f t="shared" ca="1" si="63"/>
        <v>100</v>
      </c>
      <c r="CH32" s="7">
        <f t="shared" ca="1" si="63"/>
        <v>85</v>
      </c>
      <c r="CI32" s="7">
        <f t="shared" ca="1" si="63"/>
        <v>0</v>
      </c>
      <c r="CJ32" s="7">
        <f t="shared" ca="1" si="63"/>
        <v>0</v>
      </c>
      <c r="CK32" s="3"/>
    </row>
    <row r="33" spans="2:89" s="2" customFormat="1" x14ac:dyDescent="0.2">
      <c r="C33" s="2" t="str">
        <f t="shared" si="59"/>
        <v>Maibach 1822 eV</v>
      </c>
      <c r="E33" s="14">
        <f ca="1">IF(AND($O$20=$C$20,$O$17&lt;&gt;""),INDEX($CB$52:$CJ$60,MATCH($C$20,$CA$52:$CA$60,0),MATCH($O$17,$CB$51:$CJ$51,0)),0)</f>
        <v>0</v>
      </c>
      <c r="F33" s="3">
        <f ca="1">IF(AND($O$20=$C$20,$O$18&lt;&gt;""),INDEX($CB$52:$CJ$60,MATCH($C$20,$CA$52:$CA$60,0),MATCH($O$18,$CB$51:$CJ$51,0)),0)</f>
        <v>0</v>
      </c>
      <c r="G33" s="3">
        <f ca="1">IF(AND($O$20=$C$20,$O$19&lt;&gt;""),INDEX($CB$52:$CJ$60,MATCH($C$20,$CA$52:$CA$60,0),MATCH($O$19,$CB$51:$CJ$51,0)),0)</f>
        <v>0</v>
      </c>
      <c r="H33" s="3">
        <v>0</v>
      </c>
      <c r="I33" s="3">
        <f ca="1">IF(AND($O$20=$C$20,$O$21&lt;&gt;""),INDEX($CB$52:$CJ$60,MATCH($C$20,$CA$52:$CA$60,0),MATCH($O$21,$CB$51:$CJ$51,0)),0)</f>
        <v>0</v>
      </c>
      <c r="J33" s="3">
        <f ca="1">IF(AND($O$20=$C$20,$O$22&lt;&gt;""),INDEX($CB$52:$CJ$60,MATCH($C$20,$CA$52:$CA$60,0),MATCH($O$22,$CB$51:$CJ$51,0)),0)</f>
        <v>0</v>
      </c>
      <c r="K33" s="3">
        <f ca="1">IF(AND($O$20=$C$20,$O$23&lt;&gt;""),INDEX($CB$52:$CJ$60,MATCH($C$20,$CA$52:$CA$60,0),MATCH($O$23,$CB$51:$CJ$51,0)),0)</f>
        <v>0</v>
      </c>
      <c r="L33" s="3">
        <f ca="1">IF(AND($O$20=$C$20,$O$24&lt;&gt;""),INDEX($CB$52:$CJ$60,MATCH($C$20,$CA$52:$CA$60,0),MATCH($O$24,$CB$51:$CJ$51,0)),0)</f>
        <v>0</v>
      </c>
      <c r="M33" s="53">
        <f ca="1">IF(AND($O$20=$C$20,$O$25&lt;&gt;""),INDEX($CB$52:$CJ$60,MATCH($C$20,$CA$52:$CA$60,0),MATCH($O$25,$CB$51:$CJ$51,0)),0)</f>
        <v>0</v>
      </c>
      <c r="N33" s="5">
        <f ca="1">IF(AND($P$20=$C$20,$P$17&lt;&gt;""),INDEX($CB$52:$CJ$60,MATCH($C$20,$CA$52:$CA$60,0),MATCH($P$17,$CB$51:$CJ$51,0)),0)</f>
        <v>0</v>
      </c>
      <c r="O33" s="3">
        <f ca="1">IF(AND($P$20=$C$20,$P$18&lt;&gt;""),INDEX($CB$52:$CJ$60,MATCH($C$20,$CA$52:$CA$60,0),MATCH($P$18,$CB$51:$CJ$51,0)),0)</f>
        <v>0</v>
      </c>
      <c r="P33" s="3">
        <f ca="1">IF(AND($P$20=$C$20,$P$19&lt;&gt;""),INDEX($CB$52:$CJ$60,MATCH($C$20,$CA$52:$CA$60,0),MATCH($P$19,$CB$51:$CJ$51,0)),0)</f>
        <v>0</v>
      </c>
      <c r="Q33" s="3">
        <v>0</v>
      </c>
      <c r="R33" s="3">
        <f ca="1">IF(AND($P$20=$C$20,$P$21&lt;&gt;""),INDEX($CB$52:$CJ$60,MATCH($C$20,$CA$52:$CA$60,0),MATCH($P$21,$CB$51:$CJ$51,0)),0)</f>
        <v>0</v>
      </c>
      <c r="S33" s="3">
        <f ca="1">IF(AND($P$20=$C$20,$P$22&lt;&gt;""),INDEX($CB$52:$CJ$60,MATCH($C$20,$CA$52:$CA$60,0),MATCH($P$22,$CB$51:$CJ$51,0)),0)</f>
        <v>0</v>
      </c>
      <c r="T33" s="3">
        <f ca="1">IF(AND($P$20=$C$20,$P$23&lt;&gt;""),INDEX($CB$52:$CJ$60,MATCH($C$20,$CA$52:$CA$60,0),MATCH($P$23,$CB$51:$CJ$51,0)),0)</f>
        <v>0</v>
      </c>
      <c r="U33" s="3">
        <f ca="1">IF(AND($P$20=$C$20,$P$24&lt;&gt;""),INDEX($CB$52:$CJ$60,MATCH($C$20,$CA$52:$CA$60,0),MATCH($P$24,$CB$51:$CJ$51,0)),0)</f>
        <v>0</v>
      </c>
      <c r="V33" s="53">
        <f ca="1">IF(AND($P$20=$C$20,$P$25&lt;&gt;""),INDEX($CB$52:$CJ$60,MATCH($C$20,$CA$52:$CA$60,0),MATCH($P$25,$CB$51:$CJ$51,0)),0)</f>
        <v>0</v>
      </c>
      <c r="W33" s="5">
        <f ca="1">IF(AND($Q$20=$C$20,$Q$17&lt;&gt;""),INDEX($CB$52:$CJ$60,MATCH($C$20,$CA$52:$CA$60,0),MATCH($Q$17,$CB$51:$CJ$51,0)),0)</f>
        <v>0</v>
      </c>
      <c r="X33" s="3">
        <f ca="1">IF(AND($Q$20=$C$20,$Q$18&lt;&gt;""),INDEX($CB$52:$CJ$60,MATCH($C$20,$CA$52:$CA$60,0),MATCH($Q$18,$CB$51:$CJ$51,0)),0)</f>
        <v>0</v>
      </c>
      <c r="Y33" s="3">
        <f ca="1">IF(AND($Q$20=$C$20,$Q$19&lt;&gt;""),INDEX($CB$52:$CJ$60,MATCH($C$20,$CA$52:$CA$60,0),MATCH($Q$19,$CB$51:$CJ$51,0)),0)</f>
        <v>0</v>
      </c>
      <c r="Z33" s="3">
        <v>0</v>
      </c>
      <c r="AA33" s="3">
        <f ca="1">IF(AND($Q$20=$C$20,$Q$21&lt;&gt;""),INDEX($CB$52:$CJ$60,MATCH($C$20,$CA$52:$CA$60,0),MATCH($Q$21,$CB$51:$CJ$51,0)),0)</f>
        <v>0</v>
      </c>
      <c r="AB33" s="3">
        <f ca="1">IF(AND($Q$20=$C$20,$Q$22&lt;&gt;""),INDEX($CB$52:$CJ$60,MATCH($C$20,$CA$52:$CA$60,0),MATCH($Q$22,$CB$51:$CJ$51,0)),0)</f>
        <v>0</v>
      </c>
      <c r="AC33" s="3">
        <f ca="1">IF(AND($Q$20=$C$20,$Q$23&lt;&gt;""),INDEX($CB$52:$CJ$60,MATCH($C$20,$CA$52:$CA$60,0),MATCH($Q$23,$CB$51:$CJ$51,0)),0)</f>
        <v>0</v>
      </c>
      <c r="AD33" s="3">
        <f ca="1">IF(AND($Q$20=$C$20,$Q$24&lt;&gt;""),INDEX($CB$52:$CJ$60,MATCH($C$20,$CA$52:$CA$60,0),MATCH($Q$24,$CB$51:$CJ$51,0)),0)</f>
        <v>0</v>
      </c>
      <c r="AE33" s="53">
        <f ca="1">IF(AND($Q$20=$C$20,$Q$25&lt;&gt;""),INDEX($CB$52:$CJ$60,MATCH($C$20,$CA$52:$CA$60,0),MATCH($Q$25,$CB$51:$CJ$51,0)),0)</f>
        <v>0</v>
      </c>
      <c r="AF33" s="5">
        <f ca="1">IF(AND($R$20=$C$20,$R$17&lt;&gt;""),INDEX($CB$52:$CJ$60,MATCH($C$20,$CA$52:$CA$60,0),MATCH($R$17,$CB$51:$CJ$51,0)),0)</f>
        <v>0</v>
      </c>
      <c r="AG33" s="3">
        <f ca="1">IF(AND($R$20=$C$20,$R$18&lt;&gt;""),INDEX($CB$52:$CJ$60,MATCH($C$20,$CA$52:$CA$60,0),MATCH($R$18,$CB$51:$CJ$51,0)),0)</f>
        <v>0</v>
      </c>
      <c r="AH33" s="3">
        <f ca="1">IF(AND($R$20=$C$20,$R$19&lt;&gt;""),INDEX($CB$52:$CJ$60,MATCH($C$20,$CA$52:$CA$60,0),MATCH($R$19,$CB$51:$CJ$51,0)),0)</f>
        <v>0</v>
      </c>
      <c r="AI33" s="3">
        <v>0</v>
      </c>
      <c r="AJ33" s="3">
        <f ca="1">IF(AND($R$20=$C$20,$R$21&lt;&gt;""),INDEX($CB$52:$CJ$60,MATCH($C$20,$CA$52:$CA$60,0),MATCH($R$21,$CB$51:$CJ$51,0)),0)</f>
        <v>0</v>
      </c>
      <c r="AK33" s="3">
        <f ca="1">IF(AND($R$20=$C$20,$R$22&lt;&gt;""),INDEX($CB$52:$CJ$60,MATCH($C$20,$CA$52:$CA$60,0),MATCH($R$22,$CB$51:$CJ$51,0)),0)</f>
        <v>0</v>
      </c>
      <c r="AL33" s="3">
        <f ca="1">IF(AND($R$20=$C$20,$R$23&lt;&gt;""),INDEX($CB$52:$CJ$60,MATCH($C$20,$CA$52:$CA$60,0),MATCH($R$23,$CB$51:$CJ$51,0)),0)</f>
        <v>0</v>
      </c>
      <c r="AM33" s="3">
        <f ca="1">IF(AND($R$20=$C$20,$R$24&lt;&gt;""),INDEX($CB$52:$CJ$60,MATCH($C$20,$CA$52:$CA$60,0),MATCH($R$24,$CB$51:$CJ$51,0)),0)</f>
        <v>0</v>
      </c>
      <c r="AN33" s="53">
        <f ca="1">IF(AND($R$20=$C$20,$R$25&lt;&gt;""),INDEX($CB$52:$CJ$60,MATCH($C$20,$CA$52:$CA$60,0),MATCH($R$25,$CB$51:$CJ$51,0)),0)</f>
        <v>0</v>
      </c>
      <c r="AO33" s="5">
        <f ca="1">IF(AND($S$20=$C$20,$S$17&lt;&gt;""),INDEX($CB$52:$CJ$60,MATCH($C$20,$CA$52:$CA$60,0),MATCH($S$17,$CB$51:$CJ$51,0)),0)</f>
        <v>0</v>
      </c>
      <c r="AP33" s="3">
        <f ca="1">IF(AND($S$20=$C$20,$S$18&lt;&gt;""),INDEX($CB$52:$CJ$60,MATCH($C$20,$CA$52:$CA$60,0),MATCH($S$18,$CB$51:$CJ$51,0)),0)</f>
        <v>0</v>
      </c>
      <c r="AQ33" s="3">
        <f ca="1">IF(AND($S$20=$C$20,$S$19&lt;&gt;""),INDEX($CB$52:$CJ$60,MATCH($C$20,$CA$52:$CA$60,0),MATCH($S$19,$CB$51:$CJ$51,0)),0)</f>
        <v>0</v>
      </c>
      <c r="AR33" s="3">
        <v>0</v>
      </c>
      <c r="AS33" s="3">
        <f ca="1">IF(AND($S$20=$C$20,$S$21&lt;&gt;""),INDEX($CB$52:$CJ$60,MATCH($C$20,$CA$52:$CA$60,0),MATCH($S$21,$CB$51:$CJ$51,0)),0)</f>
        <v>0</v>
      </c>
      <c r="AT33" s="3">
        <f ca="1">IF(AND($S$20=$C$20,$S$22&lt;&gt;""),INDEX($CB$52:$CJ$60,MATCH($C$20,$CA$52:$CA$60,0),MATCH($S$22,$CB$51:$CJ$51,0)),0)</f>
        <v>0</v>
      </c>
      <c r="AU33" s="3">
        <f ca="1">IF(AND($S$20=$C$20,$S$23&lt;&gt;""),INDEX($CB$52:$CJ$60,MATCH($C$20,$CA$52:$CA$60,0),MATCH($S$23,$CB$51:$CJ$51,0)),0)</f>
        <v>0</v>
      </c>
      <c r="AV33" s="3">
        <f ca="1">IF(AND($S$20=$C$20,$S$24&lt;&gt;""),INDEX($CB$52:$CJ$60,MATCH($C$20,$CA$52:$CA$60,0),MATCH($S$24,$CB$51:$CJ$51,0)),0)</f>
        <v>0</v>
      </c>
      <c r="AW33" s="53">
        <f ca="1">IF(AND($S$20=$C$20,$S$25&lt;&gt;""),INDEX($CB$52:$CJ$60,MATCH($C$20,$CA$52:$CA$60,0),MATCH($S$25,$CB$51:$CJ$51,0)),0)</f>
        <v>0</v>
      </c>
      <c r="AX33" s="5">
        <f ca="1">IF(AND($T$20=$C$20,$T$17&lt;&gt;""),INDEX($CB$52:$CJ$60,MATCH($C$20,$CA$52:$CA$60,0),MATCH($T$17,$CB$51:$CJ$51,0)),0)</f>
        <v>0</v>
      </c>
      <c r="AY33" s="3">
        <f ca="1">IF(AND($T$20=$C$20,$T$18&lt;&gt;""),INDEX($CB$52:$CJ$60,MATCH($C$20,$CA$52:$CA$60,0),MATCH($T$18,$CB$51:$CJ$51,0)),0)</f>
        <v>0</v>
      </c>
      <c r="AZ33" s="3">
        <f ca="1">IF(AND($T$20=$C$20,$T$19&lt;&gt;""),INDEX($CB$52:$CJ$60,MATCH($C$20,$CA$52:$CA$60,0),MATCH($T$19,$CB$51:$CJ$51,0)),0)</f>
        <v>0</v>
      </c>
      <c r="BA33" s="3">
        <v>0</v>
      </c>
      <c r="BB33" s="3">
        <f ca="1">IF(AND($T$20=$C$20,$T$21&lt;&gt;""),INDEX($CB$52:$CJ$60,MATCH($C$20,$CA$52:$CA$60,0),MATCH($T$21,$CB$51:$CJ$51,0)),0)</f>
        <v>0</v>
      </c>
      <c r="BC33" s="3">
        <f ca="1">IF(AND($T$20=$C$20,$T$22&lt;&gt;""),INDEX($CB$52:$CJ$60,MATCH($C$20,$CA$52:$CA$60,0),MATCH($T$22,$CB$51:$CJ$51,0)),0)</f>
        <v>0</v>
      </c>
      <c r="BD33" s="3">
        <f ca="1">IF(AND($T$20=$C$20,$T$23&lt;&gt;""),INDEX($CB$52:$CJ$60,MATCH($C$20,$CA$52:$CA$60,0),MATCH($T$23,$CB$51:$CJ$51,0)),0)</f>
        <v>0</v>
      </c>
      <c r="BE33" s="3">
        <f ca="1">IF(AND($T$20=$C$20,$T$24&lt;&gt;""),INDEX($CB$52:$CJ$60,MATCH($C$20,$CA$52:$CA$60,0),MATCH($T$24,$CB$51:$CJ$51,0)),0)</f>
        <v>0</v>
      </c>
      <c r="BF33" s="53">
        <f ca="1">IF(AND($T$20=$C$20,$T$25&lt;&gt;""),INDEX($CB$52:$CJ$60,MATCH($C$20,$CA$52:$CA$60,0),MATCH($T$25,$CB$51:$CJ$51,0)),0)</f>
        <v>0</v>
      </c>
      <c r="BG33" s="5">
        <f ca="1">IF(AND($U$20=$C$20,$U$17&lt;&gt;""),INDEX($CB$52:$CJ$60,MATCH($C$20,$CA$52:$CA$60,0),MATCH($U$17,$CB$51:$CJ$51,0)),0)</f>
        <v>0</v>
      </c>
      <c r="BH33" s="3">
        <f ca="1">IF(AND($U$20=$C$20,$U$18&lt;&gt;""),INDEX($CB$52:$CJ$60,MATCH($C$20,$CA$52:$CA$60,0),MATCH($U$18,$CB$51:$CJ$51,0)),0)</f>
        <v>0</v>
      </c>
      <c r="BI33" s="3">
        <f ca="1">IF(AND($U$20=$C$20,$U$19&lt;&gt;""),INDEX($CB$52:$CJ$60,MATCH($C$20,$CA$52:$CA$60,0),MATCH($U$19,$CB$51:$CJ$51,0)),0)</f>
        <v>0</v>
      </c>
      <c r="BJ33" s="3">
        <v>0</v>
      </c>
      <c r="BK33" s="3">
        <f ca="1">IF(AND($U$20=$C$20,$U$21&lt;&gt;""),INDEX($CB$52:$CJ$60,MATCH($C$20,$CA$52:$CA$60,0),MATCH($U$21,$CB$51:$CJ$51,0)),0)</f>
        <v>0</v>
      </c>
      <c r="BL33" s="3">
        <f ca="1">IF(AND($U$20=$C$20,$U$22&lt;&gt;""),INDEX($CB$52:$CJ$60,MATCH($C$20,$CA$52:$CA$60,0),MATCH($U$22,$CB$51:$CJ$51,0)),0)</f>
        <v>0</v>
      </c>
      <c r="BM33" s="3">
        <f ca="1">IF(AND($U$20=$C$20,$U$23&lt;&gt;""),INDEX($CB$52:$CJ$60,MATCH($C$20,$CA$52:$CA$60,0),MATCH($U$23,$CB$51:$CJ$51,0)),0)</f>
        <v>0</v>
      </c>
      <c r="BN33" s="3">
        <f ca="1">IF(AND($U$20=$C$20,$U$24&lt;&gt;""),INDEX($CB$52:$CJ$60,MATCH($C$20,$CA$52:$CA$60,0),MATCH($U$24,$CB$51:$CJ$51,0)),0)</f>
        <v>0</v>
      </c>
      <c r="BO33" s="53">
        <f ca="1">IF(AND($U$20=$C$20,$U$25&lt;&gt;""),INDEX($CB$52:$CJ$60,MATCH($C$20,$CA$52:$CA$60,0),MATCH($U$25,$CB$51:$CJ$51,0)),0)</f>
        <v>0</v>
      </c>
      <c r="BP33" s="5">
        <f ca="1">IF(AND($V$20=$C$20,$V$17&lt;&gt;""),INDEX($CB$52:$CJ$60,MATCH($C$20,$CA$52:$CA$60,0),MATCH($V$17,$CB$51:$CJ$51,0)),0)</f>
        <v>0</v>
      </c>
      <c r="BQ33" s="3">
        <f ca="1">IF(AND($V$20=$C$20,$V$18&lt;&gt;""),INDEX($CB$52:$CJ$60,MATCH($C$20,$CA$52:$CA$60,0),MATCH($V$18,$CB$51:$CJ$51,0)),0)</f>
        <v>0</v>
      </c>
      <c r="BR33" s="3">
        <f ca="1">IF(AND($V$20=$C$20,$V$19&lt;&gt;""),INDEX($CB$52:$CJ$60,MATCH($C$20,$CA$52:$CA$60,0),MATCH($V$19,$CB$51:$CJ$51,0)),0)</f>
        <v>0</v>
      </c>
      <c r="BS33" s="3">
        <v>0</v>
      </c>
      <c r="BT33" s="3">
        <f ca="1">IF(AND($V$20=$C$20,$V$21&lt;&gt;""),INDEX($CB$52:$CJ$60,MATCH($C$20,$CA$52:$CA$60,0),MATCH($V$21,$CB$51:$CJ$51,0)),0)</f>
        <v>0</v>
      </c>
      <c r="BU33" s="3">
        <f ca="1">IF(AND($V$20=$C$20,$V$22&lt;&gt;""),INDEX($CB$52:$CJ$60,MATCH($C$20,$CA$52:$CA$60,0),MATCH($V$22,$CB$51:$CJ$51,0)),0)</f>
        <v>0</v>
      </c>
      <c r="BV33" s="3">
        <f ca="1">IF(AND($V$20=$C$20,$V$23&lt;&gt;""),INDEX($CB$52:$CJ$60,MATCH($C$20,$CA$52:$CA$60,0),MATCH($V$23,$CB$51:$CJ$51,0)),0)</f>
        <v>0</v>
      </c>
      <c r="BW33" s="3">
        <f ca="1">IF(AND($V$20=$C$20,$V$24&lt;&gt;""),INDEX($CB$52:$CJ$60,MATCH($C$20,$CA$52:$CA$60,0),MATCH($V$24,$CB$51:$CJ$51,0)),0)</f>
        <v>0</v>
      </c>
      <c r="BX33" s="53">
        <f ca="1">IF(AND($V$20=$C$20,$V$25&lt;&gt;""),INDEX($CB$52:$CJ$60,MATCH($C$20,$CA$52:$CA$60,0),MATCH($V$25,$CB$51:$CJ$51,0)),0)</f>
        <v>0</v>
      </c>
      <c r="BY33" s="14"/>
      <c r="BZ33" s="3"/>
      <c r="CA33" s="2" t="str">
        <f t="shared" si="57"/>
        <v>Maibach 1822 eV</v>
      </c>
      <c r="CB33" s="8">
        <f t="shared" ca="1" si="60"/>
        <v>98</v>
      </c>
      <c r="CC33" s="8">
        <f t="shared" ca="1" si="62"/>
        <v>89</v>
      </c>
      <c r="CD33" s="8">
        <f t="shared" ref="CD33:CD38" ca="1" si="64">SUMIFS($AJ$64:$AJ$135,$V$64:$V$135,$CA33,$W$64:$W$135,CD$29)+SUMIFS($AK$64:$AK$135,$W$64:$W$135,$CA33,$V$64:$V$135,CD$29)</f>
        <v>97</v>
      </c>
      <c r="CE33" s="6"/>
      <c r="CF33" s="7">
        <f ca="1">SUMIFS($AJ$64:$AJ$135,$V$64:$V$135,$CA33,$W$64:$W$135,CF$29)+SUMIFS($AK$64:$AK$135,$W$64:$W$135,$CA33,$V$64:$V$135,CF$29)</f>
        <v>79</v>
      </c>
      <c r="CG33" s="7">
        <f ca="1">SUMIFS($AJ$64:$AJ$135,$V$64:$V$135,$CA33,$W$64:$W$135,CG$29)+SUMIFS($AK$64:$AK$135,$W$64:$W$135,$CA33,$V$64:$V$135,CG$29)</f>
        <v>97</v>
      </c>
      <c r="CH33" s="7">
        <f ca="1">SUMIFS($AJ$64:$AJ$135,$V$64:$V$135,$CA33,$W$64:$W$135,CH$29)+SUMIFS($AK$64:$AK$135,$W$64:$W$135,$CA33,$V$64:$V$135,CH$29)</f>
        <v>92</v>
      </c>
      <c r="CI33" s="7">
        <f ca="1">SUMIFS($AJ$64:$AJ$135,$V$64:$V$135,$CA33,$W$64:$W$135,CI$29)+SUMIFS($AK$64:$AK$135,$W$64:$W$135,$CA33,$V$64:$V$135,CI$29)</f>
        <v>0</v>
      </c>
      <c r="CJ33" s="7">
        <f ca="1">SUMIFS($AJ$64:$AJ$135,$V$64:$V$135,$CA33,$W$64:$W$135,CJ$29)+SUMIFS($AK$64:$AK$135,$W$64:$W$135,$CA33,$V$64:$V$135,CJ$29)</f>
        <v>0</v>
      </c>
      <c r="CK33" s="3"/>
    </row>
    <row r="34" spans="2:89" s="2" customFormat="1" x14ac:dyDescent="0.2">
      <c r="C34" s="2" t="str">
        <f t="shared" si="59"/>
        <v>VFB Essenheim</v>
      </c>
      <c r="E34" s="14">
        <f ca="1">IF(AND($O$21=$C$21,$O$17&lt;&gt;""),INDEX($CB$52:$CJ$60,MATCH($C$21,$CA$52:$CA$60,0),MATCH($O$17,$CB$51:$CJ$51,0)),0)</f>
        <v>0</v>
      </c>
      <c r="F34" s="3">
        <f ca="1">IF(AND($O$21=$C$21,$O$18&lt;&gt;""),INDEX($CB$52:$CJ$60,MATCH($C$21,$CA$52:$CA$60,0),MATCH($O$18,$CB$51:$CJ$51,0)),0)</f>
        <v>0</v>
      </c>
      <c r="G34" s="3">
        <f ca="1">IF(AND($O$21=$C$21,$O$19&lt;&gt;""),INDEX($CB$52:$CJ$60,MATCH($C$21,$CA$52:$CA$60,0),MATCH($O$19,$CB$51:$CJ$51,0)),0)</f>
        <v>0</v>
      </c>
      <c r="H34" s="3">
        <f ca="1">IF(AND($O$21=$C$21,$O$20&lt;&gt;""),INDEX($CB$52:$CJ$60,MATCH($C$21,$CA$52:$CA$60,0),MATCH($O$20,$CB$51:$CJ$51,0)),0)</f>
        <v>0</v>
      </c>
      <c r="I34" s="3">
        <v>0</v>
      </c>
      <c r="J34" s="3">
        <f ca="1">IF(AND($O$21=$C$21,$O$22&lt;&gt;""),INDEX($CB$52:$CJ$60,MATCH($C$21,$CA$52:$CA$60,0),MATCH($O$22,$CB$51:$CJ$51,0)),0)</f>
        <v>0</v>
      </c>
      <c r="K34" s="3">
        <f ca="1">IF(AND($O$21=$C$21,$O$23&lt;&gt;""),INDEX($CB$52:$CJ$60,MATCH($C$21,$CA$52:$CA$60,0),MATCH($O$23,$CB$51:$CJ$51,0)),0)</f>
        <v>0</v>
      </c>
      <c r="L34" s="3">
        <f ca="1">IF(AND($O$21=$C$21,$O$24&lt;&gt;""),INDEX($CB$52:$CJ$60,MATCH($C$21,$CA$52:$CA$60,0),MATCH($O$24,$CB$51:$CJ$51,0)),0)</f>
        <v>0</v>
      </c>
      <c r="M34" s="53">
        <f ca="1">IF(AND($O$21=$C$21,$O$25&lt;&gt;""),INDEX($CB$52:$CJ$60,MATCH($C$21,$CA$52:$CA$60,0),MATCH($O$25,$CB$51:$CJ$51,0)),0)</f>
        <v>0</v>
      </c>
      <c r="N34" s="5">
        <f ca="1">IF(AND($P$21=$C$21,$P$17&lt;&gt;""),INDEX($CB$52:$CJ$60,MATCH($C$21,$CA$52:$CA$60,0),MATCH($P$17,$CB$51:$CJ$51,0)),0)</f>
        <v>0</v>
      </c>
      <c r="O34" s="3">
        <f ca="1">IF(AND($P$21=$C$21,$P$18&lt;&gt;""),INDEX($CB$52:$CJ$60,MATCH($C$21,$CA$52:$CA$60,0),MATCH($P$18,$CB$51:$CJ$51,0)),0)</f>
        <v>0</v>
      </c>
      <c r="P34" s="3">
        <f ca="1">IF(AND($P$21=$C$21,$P$19&lt;&gt;""),INDEX($CB$52:$CJ$60,MATCH($C$21,$CA$52:$CA$60,0),MATCH($P$19,$CB$51:$CJ$51,0)),0)</f>
        <v>0</v>
      </c>
      <c r="Q34" s="3">
        <f ca="1">IF(AND($P$21=$C$21,$P$20&lt;&gt;""),INDEX($CB$52:$CJ$60,MATCH($C$21,$CA$52:$CA$60,0),MATCH($P$20,$CB$51:$CJ$51,0)),0)</f>
        <v>0</v>
      </c>
      <c r="R34" s="3">
        <v>0</v>
      </c>
      <c r="S34" s="3">
        <f ca="1">IF(AND($P$21=$C$21,$P$22&lt;&gt;""),INDEX($CB$52:$CJ$60,MATCH($C$21,$CA$52:$CA$60,0),MATCH($P$22,$CB$51:$CJ$51,0)),0)</f>
        <v>0</v>
      </c>
      <c r="T34" s="3">
        <f ca="1">IF(AND($P$21=$C$21,$P$23&lt;&gt;""),INDEX($CB$52:$CJ$60,MATCH($C$21,$CA$52:$CA$60,0),MATCH($P$23,$CB$51:$CJ$51,0)),0)</f>
        <v>0</v>
      </c>
      <c r="U34" s="3">
        <f ca="1">IF(AND($P$21=$C$21,$P$24&lt;&gt;""),INDEX($CB$52:$CJ$60,MATCH($C$21,$CA$52:$CA$60,0),MATCH($P$24,$CB$51:$CJ$51,0)),0)</f>
        <v>0</v>
      </c>
      <c r="V34" s="53">
        <f ca="1">IF(AND($P$21=$C$21,$P$25&lt;&gt;""),INDEX($CB$52:$CJ$60,MATCH($C$21,$CA$52:$CA$60,0),MATCH($P$25,$CB$51:$CJ$51,0)),0)</f>
        <v>0</v>
      </c>
      <c r="W34" s="5">
        <f ca="1">IF(AND($Q$21=$C$21,$Q$17&lt;&gt;""),INDEX($CB$52:$CJ$60,MATCH($C$21,$CA$52:$CA$60,0),MATCH($Q$17,$CB$51:$CJ$51,0)),0)</f>
        <v>0</v>
      </c>
      <c r="X34" s="3">
        <f ca="1">IF(AND($Q$21=$C$21,$Q$18&lt;&gt;""),INDEX($CB$52:$CJ$60,MATCH($C$21,$CA$52:$CA$60,0),MATCH($Q$18,$CB$51:$CJ$51,0)),0)</f>
        <v>0</v>
      </c>
      <c r="Y34" s="3">
        <f ca="1">IF(AND($Q$21=$C$21,$Q$19&lt;&gt;""),INDEX($CB$52:$CJ$60,MATCH($C$21,$CA$52:$CA$60,0),MATCH($Q$19,$CB$51:$CJ$51,0)),0)</f>
        <v>0</v>
      </c>
      <c r="Z34" s="3">
        <f ca="1">IF(AND($Q$21=$C$21,$Q$20&lt;&gt;""),INDEX($CB$52:$CJ$60,MATCH($C$21,$CA$52:$CA$60,0),MATCH($Q$20,$CB$51:$CJ$51,0)),0)</f>
        <v>0</v>
      </c>
      <c r="AA34" s="3">
        <v>0</v>
      </c>
      <c r="AB34" s="3">
        <f ca="1">IF(AND($Q$21=$C$21,$Q$22&lt;&gt;""),INDEX($CB$52:$CJ$60,MATCH($C$21,$CA$52:$CA$60,0),MATCH($Q$22,$CB$51:$CJ$51,0)),0)</f>
        <v>0</v>
      </c>
      <c r="AC34" s="3">
        <f ca="1">IF(AND($Q$21=$C$21,$Q$23&lt;&gt;""),INDEX($CB$52:$CJ$60,MATCH($C$21,$CA$52:$CA$60,0),MATCH($Q$23,$CB$51:$CJ$51,0)),0)</f>
        <v>0</v>
      </c>
      <c r="AD34" s="3">
        <f ca="1">IF(AND($Q$21=$C$21,$Q$24&lt;&gt;""),INDEX($CB$52:$CJ$60,MATCH($C$21,$CA$52:$CA$60,0),MATCH($Q$24,$CB$51:$CJ$51,0)),0)</f>
        <v>0</v>
      </c>
      <c r="AE34" s="53">
        <f ca="1">IF(AND($Q$21=$C$21,$Q$25&lt;&gt;""),INDEX($CB$52:$CJ$60,MATCH($C$21,$CA$52:$CA$60,0),MATCH($Q$25,$CB$51:$CJ$51,0)),0)</f>
        <v>0</v>
      </c>
      <c r="AF34" s="5">
        <f ca="1">IF(AND($R$21=$C$21,$R$17&lt;&gt;""),INDEX($CB$52:$CJ$60,MATCH($C$21,$CA$52:$CA$60,0),MATCH($R$17,$CB$51:$CJ$51,0)),0)</f>
        <v>0</v>
      </c>
      <c r="AG34" s="3">
        <f ca="1">IF(AND($R$21=$C$21,$R$18&lt;&gt;""),INDEX($CB$52:$CJ$60,MATCH($C$21,$CA$52:$CA$60,0),MATCH($R$18,$CB$51:$CJ$51,0)),0)</f>
        <v>0</v>
      </c>
      <c r="AH34" s="3">
        <f ca="1">IF(AND($R$21=$C$21,$R$19&lt;&gt;""),INDEX($CB$52:$CJ$60,MATCH($C$21,$CA$52:$CA$60,0),MATCH($R$19,$CB$51:$CJ$51,0)),0)</f>
        <v>0</v>
      </c>
      <c r="AI34" s="3">
        <f ca="1">IF(AND($R$21=$C$21,$R$20&lt;&gt;""),INDEX($CB$52:$CJ$60,MATCH($C$21,$CA$52:$CA$60,0),MATCH($R$20,$CB$51:$CJ$51,0)),0)</f>
        <v>0</v>
      </c>
      <c r="AJ34" s="3">
        <v>0</v>
      </c>
      <c r="AK34" s="3">
        <f ca="1">IF(AND($R$21=$C$21,$R$22&lt;&gt;""),INDEX($CB$52:$CJ$60,MATCH($C$21,$CA$52:$CA$60,0),MATCH($R$22,$CB$51:$CJ$51,0)),0)</f>
        <v>0</v>
      </c>
      <c r="AL34" s="3">
        <f ca="1">IF(AND($R$21=$C$21,$R$23&lt;&gt;""),INDEX($CB$52:$CJ$60,MATCH($C$21,$CA$52:$CA$60,0),MATCH($R$23,$CB$51:$CJ$51,0)),0)</f>
        <v>0</v>
      </c>
      <c r="AM34" s="3">
        <f ca="1">IF(AND($R$21=$C$21,$R$24&lt;&gt;""),INDEX($CB$52:$CJ$60,MATCH($C$21,$CA$52:$CA$60,0),MATCH($R$24,$CB$51:$CJ$51,0)),0)</f>
        <v>0</v>
      </c>
      <c r="AN34" s="53">
        <f ca="1">IF(AND($R$21=$C$21,$R$25&lt;&gt;""),INDEX($CB$52:$CJ$60,MATCH($C$21,$CA$52:$CA$60,0),MATCH($R$25,$CB$51:$CJ$51,0)),0)</f>
        <v>0</v>
      </c>
      <c r="AO34" s="5">
        <f ca="1">IF(AND($S$21=$C$21,$S$17&lt;&gt;""),INDEX($CB$52:$CJ$60,MATCH($C$21,$CA$52:$CA$60,0),MATCH($S$17,$CB$51:$CJ$51,0)),0)</f>
        <v>0</v>
      </c>
      <c r="AP34" s="3">
        <f ca="1">IF(AND($S$21=$C$21,$S$18&lt;&gt;""),INDEX($CB$52:$CJ$60,MATCH($C$21,$CA$52:$CA$60,0),MATCH($S$18,$CB$51:$CJ$51,0)),0)</f>
        <v>0</v>
      </c>
      <c r="AQ34" s="3">
        <f ca="1">IF(AND($S$21=$C$21,$S$19&lt;&gt;""),INDEX($CB$52:$CJ$60,MATCH($C$21,$CA$52:$CA$60,0),MATCH($S$19,$CB$51:$CJ$51,0)),0)</f>
        <v>0</v>
      </c>
      <c r="AR34" s="3">
        <f ca="1">IF(AND($S$21=$C$21,$S$20&lt;&gt;""),INDEX($CB$52:$CJ$60,MATCH($C$21,$CA$52:$CA$60,0),MATCH($S$20,$CB$51:$CJ$51,0)),0)</f>
        <v>0</v>
      </c>
      <c r="AS34" s="3">
        <v>0</v>
      </c>
      <c r="AT34" s="3">
        <f ca="1">IF(AND($S$21=$C$21,$S$22&lt;&gt;""),INDEX($CB$52:$CJ$60,MATCH($C$21,$CA$52:$CA$60,0),MATCH($S$22,$CB$51:$CJ$51,0)),0)</f>
        <v>0</v>
      </c>
      <c r="AU34" s="3">
        <f ca="1">IF(AND($S$21=$C$21,$S$23&lt;&gt;""),INDEX($CB$52:$CJ$60,MATCH($C$21,$CA$52:$CA$60,0),MATCH($S$23,$CB$51:$CJ$51,0)),0)</f>
        <v>0</v>
      </c>
      <c r="AV34" s="3">
        <f ca="1">IF(AND($S$21=$C$21,$S$24&lt;&gt;""),INDEX($CB$52:$CJ$60,MATCH($C$21,$CA$52:$CA$60,0),MATCH($S$24,$CB$51:$CJ$51,0)),0)</f>
        <v>0</v>
      </c>
      <c r="AW34" s="53">
        <f ca="1">IF(AND($S$21=$C$21,$S$25&lt;&gt;""),INDEX($CB$52:$CJ$60,MATCH($C$21,$CA$52:$CA$60,0),MATCH($S$25,$CB$51:$CJ$51,0)),0)</f>
        <v>0</v>
      </c>
      <c r="AX34" s="5">
        <f ca="1">IF(AND($T$21=$C$21,$T$17&lt;&gt;""),INDEX($CB$52:$CJ$60,MATCH($C$21,$CA$52:$CA$60,0),MATCH($T$17,$CB$51:$CJ$51,0)),0)</f>
        <v>0</v>
      </c>
      <c r="AY34" s="3">
        <f ca="1">IF(AND($T$21=$C$21,$T$18&lt;&gt;""),INDEX($CB$52:$CJ$60,MATCH($C$21,$CA$52:$CA$60,0),MATCH($T$18,$CB$51:$CJ$51,0)),0)</f>
        <v>0</v>
      </c>
      <c r="AZ34" s="3">
        <f ca="1">IF(AND($T$21=$C$21,$T$19&lt;&gt;""),INDEX($CB$52:$CJ$60,MATCH($C$21,$CA$52:$CA$60,0),MATCH($T$19,$CB$51:$CJ$51,0)),0)</f>
        <v>0</v>
      </c>
      <c r="BA34" s="3">
        <f ca="1">IF(AND($T$21=$C$21,$T$20&lt;&gt;""),INDEX($CB$52:$CJ$60,MATCH($C$21,$CA$52:$CA$60,0),MATCH($T$20,$CB$51:$CJ$51,0)),0)</f>
        <v>0</v>
      </c>
      <c r="BB34" s="3">
        <v>0</v>
      </c>
      <c r="BC34" s="3">
        <f ca="1">IF(AND($T$21=$C$21,$T$22&lt;&gt;""),INDEX($CB$52:$CJ$60,MATCH($C$21,$CA$52:$CA$60,0),MATCH($T$22,$CB$51:$CJ$51,0)),0)</f>
        <v>0</v>
      </c>
      <c r="BD34" s="3">
        <f ca="1">IF(AND($T$21=$C$21,$T$23&lt;&gt;""),INDEX($CB$52:$CJ$60,MATCH($C$21,$CA$52:$CA$60,0),MATCH($T$23,$CB$51:$CJ$51,0)),0)</f>
        <v>0</v>
      </c>
      <c r="BE34" s="3">
        <f ca="1">IF(AND($T$21=$C$21,$T$24&lt;&gt;""),INDEX($CB$52:$CJ$60,MATCH($C$21,$CA$52:$CA$60,0),MATCH($T$24,$CB$51:$CJ$51,0)),0)</f>
        <v>0</v>
      </c>
      <c r="BF34" s="53">
        <f ca="1">IF(AND($T$21=$C$21,$T$25&lt;&gt;""),INDEX($CB$52:$CJ$60,MATCH($C$21,$CA$52:$CA$60,0),MATCH($T$25,$CB$51:$CJ$51,0)),0)</f>
        <v>0</v>
      </c>
      <c r="BG34" s="5">
        <f ca="1">IF(AND($U$21=$C$21,$U$17&lt;&gt;""),INDEX($CB$52:$CJ$60,MATCH($C$21,$CA$52:$CA$60,0),MATCH($U$17,$CB$51:$CJ$51,0)),0)</f>
        <v>0</v>
      </c>
      <c r="BH34" s="3">
        <f ca="1">IF(AND($U$21=$C$21,$U$18&lt;&gt;""),INDEX($CB$52:$CJ$60,MATCH($C$21,$CA$52:$CA$60,0),MATCH($U$18,$CB$51:$CJ$51,0)),0)</f>
        <v>0</v>
      </c>
      <c r="BI34" s="3">
        <f ca="1">IF(AND($U$21=$C$21,$U$19&lt;&gt;""),INDEX($CB$52:$CJ$60,MATCH($C$21,$CA$52:$CA$60,0),MATCH($U$19,$CB$51:$CJ$51,0)),0)</f>
        <v>0</v>
      </c>
      <c r="BJ34" s="3">
        <f ca="1">IF(AND($U$21=$C$21,$U$20&lt;&gt;""),INDEX($CB$52:$CJ$60,MATCH($C$21,$CA$52:$CA$60,0),MATCH($U$20,$CB$51:$CJ$51,0)),0)</f>
        <v>0</v>
      </c>
      <c r="BK34" s="3">
        <v>0</v>
      </c>
      <c r="BL34" s="3">
        <f ca="1">IF(AND($U$21=$C$21,$U$22&lt;&gt;""),INDEX($CB$52:$CJ$60,MATCH($C$21,$CA$52:$CA$60,0),MATCH($U$22,$CB$51:$CJ$51,0)),0)</f>
        <v>0</v>
      </c>
      <c r="BM34" s="3">
        <f ca="1">IF(AND($U$21=$C$21,$U$23&lt;&gt;""),INDEX($CB$52:$CJ$60,MATCH($C$21,$CA$52:$CA$60,0),MATCH($U$23,$CB$51:$CJ$51,0)),0)</f>
        <v>0</v>
      </c>
      <c r="BN34" s="3">
        <f ca="1">IF(AND($U$21=$C$21,$U$24&lt;&gt;""),INDEX($CB$52:$CJ$60,MATCH($C$21,$CA$52:$CA$60,0),MATCH($U$24,$CB$51:$CJ$51,0)),0)</f>
        <v>0</v>
      </c>
      <c r="BO34" s="53">
        <f ca="1">IF(AND($U$21=$C$21,$U$25&lt;&gt;""),INDEX($CB$52:$CJ$60,MATCH($C$21,$CA$52:$CA$60,0),MATCH($U$25,$CB$51:$CJ$51,0)),0)</f>
        <v>0</v>
      </c>
      <c r="BP34" s="5">
        <f ca="1">IF(AND($V$21=$C$21,$V$17&lt;&gt;""),INDEX($CB$52:$CJ$60,MATCH($C$21,$CA$52:$CA$60,0),MATCH($V$17,$CB$51:$CJ$51,0)),0)</f>
        <v>0</v>
      </c>
      <c r="BQ34" s="3">
        <f ca="1">IF(AND($V$21=$C$21,$V$18&lt;&gt;""),INDEX($CB$52:$CJ$60,MATCH($C$21,$CA$52:$CA$60,0),MATCH($V$18,$CB$51:$CJ$51,0)),0)</f>
        <v>0</v>
      </c>
      <c r="BR34" s="3">
        <f ca="1">IF(AND($V$21=$C$21,$V$19&lt;&gt;""),INDEX($CB$52:$CJ$60,MATCH($C$21,$CA$52:$CA$60,0),MATCH($V$19,$CB$51:$CJ$51,0)),0)</f>
        <v>0</v>
      </c>
      <c r="BS34" s="3">
        <f ca="1">IF(AND($V$21=$C$21,$V$20&lt;&gt;""),INDEX($CB$52:$CJ$60,MATCH($C$21,$CA$52:$CA$60,0),MATCH($V$20,$CB$51:$CJ$51,0)),0)</f>
        <v>0</v>
      </c>
      <c r="BT34" s="3">
        <v>0</v>
      </c>
      <c r="BU34" s="3">
        <f ca="1">IF(AND($V$21=$C$21,$V$22&lt;&gt;""),INDEX($CB$52:$CJ$60,MATCH($C$21,$CA$52:$CA$60,0),MATCH($V$22,$CB$51:$CJ$51,0)),0)</f>
        <v>0</v>
      </c>
      <c r="BV34" s="3">
        <f ca="1">IF(AND($V$21=$C$21,$V$23&lt;&gt;""),INDEX($CB$52:$CJ$60,MATCH($C$21,$CA$52:$CA$60,0),MATCH($V$23,$CB$51:$CJ$51,0)),0)</f>
        <v>0</v>
      </c>
      <c r="BW34" s="3">
        <f ca="1">IF(AND($V$21=$C$21,$V$24&lt;&gt;""),INDEX($CB$52:$CJ$60,MATCH($C$21,$CA$52:$CA$60,0),MATCH($V$24,$CB$51:$CJ$51,0)),0)</f>
        <v>0</v>
      </c>
      <c r="BX34" s="53">
        <f ca="1">IF(AND($V$21=$C$21,$V$25&lt;&gt;""),INDEX($CB$52:$CJ$60,MATCH($C$21,$CA$52:$CA$60,0),MATCH($V$25,$CB$51:$CJ$51,0)),0)</f>
        <v>0</v>
      </c>
      <c r="BY34" s="14"/>
      <c r="BZ34" s="3"/>
      <c r="CA34" s="2" t="str">
        <f t="shared" si="57"/>
        <v>VFB Essenheim</v>
      </c>
      <c r="CB34" s="8">
        <f t="shared" ca="1" si="60"/>
        <v>85</v>
      </c>
      <c r="CC34" s="8">
        <f t="shared" ca="1" si="62"/>
        <v>90</v>
      </c>
      <c r="CD34" s="8">
        <f t="shared" ca="1" si="64"/>
        <v>90</v>
      </c>
      <c r="CE34" s="8">
        <f ca="1">SUMIFS($AJ$64:$AJ$135,$V$64:$V$135,$CA34,$W$64:$W$135,CE$29)+SUMIFS($AK$64:$AK$135,$W$64:$W$135,$CA34,$V$64:$V$135,CE$29)</f>
        <v>94</v>
      </c>
      <c r="CF34" s="6"/>
      <c r="CG34" s="7">
        <f ca="1">SUMIFS($AJ$64:$AJ$135,$V$64:$V$135,$CA34,$W$64:$W$135,CG$29)+SUMIFS($AK$64:$AK$135,$W$64:$W$135,$CA34,$V$64:$V$135,CG$29)</f>
        <v>71</v>
      </c>
      <c r="CH34" s="7">
        <f ca="1">SUMIFS($AJ$64:$AJ$135,$V$64:$V$135,$CA34,$W$64:$W$135,CH$29)+SUMIFS($AK$64:$AK$135,$W$64:$W$135,$CA34,$V$64:$V$135,CH$29)</f>
        <v>94</v>
      </c>
      <c r="CI34" s="7">
        <f ca="1">SUMIFS($AJ$64:$AJ$135,$V$64:$V$135,$CA34,$W$64:$W$135,CI$29)+SUMIFS($AK$64:$AK$135,$W$64:$W$135,$CA34,$V$64:$V$135,CI$29)</f>
        <v>0</v>
      </c>
      <c r="CJ34" s="7">
        <f ca="1">SUMIFS($AJ$64:$AJ$135,$V$64:$V$135,$CA34,$W$64:$W$135,CJ$29)+SUMIFS($AK$64:$AK$135,$W$64:$W$135,$CA34,$V$64:$V$135,CJ$29)</f>
        <v>0</v>
      </c>
      <c r="CK34" s="3"/>
    </row>
    <row r="35" spans="2:89" s="2" customFormat="1" x14ac:dyDescent="0.2">
      <c r="C35" s="2" t="str">
        <f t="shared" si="59"/>
        <v>Inter Mailand</v>
      </c>
      <c r="E35" s="14">
        <f ca="1">IF(AND($O$22=$C$22,$O$17&lt;&gt;""),INDEX($CB$52:$CJ$60,MATCH($C$22,$CA$52:$CA$60,0),MATCH($O$17,$CB$51:$CJ$51,0)),0)</f>
        <v>0</v>
      </c>
      <c r="F35" s="3">
        <f ca="1">IF(AND($O$22=$C$22,$O$18&lt;&gt;""),INDEX($CB$52:$CJ$60,MATCH($C$22,$CA$52:$CA$60,0),MATCH($O$18,$CB$51:$CJ$51,0)),0)</f>
        <v>0</v>
      </c>
      <c r="G35" s="3">
        <f ca="1">IF(AND($O$22=$C$22,$O$19&lt;&gt;""),INDEX($CB$52:$CJ$60,MATCH($C$22,$CA$52:$CA$60,0),MATCH($O$19,$CB$51:$CJ$51,0)),0)</f>
        <v>0</v>
      </c>
      <c r="H35" s="3">
        <f ca="1">IF(AND($O$22=$C$22,$O$20&lt;&gt;""),INDEX($CB$52:$CJ$60,MATCH($C$22,$CA$52:$CA$60,0),MATCH($O$20,$CB$51:$CJ$51,0)),0)</f>
        <v>0</v>
      </c>
      <c r="I35" s="3">
        <f ca="1">IF(AND($O$22=$C$22,$O$21&lt;&gt;""),INDEX($CB$52:$CJ$60,MATCH($C$22,$CA$52:$CA$60,0),MATCH($O$21,$CB$51:$CJ$51,0)),0)</f>
        <v>0</v>
      </c>
      <c r="J35" s="3">
        <v>0</v>
      </c>
      <c r="K35" s="3">
        <f ca="1">IF(AND($O$22=$C$22,$O$23&lt;&gt;""),INDEX($CB$52:$CJ$60,MATCH($C$22,$CA$52:$CA$60,0),MATCH($O$23,$CB$51:$CJ$51,0)),0)</f>
        <v>0</v>
      </c>
      <c r="L35" s="3">
        <f ca="1">IF(AND($O$22=$C$22,$O$24&lt;&gt;""),INDEX($CB$52:$CJ$60,MATCH($C$22,$CA$52:$CA$60,0),MATCH($O$24,$CB$51:$CJ$51,0)),0)</f>
        <v>0</v>
      </c>
      <c r="M35" s="53">
        <f ca="1">IF(AND($O$22=$C$22,$O$25&lt;&gt;""),INDEX($CB$52:$CJ$60,MATCH($C$22,$CA$52:$CA$60,0),MATCH($O$25,$CB$51:$CJ$51,0)),0)</f>
        <v>0</v>
      </c>
      <c r="N35" s="5">
        <f ca="1">IF(AND($P$22=$C$22,$P$17&lt;&gt;""),INDEX($CB$52:$CJ$60,MATCH($C$22,$CA$52:$CA$60,0),MATCH($P$17,$CB$51:$CJ$51,0)),0)</f>
        <v>0</v>
      </c>
      <c r="O35" s="3">
        <f ca="1">IF(AND($P$22=$C$22,$P$18&lt;&gt;""),INDEX($CB$52:$CJ$60,MATCH($C$22,$CA$52:$CA$60,0),MATCH($P$18,$CB$51:$CJ$51,0)),0)</f>
        <v>0</v>
      </c>
      <c r="P35" s="3">
        <f ca="1">IF(AND($P$22=$C$22,$P$19&lt;&gt;""),INDEX($CB$52:$CJ$60,MATCH($C$22,$CA$52:$CA$60,0),MATCH($P$19,$CB$51:$CJ$51,0)),0)</f>
        <v>0</v>
      </c>
      <c r="Q35" s="3">
        <f ca="1">IF(AND($P$22=$C$22,$P$20&lt;&gt;""),INDEX($CB$52:$CJ$60,MATCH($C$22,$CA$52:$CA$60,0),MATCH($P$20,$CB$51:$CJ$51,0)),0)</f>
        <v>0</v>
      </c>
      <c r="R35" s="3">
        <f ca="1">IF(AND($P$22=$C$22,$P$21&lt;&gt;""),INDEX($CB$52:$CJ$60,MATCH($C$22,$CA$52:$CA$60,0),MATCH($P$21,$CB$51:$CJ$51,0)),0)</f>
        <v>0</v>
      </c>
      <c r="S35" s="3">
        <v>0</v>
      </c>
      <c r="T35" s="3">
        <f ca="1">IF(AND($P$22=$C$22,$P$23&lt;&gt;""),INDEX($CB$52:$CJ$60,MATCH($C$22,$CA$52:$CA$60,0),MATCH($P$23,$CB$51:$CJ$51,0)),0)</f>
        <v>0</v>
      </c>
      <c r="U35" s="3">
        <f ca="1">IF(AND($P$22=$C$22,$P$24&lt;&gt;""),INDEX($CB$52:$CJ$60,MATCH($C$22,$CA$52:$CA$60,0),MATCH($P$24,$CB$51:$CJ$51,0)),0)</f>
        <v>0</v>
      </c>
      <c r="V35" s="53">
        <f ca="1">IF(AND($P$22=$C$22,$P$25&lt;&gt;""),INDEX($CB$52:$CJ$60,MATCH($C$22,$CA$52:$CA$60,0),MATCH($P$25,$CB$51:$CJ$51,0)),0)</f>
        <v>0</v>
      </c>
      <c r="W35" s="5">
        <f ca="1">IF(AND($Q$22=$C$22,$Q$17&lt;&gt;""),INDEX($CB$52:$CJ$60,MATCH($C$22,$CA$52:$CA$60,0),MATCH($Q$17,$CB$51:$CJ$51,0)),0)</f>
        <v>0</v>
      </c>
      <c r="X35" s="3">
        <f ca="1">IF(AND($Q$22=$C$22,$Q$18&lt;&gt;""),INDEX($CB$52:$CJ$60,MATCH($C$22,$CA$52:$CA$60,0),MATCH($Q$18,$CB$51:$CJ$51,0)),0)</f>
        <v>0</v>
      </c>
      <c r="Y35" s="3">
        <f ca="1">IF(AND($Q$22=$C$22,$Q$19&lt;&gt;""),INDEX($CB$52:$CJ$60,MATCH($C$22,$CA$52:$CA$60,0),MATCH($Q$19,$CB$51:$CJ$51,0)),0)</f>
        <v>0</v>
      </c>
      <c r="Z35" s="3">
        <f ca="1">IF(AND($Q$22=$C$22,$Q$20&lt;&gt;""),INDEX($CB$52:$CJ$60,MATCH($C$22,$CA$52:$CA$60,0),MATCH($Q$20,$CB$51:$CJ$51,0)),0)</f>
        <v>0</v>
      </c>
      <c r="AA35" s="3">
        <f ca="1">IF(AND($Q$22=$C$22,$Q$21&lt;&gt;""),INDEX($CB$52:$CJ$60,MATCH($C$22,$CA$52:$CA$60,0),MATCH($Q$21,$CB$51:$CJ$51,0)),0)</f>
        <v>0</v>
      </c>
      <c r="AB35" s="3">
        <v>0</v>
      </c>
      <c r="AC35" s="3">
        <f ca="1">IF(AND($Q$22=$C$22,$Q$23&lt;&gt;""),INDEX($CB$52:$CJ$60,MATCH($C$22,$CA$52:$CA$60,0),MATCH($Q$23,$CB$51:$CJ$51,0)),0)</f>
        <v>0</v>
      </c>
      <c r="AD35" s="3">
        <f ca="1">IF(AND($Q$22=$C$22,$Q$24&lt;&gt;""),INDEX($CB$52:$CJ$60,MATCH($C$22,$CA$52:$CA$60,0),MATCH($Q$24,$CB$51:$CJ$51,0)),0)</f>
        <v>0</v>
      </c>
      <c r="AE35" s="53">
        <f ca="1">IF(AND($Q$22=$C$22,$Q$25&lt;&gt;""),INDEX($CB$52:$CJ$60,MATCH($C$22,$CA$52:$CA$60,0),MATCH($Q$25,$CB$51:$CJ$51,0)),0)</f>
        <v>0</v>
      </c>
      <c r="AF35" s="5">
        <f ca="1">IF(AND($R$22=$C$22,$R$17&lt;&gt;""),INDEX($CB$52:$CJ$60,MATCH($C$22,$CA$52:$CA$60,0),MATCH($R$17,$CB$51:$CJ$51,0)),0)</f>
        <v>0</v>
      </c>
      <c r="AG35" s="3">
        <f ca="1">IF(AND($R$22=$C$22,$R$18&lt;&gt;""),INDEX($CB$52:$CJ$60,MATCH($C$22,$CA$52:$CA$60,0),MATCH($R$18,$CB$51:$CJ$51,0)),0)</f>
        <v>0</v>
      </c>
      <c r="AH35" s="3">
        <f ca="1">IF(AND($R$22=$C$22,$R$19&lt;&gt;""),INDEX($CB$52:$CJ$60,MATCH($C$22,$CA$52:$CA$60,0),MATCH($R$19,$CB$51:$CJ$51,0)),0)</f>
        <v>0</v>
      </c>
      <c r="AI35" s="3">
        <f ca="1">IF(AND($R$22=$C$22,$R$20&lt;&gt;""),INDEX($CB$52:$CJ$60,MATCH($C$22,$CA$52:$CA$60,0),MATCH($R$20,$CB$51:$CJ$51,0)),0)</f>
        <v>0</v>
      </c>
      <c r="AJ35" s="3">
        <f ca="1">IF(AND($R$22=$C$22,$R$21&lt;&gt;""),INDEX($CB$52:$CJ$60,MATCH($C$22,$CA$52:$CA$60,0),MATCH($R$21,$CB$51:$CJ$51,0)),0)</f>
        <v>0</v>
      </c>
      <c r="AK35" s="3">
        <v>0</v>
      </c>
      <c r="AL35" s="3">
        <f ca="1">IF(AND($R$22=$C$22,$R$23&lt;&gt;""),INDEX($CB$52:$CJ$60,MATCH($C$22,$CA$52:$CA$60,0),MATCH($R$23,$CB$51:$CJ$51,0)),0)</f>
        <v>0</v>
      </c>
      <c r="AM35" s="3">
        <f ca="1">IF(AND($R$22=$C$22,$R$24&lt;&gt;""),INDEX($CB$52:$CJ$60,MATCH($C$22,$CA$52:$CA$60,0),MATCH($R$24,$CB$51:$CJ$51,0)),0)</f>
        <v>0</v>
      </c>
      <c r="AN35" s="53">
        <f ca="1">IF(AND($R$22=$C$22,$R$25&lt;&gt;""),INDEX($CB$52:$CJ$60,MATCH($C$22,$CA$52:$CA$60,0),MATCH($R$25,$CB$51:$CJ$51,0)),0)</f>
        <v>0</v>
      </c>
      <c r="AO35" s="5">
        <f ca="1">IF(AND($S$22=$C$22,$S$17&lt;&gt;""),INDEX($CB$52:$CJ$60,MATCH($C$22,$CA$52:$CA$60,0),MATCH($S$17,$CB$51:$CJ$51,0)),0)</f>
        <v>0</v>
      </c>
      <c r="AP35" s="3">
        <f ca="1">IF(AND($S$22=$C$22,$S$18&lt;&gt;""),INDEX($CB$52:$CJ$60,MATCH($C$22,$CA$52:$CA$60,0),MATCH($S$18,$CB$51:$CJ$51,0)),0)</f>
        <v>0</v>
      </c>
      <c r="AQ35" s="3">
        <f ca="1">IF(AND($S$22=$C$22,$S$19&lt;&gt;""),INDEX($CB$52:$CJ$60,MATCH($C$22,$CA$52:$CA$60,0),MATCH($S$19,$CB$51:$CJ$51,0)),0)</f>
        <v>0</v>
      </c>
      <c r="AR35" s="3">
        <f ca="1">IF(AND($S$22=$C$22,$S$20&lt;&gt;""),INDEX($CB$52:$CJ$60,MATCH($C$22,$CA$52:$CA$60,0),MATCH($S$20,$CB$51:$CJ$51,0)),0)</f>
        <v>0</v>
      </c>
      <c r="AS35" s="3">
        <f ca="1">IF(AND($S$22=$C$22,$S$21&lt;&gt;""),INDEX($CB$52:$CJ$60,MATCH($C$22,$CA$52:$CA$60,0),MATCH($S$21,$CB$51:$CJ$51,0)),0)</f>
        <v>0</v>
      </c>
      <c r="AT35" s="3">
        <v>0</v>
      </c>
      <c r="AU35" s="3">
        <f ca="1">IF(AND($S$22=$C$22,$S$23&lt;&gt;""),INDEX($CB$52:$CJ$60,MATCH($C$22,$CA$52:$CA$60,0),MATCH($S$23,$CB$51:$CJ$51,0)),0)</f>
        <v>0</v>
      </c>
      <c r="AV35" s="3">
        <f ca="1">IF(AND($S$22=$C$22,$S$24&lt;&gt;""),INDEX($CB$52:$CJ$60,MATCH($C$22,$CA$52:$CA$60,0),MATCH($S$24,$CB$51:$CJ$51,0)),0)</f>
        <v>0</v>
      </c>
      <c r="AW35" s="53">
        <f ca="1">IF(AND($S$22=$C$22,$S$25&lt;&gt;""),INDEX($CB$52:$CJ$60,MATCH($C$22,$CA$52:$CA$60,0),MATCH($S$25,$CB$51:$CJ$51,0)),0)</f>
        <v>0</v>
      </c>
      <c r="AX35" s="5">
        <f ca="1">IF(AND($T$22=$C$22,$T$17&lt;&gt;""),INDEX($CB$52:$CJ$60,MATCH($C$22,$CA$52:$CA$60,0),MATCH($T$17,$CB$51:$CJ$51,0)),0)</f>
        <v>0</v>
      </c>
      <c r="AY35" s="3">
        <f ca="1">IF(AND($T$22=$C$22,$T$18&lt;&gt;""),INDEX($CB$52:$CJ$60,MATCH($C$22,$CA$52:$CA$60,0),MATCH($T$18,$CB$51:$CJ$51,0)),0)</f>
        <v>0</v>
      </c>
      <c r="AZ35" s="3">
        <f ca="1">IF(AND($T$22=$C$22,$T$19&lt;&gt;""),INDEX($CB$52:$CJ$60,MATCH($C$22,$CA$52:$CA$60,0),MATCH($T$19,$CB$51:$CJ$51,0)),0)</f>
        <v>0</v>
      </c>
      <c r="BA35" s="3">
        <f ca="1">IF(AND($T$22=$C$22,$T$20&lt;&gt;""),INDEX($CB$52:$CJ$60,MATCH($C$22,$CA$52:$CA$60,0),MATCH($T$20,$CB$51:$CJ$51,0)),0)</f>
        <v>0</v>
      </c>
      <c r="BB35" s="3">
        <f ca="1">IF(AND($T$22=$C$22,$T$21&lt;&gt;""),INDEX($CB$52:$CJ$60,MATCH($C$22,$CA$52:$CA$60,0),MATCH($T$21,$CB$51:$CJ$51,0)),0)</f>
        <v>0</v>
      </c>
      <c r="BC35" s="3">
        <v>0</v>
      </c>
      <c r="BD35" s="3">
        <f ca="1">IF(AND($T$22=$C$22,$T$23&lt;&gt;""),INDEX($CB$52:$CJ$60,MATCH($C$22,$CA$52:$CA$60,0),MATCH($T$23,$CB$51:$CJ$51,0)),0)</f>
        <v>0</v>
      </c>
      <c r="BE35" s="3">
        <f ca="1">IF(AND($T$22=$C$22,$T$24&lt;&gt;""),INDEX($CB$52:$CJ$60,MATCH($C$22,$CA$52:$CA$60,0),MATCH($T$24,$CB$51:$CJ$51,0)),0)</f>
        <v>0</v>
      </c>
      <c r="BF35" s="53">
        <f ca="1">IF(AND($T$22=$C$22,$T$25&lt;&gt;""),INDEX($CB$52:$CJ$60,MATCH($C$22,$CA$52:$CA$60,0),MATCH($T$25,$CB$51:$CJ$51,0)),0)</f>
        <v>0</v>
      </c>
      <c r="BG35" s="5">
        <f ca="1">IF(AND($U$22=$C$22,$U$17&lt;&gt;""),INDEX($CB$52:$CJ$60,MATCH($C$22,$CA$52:$CA$60,0),MATCH($U$17,$CB$51:$CJ$51,0)),0)</f>
        <v>0</v>
      </c>
      <c r="BH35" s="3">
        <f ca="1">IF(AND($U$22=$C$22,$U$18&lt;&gt;""),INDEX($CB$52:$CJ$60,MATCH($C$22,$CA$52:$CA$60,0),MATCH($U$18,$CB$51:$CJ$51,0)),0)</f>
        <v>0</v>
      </c>
      <c r="BI35" s="3">
        <f ca="1">IF(AND($U$22=$C$22,$U$19&lt;&gt;""),INDEX($CB$52:$CJ$60,MATCH($C$22,$CA$52:$CA$60,0),MATCH($U$19,$CB$51:$CJ$51,0)),0)</f>
        <v>0</v>
      </c>
      <c r="BJ35" s="3">
        <f ca="1">IF(AND($U$22=$C$22,$U$20&lt;&gt;""),INDEX($CB$52:$CJ$60,MATCH($C$22,$CA$52:$CA$60,0),MATCH($U$20,$CB$51:$CJ$51,0)),0)</f>
        <v>0</v>
      </c>
      <c r="BK35" s="3">
        <f ca="1">IF(AND($U$22=$C$22,$U$21&lt;&gt;""),INDEX($CB$52:$CJ$60,MATCH($C$22,$CA$52:$CA$60,0),MATCH($U$21,$CB$51:$CJ$51,0)),0)</f>
        <v>0</v>
      </c>
      <c r="BL35" s="3">
        <v>0</v>
      </c>
      <c r="BM35" s="3">
        <f ca="1">IF(AND($U$22=$C$22,$U$23&lt;&gt;""),INDEX($CB$52:$CJ$60,MATCH($C$22,$CA$52:$CA$60,0),MATCH($U$23,$CB$51:$CJ$51,0)),0)</f>
        <v>0</v>
      </c>
      <c r="BN35" s="3">
        <f ca="1">IF(AND($U$22=$C$22,$U$24&lt;&gt;""),INDEX($CB$52:$CJ$60,MATCH($C$22,$CA$52:$CA$60,0),MATCH($U$24,$CB$51:$CJ$51,0)),0)</f>
        <v>0</v>
      </c>
      <c r="BO35" s="53">
        <f ca="1">IF(AND($U$22=$C$22,$U$25&lt;&gt;""),INDEX($CB$52:$CJ$60,MATCH($C$22,$CA$52:$CA$60,0),MATCH($U$25,$CB$51:$CJ$51,0)),0)</f>
        <v>0</v>
      </c>
      <c r="BP35" s="5">
        <f ca="1">IF(AND($V$22=$C$22,$V$17&lt;&gt;""),INDEX($CB$52:$CJ$60,MATCH($C$22,$CA$52:$CA$60,0),MATCH($V$17,$CB$51:$CJ$51,0)),0)</f>
        <v>0</v>
      </c>
      <c r="BQ35" s="3">
        <f ca="1">IF(AND($V$22=$C$22,$V$18&lt;&gt;""),INDEX($CB$52:$CJ$60,MATCH($C$22,$CA$52:$CA$60,0),MATCH($V$18,$CB$51:$CJ$51,0)),0)</f>
        <v>0</v>
      </c>
      <c r="BR35" s="3">
        <f ca="1">IF(AND($V$22=$C$22,$V$19&lt;&gt;""),INDEX($CB$52:$CJ$60,MATCH($C$22,$CA$52:$CA$60,0),MATCH($V$19,$CB$51:$CJ$51,0)),0)</f>
        <v>0</v>
      </c>
      <c r="BS35" s="3">
        <f ca="1">IF(AND($V$22=$C$22,$V$20&lt;&gt;""),INDEX($CB$52:$CJ$60,MATCH($C$22,$CA$52:$CA$60,0),MATCH($V$20,$CB$51:$CJ$51,0)),0)</f>
        <v>0</v>
      </c>
      <c r="BT35" s="3">
        <f ca="1">IF(AND($V$22=$C$22,$V$21&lt;&gt;""),INDEX($CB$52:$CJ$60,MATCH($C$22,$CA$52:$CA$60,0),MATCH($V$21,$CB$51:$CJ$51,0)),0)</f>
        <v>0</v>
      </c>
      <c r="BU35" s="3">
        <v>0</v>
      </c>
      <c r="BV35" s="3">
        <f ca="1">IF(AND($V$22=$C$22,$V$23&lt;&gt;""),INDEX($CB$52:$CJ$60,MATCH($C$22,$CA$52:$CA$60,0),MATCH($V$23,$CB$51:$CJ$51,0)),0)</f>
        <v>0</v>
      </c>
      <c r="BW35" s="3">
        <f ca="1">IF(AND($V$22=$C$22,$V$24&lt;&gt;""),INDEX($CB$52:$CJ$60,MATCH($C$22,$CA$52:$CA$60,0),MATCH($V$24,$CB$51:$CJ$51,0)),0)</f>
        <v>0</v>
      </c>
      <c r="BX35" s="53">
        <f ca="1">IF(AND($V$22=$C$22,$V$25&lt;&gt;""),INDEX($CB$52:$CJ$60,MATCH($C$22,$CA$52:$CA$60,0),MATCH($V$25,$CB$51:$CJ$51,0)),0)</f>
        <v>0</v>
      </c>
      <c r="BY35" s="14"/>
      <c r="BZ35" s="3"/>
      <c r="CA35" s="2" t="str">
        <f t="shared" si="57"/>
        <v>Inter Mailand</v>
      </c>
      <c r="CB35" s="8">
        <f t="shared" ca="1" si="60"/>
        <v>108</v>
      </c>
      <c r="CC35" s="8">
        <f t="shared" ca="1" si="62"/>
        <v>87</v>
      </c>
      <c r="CD35" s="8">
        <f t="shared" ca="1" si="64"/>
        <v>82</v>
      </c>
      <c r="CE35" s="8">
        <f ca="1">SUMIFS($AJ$64:$AJ$135,$V$64:$V$135,$CA35,$W$64:$W$135,CE$29)+SUMIFS($AK$64:$AK$135,$W$64:$W$135,$CA35,$V$64:$V$135,CE$29)</f>
        <v>74</v>
      </c>
      <c r="CF35" s="8">
        <f ca="1">SUMIFS($AJ$64:$AJ$135,$V$64:$V$135,$CA35,$W$64:$W$135,CF$29)+SUMIFS($AK$64:$AK$135,$W$64:$W$135,$CA35,$V$64:$V$135,CF$29)</f>
        <v>91</v>
      </c>
      <c r="CG35" s="6"/>
      <c r="CH35" s="7">
        <f ca="1">SUMIFS($AJ$64:$AJ$135,$V$64:$V$135,$CA35,$W$64:$W$135,CH$29)+SUMIFS($AK$64:$AK$135,$W$64:$W$135,$CA35,$V$64:$V$135,CH$29)</f>
        <v>82</v>
      </c>
      <c r="CI35" s="7">
        <f ca="1">SUMIFS($AJ$64:$AJ$135,$V$64:$V$135,$CA35,$W$64:$W$135,CI$29)+SUMIFS($AK$64:$AK$135,$W$64:$W$135,$CA35,$V$64:$V$135,CI$29)</f>
        <v>0</v>
      </c>
      <c r="CJ35" s="7">
        <f ca="1">SUMIFS($AJ$64:$AJ$135,$V$64:$V$135,$CA35,$W$64:$W$135,CJ$29)+SUMIFS($AK$64:$AK$135,$W$64:$W$135,$CA35,$V$64:$V$135,CJ$29)</f>
        <v>0</v>
      </c>
      <c r="CK35" s="3"/>
    </row>
    <row r="36" spans="2:89" s="2" customFormat="1" x14ac:dyDescent="0.2">
      <c r="C36" s="2" t="str">
        <f t="shared" si="59"/>
        <v>SSV Wildbach</v>
      </c>
      <c r="E36" s="14">
        <f ca="1">IF(AND($O$23=$C$23,$O$17&lt;&gt;""),INDEX($CB$52:$CJ$60,MATCH($C$23,$CA$52:$CA$60,0),MATCH($O$17,$CB$51:$CJ$51,0)),0)</f>
        <v>0</v>
      </c>
      <c r="F36" s="3">
        <f ca="1">IF(AND($O$23=$C$23,$O$18&lt;&gt;""),INDEX($CB$52:$CJ$60,MATCH($C$23,$CA$52:$CA$60,0),MATCH($O$18,$CB$51:$CJ$51,0)),0)</f>
        <v>0</v>
      </c>
      <c r="G36" s="3">
        <f ca="1">IF(AND($O$23=$C$23,$O$19&lt;&gt;""),INDEX($CB$52:$CJ$60,MATCH($C$23,$CA$52:$CA$60,0),MATCH($O$19,$CB$51:$CJ$51,0)),0)</f>
        <v>0</v>
      </c>
      <c r="H36" s="3">
        <f ca="1">IF(AND($O$23=$C$23,$O$20&lt;&gt;""),INDEX($CB$52:$CJ$60,MATCH($C$23,$CA$52:$CA$60,0),MATCH($O$20,$CB$51:$CJ$51,0)),0)</f>
        <v>0</v>
      </c>
      <c r="I36" s="3">
        <f ca="1">IF(AND($O$23=$C$23,$O$21&lt;&gt;""),INDEX($CB$52:$CJ$60,MATCH($C$23,$CA$52:$CA$60,0),MATCH($O$21,$CB$51:$CJ$51,0)),0)</f>
        <v>0</v>
      </c>
      <c r="J36" s="3">
        <f ca="1">IF(AND($O$23=$C$23,$O$22&lt;&gt;""),INDEX($CB$52:$CJ$60,MATCH($C$23,$CA$52:$CA$60,0),MATCH($O$22,$CB$51:$CJ$51,0)),0)</f>
        <v>0</v>
      </c>
      <c r="K36" s="3">
        <v>0</v>
      </c>
      <c r="L36" s="3">
        <f ca="1">IF(AND($O$23=$C$23,$O$24&lt;&gt;""),INDEX($CB$52:$CJ$60,MATCH($C$23,$CA$52:$CA$60,0),MATCH($O$24,$CB$51:$CJ$51,0)),0)</f>
        <v>0</v>
      </c>
      <c r="M36" s="53">
        <f ca="1">IF(AND($O$23=$C$23,$O$25&lt;&gt;""),INDEX($CB$52:$CJ$60,MATCH($C$23,$CA$52:$CA$60,0),MATCH($O$25,$CB$51:$CJ$51,0)),0)</f>
        <v>0</v>
      </c>
      <c r="N36" s="5">
        <f ca="1">IF(AND($P$23=$C$23,$P$17&lt;&gt;""),INDEX($CB$52:$CJ$60,MATCH($C$23,$CA$52:$CA$60,0),MATCH($P$17,$CB$51:$CJ$51,0)),0)</f>
        <v>0</v>
      </c>
      <c r="O36" s="3">
        <f ca="1">IF(AND($P$23=$C$23,$P$18&lt;&gt;""),INDEX($CB$52:$CJ$60,MATCH($C$23,$CA$52:$CA$60,0),MATCH($P$18,$CB$51:$CJ$51,0)),0)</f>
        <v>0</v>
      </c>
      <c r="P36" s="3">
        <f ca="1">IF(AND($P$23=$C$23,$P$19&lt;&gt;""),INDEX($CB$52:$CJ$60,MATCH($C$23,$CA$52:$CA$60,0),MATCH($P$19,$CB$51:$CJ$51,0)),0)</f>
        <v>0</v>
      </c>
      <c r="Q36" s="3">
        <f ca="1">IF(AND($P$23=$C$23,$P$20&lt;&gt;""),INDEX($CB$52:$CJ$60,MATCH($C$23,$CA$52:$CA$60,0),MATCH($P$20,$CB$51:$CJ$51,0)),0)</f>
        <v>0</v>
      </c>
      <c r="R36" s="3">
        <f ca="1">IF(AND($P$23=$C$23,$P$21&lt;&gt;""),INDEX($CB$52:$CJ$60,MATCH($C$23,$CA$52:$CA$60,0),MATCH($P$21,$CB$51:$CJ$51,0)),0)</f>
        <v>0</v>
      </c>
      <c r="S36" s="3">
        <f ca="1">IF(AND($P$23=$C$23,$P$22&lt;&gt;""),INDEX($CB$52:$CJ$60,MATCH($C$23,$CA$52:$CA$60,0),MATCH($P$22,$CB$51:$CJ$51,0)),0)</f>
        <v>0</v>
      </c>
      <c r="T36" s="3">
        <v>0</v>
      </c>
      <c r="U36" s="3">
        <f ca="1">IF(AND($P$23=$C$23,$P$24&lt;&gt;""),INDEX($CB$52:$CJ$60,MATCH($C$23,$CA$52:$CA$60,0),MATCH($P$24,$CB$51:$CJ$51,0)),0)</f>
        <v>0</v>
      </c>
      <c r="V36" s="53">
        <f ca="1">IF(AND($P$23=$C$23,$P$25&lt;&gt;""),INDEX($CB$52:$CJ$60,MATCH($C$23,$CA$52:$CA$60,0),MATCH($P$25,$CB$51:$CJ$51,0)),0)</f>
        <v>0</v>
      </c>
      <c r="W36" s="5">
        <f ca="1">IF(AND($Q$23=$C$23,$Q$17&lt;&gt;""),INDEX($CB$52:$CJ$60,MATCH($C$23,$CA$52:$CA$60,0),MATCH($Q$17,$CB$51:$CJ$51,0)),0)</f>
        <v>0</v>
      </c>
      <c r="X36" s="3">
        <f ca="1">IF(AND($Q$23=$C$23,$Q$18&lt;&gt;""),INDEX($CB$52:$CJ$60,MATCH($C$23,$CA$52:$CA$60,0),MATCH($Q$18,$CB$51:$CJ$51,0)),0)</f>
        <v>0</v>
      </c>
      <c r="Y36" s="3">
        <f ca="1">IF(AND($Q$23=$C$23,$Q$19&lt;&gt;""),INDEX($CB$52:$CJ$60,MATCH($C$23,$CA$52:$CA$60,0),MATCH($Q$19,$CB$51:$CJ$51,0)),0)</f>
        <v>0</v>
      </c>
      <c r="Z36" s="3">
        <f ca="1">IF(AND($Q$23=$C$23,$Q$20&lt;&gt;""),INDEX($CB$52:$CJ$60,MATCH($C$23,$CA$52:$CA$60,0),MATCH($Q$20,$CB$51:$CJ$51,0)),0)</f>
        <v>0</v>
      </c>
      <c r="AA36" s="3">
        <f ca="1">IF(AND($Q$23=$C$23,$Q$21&lt;&gt;""),INDEX($CB$52:$CJ$60,MATCH($C$23,$CA$52:$CA$60,0),MATCH($Q$21,$CB$51:$CJ$51,0)),0)</f>
        <v>0</v>
      </c>
      <c r="AB36" s="3">
        <f ca="1">IF(AND($Q$23=$C$23,$Q$22&lt;&gt;""),INDEX($CB$52:$CJ$60,MATCH($C$23,$CA$52:$CA$60,0),MATCH($Q$22,$CB$51:$CJ$51,0)),0)</f>
        <v>0</v>
      </c>
      <c r="AC36" s="3">
        <v>0</v>
      </c>
      <c r="AD36" s="3">
        <f ca="1">IF(AND($Q$23=$C$23,$Q$24&lt;&gt;""),INDEX($CB$52:$CJ$60,MATCH($C$23,$CA$52:$CA$60,0),MATCH($Q$24,$CB$51:$CJ$51,0)),0)</f>
        <v>0</v>
      </c>
      <c r="AE36" s="53">
        <f ca="1">IF(AND($Q$23=$C$23,$Q$25&lt;&gt;""),INDEX($CB$52:$CJ$60,MATCH($C$23,$CA$52:$CA$60,0),MATCH($Q$25,$CB$51:$CJ$51,0)),0)</f>
        <v>0</v>
      </c>
      <c r="AF36" s="5">
        <f ca="1">IF(AND($R$23=$C$23,$R$17&lt;&gt;""),INDEX($CB$52:$CJ$60,MATCH($C$23,$CA$52:$CA$60,0),MATCH($R$17,$CB$51:$CJ$51,0)),0)</f>
        <v>0</v>
      </c>
      <c r="AG36" s="3">
        <f ca="1">IF(AND($R$23=$C$23,$R$18&lt;&gt;""),INDEX($CB$52:$CJ$60,MATCH($C$23,$CA$52:$CA$60,0),MATCH($R$18,$CB$51:$CJ$51,0)),0)</f>
        <v>0</v>
      </c>
      <c r="AH36" s="3">
        <f ca="1">IF(AND($R$23=$C$23,$R$19&lt;&gt;""),INDEX($CB$52:$CJ$60,MATCH($C$23,$CA$52:$CA$60,0),MATCH($R$19,$CB$51:$CJ$51,0)),0)</f>
        <v>0</v>
      </c>
      <c r="AI36" s="3">
        <f ca="1">IF(AND($R$23=$C$23,$R$20&lt;&gt;""),INDEX($CB$52:$CJ$60,MATCH($C$23,$CA$52:$CA$60,0),MATCH($R$20,$CB$51:$CJ$51,0)),0)</f>
        <v>0</v>
      </c>
      <c r="AJ36" s="3">
        <f ca="1">IF(AND($R$23=$C$23,$R$21&lt;&gt;""),INDEX($CB$52:$CJ$60,MATCH($C$23,$CA$52:$CA$60,0),MATCH($R$21,$CB$51:$CJ$51,0)),0)</f>
        <v>0</v>
      </c>
      <c r="AK36" s="3">
        <f ca="1">IF(AND($R$23=$C$23,$R$22&lt;&gt;""),INDEX($CB$52:$CJ$60,MATCH($C$23,$CA$52:$CA$60,0),MATCH($R$22,$CB$51:$CJ$51,0)),0)</f>
        <v>0</v>
      </c>
      <c r="AL36" s="3">
        <v>0</v>
      </c>
      <c r="AM36" s="3">
        <f ca="1">IF(AND($R$23=$C$23,$R$24&lt;&gt;""),INDEX($CB$52:$CJ$60,MATCH($C$23,$CA$52:$CA$60,0),MATCH($R$24,$CB$51:$CJ$51,0)),0)</f>
        <v>0</v>
      </c>
      <c r="AN36" s="53">
        <f ca="1">IF(AND($R$23=$C$23,$R$25&lt;&gt;""),INDEX($CB$52:$CJ$60,MATCH($C$23,$CA$52:$CA$60,0),MATCH($R$25,$CB$51:$CJ$51,0)),0)</f>
        <v>0</v>
      </c>
      <c r="AO36" s="5">
        <f ca="1">IF(AND($S$23=$C$23,$S$17&lt;&gt;""),INDEX($CB$52:$CJ$60,MATCH($C$23,$CA$52:$CA$60,0),MATCH($S$17,$CB$51:$CJ$51,0)),0)</f>
        <v>0</v>
      </c>
      <c r="AP36" s="3">
        <f ca="1">IF(AND($S$23=$C$23,$S$18&lt;&gt;""),INDEX($CB$52:$CJ$60,MATCH($C$23,$CA$52:$CA$60,0),MATCH($S$18,$CB$51:$CJ$51,0)),0)</f>
        <v>0</v>
      </c>
      <c r="AQ36" s="3">
        <f ca="1">IF(AND($S$23=$C$23,$S$19&lt;&gt;""),INDEX($CB$52:$CJ$60,MATCH($C$23,$CA$52:$CA$60,0),MATCH($S$19,$CB$51:$CJ$51,0)),0)</f>
        <v>0</v>
      </c>
      <c r="AR36" s="3">
        <f ca="1">IF(AND($S$23=$C$23,$S$20&lt;&gt;""),INDEX($CB$52:$CJ$60,MATCH($C$23,$CA$52:$CA$60,0),MATCH($S$20,$CB$51:$CJ$51,0)),0)</f>
        <v>0</v>
      </c>
      <c r="AS36" s="3">
        <f ca="1">IF(AND($S$23=$C$23,$S$21&lt;&gt;""),INDEX($CB$52:$CJ$60,MATCH($C$23,$CA$52:$CA$60,0),MATCH($S$21,$CB$51:$CJ$51,0)),0)</f>
        <v>0</v>
      </c>
      <c r="AT36" s="3">
        <f ca="1">IF(AND($S$23=$C$23,$S$22&lt;&gt;""),INDEX($CB$52:$CJ$60,MATCH($C$23,$CA$52:$CA$60,0),MATCH($S$22,$CB$51:$CJ$51,0)),0)</f>
        <v>0</v>
      </c>
      <c r="AU36" s="3">
        <v>0</v>
      </c>
      <c r="AV36" s="3">
        <f ca="1">IF(AND($S$23=$C$23,$S$24&lt;&gt;""),INDEX($CB$52:$CJ$60,MATCH($C$23,$CA$52:$CA$60,0),MATCH($S$24,$CB$51:$CJ$51,0)),0)</f>
        <v>0</v>
      </c>
      <c r="AW36" s="53">
        <f ca="1">IF(AND($S$23=$C$23,$S$25&lt;&gt;""),INDEX($CB$52:$CJ$60,MATCH($C$23,$CA$52:$CA$60,0),MATCH($S$25,$CB$51:$CJ$51,0)),0)</f>
        <v>0</v>
      </c>
      <c r="AX36" s="5">
        <f ca="1">IF(AND($T$23=$C$23,$T$17&lt;&gt;""),INDEX($CB$52:$CJ$60,MATCH($C$23,$CA$52:$CA$60,0),MATCH($T$17,$CB$51:$CJ$51,0)),0)</f>
        <v>0</v>
      </c>
      <c r="AY36" s="3">
        <f ca="1">IF(AND($T$23=$C$23,$T$18&lt;&gt;""),INDEX($CB$52:$CJ$60,MATCH($C$23,$CA$52:$CA$60,0),MATCH($T$18,$CB$51:$CJ$51,0)),0)</f>
        <v>0</v>
      </c>
      <c r="AZ36" s="3">
        <f ca="1">IF(AND($T$23=$C$23,$T$19&lt;&gt;""),INDEX($CB$52:$CJ$60,MATCH($C$23,$CA$52:$CA$60,0),MATCH($T$19,$CB$51:$CJ$51,0)),0)</f>
        <v>0</v>
      </c>
      <c r="BA36" s="3">
        <f ca="1">IF(AND($T$23=$C$23,$T$20&lt;&gt;""),INDEX($CB$52:$CJ$60,MATCH($C$23,$CA$52:$CA$60,0),MATCH($T$20,$CB$51:$CJ$51,0)),0)</f>
        <v>0</v>
      </c>
      <c r="BB36" s="3">
        <f ca="1">IF(AND($T$23=$C$23,$T$21&lt;&gt;""),INDEX($CB$52:$CJ$60,MATCH($C$23,$CA$52:$CA$60,0),MATCH($T$21,$CB$51:$CJ$51,0)),0)</f>
        <v>0</v>
      </c>
      <c r="BC36" s="3">
        <f ca="1">IF(AND($T$23=$C$23,$T$22&lt;&gt;""),INDEX($CB$52:$CJ$60,MATCH($C$23,$CA$52:$CA$60,0),MATCH($T$22,$CB$51:$CJ$51,0)),0)</f>
        <v>0</v>
      </c>
      <c r="BD36" s="3">
        <v>0</v>
      </c>
      <c r="BE36" s="3">
        <f ca="1">IF(AND($T$23=$C$23,$T$24&lt;&gt;""),INDEX($CB$52:$CJ$60,MATCH($C$23,$CA$52:$CA$60,0),MATCH($T$24,$CB$51:$CJ$51,0)),0)</f>
        <v>0</v>
      </c>
      <c r="BF36" s="53">
        <f ca="1">IF(AND($T$23=$C$23,$T$25&lt;&gt;""),INDEX($CB$52:$CJ$60,MATCH($C$23,$CA$52:$CA$60,0),MATCH($T$25,$CB$51:$CJ$51,0)),0)</f>
        <v>0</v>
      </c>
      <c r="BG36" s="5">
        <f ca="1">IF(AND($U$23=$C$23,$U$17&lt;&gt;""),INDEX($CB$52:$CJ$60,MATCH($C$23,$CA$52:$CA$60,0),MATCH($U$17,$CB$51:$CJ$51,0)),0)</f>
        <v>0</v>
      </c>
      <c r="BH36" s="3">
        <f ca="1">IF(AND($U$23=$C$23,$U$18&lt;&gt;""),INDEX($CB$52:$CJ$60,MATCH($C$23,$CA$52:$CA$60,0),MATCH($U$18,$CB$51:$CJ$51,0)),0)</f>
        <v>0</v>
      </c>
      <c r="BI36" s="3">
        <f ca="1">IF(AND($U$23=$C$23,$U$19&lt;&gt;""),INDEX($CB$52:$CJ$60,MATCH($C$23,$CA$52:$CA$60,0),MATCH($U$19,$CB$51:$CJ$51,0)),0)</f>
        <v>0</v>
      </c>
      <c r="BJ36" s="3">
        <f ca="1">IF(AND($U$23=$C$23,$U$20&lt;&gt;""),INDEX($CB$52:$CJ$60,MATCH($C$23,$CA$52:$CA$60,0),MATCH($U$20,$CB$51:$CJ$51,0)),0)</f>
        <v>0</v>
      </c>
      <c r="BK36" s="3">
        <f ca="1">IF(AND($U$23=$C$23,$U$21&lt;&gt;""),INDEX($CB$52:$CJ$60,MATCH($C$23,$CA$52:$CA$60,0),MATCH($U$21,$CB$51:$CJ$51,0)),0)</f>
        <v>0</v>
      </c>
      <c r="BL36" s="3">
        <f ca="1">IF(AND($U$23=$C$23,$U$22&lt;&gt;""),INDEX($CB$52:$CJ$60,MATCH($C$23,$CA$52:$CA$60,0),MATCH($U$22,$CB$51:$CJ$51,0)),0)</f>
        <v>0</v>
      </c>
      <c r="BM36" s="3">
        <v>0</v>
      </c>
      <c r="BN36" s="3">
        <f ca="1">IF(AND($U$23=$C$23,$U$24&lt;&gt;""),INDEX($CB$52:$CJ$60,MATCH($C$23,$CA$52:$CA$60,0),MATCH($U$24,$CB$51:$CJ$51,0)),0)</f>
        <v>0</v>
      </c>
      <c r="BO36" s="53">
        <f ca="1">IF(AND($U$23=$C$23,$U$25&lt;&gt;""),INDEX($CB$52:$CJ$60,MATCH($C$23,$CA$52:$CA$60,0),MATCH($U$25,$CB$51:$CJ$51,0)),0)</f>
        <v>0</v>
      </c>
      <c r="BP36" s="5">
        <f ca="1">IF(AND($V$23=$C$23,$V$17&lt;&gt;""),INDEX($CB$52:$CJ$60,MATCH($C$23,$CA$52:$CA$60,0),MATCH($V$17,$CB$51:$CJ$51,0)),0)</f>
        <v>0</v>
      </c>
      <c r="BQ36" s="3">
        <f ca="1">IF(AND($V$23=$C$23,$V$18&lt;&gt;""),INDEX($CB$52:$CJ$60,MATCH($C$23,$CA$52:$CA$60,0),MATCH($V$18,$CB$51:$CJ$51,0)),0)</f>
        <v>0</v>
      </c>
      <c r="BR36" s="3">
        <f ca="1">IF(AND($V$23=$C$23,$V$19&lt;&gt;""),INDEX($CB$52:$CJ$60,MATCH($C$23,$CA$52:$CA$60,0),MATCH($V$19,$CB$51:$CJ$51,0)),0)</f>
        <v>0</v>
      </c>
      <c r="BS36" s="3">
        <f ca="1">IF(AND($V$23=$C$23,$V$20&lt;&gt;""),INDEX($CB$52:$CJ$60,MATCH($C$23,$CA$52:$CA$60,0),MATCH($V$20,$CB$51:$CJ$51,0)),0)</f>
        <v>0</v>
      </c>
      <c r="BT36" s="3">
        <f ca="1">IF(AND($V$23=$C$23,$V$21&lt;&gt;""),INDEX($CB$52:$CJ$60,MATCH($C$23,$CA$52:$CA$60,0),MATCH($V$21,$CB$51:$CJ$51,0)),0)</f>
        <v>0</v>
      </c>
      <c r="BU36" s="3">
        <f ca="1">IF(AND($V$23=$C$23,$V$22&lt;&gt;""),INDEX($CB$52:$CJ$60,MATCH($C$23,$CA$52:$CA$60,0),MATCH($V$22,$CB$51:$CJ$51,0)),0)</f>
        <v>0</v>
      </c>
      <c r="BV36" s="3">
        <v>0</v>
      </c>
      <c r="BW36" s="3">
        <f ca="1">IF(AND($V$23=$C$23,$V$24&lt;&gt;""),INDEX($CB$52:$CJ$60,MATCH($C$23,$CA$52:$CA$60,0),MATCH($V$24,$CB$51:$CJ$51,0)),0)</f>
        <v>0</v>
      </c>
      <c r="BX36" s="53">
        <f ca="1">IF(AND($V$23=$C$23,$V$25&lt;&gt;""),INDEX($CB$52:$CJ$60,MATCH($C$23,$CA$52:$CA$60,0),MATCH($V$25,$CB$51:$CJ$51,0)),0)</f>
        <v>0</v>
      </c>
      <c r="BY36" s="14"/>
      <c r="BZ36" s="3"/>
      <c r="CA36" s="2" t="str">
        <f t="shared" si="57"/>
        <v>SSV Wildbach</v>
      </c>
      <c r="CB36" s="8">
        <f t="shared" ca="1" si="60"/>
        <v>76</v>
      </c>
      <c r="CC36" s="8">
        <f t="shared" ca="1" si="62"/>
        <v>99</v>
      </c>
      <c r="CD36" s="8">
        <f t="shared" ca="1" si="64"/>
        <v>88</v>
      </c>
      <c r="CE36" s="8">
        <f ca="1">SUMIFS($AJ$64:$AJ$135,$V$64:$V$135,$CA36,$W$64:$W$135,CE$29)+SUMIFS($AK$64:$AK$135,$W$64:$W$135,$CA36,$V$64:$V$135,CE$29)</f>
        <v>89</v>
      </c>
      <c r="CF36" s="8">
        <f ca="1">SUMIFS($AJ$64:$AJ$135,$V$64:$V$135,$CA36,$W$64:$W$135,CF$29)+SUMIFS($AK$64:$AK$135,$W$64:$W$135,$CA36,$V$64:$V$135,CF$29)</f>
        <v>76</v>
      </c>
      <c r="CG36" s="8">
        <f ca="1">SUMIFS($AJ$64:$AJ$135,$V$64:$V$135,$CA36,$W$64:$W$135,CG$29)+SUMIFS($AK$64:$AK$135,$W$64:$W$135,$CA36,$V$64:$V$135,CG$29)</f>
        <v>91</v>
      </c>
      <c r="CH36" s="6"/>
      <c r="CI36" s="7">
        <f ca="1">SUMIFS($AJ$64:$AJ$135,$V$64:$V$135,$CA36,$W$64:$W$135,CI$29)+SUMIFS($AK$64:$AK$135,$W$64:$W$135,$CA36,$V$64:$V$135,CI$29)</f>
        <v>0</v>
      </c>
      <c r="CJ36" s="7">
        <f ca="1">SUMIFS($AJ$64:$AJ$135,$V$64:$V$135,$CA36,$W$64:$W$135,CJ$29)+SUMIFS($AK$64:$AK$135,$W$64:$W$135,$CA36,$V$64:$V$135,CJ$29)</f>
        <v>0</v>
      </c>
      <c r="CK36" s="3"/>
    </row>
    <row r="37" spans="2:89" s="2" customFormat="1" x14ac:dyDescent="0.2">
      <c r="C37" s="2" t="str">
        <f t="shared" si="59"/>
        <v/>
      </c>
      <c r="E37" s="14">
        <f ca="1">IF(AND($O$24=$C$24,$O$17&lt;&gt;""),INDEX($CB$52:$CJ$60,MATCH($C$24,$CA$52:$CA$60,0),MATCH($O$17,$CB$51:$CJ$51,0)),0)</f>
        <v>0</v>
      </c>
      <c r="F37" s="3">
        <f ca="1">IF(AND($O$24=$C$24,$O$18&lt;&gt;""),INDEX($CB$52:$CJ$60,MATCH($C$24,$CA$52:$CA$60,0),MATCH($O$18,$CB$51:$CJ$51,0)),0)</f>
        <v>0</v>
      </c>
      <c r="G37" s="3">
        <f ca="1">IF(AND($O$24=$C$24,$O$19&lt;&gt;""),INDEX($CB$52:$CJ$60,MATCH($C$24,$CA$52:$CA$60,0),MATCH($O$19,$CB$51:$CJ$51,0)),0)</f>
        <v>0</v>
      </c>
      <c r="H37" s="3">
        <f ca="1">IF(AND($O$24=$C$24,$O$20&lt;&gt;""),INDEX($CB$52:$CJ$60,MATCH($C$24,$CA$52:$CA$60,0),MATCH($O$20,$CB$51:$CJ$51,0)),0)</f>
        <v>0</v>
      </c>
      <c r="I37" s="3">
        <f ca="1">IF(AND($O$24=$C$24,$O$21&lt;&gt;""),INDEX($CB$52:$CJ$60,MATCH($C$24,$CA$52:$CA$60,0),MATCH($O$21,$CB$51:$CJ$51,0)),0)</f>
        <v>0</v>
      </c>
      <c r="J37" s="3">
        <f ca="1">IF(AND($O$24=$C$24,$O$22&lt;&gt;""),INDEX($CB$52:$CJ$60,MATCH($C$24,$CA$52:$CA$60,0),MATCH($O$22,$CB$51:$CJ$51,0)),0)</f>
        <v>0</v>
      </c>
      <c r="K37" s="3">
        <f ca="1">IF(AND($O$24=$C$24,$O$23&lt;&gt;""),INDEX($CB$52:$CJ$60,MATCH($C$24,$CA$52:$CA$60,0),MATCH($O$23,$CB$51:$CJ$51,0)),0)</f>
        <v>0</v>
      </c>
      <c r="L37" s="3">
        <v>0</v>
      </c>
      <c r="M37" s="53">
        <f ca="1">IF(AND($O$24=$C$24,$O$25&lt;&gt;""),INDEX($CB$52:$CJ$60,MATCH($C$24,$CA$52:$CA$60,0),MATCH($O$25,$CB$51:$CJ$51,0)),0)</f>
        <v>0</v>
      </c>
      <c r="N37" s="5">
        <f ca="1">IF(AND($P$24=$C$24,$P$17&lt;&gt;""),INDEX($CB$52:$CJ$60,MATCH($C$24,$CA$52:$CA$60,0),MATCH($P$17,$CB$51:$CJ$51,0)),0)</f>
        <v>0</v>
      </c>
      <c r="O37" s="3">
        <f ca="1">IF(AND($P$24=$C$24,$P$18&lt;&gt;""),INDEX($CB$52:$CJ$60,MATCH($C$24,$CA$52:$CA$60,0),MATCH($P$18,$CB$51:$CJ$51,0)),0)</f>
        <v>0</v>
      </c>
      <c r="P37" s="3">
        <f ca="1">IF(AND($P$24=$C$24,$P$19&lt;&gt;""),INDEX($CB$52:$CJ$60,MATCH($C$24,$CA$52:$CA$60,0),MATCH($P$19,$CB$51:$CJ$51,0)),0)</f>
        <v>0</v>
      </c>
      <c r="Q37" s="3">
        <f ca="1">IF(AND($P$24=$C$24,$P$20&lt;&gt;""),INDEX($CB$52:$CJ$60,MATCH($C$24,$CA$52:$CA$60,0),MATCH($P$20,$CB$51:$CJ$51,0)),0)</f>
        <v>0</v>
      </c>
      <c r="R37" s="3">
        <f ca="1">IF(AND($P$24=$C$24,$P$21&lt;&gt;""),INDEX($CB$52:$CJ$60,MATCH($C$24,$CA$52:$CA$60,0),MATCH($P$21,$CB$51:$CJ$51,0)),0)</f>
        <v>0</v>
      </c>
      <c r="S37" s="3">
        <f ca="1">IF(AND($P$24=$C$24,$P$22&lt;&gt;""),INDEX($CB$52:$CJ$60,MATCH($C$24,$CA$52:$CA$60,0),MATCH($P$22,$CB$51:$CJ$51,0)),0)</f>
        <v>0</v>
      </c>
      <c r="T37" s="3">
        <f ca="1">IF(AND($P$24=$C$24,$P$23&lt;&gt;""),INDEX($CB$52:$CJ$60,MATCH($C$24,$CA$52:$CA$60,0),MATCH($P$23,$CB$51:$CJ$51,0)),0)</f>
        <v>0</v>
      </c>
      <c r="U37" s="3">
        <v>0</v>
      </c>
      <c r="V37" s="53">
        <f ca="1">IF(AND($P$24=$C$24,$P$25&lt;&gt;""),INDEX($CB$52:$CJ$60,MATCH($C$24,$CA$52:$CA$60,0),MATCH($P$25,$CB$51:$CJ$51,0)),0)</f>
        <v>0</v>
      </c>
      <c r="W37" s="5">
        <f ca="1">IF(AND($Q$24=$C$24,$Q$17&lt;&gt;""),INDEX($CB$52:$CJ$60,MATCH($C$24,$CA$52:$CA$60,0),MATCH($Q$17,$CB$51:$CJ$51,0)),0)</f>
        <v>0</v>
      </c>
      <c r="X37" s="3">
        <f ca="1">IF(AND($Q$24=$C$24,$Q$18&lt;&gt;""),INDEX($CB$52:$CJ$60,MATCH($C$24,$CA$52:$CA$60,0),MATCH($Q$18,$CB$51:$CJ$51,0)),0)</f>
        <v>0</v>
      </c>
      <c r="Y37" s="3">
        <f ca="1">IF(AND($Q$24=$C$24,$Q$19&lt;&gt;""),INDEX($CB$52:$CJ$60,MATCH($C$24,$CA$52:$CA$60,0),MATCH($Q$19,$CB$51:$CJ$51,0)),0)</f>
        <v>0</v>
      </c>
      <c r="Z37" s="3">
        <f ca="1">IF(AND($Q$24=$C$24,$Q$20&lt;&gt;""),INDEX($CB$52:$CJ$60,MATCH($C$24,$CA$52:$CA$60,0),MATCH($Q$20,$CB$51:$CJ$51,0)),0)</f>
        <v>0</v>
      </c>
      <c r="AA37" s="3">
        <f ca="1">IF(AND($Q$24=$C$24,$Q$21&lt;&gt;""),INDEX($CB$52:$CJ$60,MATCH($C$24,$CA$52:$CA$60,0),MATCH($Q$21,$CB$51:$CJ$51,0)),0)</f>
        <v>0</v>
      </c>
      <c r="AB37" s="3">
        <f ca="1">IF(AND($Q$24=$C$24,$Q$22&lt;&gt;""),INDEX($CB$52:$CJ$60,MATCH($C$24,$CA$52:$CA$60,0),MATCH($Q$22,$CB$51:$CJ$51,0)),0)</f>
        <v>0</v>
      </c>
      <c r="AC37" s="3">
        <f ca="1">IF(AND($Q$24=$C$24,$Q$23&lt;&gt;""),INDEX($CB$52:$CJ$60,MATCH($C$24,$CA$52:$CA$60,0),MATCH($Q$23,$CB$51:$CJ$51,0)),0)</f>
        <v>0</v>
      </c>
      <c r="AD37" s="3">
        <v>0</v>
      </c>
      <c r="AE37" s="53">
        <f ca="1">IF(AND($Q$24=$C$24,$Q$25&lt;&gt;""),INDEX($CB$52:$CJ$60,MATCH($C$24,$CA$52:$CA$60,0),MATCH($Q$25,$CB$51:$CJ$51,0)),0)</f>
        <v>0</v>
      </c>
      <c r="AF37" s="5">
        <f ca="1">IF(AND($R$24=$C$24,$R$17&lt;&gt;""),INDEX($CB$52:$CJ$60,MATCH($C$24,$CA$52:$CA$60,0),MATCH($R$17,$CB$51:$CJ$51,0)),0)</f>
        <v>0</v>
      </c>
      <c r="AG37" s="3">
        <f ca="1">IF(AND($R$24=$C$24,$R$18&lt;&gt;""),INDEX($CB$52:$CJ$60,MATCH($C$24,$CA$52:$CA$60,0),MATCH($R$18,$CB$51:$CJ$51,0)),0)</f>
        <v>0</v>
      </c>
      <c r="AH37" s="3">
        <f ca="1">IF(AND($R$24=$C$24,$R$19&lt;&gt;""),INDEX($CB$52:$CJ$60,MATCH($C$24,$CA$52:$CA$60,0),MATCH($R$19,$CB$51:$CJ$51,0)),0)</f>
        <v>0</v>
      </c>
      <c r="AI37" s="3">
        <f ca="1">IF(AND($R$24=$C$24,$R$20&lt;&gt;""),INDEX($CB$52:$CJ$60,MATCH($C$24,$CA$52:$CA$60,0),MATCH($R$20,$CB$51:$CJ$51,0)),0)</f>
        <v>0</v>
      </c>
      <c r="AJ37" s="3">
        <f ca="1">IF(AND($R$24=$C$24,$R$21&lt;&gt;""),INDEX($CB$52:$CJ$60,MATCH($C$24,$CA$52:$CA$60,0),MATCH($R$21,$CB$51:$CJ$51,0)),0)</f>
        <v>0</v>
      </c>
      <c r="AK37" s="3">
        <f ca="1">IF(AND($R$24=$C$24,$R$22&lt;&gt;""),INDEX($CB$52:$CJ$60,MATCH($C$24,$CA$52:$CA$60,0),MATCH($R$22,$CB$51:$CJ$51,0)),0)</f>
        <v>0</v>
      </c>
      <c r="AL37" s="3">
        <f ca="1">IF(AND($R$24=$C$24,$R$23&lt;&gt;""),INDEX($CB$52:$CJ$60,MATCH($C$24,$CA$52:$CA$60,0),MATCH($R$23,$CB$51:$CJ$51,0)),0)</f>
        <v>0</v>
      </c>
      <c r="AM37" s="3">
        <v>0</v>
      </c>
      <c r="AN37" s="53">
        <f ca="1">IF(AND($R$24=$C$24,$R$25&lt;&gt;""),INDEX($CB$52:$CJ$60,MATCH($C$24,$CA$52:$CA$60,0),MATCH($R$25,$CB$51:$CJ$51,0)),0)</f>
        <v>0</v>
      </c>
      <c r="AO37" s="5">
        <f ca="1">IF(AND($S$24=$C$24,$S$17&lt;&gt;""),INDEX($CB$52:$CJ$60,MATCH($C$24,$CA$52:$CA$60,0),MATCH($S$17,$CB$51:$CJ$51,0)),0)</f>
        <v>0</v>
      </c>
      <c r="AP37" s="3">
        <f ca="1">IF(AND($S$24=$C$24,$S$18&lt;&gt;""),INDEX($CB$52:$CJ$60,MATCH($C$24,$CA$52:$CA$60,0),MATCH($S$18,$CB$51:$CJ$51,0)),0)</f>
        <v>0</v>
      </c>
      <c r="AQ37" s="3">
        <f ca="1">IF(AND($S$24=$C$24,$S$19&lt;&gt;""),INDEX($CB$52:$CJ$60,MATCH($C$24,$CA$52:$CA$60,0),MATCH($S$19,$CB$51:$CJ$51,0)),0)</f>
        <v>0</v>
      </c>
      <c r="AR37" s="3">
        <f ca="1">IF(AND($S$24=$C$24,$S$20&lt;&gt;""),INDEX($CB$52:$CJ$60,MATCH($C$24,$CA$52:$CA$60,0),MATCH($S$20,$CB$51:$CJ$51,0)),0)</f>
        <v>0</v>
      </c>
      <c r="AS37" s="3">
        <f ca="1">IF(AND($S$24=$C$24,$S$21&lt;&gt;""),INDEX($CB$52:$CJ$60,MATCH($C$24,$CA$52:$CA$60,0),MATCH($S$21,$CB$51:$CJ$51,0)),0)</f>
        <v>0</v>
      </c>
      <c r="AT37" s="3">
        <f ca="1">IF(AND($S$24=$C$24,$S$22&lt;&gt;""),INDEX($CB$52:$CJ$60,MATCH($C$24,$CA$52:$CA$60,0),MATCH($S$22,$CB$51:$CJ$51,0)),0)</f>
        <v>0</v>
      </c>
      <c r="AU37" s="3">
        <f ca="1">IF(AND($S$24=$C$24,$S$23&lt;&gt;""),INDEX($CB$52:$CJ$60,MATCH($C$24,$CA$52:$CA$60,0),MATCH($S$23,$CB$51:$CJ$51,0)),0)</f>
        <v>0</v>
      </c>
      <c r="AV37" s="3">
        <v>0</v>
      </c>
      <c r="AW37" s="53">
        <f ca="1">IF(AND($S$24=$C$24,$S$25&lt;&gt;""),INDEX($CB$52:$CJ$60,MATCH($C$24,$CA$52:$CA$60,0),MATCH($S$25,$CB$51:$CJ$51,0)),0)</f>
        <v>0</v>
      </c>
      <c r="AX37" s="5">
        <f ca="1">IF(AND($T$24=$C$24,$T$17&lt;&gt;""),INDEX($CB$52:$CJ$60,MATCH($C$24,$CA$52:$CA$60,0),MATCH($T$17,$CB$51:$CJ$51,0)),0)</f>
        <v>0</v>
      </c>
      <c r="AY37" s="3">
        <f ca="1">IF(AND($T$24=$C$24,$T$18&lt;&gt;""),INDEX($CB$52:$CJ$60,MATCH($C$24,$CA$52:$CA$60,0),MATCH($T$18,$CB$51:$CJ$51,0)),0)</f>
        <v>0</v>
      </c>
      <c r="AZ37" s="3">
        <f ca="1">IF(AND($T$24=$C$24,$T$19&lt;&gt;""),INDEX($CB$52:$CJ$60,MATCH($C$24,$CA$52:$CA$60,0),MATCH($T$19,$CB$51:$CJ$51,0)),0)</f>
        <v>0</v>
      </c>
      <c r="BA37" s="3">
        <f ca="1">IF(AND($T$24=$C$24,$T$20&lt;&gt;""),INDEX($CB$52:$CJ$60,MATCH($C$24,$CA$52:$CA$60,0),MATCH($T$20,$CB$51:$CJ$51,0)),0)</f>
        <v>0</v>
      </c>
      <c r="BB37" s="3">
        <f ca="1">IF(AND($T$24=$C$24,$T$21&lt;&gt;""),INDEX($CB$52:$CJ$60,MATCH($C$24,$CA$52:$CA$60,0),MATCH($T$21,$CB$51:$CJ$51,0)),0)</f>
        <v>0</v>
      </c>
      <c r="BC37" s="3">
        <f ca="1">IF(AND($T$24=$C$24,$T$22&lt;&gt;""),INDEX($CB$52:$CJ$60,MATCH($C$24,$CA$52:$CA$60,0),MATCH($T$22,$CB$51:$CJ$51,0)),0)</f>
        <v>0</v>
      </c>
      <c r="BD37" s="3">
        <f ca="1">IF(AND($T$24=$C$24,$T$23&lt;&gt;""),INDEX($CB$52:$CJ$60,MATCH($C$24,$CA$52:$CA$60,0),MATCH($T$23,$CB$51:$CJ$51,0)),0)</f>
        <v>0</v>
      </c>
      <c r="BE37" s="3">
        <v>0</v>
      </c>
      <c r="BF37" s="53">
        <f ca="1">IF(AND($T$24=$C$24,$T$25&lt;&gt;""),INDEX($CB$52:$CJ$60,MATCH($C$24,$CA$52:$CA$60,0),MATCH($T$25,$CB$51:$CJ$51,0)),0)</f>
        <v>0</v>
      </c>
      <c r="BG37" s="5">
        <f ca="1">IF(AND($U$24=$C$24,$U$17&lt;&gt;""),INDEX($CB$52:$CJ$60,MATCH($C$24,$CA$52:$CA$60,0),MATCH($U$17,$CB$51:$CJ$51,0)),0)</f>
        <v>0</v>
      </c>
      <c r="BH37" s="3">
        <f ca="1">IF(AND($U$24=$C$24,$U$18&lt;&gt;""),INDEX($CB$52:$CJ$60,MATCH($C$24,$CA$52:$CA$60,0),MATCH($U$18,$CB$51:$CJ$51,0)),0)</f>
        <v>0</v>
      </c>
      <c r="BI37" s="3">
        <f ca="1">IF(AND($U$24=$C$24,$U$19&lt;&gt;""),INDEX($CB$52:$CJ$60,MATCH($C$24,$CA$52:$CA$60,0),MATCH($U$19,$CB$51:$CJ$51,0)),0)</f>
        <v>0</v>
      </c>
      <c r="BJ37" s="3">
        <f ca="1">IF(AND($U$24=$C$24,$U$20&lt;&gt;""),INDEX($CB$52:$CJ$60,MATCH($C$24,$CA$52:$CA$60,0),MATCH($U$20,$CB$51:$CJ$51,0)),0)</f>
        <v>0</v>
      </c>
      <c r="BK37" s="3">
        <f ca="1">IF(AND($U$24=$C$24,$U$21&lt;&gt;""),INDEX($CB$52:$CJ$60,MATCH($C$24,$CA$52:$CA$60,0),MATCH($U$21,$CB$51:$CJ$51,0)),0)</f>
        <v>0</v>
      </c>
      <c r="BL37" s="3">
        <f ca="1">IF(AND($U$24=$C$24,$U$22&lt;&gt;""),INDEX($CB$52:$CJ$60,MATCH($C$24,$CA$52:$CA$60,0),MATCH($U$22,$CB$51:$CJ$51,0)),0)</f>
        <v>0</v>
      </c>
      <c r="BM37" s="3">
        <f ca="1">IF(AND($U$24=$C$24,$U$23&lt;&gt;""),INDEX($CB$52:$CJ$60,MATCH($C$24,$CA$52:$CA$60,0),MATCH($U$23,$CB$51:$CJ$51,0)),0)</f>
        <v>0</v>
      </c>
      <c r="BN37" s="3">
        <v>0</v>
      </c>
      <c r="BO37" s="53">
        <f ca="1">IF(AND($U$24=$C$24,$U$25&lt;&gt;""),INDEX($CB$52:$CJ$60,MATCH($C$24,$CA$52:$CA$60,0),MATCH($U$25,$CB$51:$CJ$51,0)),0)</f>
        <v>0</v>
      </c>
      <c r="BP37" s="5">
        <f ca="1">IF(AND($V$24=$C$24,$V$17&lt;&gt;""),INDEX($CB$52:$CJ$60,MATCH($C$24,$CA$52:$CA$60,0),MATCH($V$17,$CB$51:$CJ$51,0)),0)</f>
        <v>0</v>
      </c>
      <c r="BQ37" s="3">
        <f ca="1">IF(AND($V$24=$C$24,$V$18&lt;&gt;""),INDEX($CB$52:$CJ$60,MATCH($C$24,$CA$52:$CA$60,0),MATCH($V$18,$CB$51:$CJ$51,0)),0)</f>
        <v>0</v>
      </c>
      <c r="BR37" s="3">
        <f ca="1">IF(AND($V$24=$C$24,$V$19&lt;&gt;""),INDEX($CB$52:$CJ$60,MATCH($C$24,$CA$52:$CA$60,0),MATCH($V$19,$CB$51:$CJ$51,0)),0)</f>
        <v>0</v>
      </c>
      <c r="BS37" s="3">
        <f ca="1">IF(AND($V$24=$C$24,$V$20&lt;&gt;""),INDEX($CB$52:$CJ$60,MATCH($C$24,$CA$52:$CA$60,0),MATCH($V$20,$CB$51:$CJ$51,0)),0)</f>
        <v>0</v>
      </c>
      <c r="BT37" s="3">
        <f ca="1">IF(AND($V$24=$C$24,$V$21&lt;&gt;""),INDEX($CB$52:$CJ$60,MATCH($C$24,$CA$52:$CA$60,0),MATCH($V$21,$CB$51:$CJ$51,0)),0)</f>
        <v>0</v>
      </c>
      <c r="BU37" s="3">
        <f ca="1">IF(AND($V$24=$C$24,$V$22&lt;&gt;""),INDEX($CB$52:$CJ$60,MATCH($C$24,$CA$52:$CA$60,0),MATCH($V$22,$CB$51:$CJ$51,0)),0)</f>
        <v>0</v>
      </c>
      <c r="BV37" s="3">
        <f ca="1">IF(AND($V$24=$C$24,$V$23&lt;&gt;""),INDEX($CB$52:$CJ$60,MATCH($C$24,$CA$52:$CA$60,0),MATCH($V$23,$CB$51:$CJ$51,0)),0)</f>
        <v>0</v>
      </c>
      <c r="BW37" s="3">
        <v>0</v>
      </c>
      <c r="BX37" s="53">
        <f ca="1">IF(AND($V$24=$C$24,$V$25&lt;&gt;""),INDEX($CB$52:$CJ$60,MATCH($C$24,$CA$52:$CA$60,0),MATCH($V$25,$CB$51:$CJ$51,0)),0)</f>
        <v>0</v>
      </c>
      <c r="BY37" s="14"/>
      <c r="BZ37" s="3"/>
      <c r="CA37" s="2" t="str">
        <f t="shared" si="57"/>
        <v/>
      </c>
      <c r="CB37" s="8">
        <f t="shared" ca="1" si="60"/>
        <v>0</v>
      </c>
      <c r="CC37" s="8">
        <f t="shared" ca="1" si="62"/>
        <v>0</v>
      </c>
      <c r="CD37" s="8">
        <f t="shared" ca="1" si="64"/>
        <v>0</v>
      </c>
      <c r="CE37" s="8">
        <f ca="1">SUMIFS($AJ$64:$AJ$135,$V$64:$V$135,$CA37,$W$64:$W$135,CE$29)+SUMIFS($AK$64:$AK$135,$W$64:$W$135,$CA37,$V$64:$V$135,CE$29)</f>
        <v>0</v>
      </c>
      <c r="CF37" s="8">
        <f ca="1">SUMIFS($AJ$64:$AJ$135,$V$64:$V$135,$CA37,$W$64:$W$135,CF$29)+SUMIFS($AK$64:$AK$135,$W$64:$W$135,$CA37,$V$64:$V$135,CF$29)</f>
        <v>0</v>
      </c>
      <c r="CG37" s="8">
        <f ca="1">SUMIFS($AJ$64:$AJ$135,$V$64:$V$135,$CA37,$W$64:$W$135,CG$29)+SUMIFS($AK$64:$AK$135,$W$64:$W$135,$CA37,$V$64:$V$135,CG$29)</f>
        <v>0</v>
      </c>
      <c r="CH37" s="8">
        <f ca="1">SUMIFS($AJ$64:$AJ$135,$V$64:$V$135,$CA37,$W$64:$W$135,CH$29)+SUMIFS($AK$64:$AK$135,$W$64:$W$135,$CA37,$V$64:$V$135,CH$29)</f>
        <v>0</v>
      </c>
      <c r="CI37" s="6"/>
      <c r="CJ37" s="7">
        <f ca="1">SUMIFS($AJ$64:$AJ$135,$V$64:$V$135,$CA37,$W$64:$W$135,CJ$29)+SUMIFS($AK$64:$AK$135,$W$64:$W$135,$CA37,$V$64:$V$135,CJ$29)</f>
        <v>0</v>
      </c>
      <c r="CK37" s="3"/>
    </row>
    <row r="38" spans="2:89" s="2" customFormat="1" x14ac:dyDescent="0.2">
      <c r="C38" s="2" t="str">
        <f t="shared" si="59"/>
        <v/>
      </c>
      <c r="E38" s="14">
        <f ca="1">IF(AND($O$25=$C$25,$O$17&lt;&gt;""),INDEX($CB$52:$CJ$60,MATCH($C$25,$CA$52:$CA$60,0),MATCH($O$17,$CB$51:$CJ$51,0)),0)</f>
        <v>0</v>
      </c>
      <c r="F38" s="3">
        <f ca="1">IF(AND($O$25=$C$25,$O$18&lt;&gt;""),INDEX($CB$52:$CJ$60,MATCH($C$25,$CA$52:$CA$60,0),MATCH($O$18,$CB$51:$CJ$51,0)),0)</f>
        <v>0</v>
      </c>
      <c r="G38" s="3">
        <f ca="1">IF(AND($O$25=$C$25,$O$19&lt;&gt;""),INDEX($CB$52:$CJ$60,MATCH($C$25,$CA$52:$CA$60,0),MATCH($O$19,$CB$51:$CJ$51,0)),0)</f>
        <v>0</v>
      </c>
      <c r="H38" s="3">
        <f ca="1">IF(AND($O$25=$C$25,$O$20&lt;&gt;""),INDEX($CB$52:$CJ$60,MATCH($C$25,$CA$52:$CA$60,0),MATCH($O$20,$CB$51:$CJ$51,0)),0)</f>
        <v>0</v>
      </c>
      <c r="I38" s="3">
        <f ca="1">IF(AND($O$25=$C$25,$O$21&lt;&gt;""),INDEX($CB$52:$CJ$60,MATCH($C$25,$CA$52:$CA$60,0),MATCH($O$21,$CB$51:$CJ$51,0)),0)</f>
        <v>0</v>
      </c>
      <c r="J38" s="3">
        <f ca="1">IF(AND($O$25=$C$25,$O$22&lt;&gt;""),INDEX($CB$52:$CJ$60,MATCH($C$25,$CA$52:$CA$60,0),MATCH($O$22,$CB$51:$CJ$51,0)),0)</f>
        <v>0</v>
      </c>
      <c r="K38" s="3">
        <f ca="1">IF(AND($O$25=$C$25,$O$23&lt;&gt;""),INDEX($CB$52:$CJ$60,MATCH($C$25,$CA$52:$CA$60,0),MATCH($O$23,$CB$51:$CJ$51,0)),0)</f>
        <v>0</v>
      </c>
      <c r="L38" s="3">
        <f ca="1">IF(AND($O$25=$C$25,$O$24&lt;&gt;""),INDEX($CB$52:$CJ$60,MATCH($C$25,$CA$52:$CA$60,0),MATCH($O$24,$CB$51:$CJ$51,0)),0)</f>
        <v>0</v>
      </c>
      <c r="M38" s="53">
        <v>0</v>
      </c>
      <c r="N38" s="5">
        <f ca="1">IF(AND($P$25=$C$25,$P$17&lt;&gt;""),INDEX($CB$52:$CJ$60,MATCH($C$25,$CA$52:$CA$60,0),MATCH($P$17,$CB$51:$CJ$51,0)),0)</f>
        <v>0</v>
      </c>
      <c r="O38" s="3">
        <f ca="1">IF(AND($P$25=$C$25,$P$18&lt;&gt;""),INDEX($CB$52:$CJ$60,MATCH($C$25,$CA$52:$CA$60,0),MATCH($P$18,$CB$51:$CJ$51,0)),0)</f>
        <v>0</v>
      </c>
      <c r="P38" s="3">
        <f ca="1">IF(AND($P$25=$C$25,$P$19&lt;&gt;""),INDEX($CB$52:$CJ$60,MATCH($C$25,$CA$52:$CA$60,0),MATCH($P$19,$CB$51:$CJ$51,0)),0)</f>
        <v>0</v>
      </c>
      <c r="Q38" s="3">
        <f ca="1">IF(AND($P$25=$C$25,$P$20&lt;&gt;""),INDEX($CB$52:$CJ$60,MATCH($C$25,$CA$52:$CA$60,0),MATCH($P$20,$CB$51:$CJ$51,0)),0)</f>
        <v>0</v>
      </c>
      <c r="R38" s="3">
        <f ca="1">IF(AND($P$25=$C$25,$P$21&lt;&gt;""),INDEX($CB$52:$CJ$60,MATCH($C$25,$CA$52:$CA$60,0),MATCH($P$21,$CB$51:$CJ$51,0)),0)</f>
        <v>0</v>
      </c>
      <c r="S38" s="3">
        <f ca="1">IF(AND($P$25=$C$25,$P$22&lt;&gt;""),INDEX($CB$52:$CJ$60,MATCH($C$25,$CA$52:$CA$60,0),MATCH($P$22,$CB$51:$CJ$51,0)),0)</f>
        <v>0</v>
      </c>
      <c r="T38" s="3">
        <f ca="1">IF(AND($P$25=$C$25,$P$23&lt;&gt;""),INDEX($CB$52:$CJ$60,MATCH($C$25,$CA$52:$CA$60,0),MATCH($P$23,$CB$51:$CJ$51,0)),0)</f>
        <v>0</v>
      </c>
      <c r="U38" s="3">
        <f ca="1">IF(AND($P$25=$C$25,$P$24&lt;&gt;""),INDEX($CB$52:$CJ$60,MATCH($C$25,$CA$52:$CA$60,0),MATCH($P$24,$CB$51:$CJ$51,0)),0)</f>
        <v>0</v>
      </c>
      <c r="V38" s="53">
        <v>0</v>
      </c>
      <c r="W38" s="5">
        <f ca="1">IF(AND($Q$25=$C$25,$Q$17&lt;&gt;""),INDEX($CB$52:$CJ$60,MATCH($C$25,$CA$52:$CA$60,0),MATCH($Q$17,$CB$51:$CJ$51,0)),0)</f>
        <v>0</v>
      </c>
      <c r="X38" s="3">
        <f ca="1">IF(AND($Q$25=$C$25,$Q$18&lt;&gt;""),INDEX($CB$52:$CJ$60,MATCH($C$25,$CA$52:$CA$60,0),MATCH($Q$18,$CB$51:$CJ$51,0)),0)</f>
        <v>0</v>
      </c>
      <c r="Y38" s="3">
        <f ca="1">IF(AND($Q$25=$C$25,$Q$19&lt;&gt;""),INDEX($CB$52:$CJ$60,MATCH($C$25,$CA$52:$CA$60,0),MATCH($Q$19,$CB$51:$CJ$51,0)),0)</f>
        <v>0</v>
      </c>
      <c r="Z38" s="3">
        <f ca="1">IF(AND($Q$25=$C$25,$Q$20&lt;&gt;""),INDEX($CB$52:$CJ$60,MATCH($C$25,$CA$52:$CA$60,0),MATCH($Q$20,$CB$51:$CJ$51,0)),0)</f>
        <v>0</v>
      </c>
      <c r="AA38" s="3">
        <f ca="1">IF(AND($Q$25=$C$25,$Q$21&lt;&gt;""),INDEX($CB$52:$CJ$60,MATCH($C$25,$CA$52:$CA$60,0),MATCH($Q$21,$CB$51:$CJ$51,0)),0)</f>
        <v>0</v>
      </c>
      <c r="AB38" s="3">
        <f ca="1">IF(AND($Q$25=$C$25,$Q$22&lt;&gt;""),INDEX($CB$52:$CJ$60,MATCH($C$25,$CA$52:$CA$60,0),MATCH($Q$22,$CB$51:$CJ$51,0)),0)</f>
        <v>0</v>
      </c>
      <c r="AC38" s="3">
        <f ca="1">IF(AND($Q$25=$C$25,$Q$23&lt;&gt;""),INDEX($CB$52:$CJ$60,MATCH($C$25,$CA$52:$CA$60,0),MATCH($Q$23,$CB$51:$CJ$51,0)),0)</f>
        <v>0</v>
      </c>
      <c r="AD38" s="3">
        <f ca="1">IF(AND($Q$25=$C$25,$Q$24&lt;&gt;""),INDEX($CB$52:$CJ$60,MATCH($C$25,$CA$52:$CA$60,0),MATCH($Q$24,$CB$51:$CJ$51,0)),0)</f>
        <v>0</v>
      </c>
      <c r="AE38" s="53">
        <v>0</v>
      </c>
      <c r="AF38" s="5">
        <f ca="1">IF(AND($R$25=$C$25,$R$17&lt;&gt;""),INDEX($CB$52:$CJ$60,MATCH($C$25,$CA$52:$CA$60,0),MATCH($R$17,$CB$51:$CJ$51,0)),0)</f>
        <v>0</v>
      </c>
      <c r="AG38" s="3">
        <f ca="1">IF(AND($R$25=$C$25,$R$18&lt;&gt;""),INDEX($CB$52:$CJ$60,MATCH($C$25,$CA$52:$CA$60,0),MATCH($R$18,$CB$51:$CJ$51,0)),0)</f>
        <v>0</v>
      </c>
      <c r="AH38" s="3">
        <f ca="1">IF(AND($R$25=$C$25,$R$19&lt;&gt;""),INDEX($CB$52:$CJ$60,MATCH($C$25,$CA$52:$CA$60,0),MATCH($R$19,$CB$51:$CJ$51,0)),0)</f>
        <v>0</v>
      </c>
      <c r="AI38" s="3">
        <f ca="1">IF(AND($R$25=$C$25,$R$20&lt;&gt;""),INDEX($CB$52:$CJ$60,MATCH($C$25,$CA$52:$CA$60,0),MATCH($R$20,$CB$51:$CJ$51,0)),0)</f>
        <v>0</v>
      </c>
      <c r="AJ38" s="3">
        <f ca="1">IF(AND($R$25=$C$25,$R$21&lt;&gt;""),INDEX($CB$52:$CJ$60,MATCH($C$25,$CA$52:$CA$60,0),MATCH($R$21,$CB$51:$CJ$51,0)),0)</f>
        <v>0</v>
      </c>
      <c r="AK38" s="3">
        <f ca="1">IF(AND($R$25=$C$25,$R$22&lt;&gt;""),INDEX($CB$52:$CJ$60,MATCH($C$25,$CA$52:$CA$60,0),MATCH($R$22,$CB$51:$CJ$51,0)),0)</f>
        <v>0</v>
      </c>
      <c r="AL38" s="3">
        <f ca="1">IF(AND($R$25=$C$25,$R$23&lt;&gt;""),INDEX($CB$52:$CJ$60,MATCH($C$25,$CA$52:$CA$60,0),MATCH($R$23,$CB$51:$CJ$51,0)),0)</f>
        <v>0</v>
      </c>
      <c r="AM38" s="3">
        <f ca="1">IF(AND($R$25=$C$25,$R$24&lt;&gt;""),INDEX($CB$52:$CJ$60,MATCH($C$25,$CA$52:$CA$60,0),MATCH($R$24,$CB$51:$CJ$51,0)),0)</f>
        <v>0</v>
      </c>
      <c r="AN38" s="53">
        <v>0</v>
      </c>
      <c r="AO38" s="5">
        <f ca="1">IF(AND($S$25=$C$25,$S$17&lt;&gt;""),INDEX($CB$52:$CJ$60,MATCH($C$25,$CA$52:$CA$60,0),MATCH($S$17,$CB$51:$CJ$51,0)),0)</f>
        <v>0</v>
      </c>
      <c r="AP38" s="3">
        <f ca="1">IF(AND($S$25=$C$25,$S$18&lt;&gt;""),INDEX($CB$52:$CJ$60,MATCH($C$25,$CA$52:$CA$60,0),MATCH($S$18,$CB$51:$CJ$51,0)),0)</f>
        <v>0</v>
      </c>
      <c r="AQ38" s="3">
        <f ca="1">IF(AND($S$25=$C$25,$S$19&lt;&gt;""),INDEX($CB$52:$CJ$60,MATCH($C$25,$CA$52:$CA$60,0),MATCH($S$19,$CB$51:$CJ$51,0)),0)</f>
        <v>0</v>
      </c>
      <c r="AR38" s="3">
        <f ca="1">IF(AND($S$25=$C$25,$S$20&lt;&gt;""),INDEX($CB$52:$CJ$60,MATCH($C$25,$CA$52:$CA$60,0),MATCH($S$20,$CB$51:$CJ$51,0)),0)</f>
        <v>0</v>
      </c>
      <c r="AS38" s="3">
        <f ca="1">IF(AND($S$25=$C$25,$S$21&lt;&gt;""),INDEX($CB$52:$CJ$60,MATCH($C$25,$CA$52:$CA$60,0),MATCH($S$21,$CB$51:$CJ$51,0)),0)</f>
        <v>0</v>
      </c>
      <c r="AT38" s="3">
        <f ca="1">IF(AND($S$25=$C$25,$S$22&lt;&gt;""),INDEX($CB$52:$CJ$60,MATCH($C$25,$CA$52:$CA$60,0),MATCH($S$22,$CB$51:$CJ$51,0)),0)</f>
        <v>0</v>
      </c>
      <c r="AU38" s="3">
        <f ca="1">IF(AND($S$25=$C$25,$S$23&lt;&gt;""),INDEX($CB$52:$CJ$60,MATCH($C$25,$CA$52:$CA$60,0),MATCH($S$23,$CB$51:$CJ$51,0)),0)</f>
        <v>0</v>
      </c>
      <c r="AV38" s="3">
        <f ca="1">IF(AND($S$25=$C$25,$S$24&lt;&gt;""),INDEX($CB$52:$CJ$60,MATCH($C$25,$CA$52:$CA$60,0),MATCH($S$24,$CB$51:$CJ$51,0)),0)</f>
        <v>0</v>
      </c>
      <c r="AW38" s="53">
        <v>0</v>
      </c>
      <c r="AX38" s="5">
        <f ca="1">IF(AND($T$25=$C$25,$T$17&lt;&gt;""),INDEX($CB$52:$CJ$60,MATCH($C$25,$CA$52:$CA$60,0),MATCH($T$17,$CB$51:$CJ$51,0)),0)</f>
        <v>0</v>
      </c>
      <c r="AY38" s="3">
        <f ca="1">IF(AND($T$25=$C$25,$T$18&lt;&gt;""),INDEX($CB$52:$CJ$60,MATCH($C$25,$CA$52:$CA$60,0),MATCH($T$18,$CB$51:$CJ$51,0)),0)</f>
        <v>0</v>
      </c>
      <c r="AZ38" s="3">
        <f ca="1">IF(AND($T$25=$C$25,$T$19&lt;&gt;""),INDEX($CB$52:$CJ$60,MATCH($C$25,$CA$52:$CA$60,0),MATCH($T$19,$CB$51:$CJ$51,0)),0)</f>
        <v>0</v>
      </c>
      <c r="BA38" s="3">
        <f ca="1">IF(AND($T$25=$C$25,$T$20&lt;&gt;""),INDEX($CB$52:$CJ$60,MATCH($C$25,$CA$52:$CA$60,0),MATCH($T$20,$CB$51:$CJ$51,0)),0)</f>
        <v>0</v>
      </c>
      <c r="BB38" s="3">
        <f ca="1">IF(AND($T$25=$C$25,$T$21&lt;&gt;""),INDEX($CB$52:$CJ$60,MATCH($C$25,$CA$52:$CA$60,0),MATCH($T$21,$CB$51:$CJ$51,0)),0)</f>
        <v>0</v>
      </c>
      <c r="BC38" s="3">
        <f ca="1">IF(AND($T$25=$C$25,$T$22&lt;&gt;""),INDEX($CB$52:$CJ$60,MATCH($C$25,$CA$52:$CA$60,0),MATCH($T$22,$CB$51:$CJ$51,0)),0)</f>
        <v>0</v>
      </c>
      <c r="BD38" s="3">
        <f ca="1">IF(AND($T$25=$C$25,$T$23&lt;&gt;""),INDEX($CB$52:$CJ$60,MATCH($C$25,$CA$52:$CA$60,0),MATCH($T$23,$CB$51:$CJ$51,0)),0)</f>
        <v>0</v>
      </c>
      <c r="BE38" s="3">
        <f ca="1">IF(AND($T$25=$C$25,$T$24&lt;&gt;""),INDEX($CB$52:$CJ$60,MATCH($C$25,$CA$52:$CA$60,0),MATCH($T$24,$CB$51:$CJ$51,0)),0)</f>
        <v>0</v>
      </c>
      <c r="BF38" s="53">
        <v>0</v>
      </c>
      <c r="BG38" s="5">
        <f ca="1">IF(AND($U$25=$C$25,$U$17&lt;&gt;""),INDEX($CB$52:$CJ$60,MATCH($C$25,$CA$52:$CA$60,0),MATCH($U$17,$CB$51:$CJ$51,0)),0)</f>
        <v>0</v>
      </c>
      <c r="BH38" s="3">
        <f ca="1">IF(AND($U$25=$C$25,$U$18&lt;&gt;""),INDEX($CB$52:$CJ$60,MATCH($C$25,$CA$52:$CA$60,0),MATCH($U$18,$CB$51:$CJ$51,0)),0)</f>
        <v>0</v>
      </c>
      <c r="BI38" s="3">
        <f ca="1">IF(AND($U$25=$C$25,$U$19&lt;&gt;""),INDEX($CB$52:$CJ$60,MATCH($C$25,$CA$52:$CA$60,0),MATCH($U$19,$CB$51:$CJ$51,0)),0)</f>
        <v>0</v>
      </c>
      <c r="BJ38" s="3">
        <f ca="1">IF(AND($U$25=$C$25,$U$20&lt;&gt;""),INDEX($CB$52:$CJ$60,MATCH($C$25,$CA$52:$CA$60,0),MATCH($U$20,$CB$51:$CJ$51,0)),0)</f>
        <v>0</v>
      </c>
      <c r="BK38" s="3">
        <f ca="1">IF(AND($U$25=$C$25,$U$21&lt;&gt;""),INDEX($CB$52:$CJ$60,MATCH($C$25,$CA$52:$CA$60,0),MATCH($U$21,$CB$51:$CJ$51,0)),0)</f>
        <v>0</v>
      </c>
      <c r="BL38" s="3">
        <f ca="1">IF(AND($U$25=$C$25,$U$22&lt;&gt;""),INDEX($CB$52:$CJ$60,MATCH($C$25,$CA$52:$CA$60,0),MATCH($U$22,$CB$51:$CJ$51,0)),0)</f>
        <v>0</v>
      </c>
      <c r="BM38" s="3">
        <f ca="1">IF(AND($U$25=$C$25,$U$23&lt;&gt;""),INDEX($CB$52:$CJ$60,MATCH($C$25,$CA$52:$CA$60,0),MATCH($U$23,$CB$51:$CJ$51,0)),0)</f>
        <v>0</v>
      </c>
      <c r="BN38" s="3">
        <f ca="1">IF(AND($U$25=$C$25,$U$24&lt;&gt;""),INDEX($CB$52:$CJ$60,MATCH($C$25,$CA$52:$CA$60,0),MATCH($U$24,$CB$51:$CJ$51,0)),0)</f>
        <v>0</v>
      </c>
      <c r="BO38" s="53">
        <v>0</v>
      </c>
      <c r="BP38" s="5">
        <f ca="1">IF(AND($V$25=$C$25,$V$17&lt;&gt;""),INDEX($CB$52:$CJ$60,MATCH($C$25,$CA$52:$CA$60,0),MATCH($V$17,$CB$51:$CJ$51,0)),0)</f>
        <v>0</v>
      </c>
      <c r="BQ38" s="3">
        <f ca="1">IF(AND($V$25=$C$25,$V$18&lt;&gt;""),INDEX($CB$52:$CJ$60,MATCH($C$25,$CA$52:$CA$60,0),MATCH($V$18,$CB$51:$CJ$51,0)),0)</f>
        <v>0</v>
      </c>
      <c r="BR38" s="3">
        <f ca="1">IF(AND($V$25=$C$25,$V$19&lt;&gt;""),INDEX($CB$52:$CJ$60,MATCH($C$25,$CA$52:$CA$60,0),MATCH($V$19,$CB$51:$CJ$51,0)),0)</f>
        <v>0</v>
      </c>
      <c r="BS38" s="3">
        <f ca="1">IF(AND($V$25=$C$25,$V$20&lt;&gt;""),INDEX($CB$52:$CJ$60,MATCH($C$25,$CA$52:$CA$60,0),MATCH($V$20,$CB$51:$CJ$51,0)),0)</f>
        <v>0</v>
      </c>
      <c r="BT38" s="3">
        <f ca="1">IF(AND($V$25=$C$25,$V$21&lt;&gt;""),INDEX($CB$52:$CJ$60,MATCH($C$25,$CA$52:$CA$60,0),MATCH($V$21,$CB$51:$CJ$51,0)),0)</f>
        <v>0</v>
      </c>
      <c r="BU38" s="3">
        <f ca="1">IF(AND($V$25=$C$25,$V$22&lt;&gt;""),INDEX($CB$52:$CJ$60,MATCH($C$25,$CA$52:$CA$60,0),MATCH($V$22,$CB$51:$CJ$51,0)),0)</f>
        <v>0</v>
      </c>
      <c r="BV38" s="3">
        <f ca="1">IF(AND($V$25=$C$25,$V$23&lt;&gt;""),INDEX($CB$52:$CJ$60,MATCH($C$25,$CA$52:$CA$60,0),MATCH($V$23,$CB$51:$CJ$51,0)),0)</f>
        <v>0</v>
      </c>
      <c r="BW38" s="3">
        <f ca="1">IF(AND($V$25=$C$25,$V$24&lt;&gt;""),INDEX($CB$52:$CJ$60,MATCH($C$25,$CA$52:$CA$60,0),MATCH($V$24,$CB$51:$CJ$51,0)),0)</f>
        <v>0</v>
      </c>
      <c r="BX38" s="53">
        <v>0</v>
      </c>
      <c r="BY38" s="14"/>
      <c r="BZ38" s="3"/>
      <c r="CA38" s="2" t="str">
        <f t="shared" si="57"/>
        <v/>
      </c>
      <c r="CB38" s="8">
        <f t="shared" ca="1" si="60"/>
        <v>0</v>
      </c>
      <c r="CC38" s="8">
        <f t="shared" ca="1" si="62"/>
        <v>0</v>
      </c>
      <c r="CD38" s="8">
        <f t="shared" ca="1" si="64"/>
        <v>0</v>
      </c>
      <c r="CE38" s="8">
        <f ca="1">SUMIFS($AJ$64:$AJ$135,$V$64:$V$135,$CA38,$W$64:$W$135,CE$29)+SUMIFS($AK$64:$AK$135,$W$64:$W$135,$CA38,$V$64:$V$135,CE$29)</f>
        <v>0</v>
      </c>
      <c r="CF38" s="8">
        <f ca="1">SUMIFS($AJ$64:$AJ$135,$V$64:$V$135,$CA38,$W$64:$W$135,CF$29)+SUMIFS($AK$64:$AK$135,$W$64:$W$135,$CA38,$V$64:$V$135,CF$29)</f>
        <v>0</v>
      </c>
      <c r="CG38" s="8">
        <f ca="1">SUMIFS($AJ$64:$AJ$135,$V$64:$V$135,$CA38,$W$64:$W$135,CG$29)+SUMIFS($AK$64:$AK$135,$W$64:$W$135,$CA38,$V$64:$V$135,CG$29)</f>
        <v>0</v>
      </c>
      <c r="CH38" s="8">
        <f ca="1">SUMIFS($AJ$64:$AJ$135,$V$64:$V$135,$CA38,$W$64:$W$135,CH$29)+SUMIFS($AK$64:$AK$135,$W$64:$W$135,$CA38,$V$64:$V$135,CH$29)</f>
        <v>0</v>
      </c>
      <c r="CI38" s="8">
        <f ca="1">SUMIFS($AJ$64:$AJ$135,$V$64:$V$135,$CA38,$W$64:$W$135,CI$29)+SUMIFS($AK$64:$AK$135,$W$64:$W$135,$CA38,$V$64:$V$135,CI$29)</f>
        <v>0</v>
      </c>
      <c r="CJ38" s="6"/>
      <c r="CK38" s="3"/>
    </row>
    <row r="39" spans="2:89" s="2" customFormat="1" x14ac:dyDescent="0.2">
      <c r="E39" s="14"/>
      <c r="F39" s="3"/>
      <c r="G39" s="3"/>
      <c r="H39" s="3"/>
      <c r="I39" s="3"/>
      <c r="J39" s="3"/>
      <c r="K39" s="3"/>
      <c r="L39" s="3"/>
      <c r="M39" s="53"/>
      <c r="N39" s="5"/>
      <c r="O39" s="3"/>
      <c r="P39" s="3"/>
      <c r="Q39" s="3"/>
      <c r="R39" s="3"/>
      <c r="S39" s="3"/>
      <c r="T39" s="3"/>
      <c r="U39" s="3"/>
      <c r="V39" s="53"/>
      <c r="W39" s="5"/>
      <c r="X39" s="3"/>
      <c r="Y39" s="3"/>
      <c r="Z39" s="3"/>
      <c r="AA39" s="3"/>
      <c r="AB39" s="3"/>
      <c r="AC39" s="3"/>
      <c r="AD39" s="3"/>
      <c r="AE39" s="53"/>
      <c r="AF39" s="5"/>
      <c r="AG39" s="3"/>
      <c r="AH39" s="3"/>
      <c r="AI39" s="3"/>
      <c r="AJ39" s="3"/>
      <c r="AK39" s="3"/>
      <c r="AL39" s="3"/>
      <c r="AM39" s="3"/>
      <c r="AN39" s="53"/>
      <c r="AO39" s="5"/>
      <c r="AP39" s="3"/>
      <c r="AQ39" s="3"/>
      <c r="AR39" s="3"/>
      <c r="AS39" s="3"/>
      <c r="AT39" s="3"/>
      <c r="AU39" s="3"/>
      <c r="AV39" s="3"/>
      <c r="AW39" s="53"/>
      <c r="AX39" s="5"/>
      <c r="AY39" s="3"/>
      <c r="AZ39" s="3"/>
      <c r="BA39" s="3"/>
      <c r="BB39" s="3"/>
      <c r="BC39" s="3"/>
      <c r="BD39" s="3"/>
      <c r="BE39" s="3"/>
      <c r="BF39" s="53"/>
      <c r="BG39" s="5"/>
      <c r="BH39" s="3"/>
      <c r="BI39" s="3"/>
      <c r="BJ39" s="3"/>
      <c r="BK39" s="3"/>
      <c r="BL39" s="3"/>
      <c r="BM39" s="3"/>
      <c r="BN39" s="3"/>
      <c r="BO39" s="53"/>
      <c r="BP39" s="5"/>
      <c r="BQ39" s="3"/>
      <c r="BR39" s="3"/>
      <c r="BS39" s="3"/>
      <c r="BT39" s="3"/>
      <c r="BU39" s="3"/>
      <c r="BV39" s="3"/>
      <c r="BW39" s="3"/>
      <c r="BX39" s="3"/>
      <c r="BY39" s="14"/>
      <c r="BZ39" s="3"/>
      <c r="CK39" s="3"/>
    </row>
    <row r="40" spans="2:89" s="2" customFormat="1" x14ac:dyDescent="0.2">
      <c r="E40" s="14"/>
      <c r="F40" s="3"/>
      <c r="G40" s="3"/>
      <c r="H40" s="3"/>
      <c r="I40" s="3"/>
      <c r="J40" s="3"/>
      <c r="K40" s="3"/>
      <c r="L40" s="3"/>
      <c r="M40" s="53"/>
      <c r="N40" s="5"/>
      <c r="O40" s="3"/>
      <c r="P40" s="3"/>
      <c r="Q40" s="3"/>
      <c r="R40" s="3"/>
      <c r="S40" s="3"/>
      <c r="T40" s="3"/>
      <c r="U40" s="3"/>
      <c r="V40" s="53"/>
      <c r="W40" s="5"/>
      <c r="X40" s="3"/>
      <c r="Y40" s="3"/>
      <c r="Z40" s="3"/>
      <c r="AA40" s="3"/>
      <c r="AB40" s="3"/>
      <c r="AC40" s="3"/>
      <c r="AD40" s="3"/>
      <c r="AE40" s="53"/>
      <c r="AF40" s="5"/>
      <c r="AG40" s="3"/>
      <c r="AH40" s="3"/>
      <c r="AI40" s="3"/>
      <c r="AJ40" s="3"/>
      <c r="AK40" s="3"/>
      <c r="AL40" s="3"/>
      <c r="AM40" s="3"/>
      <c r="AN40" s="53"/>
      <c r="AO40" s="5"/>
      <c r="AP40" s="3"/>
      <c r="AQ40" s="3"/>
      <c r="AR40" s="3"/>
      <c r="AS40" s="3"/>
      <c r="AT40" s="3"/>
      <c r="AU40" s="3"/>
      <c r="AV40" s="3"/>
      <c r="AW40" s="53"/>
      <c r="AX40" s="5"/>
      <c r="AY40" s="3"/>
      <c r="AZ40" s="3"/>
      <c r="BA40" s="3"/>
      <c r="BB40" s="3"/>
      <c r="BC40" s="3"/>
      <c r="BD40" s="3"/>
      <c r="BE40" s="3"/>
      <c r="BF40" s="53"/>
      <c r="BG40" s="5"/>
      <c r="BH40" s="3"/>
      <c r="BI40" s="3"/>
      <c r="BJ40" s="3"/>
      <c r="BK40" s="3"/>
      <c r="BL40" s="3"/>
      <c r="BM40" s="3"/>
      <c r="BN40" s="3"/>
      <c r="BO40" s="53"/>
      <c r="BP40" s="5"/>
      <c r="BQ40" s="3"/>
      <c r="BR40" s="3"/>
      <c r="BS40" s="3"/>
      <c r="BT40" s="3"/>
      <c r="BU40" s="3"/>
      <c r="BV40" s="3"/>
      <c r="BW40" s="3"/>
      <c r="BX40" s="3"/>
      <c r="BY40" s="14"/>
      <c r="BZ40" s="3"/>
      <c r="CA40" s="4" t="s">
        <v>103</v>
      </c>
      <c r="CB40" s="2" t="str">
        <f>$F$4</f>
        <v>1. FC Riedwald</v>
      </c>
      <c r="CC40" s="2" t="str">
        <f>$F$5</f>
        <v>FC Barcelona</v>
      </c>
      <c r="CD40" s="2" t="str">
        <f>$F$6</f>
        <v>Eintracht Frankfurt</v>
      </c>
      <c r="CE40" s="2" t="str">
        <f>$F$7</f>
        <v>Maibach 1822 eV</v>
      </c>
      <c r="CF40" s="2" t="str">
        <f>$F$8</f>
        <v>VFB Essenheim</v>
      </c>
      <c r="CG40" s="2" t="str">
        <f>$F$9</f>
        <v>Inter Mailand</v>
      </c>
      <c r="CH40" s="2" t="str">
        <f>$F$10</f>
        <v>SSV Wildbach</v>
      </c>
      <c r="CI40" s="2" t="str">
        <f>$F$11</f>
        <v/>
      </c>
      <c r="CJ40" s="2" t="str">
        <f>$F$12</f>
        <v/>
      </c>
      <c r="CK40" s="3"/>
    </row>
    <row r="41" spans="2:89" s="2" customFormat="1" x14ac:dyDescent="0.2">
      <c r="B41" s="487" t="s">
        <v>102</v>
      </c>
      <c r="E41" s="14">
        <v>0</v>
      </c>
      <c r="F41" s="3">
        <f ca="1">IF(AND($O$17=$C$17,$O$18&lt;&gt;""),INDEX($CB$41:$CJ$49,MATCH($C$17,$CA$52:$CA$60,0),MATCH($O$18,$CB$51:$CJ$51,0)),0)</f>
        <v>0</v>
      </c>
      <c r="G41" s="3">
        <f ca="1">IF(AND($O$17=$C$17,$O$19&lt;&gt;""),INDEX($CB$41:$CJ$49,MATCH($C$17,$CA$52:$CA$60,0),MATCH($O$19,$CB$51:$CJ$51,0)),0)</f>
        <v>0</v>
      </c>
      <c r="H41" s="3">
        <f ca="1">IF(AND($O$17=$C$17,$O$20&lt;&gt;""),INDEX($CB$41:$CJ$49,MATCH($C$17,$CA$52:$CA$60,0),MATCH($O$20,$CB$51:$CJ$51,0)),0)</f>
        <v>0</v>
      </c>
      <c r="I41" s="3">
        <f ca="1">IF(AND($O$17=$C$17,$O$21&lt;&gt;""),INDEX($CB$41:$CJ$49,MATCH($C$17,$CA$52:$CA$60,0),MATCH($O$21,$CB$51:$CJ$51,0)),0)</f>
        <v>0</v>
      </c>
      <c r="J41" s="3">
        <f ca="1">IF(AND($O$17=$C$17,$O$22&lt;&gt;""),INDEX($CB$41:$CJ$49,MATCH($C$17,$CA$52:$CA$60,0),MATCH($O$22,$CB$51:$CJ$51,0)),0)</f>
        <v>0</v>
      </c>
      <c r="K41" s="3">
        <f ca="1">IF(AND($O$17=$C$17,$O$23&lt;&gt;""),INDEX($CB$41:$CJ$49,MATCH($C$17,$CA$52:$CA$60,0),MATCH($O$23,$CB$51:$CJ$51,0)),0)</f>
        <v>0</v>
      </c>
      <c r="L41" s="3">
        <f ca="1">IF(AND($O$17=$C$17,$O$24&lt;&gt;""),INDEX($CB$41:$CJ$49,MATCH($C$17,$CA$52:$CA$60,0),MATCH($O$24,$CB$51:$CJ$51,0)),0)</f>
        <v>0</v>
      </c>
      <c r="M41" s="53">
        <f ca="1">IF(AND($O$17=$C$17,$O$25&lt;&gt;""),INDEX($CB$41:$CJ$49,MATCH($C$17,$CA$52:$CA$60,0),MATCH($O$25,$CB$51:$CJ$51,0)),0)</f>
        <v>0</v>
      </c>
      <c r="N41" s="5">
        <v>0</v>
      </c>
      <c r="O41" s="3">
        <f ca="1">IF(AND($P$17=$C$17,$P$18&lt;&gt;""),INDEX($CB$41:$CJ$49,MATCH($C$17,$CA$52:$CA$60,0),MATCH($P$18,$CB$51:$CJ$51,0)),0)</f>
        <v>0</v>
      </c>
      <c r="P41" s="3">
        <f ca="1">IF(AND($P$17=$C$17,$P$19&lt;&gt;""),INDEX($CB$41:$CJ$49,MATCH($C$17,$CA$52:$CA$60,0),MATCH($P$19,$CB$51:$CJ$51,0)),0)</f>
        <v>0</v>
      </c>
      <c r="Q41" s="3">
        <f ca="1">IF(AND($P$17=$C$17,$P$20&lt;&gt;""),INDEX($CB$41:$CJ$49,MATCH($C$17,$CA$52:$CA$60,0),MATCH($P$20,$CB$51:$CJ$51,0)),0)</f>
        <v>0</v>
      </c>
      <c r="R41" s="3">
        <f ca="1">IF(AND($P$17=$C$17,$P$21&lt;&gt;""),INDEX($CB$41:$CJ$49,MATCH($C$17,$CA$52:$CA$60,0),MATCH($P$21,$CB$51:$CJ$51,0)),0)</f>
        <v>0</v>
      </c>
      <c r="S41" s="3">
        <f ca="1">IF(AND($P$17=$C$17,$P$22&lt;&gt;""),INDEX($CB$41:$CJ$49,MATCH($C$17,$CA$52:$CA$60,0),MATCH($P$22,$CB$51:$CJ$51,0)),0)</f>
        <v>0</v>
      </c>
      <c r="T41" s="3">
        <f ca="1">IF(AND($P$17=$C$17,$P$23&lt;&gt;""),INDEX($CB$41:$CJ$49,MATCH($C$17,$CA$52:$CA$60,0),MATCH($P$23,$CB$51:$CJ$51,0)),0)</f>
        <v>0</v>
      </c>
      <c r="U41" s="3">
        <f ca="1">IF(AND($P$17=$C$17,$P$24&lt;&gt;""),INDEX($CB$41:$CJ$49,MATCH($C$17,$CA$52:$CA$60,0),MATCH($P$24,$CB$51:$CJ$51,0)),0)</f>
        <v>0</v>
      </c>
      <c r="V41" s="53">
        <f ca="1">IF(AND($P$17=$C$17,$P$25&lt;&gt;""),INDEX($CB$41:$CJ$49,MATCH($C$17,$CA$52:$CA$60,0),MATCH($P$25,$CB$51:$CJ$51,0)),0)</f>
        <v>0</v>
      </c>
      <c r="W41" s="5">
        <v>0</v>
      </c>
      <c r="X41" s="3">
        <f ca="1">IF(AND($Q$17=$C$17,$Q$18&lt;&gt;""),INDEX($CB$41:$CJ$49,MATCH($C$17,$CA$52:$CA$60,0),MATCH($Q$18,$CB$51:$CJ$51,0)),0)</f>
        <v>0</v>
      </c>
      <c r="Y41" s="3">
        <f ca="1">IF(AND($Q$17=$C$17,$Q$19&lt;&gt;""),INDEX($CB$41:$CJ$49,MATCH($C$17,$CA$52:$CA$60,0),MATCH($Q$19,$CB$51:$CJ$51,0)),0)</f>
        <v>0</v>
      </c>
      <c r="Z41" s="3">
        <f ca="1">IF(AND($Q$17=$C$17,$Q$20&lt;&gt;""),INDEX($CB$41:$CJ$49,MATCH($C$17,$CA$52:$CA$60,0),MATCH($Q$20,$CB$51:$CJ$51,0)),0)</f>
        <v>0</v>
      </c>
      <c r="AA41" s="3">
        <f ca="1">IF(AND($Q$17=$C$17,$Q$21&lt;&gt;""),INDEX($CB$41:$CJ$49,MATCH($C$17,$CA$52:$CA$60,0),MATCH($Q$21,$CB$51:$CJ$51,0)),0)</f>
        <v>0</v>
      </c>
      <c r="AB41" s="3">
        <f ca="1">IF(AND($Q$17=$C$17,$Q$22&lt;&gt;""),INDEX($CB$41:$CJ$49,MATCH($C$17,$CA$52:$CA$60,0),MATCH($Q$22,$CB$51:$CJ$51,0)),0)</f>
        <v>0</v>
      </c>
      <c r="AC41" s="3">
        <f ca="1">IF(AND($Q$17=$C$17,$Q$23&lt;&gt;""),INDEX($CB$41:$CJ$49,MATCH($C$17,$CA$52:$CA$60,0),MATCH($Q$23,$CB$51:$CJ$51,0)),0)</f>
        <v>0</v>
      </c>
      <c r="AD41" s="3">
        <f ca="1">IF(AND($Q$17=$C$17,$Q$24&lt;&gt;""),INDEX($CB$41:$CJ$49,MATCH($C$17,$CA$52:$CA$60,0),MATCH($Q$24,$CB$51:$CJ$51,0)),0)</f>
        <v>0</v>
      </c>
      <c r="AE41" s="53">
        <f ca="1">IF(AND($Q$17=$C$17,$Q$25&lt;&gt;""),INDEX($CB$41:$CJ$49,MATCH($C$17,$CA$52:$CA$60,0),MATCH($Q$25,$CB$51:$CJ$51,0)),0)</f>
        <v>0</v>
      </c>
      <c r="AF41" s="5">
        <v>0</v>
      </c>
      <c r="AG41" s="3">
        <f ca="1">IF(AND($R$17=$C$17,$R$18&lt;&gt;""),INDEX($CB$41:$CJ$49,MATCH($C$17,$CA$52:$CA$60,0),MATCH($R$18,$CB$51:$CJ$51,0)),0)</f>
        <v>0</v>
      </c>
      <c r="AH41" s="3">
        <f ca="1">IF(AND($R$17=$C$17,$R$19&lt;&gt;""),INDEX($CB$41:$CJ$49,MATCH($C$17,$CA$52:$CA$60,0),MATCH($R$19,$CB$51:$CJ$51,0)),0)</f>
        <v>0</v>
      </c>
      <c r="AI41" s="3">
        <f ca="1">IF(AND($R$17=$C$17,$R$20&lt;&gt;""),INDEX($CB$41:$CJ$49,MATCH($C$17,$CA$52:$CA$60,0),MATCH($R$20,$CB$51:$CJ$51,0)),0)</f>
        <v>0</v>
      </c>
      <c r="AJ41" s="3">
        <f ca="1">IF(AND($R$17=$C$17,$R$21&lt;&gt;""),INDEX($CB$41:$CJ$49,MATCH($C$17,$CA$52:$CA$60,0),MATCH($R$21,$CB$51:$CJ$51,0)),0)</f>
        <v>0</v>
      </c>
      <c r="AK41" s="3">
        <f ca="1">IF(AND($R$17=$C$17,$R$22&lt;&gt;""),INDEX($CB$41:$CJ$49,MATCH($C$17,$CA$52:$CA$60,0),MATCH($R$22,$CB$51:$CJ$51,0)),0)</f>
        <v>0</v>
      </c>
      <c r="AL41" s="3">
        <f ca="1">IF(AND($R$17=$C$17,$R$23&lt;&gt;""),INDEX($CB$41:$CJ$49,MATCH($C$17,$CA$52:$CA$60,0),MATCH($R$23,$CB$51:$CJ$51,0)),0)</f>
        <v>0</v>
      </c>
      <c r="AM41" s="3">
        <f ca="1">IF(AND($R$17=$C$17,$R$24&lt;&gt;""),INDEX($CB$41:$CJ$49,MATCH($C$17,$CA$52:$CA$60,0),MATCH($R$24,$CB$51:$CJ$51,0)),0)</f>
        <v>0</v>
      </c>
      <c r="AN41" s="53">
        <f ca="1">IF(AND($R$17=$C$17,$R$25&lt;&gt;""),INDEX($CB$41:$CJ$49,MATCH($C$17,$CA$52:$CA$60,0),MATCH($R$25,$CB$51:$CJ$51,0)),0)</f>
        <v>0</v>
      </c>
      <c r="AO41" s="5">
        <v>0</v>
      </c>
      <c r="AP41" s="3">
        <f ca="1">IF(AND($S$17=$C$17,$S$18&lt;&gt;""),INDEX($CB$41:$CJ$49,MATCH($C$17,$CA$52:$CA$60,0),MATCH($S$18,$CB$51:$CJ$51,0)),0)</f>
        <v>0</v>
      </c>
      <c r="AQ41" s="3">
        <f ca="1">IF(AND($S$17=$C$17,$S$19&lt;&gt;""),INDEX($CB$41:$CJ$49,MATCH($C$17,$CA$52:$CA$60,0),MATCH($S$19,$CB$51:$CJ$51,0)),0)</f>
        <v>0</v>
      </c>
      <c r="AR41" s="3">
        <f ca="1">IF(AND($S$17=$C$17,$S$20&lt;&gt;""),INDEX($CB$41:$CJ$49,MATCH($C$17,$CA$52:$CA$60,0),MATCH($S$20,$CB$51:$CJ$51,0)),0)</f>
        <v>0</v>
      </c>
      <c r="AS41" s="3">
        <f ca="1">IF(AND($S$17=$C$17,$S$21&lt;&gt;""),INDEX($CB$41:$CJ$49,MATCH($C$17,$CA$52:$CA$60,0),MATCH($S$21,$CB$51:$CJ$51,0)),0)</f>
        <v>0</v>
      </c>
      <c r="AT41" s="3">
        <f ca="1">IF(AND($S$17=$C$17,$S$22&lt;&gt;""),INDEX($CB$41:$CJ$49,MATCH($C$17,$CA$52:$CA$60,0),MATCH($S$22,$CB$51:$CJ$51,0)),0)</f>
        <v>0</v>
      </c>
      <c r="AU41" s="3">
        <f ca="1">IF(AND($S$17=$C$17,$S$23&lt;&gt;""),INDEX($CB$41:$CJ$49,MATCH($C$17,$CA$52:$CA$60,0),MATCH($S$23,$CB$51:$CJ$51,0)),0)</f>
        <v>0</v>
      </c>
      <c r="AV41" s="3">
        <f ca="1">IF(AND($S$17=$C$17,$S$24&lt;&gt;""),INDEX($CB$41:$CJ$49,MATCH($C$17,$CA$52:$CA$60,0),MATCH($S$24,$CB$51:$CJ$51,0)),0)</f>
        <v>0</v>
      </c>
      <c r="AW41" s="53">
        <f ca="1">IF(AND($S$17=$C$17,$S$25&lt;&gt;""),INDEX($CB$41:$CJ$49,MATCH($C$17,$CA$52:$CA$60,0),MATCH($S$25,$CB$51:$CJ$51,0)),0)</f>
        <v>0</v>
      </c>
      <c r="AX41" s="5">
        <v>0</v>
      </c>
      <c r="AY41" s="3">
        <f ca="1">IF(AND($T$17=$C$17,$T$18&lt;&gt;""),INDEX($CB$41:$CJ$49,MATCH($C$17,$CA$52:$CA$60,0),MATCH($T$18,$CB$51:$CJ$51,0)),0)</f>
        <v>0</v>
      </c>
      <c r="AZ41" s="3">
        <f ca="1">IF(AND($T$17=$C$17,$T$19&lt;&gt;""),INDEX($CB$41:$CJ$49,MATCH($C$17,$CA$52:$CA$60,0),MATCH($T$19,$CB$51:$CJ$51,0)),0)</f>
        <v>0</v>
      </c>
      <c r="BA41" s="3">
        <f ca="1">IF(AND($T$17=$C$17,$T$20&lt;&gt;""),INDEX($CB$41:$CJ$49,MATCH($C$17,$CA$52:$CA$60,0),MATCH($T$20,$CB$51:$CJ$51,0)),0)</f>
        <v>0</v>
      </c>
      <c r="BB41" s="3">
        <f ca="1">IF(AND($T$17=$C$17,$T$21&lt;&gt;""),INDEX($CB$41:$CJ$49,MATCH($C$17,$CA$52:$CA$60,0),MATCH($T$21,$CB$51:$CJ$51,0)),0)</f>
        <v>0</v>
      </c>
      <c r="BC41" s="3">
        <f ca="1">IF(AND($T$17=$C$17,$T$22&lt;&gt;""),INDEX($CB$41:$CJ$49,MATCH($C$17,$CA$52:$CA$60,0),MATCH($T$22,$CB$51:$CJ$51,0)),0)</f>
        <v>0</v>
      </c>
      <c r="BD41" s="3">
        <f ca="1">IF(AND($T$17=$C$17,$T$23&lt;&gt;""),INDEX($CB$41:$CJ$49,MATCH($C$17,$CA$52:$CA$60,0),MATCH($T$23,$CB$51:$CJ$51,0)),0)</f>
        <v>0</v>
      </c>
      <c r="BE41" s="3">
        <f ca="1">IF(AND($T$17=$C$17,$T$24&lt;&gt;""),INDEX($CB$41:$CJ$49,MATCH($C$17,$CA$52:$CA$60,0),MATCH($T$24,$CB$51:$CJ$51,0)),0)</f>
        <v>0</v>
      </c>
      <c r="BF41" s="53">
        <f ca="1">IF(AND($T$17=$C$17,$T$25&lt;&gt;""),INDEX($CB$41:$CJ$49,MATCH($C$17,$CA$52:$CA$60,0),MATCH($T$25,$CB$51:$CJ$51,0)),0)</f>
        <v>0</v>
      </c>
      <c r="BG41" s="5">
        <v>0</v>
      </c>
      <c r="BH41" s="3">
        <f ca="1">IF(AND($U$17=$C$17,$U$18&lt;&gt;""),INDEX($CB$41:$CJ$49,MATCH($C$17,$CA$52:$CA$60,0),MATCH($U$18,$CB$51:$CJ$51,0)),0)</f>
        <v>0</v>
      </c>
      <c r="BI41" s="3">
        <f ca="1">IF(AND($U$17=$C$17,$U$19&lt;&gt;""),INDEX($CB$41:$CJ$49,MATCH($C$17,$CA$52:$CA$60,0),MATCH($U$19,$CB$51:$CJ$51,0)),0)</f>
        <v>0</v>
      </c>
      <c r="BJ41" s="3">
        <f ca="1">IF(AND($U$17=$C$17,$U$20&lt;&gt;""),INDEX($CB$41:$CJ$49,MATCH($C$17,$CA$52:$CA$60,0),MATCH($U$20,$CB$51:$CJ$51,0)),0)</f>
        <v>0</v>
      </c>
      <c r="BK41" s="3">
        <f ca="1">IF(AND($U$17=$C$17,$U$21&lt;&gt;""),INDEX($CB$41:$CJ$49,MATCH($C$17,$CA$52:$CA$60,0),MATCH($U$21,$CB$51:$CJ$51,0)),0)</f>
        <v>0</v>
      </c>
      <c r="BL41" s="3">
        <f ca="1">IF(AND($U$17=$C$17,$U$22&lt;&gt;""),INDEX($CB$41:$CJ$49,MATCH($C$17,$CA$52:$CA$60,0),MATCH($U$22,$CB$51:$CJ$51,0)),0)</f>
        <v>0</v>
      </c>
      <c r="BM41" s="3">
        <f ca="1">IF(AND($U$17=$C$17,$U$23&lt;&gt;""),INDEX($CB$41:$CJ$49,MATCH($C$17,$CA$52:$CA$60,0),MATCH($U$23,$CB$51:$CJ$51,0)),0)</f>
        <v>0</v>
      </c>
      <c r="BN41" s="3">
        <f ca="1">IF(AND($U$17=$C$17,$U$24&lt;&gt;""),INDEX($CB$41:$CJ$49,MATCH($C$17,$CA$52:$CA$60,0),MATCH($U$24,$CB$51:$CJ$51,0)),0)</f>
        <v>0</v>
      </c>
      <c r="BO41" s="53">
        <f ca="1">IF(AND($U$17=$C$17,$U$25&lt;&gt;""),INDEX($CB$41:$CJ$49,MATCH($C$17,$CA$52:$CA$60,0),MATCH($U$25,$CB$51:$CJ$51,0)),0)</f>
        <v>0</v>
      </c>
      <c r="BP41" s="5">
        <v>0</v>
      </c>
      <c r="BQ41" s="3">
        <f ca="1">IF(AND($V$17=$C$17,$V$18&lt;&gt;""),INDEX($CB$41:$CJ$49,MATCH($C$17,$CA$52:$CA$60,0),MATCH($V$18,$CB$51:$CJ$51,0)),0)</f>
        <v>0</v>
      </c>
      <c r="BR41" s="3">
        <f ca="1">IF(AND($V$17=$C$17,$V$19&lt;&gt;""),INDEX($CB$41:$CJ$49,MATCH($C$17,$CA$52:$CA$60,0),MATCH($V$19,$CB$51:$CJ$51,0)),0)</f>
        <v>0</v>
      </c>
      <c r="BS41" s="3">
        <f ca="1">IF(AND($V$17=$C$17,$V$20&lt;&gt;""),INDEX($CB$41:$CJ$49,MATCH($C$17,$CA$52:$CA$60,0),MATCH($V$20,$CB$51:$CJ$51,0)),0)</f>
        <v>0</v>
      </c>
      <c r="BT41" s="3">
        <f ca="1">IF(AND($V$17=$C$17,$V$21&lt;&gt;""),INDEX($CB$41:$CJ$49,MATCH($C$17,$CA$52:$CA$60,0),MATCH($V$21,$CB$51:$CJ$51,0)),0)</f>
        <v>0</v>
      </c>
      <c r="BU41" s="3">
        <f ca="1">IF(AND($V$17=$C$17,$V$22&lt;&gt;""),INDEX($CB$41:$CJ$49,MATCH($C$17,$CA$52:$CA$60,0),MATCH($V$22,$CB$51:$CJ$51,0)),0)</f>
        <v>0</v>
      </c>
      <c r="BV41" s="3">
        <f ca="1">IF(AND($V$17=$C$17,$V$23&lt;&gt;""),INDEX($CB$41:$CJ$49,MATCH($C$17,$CA$52:$CA$60,0),MATCH($V$23,$CB$51:$CJ$51,0)),0)</f>
        <v>0</v>
      </c>
      <c r="BW41" s="3">
        <f ca="1">IF(AND($V$17=$C$17,$V$24&lt;&gt;""),INDEX($CB$41:$CJ$49,MATCH($C$17,$CA$52:$CA$60,0),MATCH($V$24,$CB$51:$CJ$51,0)),0)</f>
        <v>0</v>
      </c>
      <c r="BX41" s="3">
        <f ca="1">IF(AND($V$17=$C$17,$V$25&lt;&gt;""),INDEX($CB$41:$CJ$49,MATCH($C$17,$CA$52:$CA$60,0),MATCH($V$25,$CB$51:$CJ$51,0)),0)</f>
        <v>0</v>
      </c>
      <c r="BY41" s="14"/>
      <c r="BZ41" s="3"/>
      <c r="CA41" s="2" t="str">
        <f t="shared" ref="CA41:CA49" si="65">F4</f>
        <v>1. FC Riedwald</v>
      </c>
      <c r="CB41" s="6"/>
      <c r="CC41" s="7">
        <f ca="1">CC30-CB31</f>
        <v>-2</v>
      </c>
      <c r="CD41" s="7">
        <f ca="1">CD30-CB32</f>
        <v>13</v>
      </c>
      <c r="CE41" s="7">
        <f ca="1">CE30-CB33</f>
        <v>-27</v>
      </c>
      <c r="CF41" s="7">
        <f ca="1">CF30-CB34</f>
        <v>3</v>
      </c>
      <c r="CG41" s="7">
        <f ca="1">CG30-CB35</f>
        <v>2</v>
      </c>
      <c r="CH41" s="7">
        <f ca="1">CH30-CB36</f>
        <v>19</v>
      </c>
      <c r="CI41" s="7">
        <f ca="1">CI30-CB37</f>
        <v>0</v>
      </c>
      <c r="CJ41" s="7">
        <f ca="1">CJ30-CB38</f>
        <v>0</v>
      </c>
      <c r="CK41" s="3"/>
    </row>
    <row r="42" spans="2:89" s="2" customFormat="1" x14ac:dyDescent="0.2">
      <c r="E42" s="14">
        <f ca="1">IF(AND($O$18=$C$18,$O$17&lt;&gt;""),INDEX($CB$41:$CJ$49,MATCH($C$18,$CA$52:$CA$60,0),MATCH($O$17,$CB$51:$CJ$51,0)),0)</f>
        <v>0</v>
      </c>
      <c r="F42" s="3">
        <v>0</v>
      </c>
      <c r="G42" s="3">
        <f ca="1">IF(AND($O$18=$C$18,$O$19&lt;&gt;""),INDEX($CB$41:$CJ$49,MATCH($C$18,$CA$52:$CA$60,0),MATCH($O$19,$CB$51:$CJ$51,0)),0)</f>
        <v>0</v>
      </c>
      <c r="H42" s="3">
        <f ca="1">IF(AND($O$18=$C$18,$O$20&lt;&gt;""),INDEX($CB$41:$CJ$49,MATCH($C$18,$CA$52:$CA$60,0),MATCH($O$20,$CB$51:$CJ$51,0)),0)</f>
        <v>0</v>
      </c>
      <c r="I42" s="3">
        <f ca="1">IF(AND($O$18=$C$18,$O$21&lt;&gt;""),INDEX($CB$41:$CJ$49,MATCH($C$18,$CA$52:$CA$60,0),MATCH($O$21,$CB$51:$CJ$51,0)),0)</f>
        <v>0</v>
      </c>
      <c r="J42" s="3">
        <f ca="1">IF(AND($O$18=$C$18,$O$22&lt;&gt;""),INDEX($CB$41:$CJ$49,MATCH($C$18,$CA$52:$CA$60,0),MATCH($O$22,$CB$51:$CJ$51,0)),0)</f>
        <v>0</v>
      </c>
      <c r="K42" s="3">
        <f ca="1">IF(AND($O$18=$C$18,$O$23&lt;&gt;""),INDEX($CB$41:$CJ$49,MATCH($C$18,$CA$52:$CA$60,0),MATCH($O$23,$CB$51:$CJ$51,0)),0)</f>
        <v>0</v>
      </c>
      <c r="L42" s="3">
        <f ca="1">IF(AND($O$18=$C$18,$O$24&lt;&gt;""),INDEX($CB$41:$CJ$49,MATCH($C$18,$CA$52:$CA$60,0),MATCH($O$24,$CB$51:$CJ$51,0)),0)</f>
        <v>0</v>
      </c>
      <c r="M42" s="53">
        <f ca="1">IF(AND($O$18=$C$18,$O$25&lt;&gt;""),INDEX($CB$41:$CJ$49,MATCH($C$18,$CA$52:$CA$60,0),MATCH($O$25,$CB$51:$CJ$51,0)),0)</f>
        <v>0</v>
      </c>
      <c r="N42" s="5">
        <f ca="1">IF(AND($P$18=$C$18,$P$17&lt;&gt;""),INDEX($CB$41:$CJ$49,MATCH($C$18,$CA$52:$CA$60,0),MATCH($P$17,$CB$51:$CJ$51,0)),0)</f>
        <v>0</v>
      </c>
      <c r="O42" s="3">
        <v>0</v>
      </c>
      <c r="P42" s="3">
        <f ca="1">IF(AND($P$18=$C$18,$P$19&lt;&gt;""),INDEX($CB$41:$CJ$49,MATCH($C$18,$CA$52:$CA$60,0),MATCH($P$19,$CB$51:$CJ$51,0)),0)</f>
        <v>0</v>
      </c>
      <c r="Q42" s="3">
        <f ca="1">IF(AND($P$18=$C$18,$P$20&lt;&gt;""),INDEX($CB$41:$CJ$49,MATCH($C$18,$CA$52:$CA$60,0),MATCH($P$20,$CB$51:$CJ$51,0)),0)</f>
        <v>0</v>
      </c>
      <c r="R42" s="3">
        <f ca="1">IF(AND($P$18=$C$18,$P$21&lt;&gt;""),INDEX($CB$41:$CJ$49,MATCH($C$18,$CA$52:$CA$60,0),MATCH($P$21,$CB$51:$CJ$51,0)),0)</f>
        <v>0</v>
      </c>
      <c r="S42" s="3">
        <f ca="1">IF(AND($P$18=$C$18,$P$22&lt;&gt;""),INDEX($CB$41:$CJ$49,MATCH($C$18,$CA$52:$CA$60,0),MATCH($P$22,$CB$51:$CJ$51,0)),0)</f>
        <v>0</v>
      </c>
      <c r="T42" s="3">
        <f ca="1">IF(AND($P$18=$C$18,$P$23&lt;&gt;""),INDEX($CB$41:$CJ$49,MATCH($C$18,$CA$52:$CA$60,0),MATCH($P$23,$CB$51:$CJ$51,0)),0)</f>
        <v>0</v>
      </c>
      <c r="U42" s="3">
        <f ca="1">IF(AND($P$18=$C$18,$P$24&lt;&gt;""),INDEX($CB$41:$CJ$49,MATCH($C$18,$CA$52:$CA$60,0),MATCH($P$24,$CB$51:$CJ$51,0)),0)</f>
        <v>0</v>
      </c>
      <c r="V42" s="53">
        <f ca="1">IF(AND($P$18=$C$18,$P$25&lt;&gt;""),INDEX($CB$41:$CJ$49,MATCH($C$18,$CA$52:$CA$60,0),MATCH($P$25,$CB$51:$CJ$51,0)),0)</f>
        <v>0</v>
      </c>
      <c r="W42" s="5">
        <f ca="1">IF(AND($Q$18=$C$18,$Q$17&lt;&gt;""),INDEX($CB$41:$CJ$49,MATCH($C$18,$CA$52:$CA$60,0),MATCH($Q$17,$CB$51:$CJ$51,0)),0)</f>
        <v>0</v>
      </c>
      <c r="X42" s="3">
        <v>0</v>
      </c>
      <c r="Y42" s="3">
        <f ca="1">IF(AND($Q$18=$C$18,$Q$19&lt;&gt;""),INDEX($CB$41:$CJ$49,MATCH($C$18,$CA$52:$CA$60,0),MATCH($Q$19,$CB$51:$CJ$51,0)),0)</f>
        <v>0</v>
      </c>
      <c r="Z42" s="3">
        <f ca="1">IF(AND($Q$18=$C$18,$Q$20&lt;&gt;""),INDEX($CB$41:$CJ$49,MATCH($C$18,$CA$52:$CA$60,0),MATCH($Q$20,$CB$51:$CJ$51,0)),0)</f>
        <v>0</v>
      </c>
      <c r="AA42" s="3">
        <f ca="1">IF(AND($Q$18=$C$18,$Q$21&lt;&gt;""),INDEX($CB$41:$CJ$49,MATCH($C$18,$CA$52:$CA$60,0),MATCH($Q$21,$CB$51:$CJ$51,0)),0)</f>
        <v>0</v>
      </c>
      <c r="AB42" s="3">
        <f ca="1">IF(AND($Q$18=$C$18,$Q$22&lt;&gt;""),INDEX($CB$41:$CJ$49,MATCH($C$18,$CA$52:$CA$60,0),MATCH($Q$22,$CB$51:$CJ$51,0)),0)</f>
        <v>0</v>
      </c>
      <c r="AC42" s="3">
        <f ca="1">IF(AND($Q$18=$C$18,$Q$23&lt;&gt;""),INDEX($CB$41:$CJ$49,MATCH($C$18,$CA$52:$CA$60,0),MATCH($Q$23,$CB$51:$CJ$51,0)),0)</f>
        <v>0</v>
      </c>
      <c r="AD42" s="3">
        <f ca="1">IF(AND($Q$18=$C$18,$Q$24&lt;&gt;""),INDEX($CB$41:$CJ$49,MATCH($C$18,$CA$52:$CA$60,0),MATCH($Q$24,$CB$51:$CJ$51,0)),0)</f>
        <v>0</v>
      </c>
      <c r="AE42" s="53">
        <f ca="1">IF(AND($Q$18=$C$18,$Q$25&lt;&gt;""),INDEX($CB$41:$CJ$49,MATCH($C$18,$CA$52:$CA$60,0),MATCH($Q$25,$CB$51:$CJ$51,0)),0)</f>
        <v>0</v>
      </c>
      <c r="AF42" s="5">
        <f ca="1">IF(AND($R$18=$C$18,$R$17&lt;&gt;""),INDEX($CB$41:$CJ$49,MATCH($C$18,$CA$52:$CA$60,0),MATCH($R$17,$CB$51:$CJ$51,0)),0)</f>
        <v>0</v>
      </c>
      <c r="AG42" s="3">
        <v>0</v>
      </c>
      <c r="AH42" s="3">
        <f ca="1">IF(AND($R$18=$C$18,$R$19&lt;&gt;""),INDEX($CB$41:$CJ$49,MATCH($C$18,$CA$52:$CA$60,0),MATCH($R$19,$CB$51:$CJ$51,0)),0)</f>
        <v>0</v>
      </c>
      <c r="AI42" s="3">
        <f ca="1">IF(AND($R$18=$C$18,$R$20&lt;&gt;""),INDEX($CB$41:$CJ$49,MATCH($C$18,$CA$52:$CA$60,0),MATCH($R$20,$CB$51:$CJ$51,0)),0)</f>
        <v>0</v>
      </c>
      <c r="AJ42" s="3">
        <f ca="1">IF(AND($R$18=$C$18,$R$21&lt;&gt;""),INDEX($CB$41:$CJ$49,MATCH($C$18,$CA$52:$CA$60,0),MATCH($R$21,$CB$51:$CJ$51,0)),0)</f>
        <v>0</v>
      </c>
      <c r="AK42" s="3">
        <f ca="1">IF(AND($R$18=$C$18,$R$22&lt;&gt;""),INDEX($CB$41:$CJ$49,MATCH($C$18,$CA$52:$CA$60,0),MATCH($R$22,$CB$51:$CJ$51,0)),0)</f>
        <v>0</v>
      </c>
      <c r="AL42" s="3">
        <f ca="1">IF(AND($R$18=$C$18,$R$23&lt;&gt;""),INDEX($CB$41:$CJ$49,MATCH($C$18,$CA$52:$CA$60,0),MATCH($R$23,$CB$51:$CJ$51,0)),0)</f>
        <v>0</v>
      </c>
      <c r="AM42" s="3">
        <f ca="1">IF(AND($R$18=$C$18,$R$24&lt;&gt;""),INDEX($CB$41:$CJ$49,MATCH($C$18,$CA$52:$CA$60,0),MATCH($R$24,$CB$51:$CJ$51,0)),0)</f>
        <v>0</v>
      </c>
      <c r="AN42" s="53">
        <f ca="1">IF(AND($R$18=$C$18,$R$25&lt;&gt;""),INDEX($CB$41:$CJ$49,MATCH($C$18,$CA$52:$CA$60,0),MATCH($R$25,$CB$51:$CJ$51,0)),0)</f>
        <v>0</v>
      </c>
      <c r="AO42" s="5">
        <f ca="1">IF(AND($S$18=$C$18,$S$17&lt;&gt;""),INDEX($CB$41:$CJ$49,MATCH($C$18,$CA$52:$CA$60,0),MATCH($S$17,$CB$51:$CJ$51,0)),0)</f>
        <v>0</v>
      </c>
      <c r="AP42" s="3">
        <v>0</v>
      </c>
      <c r="AQ42" s="3">
        <f ca="1">IF(AND($S$18=$C$18,$S$19&lt;&gt;""),INDEX($CB$41:$CJ$49,MATCH($C$18,$CA$52:$CA$60,0),MATCH($S$19,$CB$51:$CJ$51,0)),0)</f>
        <v>0</v>
      </c>
      <c r="AR42" s="3">
        <f ca="1">IF(AND($S$18=$C$18,$S$20&lt;&gt;""),INDEX($CB$41:$CJ$49,MATCH($C$18,$CA$52:$CA$60,0),MATCH($S$20,$CB$51:$CJ$51,0)),0)</f>
        <v>0</v>
      </c>
      <c r="AS42" s="3">
        <f ca="1">IF(AND($S$18=$C$18,$S$21&lt;&gt;""),INDEX($CB$41:$CJ$49,MATCH($C$18,$CA$52:$CA$60,0),MATCH($S$21,$CB$51:$CJ$51,0)),0)</f>
        <v>0</v>
      </c>
      <c r="AT42" s="3">
        <f ca="1">IF(AND($S$18=$C$18,$S$22&lt;&gt;""),INDEX($CB$41:$CJ$49,MATCH($C$18,$CA$52:$CA$60,0),MATCH($S$22,$CB$51:$CJ$51,0)),0)</f>
        <v>0</v>
      </c>
      <c r="AU42" s="3">
        <f ca="1">IF(AND($S$18=$C$18,$S$23&lt;&gt;""),INDEX($CB$41:$CJ$49,MATCH($C$18,$CA$52:$CA$60,0),MATCH($S$23,$CB$51:$CJ$51,0)),0)</f>
        <v>0</v>
      </c>
      <c r="AV42" s="3">
        <f ca="1">IF(AND($S$18=$C$18,$S$24&lt;&gt;""),INDEX($CB$41:$CJ$49,MATCH($C$18,$CA$52:$CA$60,0),MATCH($S$24,$CB$51:$CJ$51,0)),0)</f>
        <v>0</v>
      </c>
      <c r="AW42" s="53">
        <f ca="1">IF(AND($S$18=$C$18,$S$25&lt;&gt;""),INDEX($CB$41:$CJ$49,MATCH($C$18,$CA$52:$CA$60,0),MATCH($S$25,$CB$51:$CJ$51,0)),0)</f>
        <v>0</v>
      </c>
      <c r="AX42" s="5">
        <f ca="1">IF(AND($T$18=$C$18,$T$17&lt;&gt;""),INDEX($CB$41:$CJ$49,MATCH($C$18,$CA$52:$CA$60,0),MATCH($T$17,$CB$51:$CJ$51,0)),0)</f>
        <v>0</v>
      </c>
      <c r="AY42" s="3">
        <v>0</v>
      </c>
      <c r="AZ42" s="3">
        <f ca="1">IF(AND($T$18=$C$18,$T$19&lt;&gt;""),INDEX($CB$41:$CJ$49,MATCH($C$18,$CA$52:$CA$60,0),MATCH($T$19,$CB$51:$CJ$51,0)),0)</f>
        <v>0</v>
      </c>
      <c r="BA42" s="3">
        <f ca="1">IF(AND($T$18=$C$18,$T$20&lt;&gt;""),INDEX($CB$41:$CJ$49,MATCH($C$18,$CA$52:$CA$60,0),MATCH($T$20,$CB$51:$CJ$51,0)),0)</f>
        <v>0</v>
      </c>
      <c r="BB42" s="3">
        <f ca="1">IF(AND($T$18=$C$18,$T$21&lt;&gt;""),INDEX($CB$41:$CJ$49,MATCH($C$18,$CA$52:$CA$60,0),MATCH($T$21,$CB$51:$CJ$51,0)),0)</f>
        <v>0</v>
      </c>
      <c r="BC42" s="3">
        <f ca="1">IF(AND($T$18=$C$18,$T$22&lt;&gt;""),INDEX($CB$41:$CJ$49,MATCH($C$18,$CA$52:$CA$60,0),MATCH($T$22,$CB$51:$CJ$51,0)),0)</f>
        <v>0</v>
      </c>
      <c r="BD42" s="3">
        <f ca="1">IF(AND($T$18=$C$18,$T$23&lt;&gt;""),INDEX($CB$41:$CJ$49,MATCH($C$18,$CA$52:$CA$60,0),MATCH($T$23,$CB$51:$CJ$51,0)),0)</f>
        <v>0</v>
      </c>
      <c r="BE42" s="3">
        <f ca="1">IF(AND($T$18=$C$18,$T$24&lt;&gt;""),INDEX($CB$41:$CJ$49,MATCH($C$18,$CA$52:$CA$60,0),MATCH($T$24,$CB$51:$CJ$51,0)),0)</f>
        <v>0</v>
      </c>
      <c r="BF42" s="53">
        <f ca="1">IF(AND($T$18=$C$18,$T$25&lt;&gt;""),INDEX($CB$41:$CJ$49,MATCH($C$18,$CA$52:$CA$60,0),MATCH($T$25,$CB$51:$CJ$51,0)),0)</f>
        <v>0</v>
      </c>
      <c r="BG42" s="5">
        <f ca="1">IF(AND($U$18=$C$18,$U$17&lt;&gt;""),INDEX($CB$41:$CJ$49,MATCH($C$18,$CA$52:$CA$60,0),MATCH($U$17,$CB$51:$CJ$51,0)),0)</f>
        <v>0</v>
      </c>
      <c r="BH42" s="3">
        <v>0</v>
      </c>
      <c r="BI42" s="3">
        <f ca="1">IF(AND($U$18=$C$18,$U$19&lt;&gt;""),INDEX($CB$41:$CJ$49,MATCH($C$18,$CA$52:$CA$60,0),MATCH($U$19,$CB$51:$CJ$51,0)),0)</f>
        <v>0</v>
      </c>
      <c r="BJ42" s="3">
        <f ca="1">IF(AND($U$18=$C$18,$U$20&lt;&gt;""),INDEX($CB$41:$CJ$49,MATCH($C$18,$CA$52:$CA$60,0),MATCH($U$20,$CB$51:$CJ$51,0)),0)</f>
        <v>0</v>
      </c>
      <c r="BK42" s="3">
        <f ca="1">IF(AND($U$18=$C$18,$U$21&lt;&gt;""),INDEX($CB$41:$CJ$49,MATCH($C$18,$CA$52:$CA$60,0),MATCH($U$21,$CB$51:$CJ$51,0)),0)</f>
        <v>0</v>
      </c>
      <c r="BL42" s="3">
        <f ca="1">IF(AND($U$18=$C$18,$U$22&lt;&gt;""),INDEX($CB$41:$CJ$49,MATCH($C$18,$CA$52:$CA$60,0),MATCH($U$22,$CB$51:$CJ$51,0)),0)</f>
        <v>0</v>
      </c>
      <c r="BM42" s="3">
        <f ca="1">IF(AND($U$18=$C$18,$U$23&lt;&gt;""),INDEX($CB$41:$CJ$49,MATCH($C$18,$CA$52:$CA$60,0),MATCH($U$23,$CB$51:$CJ$51,0)),0)</f>
        <v>0</v>
      </c>
      <c r="BN42" s="3">
        <f ca="1">IF(AND($U$18=$C$18,$U$24&lt;&gt;""),INDEX($CB$41:$CJ$49,MATCH($C$18,$CA$52:$CA$60,0),MATCH($U$24,$CB$51:$CJ$51,0)),0)</f>
        <v>0</v>
      </c>
      <c r="BO42" s="53">
        <f ca="1">IF(AND($U$18=$C$18,$U$25&lt;&gt;""),INDEX($CB$41:$CJ$49,MATCH($C$18,$CA$52:$CA$60,0),MATCH($U$25,$CB$51:$CJ$51,0)),0)</f>
        <v>0</v>
      </c>
      <c r="BP42" s="5">
        <f ca="1">IF(AND($V$18=$C$18,$V$17&lt;&gt;""),INDEX($CB$41:$CJ$49,MATCH($C$18,$CA$52:$CA$60,0),MATCH($V$17,$CB$51:$CJ$51,0)),0)</f>
        <v>0</v>
      </c>
      <c r="BQ42" s="3">
        <v>0</v>
      </c>
      <c r="BR42" s="3">
        <f ca="1">IF(AND($V$18=$C$18,$V$19&lt;&gt;""),INDEX($CB$41:$CJ$49,MATCH($C$18,$CA$52:$CA$60,0),MATCH($V$19,$CB$51:$CJ$51,0)),0)</f>
        <v>0</v>
      </c>
      <c r="BS42" s="3">
        <f ca="1">IF(AND($V$18=$C$18,$V$20&lt;&gt;""),INDEX($CB$41:$CJ$49,MATCH($C$18,$CA$52:$CA$60,0),MATCH($V$20,$CB$51:$CJ$51,0)),0)</f>
        <v>0</v>
      </c>
      <c r="BT42" s="3">
        <f ca="1">IF(AND($V$18=$C$18,$V$21&lt;&gt;""),INDEX($CB$41:$CJ$49,MATCH($C$18,$CA$52:$CA$60,0),MATCH($V$21,$CB$51:$CJ$51,0)),0)</f>
        <v>0</v>
      </c>
      <c r="BU42" s="3">
        <f ca="1">IF(AND($V$18=$C$18,$V$22&lt;&gt;""),INDEX($CB$41:$CJ$49,MATCH($C$18,$CA$52:$CA$60,0),MATCH($V$22,$CB$51:$CJ$51,0)),0)</f>
        <v>0</v>
      </c>
      <c r="BV42" s="3">
        <f ca="1">IF(AND($V$18=$C$18,$V$23&lt;&gt;""),INDEX($CB$41:$CJ$49,MATCH($C$18,$CA$52:$CA$60,0),MATCH($V$23,$CB$51:$CJ$51,0)),0)</f>
        <v>0</v>
      </c>
      <c r="BW42" s="3">
        <f ca="1">IF(AND($V$18=$C$18,$V$24&lt;&gt;""),INDEX($CB$41:$CJ$49,MATCH($C$18,$CA$52:$CA$60,0),MATCH($V$24,$CB$51:$CJ$51,0)),0)</f>
        <v>0</v>
      </c>
      <c r="BX42" s="3">
        <f ca="1">IF(AND($V$18=$C$18,$V$25&lt;&gt;""),INDEX($CB$41:$CJ$49,MATCH($C$18,$CA$52:$CA$60,0),MATCH($V$25,$CB$51:$CJ$51,0)),0)</f>
        <v>0</v>
      </c>
      <c r="BY42" s="14"/>
      <c r="BZ42" s="3"/>
      <c r="CA42" s="2" t="str">
        <f t="shared" si="65"/>
        <v>FC Barcelona</v>
      </c>
      <c r="CB42" s="8">
        <f ca="1">IF(CC41="","",-1*CC41)</f>
        <v>2</v>
      </c>
      <c r="CC42" s="6"/>
      <c r="CD42" s="7">
        <f ca="1">CD31-CC32</f>
        <v>-16</v>
      </c>
      <c r="CE42" s="7">
        <f ca="1">CE31-CC33</f>
        <v>-2</v>
      </c>
      <c r="CF42" s="7">
        <f ca="1">CF31-CC34</f>
        <v>6</v>
      </c>
      <c r="CG42" s="7">
        <f ca="1">CG31-CC35</f>
        <v>3</v>
      </c>
      <c r="CH42" s="7">
        <f ca="1">CH31-CC36</f>
        <v>-1</v>
      </c>
      <c r="CI42" s="7">
        <f ca="1">CI31-CC37</f>
        <v>0</v>
      </c>
      <c r="CJ42" s="7">
        <f ca="1">CJ31-CC38</f>
        <v>0</v>
      </c>
      <c r="CK42" s="3"/>
    </row>
    <row r="43" spans="2:89" s="2" customFormat="1" x14ac:dyDescent="0.2">
      <c r="E43" s="14">
        <f ca="1">IF(AND($O$19=$C$19,$O$17&lt;&gt;""),INDEX($CB$41:$CJ$49,MATCH($C$19,$CA$52:$CA$60,0),MATCH($O$17,$CB$51:$CJ$51,0)),0)</f>
        <v>0</v>
      </c>
      <c r="F43" s="3">
        <f ca="1">IF(AND($O$19=$C$19,$O$18&lt;&gt;""),INDEX($CB$41:$CJ$49,MATCH($C$19,$CA$52:$CA$60,0),MATCH($O$18,$CB$51:$CJ$51,0)),0)</f>
        <v>0</v>
      </c>
      <c r="G43" s="3">
        <v>0</v>
      </c>
      <c r="H43" s="3">
        <f ca="1">IF(AND($O$19=$C$19,$O$20&lt;&gt;""),INDEX($CB$41:$CJ$49,MATCH($C$19,$CA$52:$CA$60,0),MATCH($O$20,$CB$51:$CJ$51,0)),0)</f>
        <v>0</v>
      </c>
      <c r="I43" s="3">
        <f ca="1">IF(AND($O$19=$C$19,$O$21&lt;&gt;""),INDEX($CB$41:$CJ$49,MATCH($C$19,$CA$52:$CA$60,0),MATCH($O$21,$CB$51:$CJ$51,0)),0)</f>
        <v>0</v>
      </c>
      <c r="J43" s="3">
        <f ca="1">IF(AND($O$19=$C$19,$O$22&lt;&gt;""),INDEX($CB$41:$CJ$49,MATCH($C$19,$CA$52:$CA$60,0),MATCH($O$22,$CB$51:$CJ$51,0)),0)</f>
        <v>0</v>
      </c>
      <c r="K43" s="3">
        <f ca="1">IF(AND($O$19=$C$19,$O$23&lt;&gt;""),INDEX($CB$41:$CJ$49,MATCH($C$19,$CA$52:$CA$60,0),MATCH($O$23,$CB$51:$CJ$51,0)),0)</f>
        <v>0</v>
      </c>
      <c r="L43" s="3">
        <f ca="1">IF(AND($O$19=$C$19,$O$24&lt;&gt;""),INDEX($CB$41:$CJ$49,MATCH($C$19,$CA$52:$CA$60,0),MATCH($O$24,$CB$51:$CJ$51,0)),0)</f>
        <v>0</v>
      </c>
      <c r="M43" s="53">
        <f ca="1">IF(AND($O$19=$C$19,$O$25&lt;&gt;""),INDEX($CB$41:$CJ$49,MATCH($C$19,$CA$52:$CA$60,0),MATCH($O$25,$CB$51:$CJ$51,0)),0)</f>
        <v>0</v>
      </c>
      <c r="N43" s="5">
        <f ca="1">IF(AND($P$19=$C$19,$P$17&lt;&gt;""),INDEX($CB$41:$CJ$49,MATCH($C$19,$CA$52:$CA$60,0),MATCH($P$17,$CB$51:$CJ$51,0)),0)</f>
        <v>0</v>
      </c>
      <c r="O43" s="3">
        <f ca="1">IF(AND($P$19=$C$19,$P$18&lt;&gt;""),INDEX($CB$41:$CJ$49,MATCH($C$19,$CA$52:$CA$60,0),MATCH($P$18,$CB$51:$CJ$51,0)),0)</f>
        <v>0</v>
      </c>
      <c r="P43" s="3">
        <v>0</v>
      </c>
      <c r="Q43" s="3">
        <f ca="1">IF(AND($P$19=$C$19,$P$20&lt;&gt;""),INDEX($CB$41:$CJ$49,MATCH($C$19,$CA$52:$CA$60,0),MATCH($P$20,$CB$51:$CJ$51,0)),0)</f>
        <v>0</v>
      </c>
      <c r="R43" s="3">
        <f ca="1">IF(AND($P$19=$C$19,$P$21&lt;&gt;""),INDEX($CB$41:$CJ$49,MATCH($C$19,$CA$52:$CA$60,0),MATCH($P$21,$CB$51:$CJ$51,0)),0)</f>
        <v>0</v>
      </c>
      <c r="S43" s="3">
        <f ca="1">IF(AND($P$19=$C$19,$P$22&lt;&gt;""),INDEX($CB$41:$CJ$49,MATCH($C$19,$CA$52:$CA$60,0),MATCH($P$22,$CB$51:$CJ$51,0)),0)</f>
        <v>0</v>
      </c>
      <c r="T43" s="3">
        <f ca="1">IF(AND($P$19=$C$19,$P$23&lt;&gt;""),INDEX($CB$41:$CJ$49,MATCH($C$19,$CA$52:$CA$60,0),MATCH($P$23,$CB$51:$CJ$51,0)),0)</f>
        <v>0</v>
      </c>
      <c r="U43" s="3">
        <f ca="1">IF(AND($P$19=$C$19,$P$24&lt;&gt;""),INDEX($CB$41:$CJ$49,MATCH($C$19,$CA$52:$CA$60,0),MATCH($P$24,$CB$51:$CJ$51,0)),0)</f>
        <v>0</v>
      </c>
      <c r="V43" s="53">
        <f ca="1">IF(AND($P$19=$C$19,$P$25&lt;&gt;""),INDEX($CB$41:$CJ$49,MATCH($C$19,$CA$52:$CA$60,0),MATCH($P$25,$CB$51:$CJ$51,0)),0)</f>
        <v>0</v>
      </c>
      <c r="W43" s="5">
        <f ca="1">IF(AND($Q$19=$C$19,$Q$17&lt;&gt;""),INDEX($CB$41:$CJ$49,MATCH($C$19,$CA$52:$CA$60,0),MATCH($Q$17,$CB$51:$CJ$51,0)),0)</f>
        <v>0</v>
      </c>
      <c r="X43" s="3">
        <f ca="1">IF(AND($Q$19=$C$19,$Q$18&lt;&gt;""),INDEX($CB$41:$CJ$49,MATCH($C$19,$CA$52:$CA$60,0),MATCH($Q$18,$CB$51:$CJ$51,0)),0)</f>
        <v>0</v>
      </c>
      <c r="Y43" s="3">
        <v>0</v>
      </c>
      <c r="Z43" s="3">
        <f ca="1">IF(AND($Q$19=$C$19,$Q$20&lt;&gt;""),INDEX($CB$41:$CJ$49,MATCH($C$19,$CA$52:$CA$60,0),MATCH($Q$20,$CB$51:$CJ$51,0)),0)</f>
        <v>0</v>
      </c>
      <c r="AA43" s="3">
        <f ca="1">IF(AND($Q$19=$C$19,$Q$21&lt;&gt;""),INDEX($CB$41:$CJ$49,MATCH($C$19,$CA$52:$CA$60,0),MATCH($Q$21,$CB$51:$CJ$51,0)),0)</f>
        <v>0</v>
      </c>
      <c r="AB43" s="3">
        <f ca="1">IF(AND($Q$19=$C$19,$Q$22&lt;&gt;""),INDEX($CB$41:$CJ$49,MATCH($C$19,$CA$52:$CA$60,0),MATCH($Q$22,$CB$51:$CJ$51,0)),0)</f>
        <v>0</v>
      </c>
      <c r="AC43" s="3">
        <f ca="1">IF(AND($Q$19=$C$19,$Q$23&lt;&gt;""),INDEX($CB$41:$CJ$49,MATCH($C$19,$CA$52:$CA$60,0),MATCH($Q$23,$CB$51:$CJ$51,0)),0)</f>
        <v>0</v>
      </c>
      <c r="AD43" s="3">
        <f ca="1">IF(AND($Q$19=$C$19,$Q$24&lt;&gt;""),INDEX($CB$41:$CJ$49,MATCH($C$19,$CA$52:$CA$60,0),MATCH($Q$24,$CB$51:$CJ$51,0)),0)</f>
        <v>0</v>
      </c>
      <c r="AE43" s="53">
        <f ca="1">IF(AND($Q$19=$C$19,$Q$25&lt;&gt;""),INDEX($CB$41:$CJ$49,MATCH($C$19,$CA$52:$CA$60,0),MATCH($Q$25,$CB$51:$CJ$51,0)),0)</f>
        <v>0</v>
      </c>
      <c r="AF43" s="5">
        <f ca="1">IF(AND($R$19=$C$19,$R$17&lt;&gt;""),INDEX($CB$41:$CJ$49,MATCH($C$19,$CA$52:$CA$60,0),MATCH($R$17,$CB$51:$CJ$51,0)),0)</f>
        <v>0</v>
      </c>
      <c r="AG43" s="3">
        <f ca="1">IF(AND($R$19=$C$19,$R$18&lt;&gt;""),INDEX($CB$41:$CJ$49,MATCH($C$19,$CA$52:$CA$60,0),MATCH($R$18,$CB$51:$CJ$51,0)),0)</f>
        <v>0</v>
      </c>
      <c r="AH43" s="3">
        <v>0</v>
      </c>
      <c r="AI43" s="3">
        <f ca="1">IF(AND($R$19=$C$19,$R$20&lt;&gt;""),INDEX($CB$41:$CJ$49,MATCH($C$19,$CA$52:$CA$60,0),MATCH($R$20,$CB$51:$CJ$51,0)),0)</f>
        <v>0</v>
      </c>
      <c r="AJ43" s="3">
        <f ca="1">IF(AND($R$19=$C$19,$R$21&lt;&gt;""),INDEX($CB$41:$CJ$49,MATCH($C$19,$CA$52:$CA$60,0),MATCH($R$21,$CB$51:$CJ$51,0)),0)</f>
        <v>0</v>
      </c>
      <c r="AK43" s="3">
        <f ca="1">IF(AND($R$19=$C$19,$R$22&lt;&gt;""),INDEX($CB$41:$CJ$49,MATCH($C$19,$CA$52:$CA$60,0),MATCH($R$22,$CB$51:$CJ$51,0)),0)</f>
        <v>0</v>
      </c>
      <c r="AL43" s="3">
        <f ca="1">IF(AND($R$19=$C$19,$R$23&lt;&gt;""),INDEX($CB$41:$CJ$49,MATCH($C$19,$CA$52:$CA$60,0),MATCH($R$23,$CB$51:$CJ$51,0)),0)</f>
        <v>0</v>
      </c>
      <c r="AM43" s="3">
        <f ca="1">IF(AND($R$19=$C$19,$R$24&lt;&gt;""),INDEX($CB$41:$CJ$49,MATCH($C$19,$CA$52:$CA$60,0),MATCH($R$24,$CB$51:$CJ$51,0)),0)</f>
        <v>0</v>
      </c>
      <c r="AN43" s="53">
        <f ca="1">IF(AND($R$19=$C$19,$R$25&lt;&gt;""),INDEX($CB$41:$CJ$49,MATCH($C$19,$CA$52:$CA$60,0),MATCH($R$25,$CB$51:$CJ$51,0)),0)</f>
        <v>0</v>
      </c>
      <c r="AO43" s="5">
        <f ca="1">IF(AND($S$19=$C$19,$S$17&lt;&gt;""),INDEX($CB$41:$CJ$49,MATCH($C$19,$CA$52:$CA$60,0),MATCH($S$17,$CB$51:$CJ$51,0)),0)</f>
        <v>0</v>
      </c>
      <c r="AP43" s="3">
        <f ca="1">IF(AND($S$19=$C$19,$S$18&lt;&gt;""),INDEX($CB$41:$CJ$49,MATCH($C$19,$CA$52:$CA$60,0),MATCH($S$18,$CB$51:$CJ$51,0)),0)</f>
        <v>0</v>
      </c>
      <c r="AQ43" s="3">
        <v>0</v>
      </c>
      <c r="AR43" s="3">
        <f ca="1">IF(AND($S$19=$C$19,$S$20&lt;&gt;""),INDEX($CB$41:$CJ$49,MATCH($C$19,$CA$52:$CA$60,0),MATCH($S$20,$CB$51:$CJ$51,0)),0)</f>
        <v>0</v>
      </c>
      <c r="AS43" s="3">
        <f ca="1">IF(AND($S$19=$C$19,$S$21&lt;&gt;""),INDEX($CB$41:$CJ$49,MATCH($C$19,$CA$52:$CA$60,0),MATCH($S$21,$CB$51:$CJ$51,0)),0)</f>
        <v>0</v>
      </c>
      <c r="AT43" s="3">
        <f ca="1">IF(AND($S$19=$C$19,$S$22&lt;&gt;""),INDEX($CB$41:$CJ$49,MATCH($C$19,$CA$52:$CA$60,0),MATCH($S$22,$CB$51:$CJ$51,0)),0)</f>
        <v>0</v>
      </c>
      <c r="AU43" s="3">
        <f ca="1">IF(AND($S$19=$C$19,$S$23&lt;&gt;""),INDEX($CB$41:$CJ$49,MATCH($C$19,$CA$52:$CA$60,0),MATCH($S$23,$CB$51:$CJ$51,0)),0)</f>
        <v>0</v>
      </c>
      <c r="AV43" s="3">
        <f ca="1">IF(AND($S$19=$C$19,$S$24&lt;&gt;""),INDEX($CB$41:$CJ$49,MATCH($C$19,$CA$52:$CA$60,0),MATCH($S$24,$CB$51:$CJ$51,0)),0)</f>
        <v>0</v>
      </c>
      <c r="AW43" s="53">
        <f ca="1">IF(AND($S$19=$C$19,$S$25&lt;&gt;""),INDEX($CB$41:$CJ$49,MATCH($C$19,$CA$52:$CA$60,0),MATCH($S$25,$CB$51:$CJ$51,0)),0)</f>
        <v>0</v>
      </c>
      <c r="AX43" s="5">
        <f ca="1">IF(AND($T$19=$C$19,$T$17&lt;&gt;""),INDEX($CB$41:$CJ$49,MATCH($C$19,$CA$52:$CA$60,0),MATCH($T$17,$CB$51:$CJ$51,0)),0)</f>
        <v>0</v>
      </c>
      <c r="AY43" s="3">
        <f ca="1">IF(AND($T$19=$C$19,$T$18&lt;&gt;""),INDEX($CB$41:$CJ$49,MATCH($C$19,$CA$52:$CA$60,0),MATCH($T$18,$CB$51:$CJ$51,0)),0)</f>
        <v>0</v>
      </c>
      <c r="AZ43" s="3">
        <v>0</v>
      </c>
      <c r="BA43" s="3">
        <f ca="1">IF(AND($T$19=$C$19,$T$20&lt;&gt;""),INDEX($CB$41:$CJ$49,MATCH($C$19,$CA$52:$CA$60,0),MATCH($T$20,$CB$51:$CJ$51,0)),0)</f>
        <v>0</v>
      </c>
      <c r="BB43" s="3">
        <f ca="1">IF(AND($T$19=$C$19,$T$21&lt;&gt;""),INDEX($CB$41:$CJ$49,MATCH($C$19,$CA$52:$CA$60,0),MATCH($T$21,$CB$51:$CJ$51,0)),0)</f>
        <v>0</v>
      </c>
      <c r="BC43" s="3">
        <f ca="1">IF(AND($T$19=$C$19,$T$22&lt;&gt;""),INDEX($CB$41:$CJ$49,MATCH($C$19,$CA$52:$CA$60,0),MATCH($T$22,$CB$51:$CJ$51,0)),0)</f>
        <v>0</v>
      </c>
      <c r="BD43" s="3">
        <f ca="1">IF(AND($T$19=$C$19,$T$23&lt;&gt;""),INDEX($CB$41:$CJ$49,MATCH($C$19,$CA$52:$CA$60,0),MATCH($T$23,$CB$51:$CJ$51,0)),0)</f>
        <v>0</v>
      </c>
      <c r="BE43" s="3">
        <f ca="1">IF(AND($T$19=$C$19,$T$24&lt;&gt;""),INDEX($CB$41:$CJ$49,MATCH($C$19,$CA$52:$CA$60,0),MATCH($T$24,$CB$51:$CJ$51,0)),0)</f>
        <v>0</v>
      </c>
      <c r="BF43" s="53">
        <f ca="1">IF(AND($T$19=$C$19,$T$25&lt;&gt;""),INDEX($CB$41:$CJ$49,MATCH($C$19,$CA$52:$CA$60,0),MATCH($T$25,$CB$51:$CJ$51,0)),0)</f>
        <v>0</v>
      </c>
      <c r="BG43" s="5">
        <f ca="1">IF(AND($U$19=$C$19,$U$17&lt;&gt;""),INDEX($CB$41:$CJ$49,MATCH($C$19,$CA$52:$CA$60,0),MATCH($U$17,$CB$51:$CJ$51,0)),0)</f>
        <v>0</v>
      </c>
      <c r="BH43" s="3">
        <f ca="1">IF(AND($U$19=$C$19,$U$18&lt;&gt;""),INDEX($CB$41:$CJ$49,MATCH($C$19,$CA$52:$CA$60,0),MATCH($U$18,$CB$51:$CJ$51,0)),0)</f>
        <v>0</v>
      </c>
      <c r="BI43" s="3">
        <v>0</v>
      </c>
      <c r="BJ43" s="3">
        <f ca="1">IF(AND($U$19=$C$19,$U$20&lt;&gt;""),INDEX($CB$41:$CJ$49,MATCH($C$19,$CA$52:$CA$60,0),MATCH($U$20,$CB$51:$CJ$51,0)),0)</f>
        <v>0</v>
      </c>
      <c r="BK43" s="3">
        <f ca="1">IF(AND($U$19=$C$19,$U$21&lt;&gt;""),INDEX($CB$41:$CJ$49,MATCH($C$19,$CA$52:$CA$60,0),MATCH($U$21,$CB$51:$CJ$51,0)),0)</f>
        <v>0</v>
      </c>
      <c r="BL43" s="3">
        <f ca="1">IF(AND($U$19=$C$19,$U$22&lt;&gt;""),INDEX($CB$41:$CJ$49,MATCH($C$19,$CA$52:$CA$60,0),MATCH($U$22,$CB$51:$CJ$51,0)),0)</f>
        <v>0</v>
      </c>
      <c r="BM43" s="3">
        <f ca="1">IF(AND($U$19=$C$19,$U$23&lt;&gt;""),INDEX($CB$41:$CJ$49,MATCH($C$19,$CA$52:$CA$60,0),MATCH($U$23,$CB$51:$CJ$51,0)),0)</f>
        <v>0</v>
      </c>
      <c r="BN43" s="3">
        <f ca="1">IF(AND($U$19=$C$19,$U$24&lt;&gt;""),INDEX($CB$41:$CJ$49,MATCH($C$19,$CA$52:$CA$60,0),MATCH($U$24,$CB$51:$CJ$51,0)),0)</f>
        <v>0</v>
      </c>
      <c r="BO43" s="53">
        <f ca="1">IF(AND($U$19=$C$19,$U$25&lt;&gt;""),INDEX($CB$41:$CJ$49,MATCH($C$19,$CA$52:$CA$60,0),MATCH($U$25,$CB$51:$CJ$51,0)),0)</f>
        <v>0</v>
      </c>
      <c r="BP43" s="5">
        <f ca="1">IF(AND($V$19=$C$19,$V$17&lt;&gt;""),INDEX($CB$41:$CJ$49,MATCH($C$19,$CA$52:$CA$60,0),MATCH($V$17,$CB$51:$CJ$51,0)),0)</f>
        <v>0</v>
      </c>
      <c r="BQ43" s="3">
        <f ca="1">IF(AND($V$19=$C$19,$V$18&lt;&gt;""),INDEX($CB$41:$CJ$49,MATCH($C$19,$CA$52:$CA$60,0),MATCH($V$18,$CB$51:$CJ$51,0)),0)</f>
        <v>0</v>
      </c>
      <c r="BR43" s="3">
        <v>0</v>
      </c>
      <c r="BS43" s="3">
        <f ca="1">IF(AND($V$19=$C$19,$V$20&lt;&gt;""),INDEX($CB$41:$CJ$49,MATCH($C$19,$CA$52:$CA$60,0),MATCH($V$20,$CB$51:$CJ$51,0)),0)</f>
        <v>0</v>
      </c>
      <c r="BT43" s="3">
        <f ca="1">IF(AND($V$19=$C$19,$V$21&lt;&gt;""),INDEX($CB$41:$CJ$49,MATCH($C$19,$CA$52:$CA$60,0),MATCH($V$21,$CB$51:$CJ$51,0)),0)</f>
        <v>0</v>
      </c>
      <c r="BU43" s="3">
        <f ca="1">IF(AND($V$19=$C$19,$V$22&lt;&gt;""),INDEX($CB$41:$CJ$49,MATCH($C$19,$CA$52:$CA$60,0),MATCH($V$22,$CB$51:$CJ$51,0)),0)</f>
        <v>0</v>
      </c>
      <c r="BV43" s="3">
        <f ca="1">IF(AND($V$19=$C$19,$V$23&lt;&gt;""),INDEX($CB$41:$CJ$49,MATCH($C$19,$CA$52:$CA$60,0),MATCH($V$23,$CB$51:$CJ$51,0)),0)</f>
        <v>0</v>
      </c>
      <c r="BW43" s="3">
        <f ca="1">IF(AND($V$19=$C$19,$V$24&lt;&gt;""),INDEX($CB$41:$CJ$49,MATCH($C$19,$CA$52:$CA$60,0),MATCH($V$24,$CB$51:$CJ$51,0)),0)</f>
        <v>0</v>
      </c>
      <c r="BX43" s="3">
        <f ca="1">IF(AND($V$19=$C$19,$V$25&lt;&gt;""),INDEX($CB$41:$CJ$49,MATCH($C$19,$CA$52:$CA$60,0),MATCH($V$25,$CB$51:$CJ$51,0)),0)</f>
        <v>0</v>
      </c>
      <c r="BY43" s="14"/>
      <c r="BZ43" s="3"/>
      <c r="CA43" s="2" t="str">
        <f t="shared" si="65"/>
        <v>Eintracht Frankfurt</v>
      </c>
      <c r="CB43" s="8">
        <f ca="1">IF(CD41="","",-1*CD41)</f>
        <v>-13</v>
      </c>
      <c r="CC43" s="8">
        <f ca="1">IF(CD42="","",-1*CD42)</f>
        <v>16</v>
      </c>
      <c r="CD43" s="6"/>
      <c r="CE43" s="7">
        <f ca="1">CE32-CD33</f>
        <v>-16</v>
      </c>
      <c r="CF43" s="7">
        <f ca="1">CF32-CD34</f>
        <v>1</v>
      </c>
      <c r="CG43" s="7">
        <f ca="1">CG32-CD35</f>
        <v>18</v>
      </c>
      <c r="CH43" s="7">
        <f ca="1">CH32-CD36</f>
        <v>-3</v>
      </c>
      <c r="CI43" s="7">
        <f ca="1">CI32-CD37</f>
        <v>0</v>
      </c>
      <c r="CJ43" s="7">
        <f ca="1">CJ32-CD38</f>
        <v>0</v>
      </c>
      <c r="CK43" s="3"/>
    </row>
    <row r="44" spans="2:89" s="2" customFormat="1" x14ac:dyDescent="0.2">
      <c r="E44" s="14">
        <f ca="1">IF(AND($O$20=$C$20,$O$17&lt;&gt;""),INDEX($CB$41:$CJ$49,MATCH($C$20,$CA$52:$CA$60,0),MATCH($O$17,$CB$51:$CJ$51,0)),0)</f>
        <v>0</v>
      </c>
      <c r="F44" s="3">
        <f ca="1">IF(AND($O$20=$C$20,$O$18&lt;&gt;""),INDEX($CB$41:$CJ$49,MATCH($C$20,$CA$52:$CA$60,0),MATCH($O$18,$CB$51:$CJ$51,0)),0)</f>
        <v>0</v>
      </c>
      <c r="G44" s="3">
        <f ca="1">IF(AND($O$20=$C$20,$O$19&lt;&gt;""),INDEX($CB$41:$CJ$49,MATCH($C$20,$CA$52:$CA$60,0),MATCH($O$19,$CB$51:$CJ$51,0)),0)</f>
        <v>0</v>
      </c>
      <c r="H44" s="3">
        <v>0</v>
      </c>
      <c r="I44" s="3">
        <f ca="1">IF(AND($O$20=$C$20,$O$21&lt;&gt;""),INDEX($CB$41:$CJ$49,MATCH($C$20,$CA$52:$CA$60,0),MATCH($O$21,$CB$51:$CJ$51,0)),0)</f>
        <v>0</v>
      </c>
      <c r="J44" s="3">
        <f ca="1">IF(AND($O$20=$C$20,$O$22&lt;&gt;""),INDEX($CB$41:$CJ$49,MATCH($C$20,$CA$52:$CA$60,0),MATCH($O$22,$CB$51:$CJ$51,0)),0)</f>
        <v>0</v>
      </c>
      <c r="K44" s="3">
        <f ca="1">IF(AND($O$20=$C$20,$O$23&lt;&gt;""),INDEX($CB$41:$CJ$49,MATCH($C$20,$CA$52:$CA$60,0),MATCH($O$23,$CB$51:$CJ$51,0)),0)</f>
        <v>0</v>
      </c>
      <c r="L44" s="3">
        <f ca="1">IF(AND($O$20=$C$20,$O$24&lt;&gt;""),INDEX($CB$41:$CJ$49,MATCH($C$20,$CA$52:$CA$60,0),MATCH($O$24,$CB$51:$CJ$51,0)),0)</f>
        <v>0</v>
      </c>
      <c r="M44" s="53">
        <f ca="1">IF(AND($O$20=$C$20,$O$25&lt;&gt;""),INDEX($CB$41:$CJ$49,MATCH($C$20,$CA$52:$CA$60,0),MATCH($O$25,$CB$51:$CJ$51,0)),0)</f>
        <v>0</v>
      </c>
      <c r="N44" s="5">
        <f ca="1">IF(AND($P$20=$C$20,$P$17&lt;&gt;""),INDEX($CB$41:$CJ$49,MATCH($C$20,$CA$52:$CA$60,0),MATCH($P$17,$CB$51:$CJ$51,0)),0)</f>
        <v>0</v>
      </c>
      <c r="O44" s="3">
        <f ca="1">IF(AND($P$20=$C$20,$P$18&lt;&gt;""),INDEX($CB$41:$CJ$49,MATCH($C$20,$CA$52:$CA$60,0),MATCH($P$18,$CB$51:$CJ$51,0)),0)</f>
        <v>0</v>
      </c>
      <c r="P44" s="3">
        <f ca="1">IF(AND($P$20=$C$20,$P$19&lt;&gt;""),INDEX($CB$41:$CJ$49,MATCH($C$20,$CA$52:$CA$60,0),MATCH($P$19,$CB$51:$CJ$51,0)),0)</f>
        <v>0</v>
      </c>
      <c r="Q44" s="3">
        <v>0</v>
      </c>
      <c r="R44" s="3">
        <f ca="1">IF(AND($P$20=$C$20,$P$21&lt;&gt;""),INDEX($CB$41:$CJ$49,MATCH($C$20,$CA$52:$CA$60,0),MATCH($P$21,$CB$51:$CJ$51,0)),0)</f>
        <v>0</v>
      </c>
      <c r="S44" s="3">
        <f ca="1">IF(AND($P$20=$C$20,$P$22&lt;&gt;""),INDEX($CB$41:$CJ$49,MATCH($C$20,$CA$52:$CA$60,0),MATCH($P$22,$CB$51:$CJ$51,0)),0)</f>
        <v>0</v>
      </c>
      <c r="T44" s="3">
        <f ca="1">IF(AND($P$20=$C$20,$P$23&lt;&gt;""),INDEX($CB$41:$CJ$49,MATCH($C$20,$CA$52:$CA$60,0),MATCH($P$23,$CB$51:$CJ$51,0)),0)</f>
        <v>0</v>
      </c>
      <c r="U44" s="3">
        <f ca="1">IF(AND($P$20=$C$20,$P$24&lt;&gt;""),INDEX($CB$41:$CJ$49,MATCH($C$20,$CA$52:$CA$60,0),MATCH($P$24,$CB$51:$CJ$51,0)),0)</f>
        <v>0</v>
      </c>
      <c r="V44" s="53">
        <f ca="1">IF(AND($P$20=$C$20,$P$25&lt;&gt;""),INDEX($CB$41:$CJ$49,MATCH($C$20,$CA$52:$CA$60,0),MATCH($P$25,$CB$51:$CJ$51,0)),0)</f>
        <v>0</v>
      </c>
      <c r="W44" s="5">
        <f ca="1">IF(AND($Q$20=$C$20,$Q$17&lt;&gt;""),INDEX($CB$41:$CJ$49,MATCH($C$20,$CA$52:$CA$60,0),MATCH($Q$17,$CB$51:$CJ$51,0)),0)</f>
        <v>0</v>
      </c>
      <c r="X44" s="3">
        <f ca="1">IF(AND($Q$20=$C$20,$Q$18&lt;&gt;""),INDEX($CB$41:$CJ$49,MATCH($C$20,$CA$52:$CA$60,0),MATCH($Q$18,$CB$51:$CJ$51,0)),0)</f>
        <v>0</v>
      </c>
      <c r="Y44" s="3">
        <f ca="1">IF(AND($Q$20=$C$20,$Q$19&lt;&gt;""),INDEX($CB$41:$CJ$49,MATCH($C$20,$CA$52:$CA$60,0),MATCH($Q$19,$CB$51:$CJ$51,0)),0)</f>
        <v>0</v>
      </c>
      <c r="Z44" s="3">
        <v>0</v>
      </c>
      <c r="AA44" s="3">
        <f ca="1">IF(AND($Q$20=$C$20,$Q$21&lt;&gt;""),INDEX($CB$41:$CJ$49,MATCH($C$20,$CA$52:$CA$60,0),MATCH($Q$21,$CB$51:$CJ$51,0)),0)</f>
        <v>0</v>
      </c>
      <c r="AB44" s="3">
        <f ca="1">IF(AND($Q$20=$C$20,$Q$22&lt;&gt;""),INDEX($CB$41:$CJ$49,MATCH($C$20,$CA$52:$CA$60,0),MATCH($Q$22,$CB$51:$CJ$51,0)),0)</f>
        <v>0</v>
      </c>
      <c r="AC44" s="3">
        <f ca="1">IF(AND($Q$20=$C$20,$Q$23&lt;&gt;""),INDEX($CB$41:$CJ$49,MATCH($C$20,$CA$52:$CA$60,0),MATCH($Q$23,$CB$51:$CJ$51,0)),0)</f>
        <v>0</v>
      </c>
      <c r="AD44" s="3">
        <f ca="1">IF(AND($Q$20=$C$20,$Q$24&lt;&gt;""),INDEX($CB$41:$CJ$49,MATCH($C$20,$CA$52:$CA$60,0),MATCH($Q$24,$CB$51:$CJ$51,0)),0)</f>
        <v>0</v>
      </c>
      <c r="AE44" s="53">
        <f ca="1">IF(AND($Q$20=$C$20,$Q$25&lt;&gt;""),INDEX($CB$41:$CJ$49,MATCH($C$20,$CA$52:$CA$60,0),MATCH($Q$25,$CB$51:$CJ$51,0)),0)</f>
        <v>0</v>
      </c>
      <c r="AF44" s="5">
        <f ca="1">IF(AND($R$20=$C$20,$R$17&lt;&gt;""),INDEX($CB$41:$CJ$49,MATCH($C$20,$CA$52:$CA$60,0),MATCH($R$17,$CB$51:$CJ$51,0)),0)</f>
        <v>0</v>
      </c>
      <c r="AG44" s="3">
        <f ca="1">IF(AND($R$20=$C$20,$R$18&lt;&gt;""),INDEX($CB$41:$CJ$49,MATCH($C$20,$CA$52:$CA$60,0),MATCH($R$18,$CB$51:$CJ$51,0)),0)</f>
        <v>0</v>
      </c>
      <c r="AH44" s="3">
        <f ca="1">IF(AND($R$20=$C$20,$R$19&lt;&gt;""),INDEX($CB$41:$CJ$49,MATCH($C$20,$CA$52:$CA$60,0),MATCH($R$19,$CB$51:$CJ$51,0)),0)</f>
        <v>0</v>
      </c>
      <c r="AI44" s="3">
        <v>0</v>
      </c>
      <c r="AJ44" s="3">
        <f ca="1">IF(AND($R$20=$C$20,$R$21&lt;&gt;""),INDEX($CB$41:$CJ$49,MATCH($C$20,$CA$52:$CA$60,0),MATCH($R$21,$CB$51:$CJ$51,0)),0)</f>
        <v>0</v>
      </c>
      <c r="AK44" s="3">
        <f ca="1">IF(AND($R$20=$C$20,$R$22&lt;&gt;""),INDEX($CB$41:$CJ$49,MATCH($C$20,$CA$52:$CA$60,0),MATCH($R$22,$CB$51:$CJ$51,0)),0)</f>
        <v>0</v>
      </c>
      <c r="AL44" s="3">
        <f ca="1">IF(AND($R$20=$C$20,$R$23&lt;&gt;""),INDEX($CB$41:$CJ$49,MATCH($C$20,$CA$52:$CA$60,0),MATCH($R$23,$CB$51:$CJ$51,0)),0)</f>
        <v>0</v>
      </c>
      <c r="AM44" s="3">
        <f ca="1">IF(AND($R$20=$C$20,$R$24&lt;&gt;""),INDEX($CB$41:$CJ$49,MATCH($C$20,$CA$52:$CA$60,0),MATCH($R$24,$CB$51:$CJ$51,0)),0)</f>
        <v>0</v>
      </c>
      <c r="AN44" s="53">
        <f ca="1">IF(AND($R$20=$C$20,$R$25&lt;&gt;""),INDEX($CB$41:$CJ$49,MATCH($C$20,$CA$52:$CA$60,0),MATCH($R$25,$CB$51:$CJ$51,0)),0)</f>
        <v>0</v>
      </c>
      <c r="AO44" s="5">
        <f ca="1">IF(AND($S$20=$C$20,$S$17&lt;&gt;""),INDEX($CB$41:$CJ$49,MATCH($C$20,$CA$52:$CA$60,0),MATCH($S$17,$CB$51:$CJ$51,0)),0)</f>
        <v>0</v>
      </c>
      <c r="AP44" s="3">
        <f ca="1">IF(AND($S$20=$C$20,$S$18&lt;&gt;""),INDEX($CB$41:$CJ$49,MATCH($C$20,$CA$52:$CA$60,0),MATCH($S$18,$CB$51:$CJ$51,0)),0)</f>
        <v>0</v>
      </c>
      <c r="AQ44" s="3">
        <f ca="1">IF(AND($S$20=$C$20,$S$19&lt;&gt;""),INDEX($CB$41:$CJ$49,MATCH($C$20,$CA$52:$CA$60,0),MATCH($S$19,$CB$51:$CJ$51,0)),0)</f>
        <v>0</v>
      </c>
      <c r="AR44" s="3">
        <v>0</v>
      </c>
      <c r="AS44" s="3">
        <f ca="1">IF(AND($S$20=$C$20,$S$21&lt;&gt;""),INDEX($CB$41:$CJ$49,MATCH($C$20,$CA$52:$CA$60,0),MATCH($S$21,$CB$51:$CJ$51,0)),0)</f>
        <v>0</v>
      </c>
      <c r="AT44" s="3">
        <f ca="1">IF(AND($S$20=$C$20,$S$22&lt;&gt;""),INDEX($CB$41:$CJ$49,MATCH($C$20,$CA$52:$CA$60,0),MATCH($S$22,$CB$51:$CJ$51,0)),0)</f>
        <v>0</v>
      </c>
      <c r="AU44" s="3">
        <f ca="1">IF(AND($S$20=$C$20,$S$23&lt;&gt;""),INDEX($CB$41:$CJ$49,MATCH($C$20,$CA$52:$CA$60,0),MATCH($S$23,$CB$51:$CJ$51,0)),0)</f>
        <v>0</v>
      </c>
      <c r="AV44" s="3">
        <f ca="1">IF(AND($S$20=$C$20,$S$24&lt;&gt;""),INDEX($CB$41:$CJ$49,MATCH($C$20,$CA$52:$CA$60,0),MATCH($S$24,$CB$51:$CJ$51,0)),0)</f>
        <v>0</v>
      </c>
      <c r="AW44" s="53">
        <f ca="1">IF(AND($S$20=$C$20,$S$25&lt;&gt;""),INDEX($CB$41:$CJ$49,MATCH($C$20,$CA$52:$CA$60,0),MATCH($S$25,$CB$51:$CJ$51,0)),0)</f>
        <v>0</v>
      </c>
      <c r="AX44" s="5">
        <f ca="1">IF(AND($T$20=$C$20,$T$17&lt;&gt;""),INDEX($CB$41:$CJ$49,MATCH($C$20,$CA$52:$CA$60,0),MATCH($T$17,$CB$51:$CJ$51,0)),0)</f>
        <v>0</v>
      </c>
      <c r="AY44" s="3">
        <f ca="1">IF(AND($T$20=$C$20,$T$18&lt;&gt;""),INDEX($CB$41:$CJ$49,MATCH($C$20,$CA$52:$CA$60,0),MATCH($T$18,$CB$51:$CJ$51,0)),0)</f>
        <v>0</v>
      </c>
      <c r="AZ44" s="3">
        <f ca="1">IF(AND($T$20=$C$20,$T$19&lt;&gt;""),INDEX($CB$41:$CJ$49,MATCH($C$20,$CA$52:$CA$60,0),MATCH($T$19,$CB$51:$CJ$51,0)),0)</f>
        <v>0</v>
      </c>
      <c r="BA44" s="3">
        <v>0</v>
      </c>
      <c r="BB44" s="3">
        <f ca="1">IF(AND($T$20=$C$20,$T$21&lt;&gt;""),INDEX($CB$41:$CJ$49,MATCH($C$20,$CA$52:$CA$60,0),MATCH($T$21,$CB$51:$CJ$51,0)),0)</f>
        <v>0</v>
      </c>
      <c r="BC44" s="3">
        <f ca="1">IF(AND($T$20=$C$20,$T$22&lt;&gt;""),INDEX($CB$41:$CJ$49,MATCH($C$20,$CA$52:$CA$60,0),MATCH($T$22,$CB$51:$CJ$51,0)),0)</f>
        <v>0</v>
      </c>
      <c r="BD44" s="3">
        <f ca="1">IF(AND($T$20=$C$20,$T$23&lt;&gt;""),INDEX($CB$41:$CJ$49,MATCH($C$20,$CA$52:$CA$60,0),MATCH($T$23,$CB$51:$CJ$51,0)),0)</f>
        <v>0</v>
      </c>
      <c r="BE44" s="3">
        <f ca="1">IF(AND($T$20=$C$20,$T$24&lt;&gt;""),INDEX($CB$41:$CJ$49,MATCH($C$20,$CA$52:$CA$60,0),MATCH($T$24,$CB$51:$CJ$51,0)),0)</f>
        <v>0</v>
      </c>
      <c r="BF44" s="53">
        <f ca="1">IF(AND($T$20=$C$20,$T$25&lt;&gt;""),INDEX($CB$41:$CJ$49,MATCH($C$20,$CA$52:$CA$60,0),MATCH($T$25,$CB$51:$CJ$51,0)),0)</f>
        <v>0</v>
      </c>
      <c r="BG44" s="5">
        <f ca="1">IF(AND($U$20=$C$20,$U$17&lt;&gt;""),INDEX($CB$41:$CJ$49,MATCH($C$20,$CA$52:$CA$60,0),MATCH($U$17,$CB$51:$CJ$51,0)),0)</f>
        <v>0</v>
      </c>
      <c r="BH44" s="3">
        <f ca="1">IF(AND($U$20=$C$20,$U$18&lt;&gt;""),INDEX($CB$41:$CJ$49,MATCH($C$20,$CA$52:$CA$60,0),MATCH($U$18,$CB$51:$CJ$51,0)),0)</f>
        <v>0</v>
      </c>
      <c r="BI44" s="3">
        <f ca="1">IF(AND($U$20=$C$20,$U$19&lt;&gt;""),INDEX($CB$41:$CJ$49,MATCH($C$20,$CA$52:$CA$60,0),MATCH($U$19,$CB$51:$CJ$51,0)),0)</f>
        <v>0</v>
      </c>
      <c r="BJ44" s="3">
        <v>0</v>
      </c>
      <c r="BK44" s="3">
        <f ca="1">IF(AND($U$20=$C$20,$U$21&lt;&gt;""),INDEX($CB$41:$CJ$49,MATCH($C$20,$CA$52:$CA$60,0),MATCH($U$21,$CB$51:$CJ$51,0)),0)</f>
        <v>0</v>
      </c>
      <c r="BL44" s="3">
        <f ca="1">IF(AND($U$20=$C$20,$U$22&lt;&gt;""),INDEX($CB$41:$CJ$49,MATCH($C$20,$CA$52:$CA$60,0),MATCH($U$22,$CB$51:$CJ$51,0)),0)</f>
        <v>0</v>
      </c>
      <c r="BM44" s="3">
        <f ca="1">IF(AND($U$20=$C$20,$U$23&lt;&gt;""),INDEX($CB$41:$CJ$49,MATCH($C$20,$CA$52:$CA$60,0),MATCH($U$23,$CB$51:$CJ$51,0)),0)</f>
        <v>0</v>
      </c>
      <c r="BN44" s="3">
        <f ca="1">IF(AND($U$20=$C$20,$U$24&lt;&gt;""),INDEX($CB$41:$CJ$49,MATCH($C$20,$CA$52:$CA$60,0),MATCH($U$24,$CB$51:$CJ$51,0)),0)</f>
        <v>0</v>
      </c>
      <c r="BO44" s="53">
        <f ca="1">IF(AND($U$20=$C$20,$U$25&lt;&gt;""),INDEX($CB$41:$CJ$49,MATCH($C$20,$CA$52:$CA$60,0),MATCH($U$25,$CB$51:$CJ$51,0)),0)</f>
        <v>0</v>
      </c>
      <c r="BP44" s="5">
        <f ca="1">IF(AND($V$20=$C$20,$V$17&lt;&gt;""),INDEX($CB$41:$CJ$49,MATCH($C$20,$CA$52:$CA$60,0),MATCH($V$17,$CB$51:$CJ$51,0)),0)</f>
        <v>0</v>
      </c>
      <c r="BQ44" s="3">
        <f ca="1">IF(AND($V$20=$C$20,$V$18&lt;&gt;""),INDEX($CB$41:$CJ$49,MATCH($C$20,$CA$52:$CA$60,0),MATCH($V$18,$CB$51:$CJ$51,0)),0)</f>
        <v>0</v>
      </c>
      <c r="BR44" s="3">
        <f ca="1">IF(AND($V$20=$C$20,$V$19&lt;&gt;""),INDEX($CB$41:$CJ$49,MATCH($C$20,$CA$52:$CA$60,0),MATCH($V$19,$CB$51:$CJ$51,0)),0)</f>
        <v>0</v>
      </c>
      <c r="BS44" s="3">
        <v>0</v>
      </c>
      <c r="BT44" s="3">
        <f ca="1">IF(AND($V$20=$C$20,$V$21&lt;&gt;""),INDEX($CB$41:$CJ$49,MATCH($C$20,$CA$52:$CA$60,0),MATCH($V$21,$CB$51:$CJ$51,0)),0)</f>
        <v>0</v>
      </c>
      <c r="BU44" s="3">
        <f ca="1">IF(AND($V$20=$C$20,$V$22&lt;&gt;""),INDEX($CB$41:$CJ$49,MATCH($C$20,$CA$52:$CA$60,0),MATCH($V$22,$CB$51:$CJ$51,0)),0)</f>
        <v>0</v>
      </c>
      <c r="BV44" s="3">
        <f ca="1">IF(AND($V$20=$C$20,$V$23&lt;&gt;""),INDEX($CB$41:$CJ$49,MATCH($C$20,$CA$52:$CA$60,0),MATCH($V$23,$CB$51:$CJ$51,0)),0)</f>
        <v>0</v>
      </c>
      <c r="BW44" s="3">
        <f ca="1">IF(AND($V$20=$C$20,$V$24&lt;&gt;""),INDEX($CB$41:$CJ$49,MATCH($C$20,$CA$52:$CA$60,0),MATCH($V$24,$CB$51:$CJ$51,0)),0)</f>
        <v>0</v>
      </c>
      <c r="BX44" s="3">
        <f ca="1">IF(AND($V$20=$C$20,$V$25&lt;&gt;""),INDEX($CB$41:$CJ$49,MATCH($C$20,$CA$52:$CA$60,0),MATCH($V$25,$CB$51:$CJ$51,0)),0)</f>
        <v>0</v>
      </c>
      <c r="BY44" s="14"/>
      <c r="BZ44" s="3"/>
      <c r="CA44" s="2" t="str">
        <f t="shared" si="65"/>
        <v>Maibach 1822 eV</v>
      </c>
      <c r="CB44" s="8">
        <f ca="1">IF(CE41="","",-1*CE41)</f>
        <v>27</v>
      </c>
      <c r="CC44" s="8">
        <f ca="1">IF(CE42="","",-1*CE42)</f>
        <v>2</v>
      </c>
      <c r="CD44" s="8">
        <f ca="1">IF(CE43="","",-1*CE43)</f>
        <v>16</v>
      </c>
      <c r="CE44" s="6"/>
      <c r="CF44" s="7">
        <f ca="1">CF33-CE34</f>
        <v>-15</v>
      </c>
      <c r="CG44" s="7">
        <f ca="1">CG33-CE35</f>
        <v>23</v>
      </c>
      <c r="CH44" s="7">
        <f ca="1">CH33-CE36</f>
        <v>3</v>
      </c>
      <c r="CI44" s="7">
        <f ca="1">CI33-CE37</f>
        <v>0</v>
      </c>
      <c r="CJ44" s="7">
        <f ca="1">CJ33-CE38</f>
        <v>0</v>
      </c>
      <c r="CK44" s="3"/>
    </row>
    <row r="45" spans="2:89" s="2" customFormat="1" x14ac:dyDescent="0.2">
      <c r="E45" s="14">
        <f ca="1">IF(AND($O$21=$C$21,$O$17&lt;&gt;""),INDEX($CB$41:$CJ$49,MATCH($C$21,$CA$52:$CA$60,0),MATCH($O$17,$CB$51:$CJ$51,0)),0)</f>
        <v>0</v>
      </c>
      <c r="F45" s="3">
        <f ca="1">IF(AND($O$21=$C$21,$O$18&lt;&gt;""),INDEX($CB$41:$CJ$49,MATCH($C$21,$CA$52:$CA$60,0),MATCH($O$18,$CB$51:$CJ$51,0)),0)</f>
        <v>0</v>
      </c>
      <c r="G45" s="3">
        <f ca="1">IF(AND($O$21=$C$21,$O$19&lt;&gt;""),INDEX($CB$41:$CJ$49,MATCH($C$21,$CA$52:$CA$60,0),MATCH($O$19,$CB$51:$CJ$51,0)),0)</f>
        <v>0</v>
      </c>
      <c r="H45" s="3">
        <f ca="1">IF(AND($O$21=$C$21,$O$20&lt;&gt;""),INDEX($CB$41:$CJ$49,MATCH($C$21,$CA$52:$CA$60,0),MATCH($O$20,$CB$51:$CJ$51,0)),0)</f>
        <v>0</v>
      </c>
      <c r="I45" s="3">
        <v>0</v>
      </c>
      <c r="J45" s="3">
        <f ca="1">IF(AND($O$21=$C$21,$O$22&lt;&gt;""),INDEX($CB$41:$CJ$49,MATCH($C$21,$CA$52:$CA$60,0),MATCH($O$22,$CB$51:$CJ$51,0)),0)</f>
        <v>0</v>
      </c>
      <c r="K45" s="3">
        <f ca="1">IF(AND($O$21=$C$21,$O$23&lt;&gt;""),INDEX($CB$41:$CJ$49,MATCH($C$21,$CA$52:$CA$60,0),MATCH($O$23,$CB$51:$CJ$51,0)),0)</f>
        <v>0</v>
      </c>
      <c r="L45" s="3">
        <f ca="1">IF(AND($O$21=$C$21,$O$24&lt;&gt;""),INDEX($CB$41:$CJ$49,MATCH($C$21,$CA$52:$CA$60,0),MATCH($O$24,$CB$51:$CJ$51,0)),0)</f>
        <v>0</v>
      </c>
      <c r="M45" s="53">
        <f ca="1">IF(AND($O$21=$C$21,$O$25&lt;&gt;""),INDEX($CB$41:$CJ$49,MATCH($C$21,$CA$52:$CA$60,0),MATCH($O$25,$CB$51:$CJ$51,0)),0)</f>
        <v>0</v>
      </c>
      <c r="N45" s="5">
        <f ca="1">IF(AND($P$21=$C$21,$P$17&lt;&gt;""),INDEX($CB$41:$CJ$49,MATCH($C$21,$CA$52:$CA$60,0),MATCH($P$17,$CB$51:$CJ$51,0)),0)</f>
        <v>0</v>
      </c>
      <c r="O45" s="3">
        <f ca="1">IF(AND($P$21=$C$21,$P$18&lt;&gt;""),INDEX($CB$41:$CJ$49,MATCH($C$21,$CA$52:$CA$60,0),MATCH($P$18,$CB$51:$CJ$51,0)),0)</f>
        <v>0</v>
      </c>
      <c r="P45" s="3">
        <f ca="1">IF(AND($P$21=$C$21,$P$19&lt;&gt;""),INDEX($CB$41:$CJ$49,MATCH($C$21,$CA$52:$CA$60,0),MATCH($P$19,$CB$51:$CJ$51,0)),0)</f>
        <v>0</v>
      </c>
      <c r="Q45" s="3">
        <f ca="1">IF(AND($P$21=$C$21,$P$20&lt;&gt;""),INDEX($CB$41:$CJ$49,MATCH($C$21,$CA$52:$CA$60,0),MATCH($P$20,$CB$51:$CJ$51,0)),0)</f>
        <v>0</v>
      </c>
      <c r="R45" s="3">
        <v>0</v>
      </c>
      <c r="S45" s="3">
        <f ca="1">IF(AND($P$21=$C$21,$P$22&lt;&gt;""),INDEX($CB$41:$CJ$49,MATCH($C$21,$CA$52:$CA$60,0),MATCH($P$22,$CB$51:$CJ$51,0)),0)</f>
        <v>0</v>
      </c>
      <c r="T45" s="3">
        <f ca="1">IF(AND($P$21=$C$21,$P$23&lt;&gt;""),INDEX($CB$41:$CJ$49,MATCH($C$21,$CA$52:$CA$60,0),MATCH($P$23,$CB$51:$CJ$51,0)),0)</f>
        <v>0</v>
      </c>
      <c r="U45" s="3">
        <f ca="1">IF(AND($P$21=$C$21,$P$24&lt;&gt;""),INDEX($CB$41:$CJ$49,MATCH($C$21,$CA$52:$CA$60,0),MATCH($P$24,$CB$51:$CJ$51,0)),0)</f>
        <v>0</v>
      </c>
      <c r="V45" s="53">
        <f ca="1">IF(AND($P$21=$C$21,$P$25&lt;&gt;""),INDEX($CB$41:$CJ$49,MATCH($C$21,$CA$52:$CA$60,0),MATCH($P$25,$CB$51:$CJ$51,0)),0)</f>
        <v>0</v>
      </c>
      <c r="W45" s="5">
        <f ca="1">IF(AND($Q$21=$C$21,$Q$17&lt;&gt;""),INDEX($CB$41:$CJ$49,MATCH($C$21,$CA$52:$CA$60,0),MATCH($Q$17,$CB$51:$CJ$51,0)),0)</f>
        <v>0</v>
      </c>
      <c r="X45" s="3">
        <f ca="1">IF(AND($Q$21=$C$21,$Q$18&lt;&gt;""),INDEX($CB$41:$CJ$49,MATCH($C$21,$CA$52:$CA$60,0),MATCH($Q$18,$CB$51:$CJ$51,0)),0)</f>
        <v>0</v>
      </c>
      <c r="Y45" s="3">
        <f ca="1">IF(AND($Q$21=$C$21,$Q$19&lt;&gt;""),INDEX($CB$41:$CJ$49,MATCH($C$21,$CA$52:$CA$60,0),MATCH($Q$19,$CB$51:$CJ$51,0)),0)</f>
        <v>0</v>
      </c>
      <c r="Z45" s="3">
        <f ca="1">IF(AND($Q$21=$C$21,$Q$20&lt;&gt;""),INDEX($CB$41:$CJ$49,MATCH($C$21,$CA$52:$CA$60,0),MATCH($Q$20,$CB$51:$CJ$51,0)),0)</f>
        <v>0</v>
      </c>
      <c r="AA45" s="3">
        <v>0</v>
      </c>
      <c r="AB45" s="3">
        <f ca="1">IF(AND($Q$21=$C$21,$Q$22&lt;&gt;""),INDEX($CB$41:$CJ$49,MATCH($C$21,$CA$52:$CA$60,0),MATCH($Q$22,$CB$51:$CJ$51,0)),0)</f>
        <v>0</v>
      </c>
      <c r="AC45" s="3">
        <f ca="1">IF(AND($Q$21=$C$21,$Q$23&lt;&gt;""),INDEX($CB$41:$CJ$49,MATCH($C$21,$CA$52:$CA$60,0),MATCH($Q$23,$CB$51:$CJ$51,0)),0)</f>
        <v>0</v>
      </c>
      <c r="AD45" s="3">
        <f ca="1">IF(AND($Q$21=$C$21,$Q$24&lt;&gt;""),INDEX($CB$41:$CJ$49,MATCH($C$21,$CA$52:$CA$60,0),MATCH($Q$24,$CB$51:$CJ$51,0)),0)</f>
        <v>0</v>
      </c>
      <c r="AE45" s="53">
        <f ca="1">IF(AND($Q$21=$C$21,$Q$25&lt;&gt;""),INDEX($CB$41:$CJ$49,MATCH($C$21,$CA$52:$CA$60,0),MATCH($Q$25,$CB$51:$CJ$51,0)),0)</f>
        <v>0</v>
      </c>
      <c r="AF45" s="5">
        <f ca="1">IF(AND($R$21=$C$21,$R$17&lt;&gt;""),INDEX($CB$41:$CJ$49,MATCH($C$21,$CA$52:$CA$60,0),MATCH($R$17,$CB$51:$CJ$51,0)),0)</f>
        <v>0</v>
      </c>
      <c r="AG45" s="3">
        <f ca="1">IF(AND($R$21=$C$21,$R$18&lt;&gt;""),INDEX($CB$41:$CJ$49,MATCH($C$21,$CA$52:$CA$60,0),MATCH($R$18,$CB$51:$CJ$51,0)),0)</f>
        <v>0</v>
      </c>
      <c r="AH45" s="3">
        <f ca="1">IF(AND($R$21=$C$21,$R$19&lt;&gt;""),INDEX($CB$41:$CJ$49,MATCH($C$21,$CA$52:$CA$60,0),MATCH($R$19,$CB$51:$CJ$51,0)),0)</f>
        <v>0</v>
      </c>
      <c r="AI45" s="3">
        <f ca="1">IF(AND($R$21=$C$21,$R$20&lt;&gt;""),INDEX($CB$41:$CJ$49,MATCH($C$21,$CA$52:$CA$60,0),MATCH($R$20,$CB$51:$CJ$51,0)),0)</f>
        <v>0</v>
      </c>
      <c r="AJ45" s="3">
        <v>0</v>
      </c>
      <c r="AK45" s="3">
        <f ca="1">IF(AND($R$21=$C$21,$R$22&lt;&gt;""),INDEX($CB$41:$CJ$49,MATCH($C$21,$CA$52:$CA$60,0),MATCH($R$22,$CB$51:$CJ$51,0)),0)</f>
        <v>0</v>
      </c>
      <c r="AL45" s="3">
        <f ca="1">IF(AND($R$21=$C$21,$R$23&lt;&gt;""),INDEX($CB$41:$CJ$49,MATCH($C$21,$CA$52:$CA$60,0),MATCH($R$23,$CB$51:$CJ$51,0)),0)</f>
        <v>0</v>
      </c>
      <c r="AM45" s="3">
        <f ca="1">IF(AND($R$21=$C$21,$R$24&lt;&gt;""),INDEX($CB$41:$CJ$49,MATCH($C$21,$CA$52:$CA$60,0),MATCH($R$24,$CB$51:$CJ$51,0)),0)</f>
        <v>0</v>
      </c>
      <c r="AN45" s="53">
        <f ca="1">IF(AND($R$21=$C$21,$R$25&lt;&gt;""),INDEX($CB$41:$CJ$49,MATCH($C$21,$CA$52:$CA$60,0),MATCH($R$25,$CB$51:$CJ$51,0)),0)</f>
        <v>0</v>
      </c>
      <c r="AO45" s="5">
        <f ca="1">IF(AND($S$21=$C$21,$S$17&lt;&gt;""),INDEX($CB$41:$CJ$49,MATCH($C$21,$CA$52:$CA$60,0),MATCH($S$17,$CB$51:$CJ$51,0)),0)</f>
        <v>0</v>
      </c>
      <c r="AP45" s="3">
        <f ca="1">IF(AND($S$21=$C$21,$S$18&lt;&gt;""),INDEX($CB$41:$CJ$49,MATCH($C$21,$CA$52:$CA$60,0),MATCH($S$18,$CB$51:$CJ$51,0)),0)</f>
        <v>0</v>
      </c>
      <c r="AQ45" s="3">
        <f ca="1">IF(AND($S$21=$C$21,$S$19&lt;&gt;""),INDEX($CB$41:$CJ$49,MATCH($C$21,$CA$52:$CA$60,0),MATCH($S$19,$CB$51:$CJ$51,0)),0)</f>
        <v>0</v>
      </c>
      <c r="AR45" s="3">
        <f ca="1">IF(AND($S$21=$C$21,$S$20&lt;&gt;""),INDEX($CB$41:$CJ$49,MATCH($C$21,$CA$52:$CA$60,0),MATCH($S$20,$CB$51:$CJ$51,0)),0)</f>
        <v>0</v>
      </c>
      <c r="AS45" s="3">
        <v>0</v>
      </c>
      <c r="AT45" s="3">
        <f ca="1">IF(AND($S$21=$C$21,$S$22&lt;&gt;""),INDEX($CB$41:$CJ$49,MATCH($C$21,$CA$52:$CA$60,0),MATCH($S$22,$CB$51:$CJ$51,0)),0)</f>
        <v>0</v>
      </c>
      <c r="AU45" s="3">
        <f ca="1">IF(AND($S$21=$C$21,$S$23&lt;&gt;""),INDEX($CB$41:$CJ$49,MATCH($C$21,$CA$52:$CA$60,0),MATCH($S$23,$CB$51:$CJ$51,0)),0)</f>
        <v>0</v>
      </c>
      <c r="AV45" s="3">
        <f ca="1">IF(AND($S$21=$C$21,$S$24&lt;&gt;""),INDEX($CB$41:$CJ$49,MATCH($C$21,$CA$52:$CA$60,0),MATCH($S$24,$CB$51:$CJ$51,0)),0)</f>
        <v>0</v>
      </c>
      <c r="AW45" s="53">
        <f ca="1">IF(AND($S$21=$C$21,$S$25&lt;&gt;""),INDEX($CB$41:$CJ$49,MATCH($C$21,$CA$52:$CA$60,0),MATCH($S$25,$CB$51:$CJ$51,0)),0)</f>
        <v>0</v>
      </c>
      <c r="AX45" s="5">
        <f ca="1">IF(AND($T$21=$C$21,$T$17&lt;&gt;""),INDEX($CB$41:$CJ$49,MATCH($C$21,$CA$52:$CA$60,0),MATCH($T$17,$CB$51:$CJ$51,0)),0)</f>
        <v>0</v>
      </c>
      <c r="AY45" s="3">
        <f ca="1">IF(AND($T$21=$C$21,$T$18&lt;&gt;""),INDEX($CB$41:$CJ$49,MATCH($C$21,$CA$52:$CA$60,0),MATCH($T$18,$CB$51:$CJ$51,0)),0)</f>
        <v>0</v>
      </c>
      <c r="AZ45" s="3">
        <f ca="1">IF(AND($T$21=$C$21,$T$19&lt;&gt;""),INDEX($CB$41:$CJ$49,MATCH($C$21,$CA$52:$CA$60,0),MATCH($T$19,$CB$51:$CJ$51,0)),0)</f>
        <v>0</v>
      </c>
      <c r="BA45" s="3">
        <f ca="1">IF(AND($T$21=$C$21,$T$20&lt;&gt;""),INDEX($CB$41:$CJ$49,MATCH($C$21,$CA$52:$CA$60,0),MATCH($T$20,$CB$51:$CJ$51,0)),0)</f>
        <v>0</v>
      </c>
      <c r="BB45" s="3">
        <v>0</v>
      </c>
      <c r="BC45" s="3">
        <f ca="1">IF(AND($T$21=$C$21,$T$22&lt;&gt;""),INDEX($CB$41:$CJ$49,MATCH($C$21,$CA$52:$CA$60,0),MATCH($T$22,$CB$51:$CJ$51,0)),0)</f>
        <v>0</v>
      </c>
      <c r="BD45" s="3">
        <f ca="1">IF(AND($T$21=$C$21,$T$23&lt;&gt;""),INDEX($CB$41:$CJ$49,MATCH($C$21,$CA$52:$CA$60,0),MATCH($T$23,$CB$51:$CJ$51,0)),0)</f>
        <v>0</v>
      </c>
      <c r="BE45" s="3">
        <f ca="1">IF(AND($T$21=$C$21,$T$24&lt;&gt;""),INDEX($CB$41:$CJ$49,MATCH($C$21,$CA$52:$CA$60,0),MATCH($T$24,$CB$51:$CJ$51,0)),0)</f>
        <v>0</v>
      </c>
      <c r="BF45" s="53">
        <f ca="1">IF(AND($T$21=$C$21,$T$25&lt;&gt;""),INDEX($CB$41:$CJ$49,MATCH($C$21,$CA$52:$CA$60,0),MATCH($T$25,$CB$51:$CJ$51,0)),0)</f>
        <v>0</v>
      </c>
      <c r="BG45" s="5">
        <f ca="1">IF(AND($U$21=$C$21,$U$17&lt;&gt;""),INDEX($CB$41:$CJ$49,MATCH($C$21,$CA$52:$CA$60,0),MATCH($U$17,$CB$51:$CJ$51,0)),0)</f>
        <v>0</v>
      </c>
      <c r="BH45" s="3">
        <f ca="1">IF(AND($U$21=$C$21,$U$18&lt;&gt;""),INDEX($CB$41:$CJ$49,MATCH($C$21,$CA$52:$CA$60,0),MATCH($U$18,$CB$51:$CJ$51,0)),0)</f>
        <v>0</v>
      </c>
      <c r="BI45" s="3">
        <f ca="1">IF(AND($U$21=$C$21,$U$19&lt;&gt;""),INDEX($CB$41:$CJ$49,MATCH($C$21,$CA$52:$CA$60,0),MATCH($U$19,$CB$51:$CJ$51,0)),0)</f>
        <v>0</v>
      </c>
      <c r="BJ45" s="3">
        <f ca="1">IF(AND($U$21=$C$21,$U$20&lt;&gt;""),INDEX($CB$41:$CJ$49,MATCH($C$21,$CA$52:$CA$60,0),MATCH($U$20,$CB$51:$CJ$51,0)),0)</f>
        <v>0</v>
      </c>
      <c r="BK45" s="3">
        <v>0</v>
      </c>
      <c r="BL45" s="3">
        <f ca="1">IF(AND($U$21=$C$21,$U$22&lt;&gt;""),INDEX($CB$41:$CJ$49,MATCH($C$21,$CA$52:$CA$60,0),MATCH($U$22,$CB$51:$CJ$51,0)),0)</f>
        <v>0</v>
      </c>
      <c r="BM45" s="3">
        <f ca="1">IF(AND($U$21=$C$21,$U$23&lt;&gt;""),INDEX($CB$41:$CJ$49,MATCH($C$21,$CA$52:$CA$60,0),MATCH($U$23,$CB$51:$CJ$51,0)),0)</f>
        <v>0</v>
      </c>
      <c r="BN45" s="3">
        <f ca="1">IF(AND($U$21=$C$21,$U$24&lt;&gt;""),INDEX($CB$41:$CJ$49,MATCH($C$21,$CA$52:$CA$60,0),MATCH($U$24,$CB$51:$CJ$51,0)),0)</f>
        <v>0</v>
      </c>
      <c r="BO45" s="53">
        <f ca="1">IF(AND($U$21=$C$21,$U$25&lt;&gt;""),INDEX($CB$41:$CJ$49,MATCH($C$21,$CA$52:$CA$60,0),MATCH($U$25,$CB$51:$CJ$51,0)),0)</f>
        <v>0</v>
      </c>
      <c r="BP45" s="5">
        <f ca="1">IF(AND($V$21=$C$21,$V$17&lt;&gt;""),INDEX($CB$41:$CJ$49,MATCH($C$21,$CA$52:$CA$60,0),MATCH($V$17,$CB$51:$CJ$51,0)),0)</f>
        <v>0</v>
      </c>
      <c r="BQ45" s="3">
        <f ca="1">IF(AND($V$21=$C$21,$V$18&lt;&gt;""),INDEX($CB$41:$CJ$49,MATCH($C$21,$CA$52:$CA$60,0),MATCH($V$18,$CB$51:$CJ$51,0)),0)</f>
        <v>0</v>
      </c>
      <c r="BR45" s="3">
        <f ca="1">IF(AND($V$21=$C$21,$V$19&lt;&gt;""),INDEX($CB$41:$CJ$49,MATCH($C$21,$CA$52:$CA$60,0),MATCH($V$19,$CB$51:$CJ$51,0)),0)</f>
        <v>0</v>
      </c>
      <c r="BS45" s="3">
        <f ca="1">IF(AND($V$21=$C$21,$V$20&lt;&gt;""),INDEX($CB$41:$CJ$49,MATCH($C$21,$CA$52:$CA$60,0),MATCH($V$20,$CB$51:$CJ$51,0)),0)</f>
        <v>0</v>
      </c>
      <c r="BT45" s="3">
        <v>0</v>
      </c>
      <c r="BU45" s="3">
        <f ca="1">IF(AND($V$21=$C$21,$V$22&lt;&gt;""),INDEX($CB$41:$CJ$49,MATCH($C$21,$CA$52:$CA$60,0),MATCH($V$22,$CB$51:$CJ$51,0)),0)</f>
        <v>0</v>
      </c>
      <c r="BV45" s="3">
        <f ca="1">IF(AND($V$21=$C$21,$V$23&lt;&gt;""),INDEX($CB$41:$CJ$49,MATCH($C$21,$CA$52:$CA$60,0),MATCH($V$23,$CB$51:$CJ$51,0)),0)</f>
        <v>0</v>
      </c>
      <c r="BW45" s="3">
        <f ca="1">IF(AND($V$21=$C$21,$V$24&lt;&gt;""),INDEX($CB$41:$CJ$49,MATCH($C$21,$CA$52:$CA$60,0),MATCH($V$24,$CB$51:$CJ$51,0)),0)</f>
        <v>0</v>
      </c>
      <c r="BX45" s="3">
        <f ca="1">IF(AND($V$21=$C$21,$V$25&lt;&gt;""),INDEX($CB$41:$CJ$49,MATCH($C$21,$CA$52:$CA$60,0),MATCH($V$25,$CB$51:$CJ$51,0)),0)</f>
        <v>0</v>
      </c>
      <c r="BY45" s="14"/>
      <c r="BZ45" s="3"/>
      <c r="CA45" s="2" t="str">
        <f t="shared" si="65"/>
        <v>VFB Essenheim</v>
      </c>
      <c r="CB45" s="8">
        <f ca="1">IF(CF41="","",-1*CF41)</f>
        <v>-3</v>
      </c>
      <c r="CC45" s="8">
        <f ca="1">IF(CF42="","",-1*CF42)</f>
        <v>-6</v>
      </c>
      <c r="CD45" s="8">
        <f ca="1">IF(CF43="","",-1*CF43)</f>
        <v>-1</v>
      </c>
      <c r="CE45" s="8">
        <f ca="1">IF(CF44="","",-1*CF44)</f>
        <v>15</v>
      </c>
      <c r="CF45" s="6"/>
      <c r="CG45" s="7">
        <f ca="1">CG34-CF35</f>
        <v>-20</v>
      </c>
      <c r="CH45" s="7">
        <f ca="1">CH34-CF36</f>
        <v>18</v>
      </c>
      <c r="CI45" s="7">
        <f ca="1">CI34-CF37</f>
        <v>0</v>
      </c>
      <c r="CJ45" s="7">
        <f ca="1">CJ34-CF38</f>
        <v>0</v>
      </c>
      <c r="CK45" s="3"/>
    </row>
    <row r="46" spans="2:89" s="2" customFormat="1" x14ac:dyDescent="0.2">
      <c r="E46" s="14">
        <f ca="1">IF(AND($O$22=$C$22,$O$17&lt;&gt;""),INDEX($CB$41:$CJ$49,MATCH($C$22,$CA$52:$CA$60,0),MATCH($O$17,$CB$51:$CJ$51,0)),0)</f>
        <v>0</v>
      </c>
      <c r="F46" s="3">
        <f ca="1">IF(AND($O$22=$C$22,$O$18&lt;&gt;""),INDEX($CB$41:$CJ$49,MATCH($C$22,$CA$52:$CA$60,0),MATCH($O$18,$CB$51:$CJ$51,0)),0)</f>
        <v>0</v>
      </c>
      <c r="G46" s="3">
        <f ca="1">IF(AND($O$22=$C$22,$O$19&lt;&gt;""),INDEX($CB$41:$CJ$49,MATCH($C$22,$CA$52:$CA$60,0),MATCH($O$19,$CB$51:$CJ$51,0)),0)</f>
        <v>0</v>
      </c>
      <c r="H46" s="3">
        <f ca="1">IF(AND($O$22=$C$22,$O$20&lt;&gt;""),INDEX($CB$41:$CJ$49,MATCH($C$22,$CA$52:$CA$60,0),MATCH($O$20,$CB$51:$CJ$51,0)),0)</f>
        <v>0</v>
      </c>
      <c r="I46" s="3">
        <f ca="1">IF(AND($O$22=$C$22,$O$21&lt;&gt;""),INDEX($CB$41:$CJ$49,MATCH($C$22,$CA$52:$CA$60,0),MATCH($O$21,$CB$51:$CJ$51,0)),0)</f>
        <v>0</v>
      </c>
      <c r="J46" s="3">
        <v>0</v>
      </c>
      <c r="K46" s="3">
        <f ca="1">IF(AND($O$22=$C$22,$O$23&lt;&gt;""),INDEX($CB$41:$CJ$49,MATCH($C$22,$CA$52:$CA$60,0),MATCH($O$23,$CB$51:$CJ$51,0)),0)</f>
        <v>0</v>
      </c>
      <c r="L46" s="3">
        <f ca="1">IF(AND($O$22=$C$22,$O$24&lt;&gt;""),INDEX($CB$41:$CJ$49,MATCH($C$22,$CA$52:$CA$60,0),MATCH($O$24,$CB$51:$CJ$51,0)),0)</f>
        <v>0</v>
      </c>
      <c r="M46" s="53">
        <f ca="1">IF(AND($O$22=$C$22,$O$25&lt;&gt;""),INDEX($CB$41:$CJ$49,MATCH($C$22,$CA$52:$CA$60,0),MATCH($O$25,$CB$51:$CJ$51,0)),0)</f>
        <v>0</v>
      </c>
      <c r="N46" s="5">
        <f ca="1">IF(AND($P$22=$C$22,$P$17&lt;&gt;""),INDEX($CB$41:$CJ$49,MATCH($C$22,$CA$52:$CA$60,0),MATCH($P$17,$CB$51:$CJ$51,0)),0)</f>
        <v>0</v>
      </c>
      <c r="O46" s="3">
        <f ca="1">IF(AND($P$22=$C$22,$P$18&lt;&gt;""),INDEX($CB$41:$CJ$49,MATCH($C$22,$CA$52:$CA$60,0),MATCH($P$18,$CB$51:$CJ$51,0)),0)</f>
        <v>0</v>
      </c>
      <c r="P46" s="3">
        <f ca="1">IF(AND($P$22=$C$22,$P$19&lt;&gt;""),INDEX($CB$41:$CJ$49,MATCH($C$22,$CA$52:$CA$60,0),MATCH($P$19,$CB$51:$CJ$51,0)),0)</f>
        <v>0</v>
      </c>
      <c r="Q46" s="3">
        <f ca="1">IF(AND($P$22=$C$22,$P$20&lt;&gt;""),INDEX($CB$41:$CJ$49,MATCH($C$22,$CA$52:$CA$60,0),MATCH($P$20,$CB$51:$CJ$51,0)),0)</f>
        <v>0</v>
      </c>
      <c r="R46" s="3">
        <f ca="1">IF(AND($P$22=$C$22,$P$21&lt;&gt;""),INDEX($CB$41:$CJ$49,MATCH($C$22,$CA$52:$CA$60,0),MATCH($P$21,$CB$51:$CJ$51,0)),0)</f>
        <v>0</v>
      </c>
      <c r="S46" s="3">
        <v>0</v>
      </c>
      <c r="T46" s="3">
        <f ca="1">IF(AND($P$22=$C$22,$P$23&lt;&gt;""),INDEX($CB$41:$CJ$49,MATCH($C$22,$CA$52:$CA$60,0),MATCH($P$23,$CB$51:$CJ$51,0)),0)</f>
        <v>0</v>
      </c>
      <c r="U46" s="3">
        <f ca="1">IF(AND($P$22=$C$22,$P$24&lt;&gt;""),INDEX($CB$41:$CJ$49,MATCH($C$22,$CA$52:$CA$60,0),MATCH($P$24,$CB$51:$CJ$51,0)),0)</f>
        <v>0</v>
      </c>
      <c r="V46" s="53">
        <f ca="1">IF(AND($P$22=$C$22,$P$25&lt;&gt;""),INDEX($CB$41:$CJ$49,MATCH($C$22,$CA$52:$CA$60,0),MATCH($P$25,$CB$51:$CJ$51,0)),0)</f>
        <v>0</v>
      </c>
      <c r="W46" s="5">
        <f ca="1">IF(AND($Q$22=$C$22,$Q$17&lt;&gt;""),INDEX($CB$41:$CJ$49,MATCH($C$22,$CA$52:$CA$60,0),MATCH($Q$17,$CB$51:$CJ$51,0)),0)</f>
        <v>0</v>
      </c>
      <c r="X46" s="3">
        <f ca="1">IF(AND($Q$22=$C$22,$Q$18&lt;&gt;""),INDEX($CB$41:$CJ$49,MATCH($C$22,$CA$52:$CA$60,0),MATCH($Q$18,$CB$51:$CJ$51,0)),0)</f>
        <v>0</v>
      </c>
      <c r="Y46" s="3">
        <f ca="1">IF(AND($Q$22=$C$22,$Q$19&lt;&gt;""),INDEX($CB$41:$CJ$49,MATCH($C$22,$CA$52:$CA$60,0),MATCH($Q$19,$CB$51:$CJ$51,0)),0)</f>
        <v>0</v>
      </c>
      <c r="Z46" s="3">
        <f ca="1">IF(AND($Q$22=$C$22,$Q$20&lt;&gt;""),INDEX($CB$41:$CJ$49,MATCH($C$22,$CA$52:$CA$60,0),MATCH($Q$20,$CB$51:$CJ$51,0)),0)</f>
        <v>0</v>
      </c>
      <c r="AA46" s="3">
        <f ca="1">IF(AND($Q$22=$C$22,$Q$21&lt;&gt;""),INDEX($CB$41:$CJ$49,MATCH($C$22,$CA$52:$CA$60,0),MATCH($Q$21,$CB$51:$CJ$51,0)),0)</f>
        <v>0</v>
      </c>
      <c r="AB46" s="3">
        <v>0</v>
      </c>
      <c r="AC46" s="3">
        <f ca="1">IF(AND($Q$22=$C$22,$Q$23&lt;&gt;""),INDEX($CB$41:$CJ$49,MATCH($C$22,$CA$52:$CA$60,0),MATCH($Q$23,$CB$51:$CJ$51,0)),0)</f>
        <v>0</v>
      </c>
      <c r="AD46" s="3">
        <f ca="1">IF(AND($Q$22=$C$22,$Q$24&lt;&gt;""),INDEX($CB$41:$CJ$49,MATCH($C$22,$CA$52:$CA$60,0),MATCH($Q$24,$CB$51:$CJ$51,0)),0)</f>
        <v>0</v>
      </c>
      <c r="AE46" s="53">
        <f ca="1">IF(AND($Q$22=$C$22,$Q$25&lt;&gt;""),INDEX($CB$41:$CJ$49,MATCH($C$22,$CA$52:$CA$60,0),MATCH($Q$25,$CB$51:$CJ$51,0)),0)</f>
        <v>0</v>
      </c>
      <c r="AF46" s="5">
        <f ca="1">IF(AND($R$22=$C$22,$R$17&lt;&gt;""),INDEX($CB$41:$CJ$49,MATCH($C$22,$CA$52:$CA$60,0),MATCH($R$17,$CB$51:$CJ$51,0)),0)</f>
        <v>0</v>
      </c>
      <c r="AG46" s="3">
        <f ca="1">IF(AND($R$22=$C$22,$R$18&lt;&gt;""),INDEX($CB$41:$CJ$49,MATCH($C$22,$CA$52:$CA$60,0),MATCH($R$18,$CB$51:$CJ$51,0)),0)</f>
        <v>0</v>
      </c>
      <c r="AH46" s="3">
        <f ca="1">IF(AND($R$22=$C$22,$R$19&lt;&gt;""),INDEX($CB$41:$CJ$49,MATCH($C$22,$CA$52:$CA$60,0),MATCH($R$19,$CB$51:$CJ$51,0)),0)</f>
        <v>0</v>
      </c>
      <c r="AI46" s="3">
        <f ca="1">IF(AND($R$22=$C$22,$R$20&lt;&gt;""),INDEX($CB$41:$CJ$49,MATCH($C$22,$CA$52:$CA$60,0),MATCH($R$20,$CB$51:$CJ$51,0)),0)</f>
        <v>0</v>
      </c>
      <c r="AJ46" s="3">
        <f ca="1">IF(AND($R$22=$C$22,$R$21&lt;&gt;""),INDEX($CB$41:$CJ$49,MATCH($C$22,$CA$52:$CA$60,0),MATCH($R$21,$CB$51:$CJ$51,0)),0)</f>
        <v>0</v>
      </c>
      <c r="AK46" s="3">
        <v>0</v>
      </c>
      <c r="AL46" s="3">
        <f ca="1">IF(AND($R$22=$C$22,$R$23&lt;&gt;""),INDEX($CB$41:$CJ$49,MATCH($C$22,$CA$52:$CA$60,0),MATCH($R$23,$CB$51:$CJ$51,0)),0)</f>
        <v>0</v>
      </c>
      <c r="AM46" s="3">
        <f ca="1">IF(AND($R$22=$C$22,$R$24&lt;&gt;""),INDEX($CB$41:$CJ$49,MATCH($C$22,$CA$52:$CA$60,0),MATCH($R$24,$CB$51:$CJ$51,0)),0)</f>
        <v>0</v>
      </c>
      <c r="AN46" s="53">
        <f ca="1">IF(AND($R$22=$C$22,$R$25&lt;&gt;""),INDEX($CB$41:$CJ$49,MATCH($C$22,$CA$52:$CA$60,0),MATCH($R$25,$CB$51:$CJ$51,0)),0)</f>
        <v>0</v>
      </c>
      <c r="AO46" s="5">
        <f ca="1">IF(AND($S$22=$C$22,$S$17&lt;&gt;""),INDEX($CB$41:$CJ$49,MATCH($C$22,$CA$52:$CA$60,0),MATCH($S$17,$CB$51:$CJ$51,0)),0)</f>
        <v>0</v>
      </c>
      <c r="AP46" s="3">
        <f ca="1">IF(AND($S$22=$C$22,$S$18&lt;&gt;""),INDEX($CB$41:$CJ$49,MATCH($C$22,$CA$52:$CA$60,0),MATCH($S$18,$CB$51:$CJ$51,0)),0)</f>
        <v>0</v>
      </c>
      <c r="AQ46" s="3">
        <f ca="1">IF(AND($S$22=$C$22,$S$19&lt;&gt;""),INDEX($CB$41:$CJ$49,MATCH($C$22,$CA$52:$CA$60,0),MATCH($S$19,$CB$51:$CJ$51,0)),0)</f>
        <v>0</v>
      </c>
      <c r="AR46" s="3">
        <f ca="1">IF(AND($S$22=$C$22,$S$20&lt;&gt;""),INDEX($CB$41:$CJ$49,MATCH($C$22,$CA$52:$CA$60,0),MATCH($S$20,$CB$51:$CJ$51,0)),0)</f>
        <v>0</v>
      </c>
      <c r="AS46" s="3">
        <f ca="1">IF(AND($S$22=$C$22,$S$21&lt;&gt;""),INDEX($CB$41:$CJ$49,MATCH($C$22,$CA$52:$CA$60,0),MATCH($S$21,$CB$51:$CJ$51,0)),0)</f>
        <v>0</v>
      </c>
      <c r="AT46" s="3">
        <v>0</v>
      </c>
      <c r="AU46" s="3">
        <f ca="1">IF(AND($S$22=$C$22,$S$23&lt;&gt;""),INDEX($CB$41:$CJ$49,MATCH($C$22,$CA$52:$CA$60,0),MATCH($S$23,$CB$51:$CJ$51,0)),0)</f>
        <v>0</v>
      </c>
      <c r="AV46" s="3">
        <f ca="1">IF(AND($S$22=$C$22,$S$24&lt;&gt;""),INDEX($CB$41:$CJ$49,MATCH($C$22,$CA$52:$CA$60,0),MATCH($S$24,$CB$51:$CJ$51,0)),0)</f>
        <v>0</v>
      </c>
      <c r="AW46" s="53">
        <f ca="1">IF(AND($S$22=$C$22,$S$25&lt;&gt;""),INDEX($CB$41:$CJ$49,MATCH($C$22,$CA$52:$CA$60,0),MATCH($S$25,$CB$51:$CJ$51,0)),0)</f>
        <v>0</v>
      </c>
      <c r="AX46" s="5">
        <f ca="1">IF(AND($T$22=$C$22,$T$17&lt;&gt;""),INDEX($CB$41:$CJ$49,MATCH($C$22,$CA$52:$CA$60,0),MATCH($T$17,$CB$51:$CJ$51,0)),0)</f>
        <v>0</v>
      </c>
      <c r="AY46" s="3">
        <f ca="1">IF(AND($T$22=$C$22,$T$18&lt;&gt;""),INDEX($CB$41:$CJ$49,MATCH($C$22,$CA$52:$CA$60,0),MATCH($T$18,$CB$51:$CJ$51,0)),0)</f>
        <v>0</v>
      </c>
      <c r="AZ46" s="3">
        <f ca="1">IF(AND($T$22=$C$22,$T$19&lt;&gt;""),INDEX($CB$41:$CJ$49,MATCH($C$22,$CA$52:$CA$60,0),MATCH($T$19,$CB$51:$CJ$51,0)),0)</f>
        <v>0</v>
      </c>
      <c r="BA46" s="3">
        <f ca="1">IF(AND($T$22=$C$22,$T$20&lt;&gt;""),INDEX($CB$41:$CJ$49,MATCH($C$22,$CA$52:$CA$60,0),MATCH($T$20,$CB$51:$CJ$51,0)),0)</f>
        <v>0</v>
      </c>
      <c r="BB46" s="3">
        <f ca="1">IF(AND($T$22=$C$22,$T$21&lt;&gt;""),INDEX($CB$41:$CJ$49,MATCH($C$22,$CA$52:$CA$60,0),MATCH($T$21,$CB$51:$CJ$51,0)),0)</f>
        <v>0</v>
      </c>
      <c r="BC46" s="3">
        <v>0</v>
      </c>
      <c r="BD46" s="3">
        <f ca="1">IF(AND($T$22=$C$22,$T$23&lt;&gt;""),INDEX($CB$41:$CJ$49,MATCH($C$22,$CA$52:$CA$60,0),MATCH($T$23,$CB$51:$CJ$51,0)),0)</f>
        <v>0</v>
      </c>
      <c r="BE46" s="3">
        <f ca="1">IF(AND($T$22=$C$22,$T$24&lt;&gt;""),INDEX($CB$41:$CJ$49,MATCH($C$22,$CA$52:$CA$60,0),MATCH($T$24,$CB$51:$CJ$51,0)),0)</f>
        <v>0</v>
      </c>
      <c r="BF46" s="53">
        <f ca="1">IF(AND($T$22=$C$22,$T$25&lt;&gt;""),INDEX($CB$41:$CJ$49,MATCH($C$22,$CA$52:$CA$60,0),MATCH($T$25,$CB$51:$CJ$51,0)),0)</f>
        <v>0</v>
      </c>
      <c r="BG46" s="5">
        <f ca="1">IF(AND($U$22=$C$22,$U$17&lt;&gt;""),INDEX($CB$41:$CJ$49,MATCH($C$22,$CA$52:$CA$60,0),MATCH($U$17,$CB$51:$CJ$51,0)),0)</f>
        <v>0</v>
      </c>
      <c r="BH46" s="3">
        <f ca="1">IF(AND($U$22=$C$22,$U$18&lt;&gt;""),INDEX($CB$41:$CJ$49,MATCH($C$22,$CA$52:$CA$60,0),MATCH($U$18,$CB$51:$CJ$51,0)),0)</f>
        <v>0</v>
      </c>
      <c r="BI46" s="3">
        <f ca="1">IF(AND($U$22=$C$22,$U$19&lt;&gt;""),INDEX($CB$41:$CJ$49,MATCH($C$22,$CA$52:$CA$60,0),MATCH($U$19,$CB$51:$CJ$51,0)),0)</f>
        <v>0</v>
      </c>
      <c r="BJ46" s="3">
        <f ca="1">IF(AND($U$22=$C$22,$U$20&lt;&gt;""),INDEX($CB$41:$CJ$49,MATCH($C$22,$CA$52:$CA$60,0),MATCH($U$20,$CB$51:$CJ$51,0)),0)</f>
        <v>0</v>
      </c>
      <c r="BK46" s="3">
        <f ca="1">IF(AND($U$22=$C$22,$U$21&lt;&gt;""),INDEX($CB$41:$CJ$49,MATCH($C$22,$CA$52:$CA$60,0),MATCH($U$21,$CB$51:$CJ$51,0)),0)</f>
        <v>0</v>
      </c>
      <c r="BL46" s="3">
        <v>0</v>
      </c>
      <c r="BM46" s="3">
        <f ca="1">IF(AND($U$22=$C$22,$U$23&lt;&gt;""),INDEX($CB$41:$CJ$49,MATCH($C$22,$CA$52:$CA$60,0),MATCH($U$23,$CB$51:$CJ$51,0)),0)</f>
        <v>0</v>
      </c>
      <c r="BN46" s="3">
        <f ca="1">IF(AND($U$22=$C$22,$U$24&lt;&gt;""),INDEX($CB$41:$CJ$49,MATCH($C$22,$CA$52:$CA$60,0),MATCH($U$24,$CB$51:$CJ$51,0)),0)</f>
        <v>0</v>
      </c>
      <c r="BO46" s="53">
        <f ca="1">IF(AND($U$22=$C$22,$U$25&lt;&gt;""),INDEX($CB$41:$CJ$49,MATCH($C$22,$CA$52:$CA$60,0),MATCH($U$25,$CB$51:$CJ$51,0)),0)</f>
        <v>0</v>
      </c>
      <c r="BP46" s="5">
        <f ca="1">IF(AND($V$22=$C$22,$V$17&lt;&gt;""),INDEX($CB$41:$CJ$49,MATCH($C$22,$CA$52:$CA$60,0),MATCH($V$17,$CB$51:$CJ$51,0)),0)</f>
        <v>0</v>
      </c>
      <c r="BQ46" s="3">
        <f ca="1">IF(AND($V$22=$C$22,$V$18&lt;&gt;""),INDEX($CB$41:$CJ$49,MATCH($C$22,$CA$52:$CA$60,0),MATCH($V$18,$CB$51:$CJ$51,0)),0)</f>
        <v>0</v>
      </c>
      <c r="BR46" s="3">
        <f ca="1">IF(AND($V$22=$C$22,$V$19&lt;&gt;""),INDEX($CB$41:$CJ$49,MATCH($C$22,$CA$52:$CA$60,0),MATCH($V$19,$CB$51:$CJ$51,0)),0)</f>
        <v>0</v>
      </c>
      <c r="BS46" s="3">
        <f ca="1">IF(AND($V$22=$C$22,$V$20&lt;&gt;""),INDEX($CB$41:$CJ$49,MATCH($C$22,$CA$52:$CA$60,0),MATCH($V$20,$CB$51:$CJ$51,0)),0)</f>
        <v>0</v>
      </c>
      <c r="BT46" s="3">
        <f ca="1">IF(AND($V$22=$C$22,$V$21&lt;&gt;""),INDEX($CB$41:$CJ$49,MATCH($C$22,$CA$52:$CA$60,0),MATCH($V$21,$CB$51:$CJ$51,0)),0)</f>
        <v>0</v>
      </c>
      <c r="BU46" s="3">
        <v>0</v>
      </c>
      <c r="BV46" s="3">
        <f ca="1">IF(AND($V$22=$C$22,$V$23&lt;&gt;""),INDEX($CB$41:$CJ$49,MATCH($C$22,$CA$52:$CA$60,0),MATCH($V$23,$CB$51:$CJ$51,0)),0)</f>
        <v>0</v>
      </c>
      <c r="BW46" s="3">
        <f ca="1">IF(AND($V$22=$C$22,$V$24&lt;&gt;""),INDEX($CB$41:$CJ$49,MATCH($C$22,$CA$52:$CA$60,0),MATCH($V$24,$CB$51:$CJ$51,0)),0)</f>
        <v>0</v>
      </c>
      <c r="BX46" s="3">
        <f ca="1">IF(AND($V$22=$C$22,$V$25&lt;&gt;""),INDEX($CB$41:$CJ$49,MATCH($C$22,$CA$52:$CA$60,0),MATCH($V$25,$CB$51:$CJ$51,0)),0)</f>
        <v>0</v>
      </c>
      <c r="BY46" s="14"/>
      <c r="BZ46" s="3"/>
      <c r="CA46" s="2" t="str">
        <f t="shared" si="65"/>
        <v>Inter Mailand</v>
      </c>
      <c r="CB46" s="8">
        <f ca="1">IF(CG41="","",-1*CG41)</f>
        <v>-2</v>
      </c>
      <c r="CC46" s="8">
        <f ca="1">IF(CG42="","",-1*CG42)</f>
        <v>-3</v>
      </c>
      <c r="CD46" s="8">
        <f ca="1">IF(CG43="","",-1*CG43)</f>
        <v>-18</v>
      </c>
      <c r="CE46" s="8">
        <f ca="1">IF(CG44="","",-1*CG44)</f>
        <v>-23</v>
      </c>
      <c r="CF46" s="8">
        <f ca="1">IF(CG45="","",-1*CG45)</f>
        <v>20</v>
      </c>
      <c r="CG46" s="6"/>
      <c r="CH46" s="7">
        <f ca="1">CH35-CG36</f>
        <v>-9</v>
      </c>
      <c r="CI46" s="7">
        <f ca="1">CI35-CG37</f>
        <v>0</v>
      </c>
      <c r="CJ46" s="7">
        <f ca="1">CJ35-CG38</f>
        <v>0</v>
      </c>
      <c r="CK46" s="3"/>
    </row>
    <row r="47" spans="2:89" s="2" customFormat="1" x14ac:dyDescent="0.2">
      <c r="E47" s="14">
        <f ca="1">IF(AND($O$23=$C$23,$O$17&lt;&gt;""),INDEX($CB$41:$CJ$49,MATCH($C$23,$CA$52:$CA$60,0),MATCH($O$17,$CB$51:$CJ$51,0)),0)</f>
        <v>0</v>
      </c>
      <c r="F47" s="3">
        <f ca="1">IF(AND($O$23=$C$23,$O$18&lt;&gt;""),INDEX($CB$41:$CJ$49,MATCH($C$23,$CA$52:$CA$60,0),MATCH($O$18,$CB$51:$CJ$51,0)),0)</f>
        <v>0</v>
      </c>
      <c r="G47" s="3">
        <f ca="1">IF(AND($O$23=$C$23,$O$19&lt;&gt;""),INDEX($CB$41:$CJ$49,MATCH($C$23,$CA$52:$CA$60,0),MATCH($O$19,$CB$51:$CJ$51,0)),0)</f>
        <v>0</v>
      </c>
      <c r="H47" s="3">
        <f ca="1">IF(AND($O$23=$C$23,$O$20&lt;&gt;""),INDEX($CB$41:$CJ$49,MATCH($C$23,$CA$52:$CA$60,0),MATCH($O$20,$CB$51:$CJ$51,0)),0)</f>
        <v>0</v>
      </c>
      <c r="I47" s="3">
        <f ca="1">IF(AND($O$23=$C$23,$O$21&lt;&gt;""),INDEX($CB$41:$CJ$49,MATCH($C$23,$CA$52:$CA$60,0),MATCH($O$21,$CB$51:$CJ$51,0)),0)</f>
        <v>0</v>
      </c>
      <c r="J47" s="3">
        <f ca="1">IF(AND($O$23=$C$23,$O$22&lt;&gt;""),INDEX($CB$41:$CJ$49,MATCH($C$23,$CA$52:$CA$60,0),MATCH($O$22,$CB$51:$CJ$51,0)),0)</f>
        <v>0</v>
      </c>
      <c r="K47" s="3">
        <v>0</v>
      </c>
      <c r="L47" s="3">
        <f ca="1">IF(AND($O$23=$C$23,$O$24&lt;&gt;""),INDEX($CB$41:$CJ$49,MATCH($C$23,$CA$52:$CA$60,0),MATCH($O$24,$CB$51:$CJ$51,0)),0)</f>
        <v>0</v>
      </c>
      <c r="M47" s="53">
        <f ca="1">IF(AND($O$23=$C$23,$O$25&lt;&gt;""),INDEX($CB$41:$CJ$49,MATCH($C$23,$CA$52:$CA$60,0),MATCH($O$25,$CB$51:$CJ$51,0)),0)</f>
        <v>0</v>
      </c>
      <c r="N47" s="5">
        <f ca="1">IF(AND($P$23=$C$23,$P$17&lt;&gt;""),INDEX($CB$41:$CJ$49,MATCH($C$23,$CA$52:$CA$60,0),MATCH($P$17,$CB$51:$CJ$51,0)),0)</f>
        <v>0</v>
      </c>
      <c r="O47" s="3">
        <f ca="1">IF(AND($P$23=$C$23,$P$18&lt;&gt;""),INDEX($CB$41:$CJ$49,MATCH($C$23,$CA$52:$CA$60,0),MATCH($P$18,$CB$51:$CJ$51,0)),0)</f>
        <v>0</v>
      </c>
      <c r="P47" s="3">
        <f ca="1">IF(AND($P$23=$C$23,$P$19&lt;&gt;""),INDEX($CB$41:$CJ$49,MATCH($C$23,$CA$52:$CA$60,0),MATCH($P$19,$CB$51:$CJ$51,0)),0)</f>
        <v>0</v>
      </c>
      <c r="Q47" s="3">
        <f ca="1">IF(AND($P$23=$C$23,$P$20&lt;&gt;""),INDEX($CB$41:$CJ$49,MATCH($C$23,$CA$52:$CA$60,0),MATCH($P$20,$CB$51:$CJ$51,0)),0)</f>
        <v>0</v>
      </c>
      <c r="R47" s="3">
        <f ca="1">IF(AND($P$23=$C$23,$P$21&lt;&gt;""),INDEX($CB$41:$CJ$49,MATCH($C$23,$CA$52:$CA$60,0),MATCH($P$21,$CB$51:$CJ$51,0)),0)</f>
        <v>0</v>
      </c>
      <c r="S47" s="3">
        <f ca="1">IF(AND($P$23=$C$23,$P$22&lt;&gt;""),INDEX($CB$41:$CJ$49,MATCH($C$23,$CA$52:$CA$60,0),MATCH($P$22,$CB$51:$CJ$51,0)),0)</f>
        <v>0</v>
      </c>
      <c r="T47" s="3">
        <v>0</v>
      </c>
      <c r="U47" s="3">
        <f ca="1">IF(AND($P$23=$C$23,$P$24&lt;&gt;""),INDEX($CB$41:$CJ$49,MATCH($C$23,$CA$52:$CA$60,0),MATCH($P$24,$CB$51:$CJ$51,0)),0)</f>
        <v>0</v>
      </c>
      <c r="V47" s="53">
        <f ca="1">IF(AND($P$23=$C$23,$P$25&lt;&gt;""),INDEX($CB$41:$CJ$49,MATCH($C$23,$CA$52:$CA$60,0),MATCH($P$25,$CB$51:$CJ$51,0)),0)</f>
        <v>0</v>
      </c>
      <c r="W47" s="5">
        <f ca="1">IF(AND($Q$23=$C$23,$Q$17&lt;&gt;""),INDEX($CB$41:$CJ$49,MATCH($C$23,$CA$52:$CA$60,0),MATCH($Q$17,$CB$51:$CJ$51,0)),0)</f>
        <v>0</v>
      </c>
      <c r="X47" s="3">
        <f ca="1">IF(AND($Q$23=$C$23,$Q$18&lt;&gt;""),INDEX($CB$41:$CJ$49,MATCH($C$23,$CA$52:$CA$60,0),MATCH($Q$18,$CB$51:$CJ$51,0)),0)</f>
        <v>0</v>
      </c>
      <c r="Y47" s="3">
        <f ca="1">IF(AND($Q$23=$C$23,$Q$19&lt;&gt;""),INDEX($CB$41:$CJ$49,MATCH($C$23,$CA$52:$CA$60,0),MATCH($Q$19,$CB$51:$CJ$51,0)),0)</f>
        <v>0</v>
      </c>
      <c r="Z47" s="3">
        <f ca="1">IF(AND($Q$23=$C$23,$Q$20&lt;&gt;""),INDEX($CB$41:$CJ$49,MATCH($C$23,$CA$52:$CA$60,0),MATCH($Q$20,$CB$51:$CJ$51,0)),0)</f>
        <v>0</v>
      </c>
      <c r="AA47" s="3">
        <f ca="1">IF(AND($Q$23=$C$23,$Q$21&lt;&gt;""),INDEX($CB$41:$CJ$49,MATCH($C$23,$CA$52:$CA$60,0),MATCH($Q$21,$CB$51:$CJ$51,0)),0)</f>
        <v>0</v>
      </c>
      <c r="AB47" s="3">
        <f ca="1">IF(AND($Q$23=$C$23,$Q$22&lt;&gt;""),INDEX($CB$41:$CJ$49,MATCH($C$23,$CA$52:$CA$60,0),MATCH($Q$22,$CB$51:$CJ$51,0)),0)</f>
        <v>0</v>
      </c>
      <c r="AC47" s="3">
        <v>0</v>
      </c>
      <c r="AD47" s="3">
        <f ca="1">IF(AND($Q$23=$C$23,$Q$24&lt;&gt;""),INDEX($CB$41:$CJ$49,MATCH($C$23,$CA$52:$CA$60,0),MATCH($Q$24,$CB$51:$CJ$51,0)),0)</f>
        <v>0</v>
      </c>
      <c r="AE47" s="53">
        <f ca="1">IF(AND($Q$23=$C$23,$Q$25&lt;&gt;""),INDEX($CB$41:$CJ$49,MATCH($C$23,$CA$52:$CA$60,0),MATCH($Q$25,$CB$51:$CJ$51,0)),0)</f>
        <v>0</v>
      </c>
      <c r="AF47" s="5">
        <f ca="1">IF(AND($R$23=$C$23,$R$17&lt;&gt;""),INDEX($CB$41:$CJ$49,MATCH($C$23,$CA$52:$CA$60,0),MATCH($R$17,$CB$51:$CJ$51,0)),0)</f>
        <v>0</v>
      </c>
      <c r="AG47" s="3">
        <f ca="1">IF(AND($R$23=$C$23,$R$18&lt;&gt;""),INDEX($CB$41:$CJ$49,MATCH($C$23,$CA$52:$CA$60,0),MATCH($R$18,$CB$51:$CJ$51,0)),0)</f>
        <v>0</v>
      </c>
      <c r="AH47" s="3">
        <f ca="1">IF(AND($R$23=$C$23,$R$19&lt;&gt;""),INDEX($CB$41:$CJ$49,MATCH($C$23,$CA$52:$CA$60,0),MATCH($R$19,$CB$51:$CJ$51,0)),0)</f>
        <v>0</v>
      </c>
      <c r="AI47" s="3">
        <f ca="1">IF(AND($R$23=$C$23,$R$20&lt;&gt;""),INDEX($CB$41:$CJ$49,MATCH($C$23,$CA$52:$CA$60,0),MATCH($R$20,$CB$51:$CJ$51,0)),0)</f>
        <v>0</v>
      </c>
      <c r="AJ47" s="3">
        <f ca="1">IF(AND($R$23=$C$23,$R$21&lt;&gt;""),INDEX($CB$41:$CJ$49,MATCH($C$23,$CA$52:$CA$60,0),MATCH($R$21,$CB$51:$CJ$51,0)),0)</f>
        <v>0</v>
      </c>
      <c r="AK47" s="3">
        <f ca="1">IF(AND($R$23=$C$23,$R$22&lt;&gt;""),INDEX($CB$41:$CJ$49,MATCH($C$23,$CA$52:$CA$60,0),MATCH($R$22,$CB$51:$CJ$51,0)),0)</f>
        <v>0</v>
      </c>
      <c r="AL47" s="3">
        <v>0</v>
      </c>
      <c r="AM47" s="3">
        <f ca="1">IF(AND($R$23=$C$23,$R$24&lt;&gt;""),INDEX($CB$41:$CJ$49,MATCH($C$23,$CA$52:$CA$60,0),MATCH($R$24,$CB$51:$CJ$51,0)),0)</f>
        <v>0</v>
      </c>
      <c r="AN47" s="53">
        <f ca="1">IF(AND($R$23=$C$23,$R$25&lt;&gt;""),INDEX($CB$41:$CJ$49,MATCH($C$23,$CA$52:$CA$60,0),MATCH($R$25,$CB$51:$CJ$51,0)),0)</f>
        <v>0</v>
      </c>
      <c r="AO47" s="5">
        <f ca="1">IF(AND($S$23=$C$23,$S$17&lt;&gt;""),INDEX($CB$41:$CJ$49,MATCH($C$23,$CA$52:$CA$60,0),MATCH($S$17,$CB$51:$CJ$51,0)),0)</f>
        <v>0</v>
      </c>
      <c r="AP47" s="3">
        <f ca="1">IF(AND($S$23=$C$23,$S$18&lt;&gt;""),INDEX($CB$41:$CJ$49,MATCH($C$23,$CA$52:$CA$60,0),MATCH($S$18,$CB$51:$CJ$51,0)),0)</f>
        <v>0</v>
      </c>
      <c r="AQ47" s="3">
        <f ca="1">IF(AND($S$23=$C$23,$S$19&lt;&gt;""),INDEX($CB$41:$CJ$49,MATCH($C$23,$CA$52:$CA$60,0),MATCH($S$19,$CB$51:$CJ$51,0)),0)</f>
        <v>0</v>
      </c>
      <c r="AR47" s="3">
        <f ca="1">IF(AND($S$23=$C$23,$S$20&lt;&gt;""),INDEX($CB$41:$CJ$49,MATCH($C$23,$CA$52:$CA$60,0),MATCH($S$20,$CB$51:$CJ$51,0)),0)</f>
        <v>0</v>
      </c>
      <c r="AS47" s="3">
        <f ca="1">IF(AND($S$23=$C$23,$S$21&lt;&gt;""),INDEX($CB$41:$CJ$49,MATCH($C$23,$CA$52:$CA$60,0),MATCH($S$21,$CB$51:$CJ$51,0)),0)</f>
        <v>0</v>
      </c>
      <c r="AT47" s="3">
        <f ca="1">IF(AND($S$23=$C$23,$S$22&lt;&gt;""),INDEX($CB$41:$CJ$49,MATCH($C$23,$CA$52:$CA$60,0),MATCH($S$22,$CB$51:$CJ$51,0)),0)</f>
        <v>0</v>
      </c>
      <c r="AU47" s="3">
        <v>0</v>
      </c>
      <c r="AV47" s="3">
        <f ca="1">IF(AND($S$23=$C$23,$S$24&lt;&gt;""),INDEX($CB$41:$CJ$49,MATCH($C$23,$CA$52:$CA$60,0),MATCH($S$24,$CB$51:$CJ$51,0)),0)</f>
        <v>0</v>
      </c>
      <c r="AW47" s="53">
        <f ca="1">IF(AND($S$23=$C$23,$S$25&lt;&gt;""),INDEX($CB$41:$CJ$49,MATCH($C$23,$CA$52:$CA$60,0),MATCH($S$25,$CB$51:$CJ$51,0)),0)</f>
        <v>0</v>
      </c>
      <c r="AX47" s="5">
        <f ca="1">IF(AND($T$23=$C$23,$T$17&lt;&gt;""),INDEX($CB$41:$CJ$49,MATCH($C$23,$CA$52:$CA$60,0),MATCH($T$17,$CB$51:$CJ$51,0)),0)</f>
        <v>0</v>
      </c>
      <c r="AY47" s="3">
        <f ca="1">IF(AND($T$23=$C$23,$T$18&lt;&gt;""),INDEX($CB$41:$CJ$49,MATCH($C$23,$CA$52:$CA$60,0),MATCH($T$18,$CB$51:$CJ$51,0)),0)</f>
        <v>0</v>
      </c>
      <c r="AZ47" s="3">
        <f ca="1">IF(AND($T$23=$C$23,$T$19&lt;&gt;""),INDEX($CB$41:$CJ$49,MATCH($C$23,$CA$52:$CA$60,0),MATCH($T$19,$CB$51:$CJ$51,0)),0)</f>
        <v>0</v>
      </c>
      <c r="BA47" s="3">
        <f ca="1">IF(AND($T$23=$C$23,$T$20&lt;&gt;""),INDEX($CB$41:$CJ$49,MATCH($C$23,$CA$52:$CA$60,0),MATCH($T$20,$CB$51:$CJ$51,0)),0)</f>
        <v>0</v>
      </c>
      <c r="BB47" s="3">
        <f ca="1">IF(AND($T$23=$C$23,$T$21&lt;&gt;""),INDEX($CB$41:$CJ$49,MATCH($C$23,$CA$52:$CA$60,0),MATCH($T$21,$CB$51:$CJ$51,0)),0)</f>
        <v>0</v>
      </c>
      <c r="BC47" s="3">
        <f ca="1">IF(AND($T$23=$C$23,$T$22&lt;&gt;""),INDEX($CB$41:$CJ$49,MATCH($C$23,$CA$52:$CA$60,0),MATCH($T$22,$CB$51:$CJ$51,0)),0)</f>
        <v>0</v>
      </c>
      <c r="BD47" s="3">
        <v>0</v>
      </c>
      <c r="BE47" s="3">
        <f ca="1">IF(AND($T$23=$C$23,$T$24&lt;&gt;""),INDEX($CB$41:$CJ$49,MATCH($C$23,$CA$52:$CA$60,0),MATCH($T$24,$CB$51:$CJ$51,0)),0)</f>
        <v>0</v>
      </c>
      <c r="BF47" s="53">
        <f ca="1">IF(AND($T$23=$C$23,$T$25&lt;&gt;""),INDEX($CB$41:$CJ$49,MATCH($C$23,$CA$52:$CA$60,0),MATCH($T$25,$CB$51:$CJ$51,0)),0)</f>
        <v>0</v>
      </c>
      <c r="BG47" s="5">
        <f ca="1">IF(AND($U$23=$C$23,$U$17&lt;&gt;""),INDEX($CB$41:$CJ$49,MATCH($C$23,$CA$52:$CA$60,0),MATCH($U$17,$CB$51:$CJ$51,0)),0)</f>
        <v>0</v>
      </c>
      <c r="BH47" s="3">
        <f ca="1">IF(AND($U$23=$C$23,$U$18&lt;&gt;""),INDEX($CB$41:$CJ$49,MATCH($C$23,$CA$52:$CA$60,0),MATCH($U$18,$CB$51:$CJ$51,0)),0)</f>
        <v>0</v>
      </c>
      <c r="BI47" s="3">
        <f ca="1">IF(AND($U$23=$C$23,$U$19&lt;&gt;""),INDEX($CB$41:$CJ$49,MATCH($C$23,$CA$52:$CA$60,0),MATCH($U$19,$CB$51:$CJ$51,0)),0)</f>
        <v>0</v>
      </c>
      <c r="BJ47" s="3">
        <f ca="1">IF(AND($U$23=$C$23,$U$20&lt;&gt;""),INDEX($CB$41:$CJ$49,MATCH($C$23,$CA$52:$CA$60,0),MATCH($U$20,$CB$51:$CJ$51,0)),0)</f>
        <v>0</v>
      </c>
      <c r="BK47" s="3">
        <f ca="1">IF(AND($U$23=$C$23,$U$21&lt;&gt;""),INDEX($CB$41:$CJ$49,MATCH($C$23,$CA$52:$CA$60,0),MATCH($U$21,$CB$51:$CJ$51,0)),0)</f>
        <v>0</v>
      </c>
      <c r="BL47" s="3">
        <f ca="1">IF(AND($U$23=$C$23,$U$22&lt;&gt;""),INDEX($CB$41:$CJ$49,MATCH($C$23,$CA$52:$CA$60,0),MATCH($U$22,$CB$51:$CJ$51,0)),0)</f>
        <v>0</v>
      </c>
      <c r="BM47" s="3">
        <v>0</v>
      </c>
      <c r="BN47" s="3">
        <f ca="1">IF(AND($U$23=$C$23,$U$24&lt;&gt;""),INDEX($CB$41:$CJ$49,MATCH($C$23,$CA$52:$CA$60,0),MATCH($U$24,$CB$51:$CJ$51,0)),0)</f>
        <v>0</v>
      </c>
      <c r="BO47" s="53">
        <f ca="1">IF(AND($U$23=$C$23,$U$25&lt;&gt;""),INDEX($CB$41:$CJ$49,MATCH($C$23,$CA$52:$CA$60,0),MATCH($U$25,$CB$51:$CJ$51,0)),0)</f>
        <v>0</v>
      </c>
      <c r="BP47" s="5">
        <f ca="1">IF(AND($V$23=$C$23,$V$17&lt;&gt;""),INDEX($CB$41:$CJ$49,MATCH($C$23,$CA$52:$CA$60,0),MATCH($V$17,$CB$51:$CJ$51,0)),0)</f>
        <v>0</v>
      </c>
      <c r="BQ47" s="3">
        <f ca="1">IF(AND($V$23=$C$23,$V$18&lt;&gt;""),INDEX($CB$41:$CJ$49,MATCH($C$23,$CA$52:$CA$60,0),MATCH($V$18,$CB$51:$CJ$51,0)),0)</f>
        <v>0</v>
      </c>
      <c r="BR47" s="3">
        <f ca="1">IF(AND($V$23=$C$23,$V$19&lt;&gt;""),INDEX($CB$41:$CJ$49,MATCH($C$23,$CA$52:$CA$60,0),MATCH($V$19,$CB$51:$CJ$51,0)),0)</f>
        <v>0</v>
      </c>
      <c r="BS47" s="3">
        <f ca="1">IF(AND($V$23=$C$23,$V$20&lt;&gt;""),INDEX($CB$41:$CJ$49,MATCH($C$23,$CA$52:$CA$60,0),MATCH($V$20,$CB$51:$CJ$51,0)),0)</f>
        <v>0</v>
      </c>
      <c r="BT47" s="3">
        <f ca="1">IF(AND($V$23=$C$23,$V$21&lt;&gt;""),INDEX($CB$41:$CJ$49,MATCH($C$23,$CA$52:$CA$60,0),MATCH($V$21,$CB$51:$CJ$51,0)),0)</f>
        <v>0</v>
      </c>
      <c r="BU47" s="3">
        <f ca="1">IF(AND($V$23=$C$23,$V$22&lt;&gt;""),INDEX($CB$41:$CJ$49,MATCH($C$23,$CA$52:$CA$60,0),MATCH($V$22,$CB$51:$CJ$51,0)),0)</f>
        <v>0</v>
      </c>
      <c r="BV47" s="3">
        <v>0</v>
      </c>
      <c r="BW47" s="3">
        <f ca="1">IF(AND($V$23=$C$23,$V$24&lt;&gt;""),INDEX($CB$41:$CJ$49,MATCH($C$23,$CA$52:$CA$60,0),MATCH($V$24,$CB$51:$CJ$51,0)),0)</f>
        <v>0</v>
      </c>
      <c r="BX47" s="3">
        <f ca="1">IF(AND($V$23=$C$23,$V$25&lt;&gt;""),INDEX($CB$41:$CJ$49,MATCH($C$23,$CA$52:$CA$60,0),MATCH($V$25,$CB$51:$CJ$51,0)),0)</f>
        <v>0</v>
      </c>
      <c r="BY47" s="14"/>
      <c r="BZ47" s="3"/>
      <c r="CA47" s="2" t="str">
        <f t="shared" si="65"/>
        <v>SSV Wildbach</v>
      </c>
      <c r="CB47" s="8">
        <f ca="1">IF(CH41="","",-1*CH41)</f>
        <v>-19</v>
      </c>
      <c r="CC47" s="8">
        <f ca="1">IF(CH42="","",-1*CH42)</f>
        <v>1</v>
      </c>
      <c r="CD47" s="8">
        <f ca="1">IF(CH43="","",-1*CH43)</f>
        <v>3</v>
      </c>
      <c r="CE47" s="8">
        <f ca="1">IF(CH44="","",-1*CH44)</f>
        <v>-3</v>
      </c>
      <c r="CF47" s="8">
        <f ca="1">IF(CH45="","",-1*CH45)</f>
        <v>-18</v>
      </c>
      <c r="CG47" s="8">
        <f ca="1">IF(CH46="","",-1*CH46)</f>
        <v>9</v>
      </c>
      <c r="CH47" s="6"/>
      <c r="CI47" s="7">
        <f ca="1">CI36-CH37</f>
        <v>0</v>
      </c>
      <c r="CJ47" s="7">
        <f ca="1">CJ36-CH38</f>
        <v>0</v>
      </c>
      <c r="CK47" s="3"/>
    </row>
    <row r="48" spans="2:89" s="2" customFormat="1" x14ac:dyDescent="0.2">
      <c r="E48" s="14">
        <f ca="1">IF(AND($O$24=$C$24,$O$17&lt;&gt;""),INDEX($CB$41:$CJ$49,MATCH($C$24,$CA$52:$CA$60,0),MATCH($O$17,$CB$51:$CJ$51,0)),0)</f>
        <v>0</v>
      </c>
      <c r="F48" s="3">
        <f ca="1">IF(AND($O$24=$C$24,$O$18&lt;&gt;""),INDEX($CB$41:$CJ$49,MATCH($C$24,$CA$52:$CA$60,0),MATCH($O$18,$CB$51:$CJ$51,0)),0)</f>
        <v>0</v>
      </c>
      <c r="G48" s="3">
        <f ca="1">IF(AND($O$24=$C$24,$O$19&lt;&gt;""),INDEX($CB$41:$CJ$49,MATCH($C$24,$CA$52:$CA$60,0),MATCH($O$19,$CB$51:$CJ$51,0)),0)</f>
        <v>0</v>
      </c>
      <c r="H48" s="3">
        <f ca="1">IF(AND($O$24=$C$24,$O$20&lt;&gt;""),INDEX($CB$41:$CJ$49,MATCH($C$24,$CA$52:$CA$60,0),MATCH($O$20,$CB$51:$CJ$51,0)),0)</f>
        <v>0</v>
      </c>
      <c r="I48" s="3">
        <f ca="1">IF(AND($O$24=$C$24,$O$21&lt;&gt;""),INDEX($CB$41:$CJ$49,MATCH($C$24,$CA$52:$CA$60,0),MATCH($O$21,$CB$51:$CJ$51,0)),0)</f>
        <v>0</v>
      </c>
      <c r="J48" s="3">
        <f ca="1">IF(AND($O$24=$C$24,$O$22&lt;&gt;""),INDEX($CB$41:$CJ$49,MATCH($C$24,$CA$52:$CA$60,0),MATCH($O$22,$CB$51:$CJ$51,0)),0)</f>
        <v>0</v>
      </c>
      <c r="K48" s="3">
        <f ca="1">IF(AND($O$24=$C$24,$O$23&lt;&gt;""),INDEX($CB$41:$CJ$49,MATCH($C$24,$CA$52:$CA$60,0),MATCH($O$23,$CB$51:$CJ$51,0)),0)</f>
        <v>0</v>
      </c>
      <c r="L48" s="3">
        <v>0</v>
      </c>
      <c r="M48" s="53">
        <f ca="1">IF(AND($O$24=$C$24,$O$25&lt;&gt;""),INDEX($CB$41:$CJ$49,MATCH($C$24,$CA$52:$CA$60,0),MATCH($O$25,$CB$51:$CJ$51,0)),0)</f>
        <v>0</v>
      </c>
      <c r="N48" s="5">
        <f ca="1">IF(AND($P$24=$C$24,$P$17&lt;&gt;""),INDEX($CB$41:$CJ$49,MATCH($C$24,$CA$52:$CA$60,0),MATCH($P$17,$CB$51:$CJ$51,0)),0)</f>
        <v>0</v>
      </c>
      <c r="O48" s="3">
        <f ca="1">IF(AND($P$24=$C$24,$P$18&lt;&gt;""),INDEX($CB$41:$CJ$49,MATCH($C$24,$CA$52:$CA$60,0),MATCH($P$18,$CB$51:$CJ$51,0)),0)</f>
        <v>0</v>
      </c>
      <c r="P48" s="3">
        <f ca="1">IF(AND($P$24=$C$24,$P$19&lt;&gt;""),INDEX($CB$41:$CJ$49,MATCH($C$24,$CA$52:$CA$60,0),MATCH($P$19,$CB$51:$CJ$51,0)),0)</f>
        <v>0</v>
      </c>
      <c r="Q48" s="3">
        <f ca="1">IF(AND($P$24=$C$24,$P$20&lt;&gt;""),INDEX($CB$41:$CJ$49,MATCH($C$24,$CA$52:$CA$60,0),MATCH($P$20,$CB$51:$CJ$51,0)),0)</f>
        <v>0</v>
      </c>
      <c r="R48" s="3">
        <f ca="1">IF(AND($P$24=$C$24,$P$21&lt;&gt;""),INDEX($CB$41:$CJ$49,MATCH($C$24,$CA$52:$CA$60,0),MATCH($P$21,$CB$51:$CJ$51,0)),0)</f>
        <v>0</v>
      </c>
      <c r="S48" s="3">
        <f ca="1">IF(AND($P$24=$C$24,$P$22&lt;&gt;""),INDEX($CB$41:$CJ$49,MATCH($C$24,$CA$52:$CA$60,0),MATCH($P$22,$CB$51:$CJ$51,0)),0)</f>
        <v>0</v>
      </c>
      <c r="T48" s="3">
        <f ca="1">IF(AND($P$24=$C$24,$P$23&lt;&gt;""),INDEX($CB$41:$CJ$49,MATCH($C$24,$CA$52:$CA$60,0),MATCH($P$23,$CB$51:$CJ$51,0)),0)</f>
        <v>0</v>
      </c>
      <c r="U48" s="3">
        <v>0</v>
      </c>
      <c r="V48" s="53">
        <f ca="1">IF(AND($P$24=$C$24,$P$25&lt;&gt;""),INDEX($CB$41:$CJ$49,MATCH($C$24,$CA$52:$CA$60,0),MATCH($P$25,$CB$51:$CJ$51,0)),0)</f>
        <v>0</v>
      </c>
      <c r="W48" s="5">
        <f ca="1">IF(AND($Q$24=$C$24,$Q$17&lt;&gt;""),INDEX($CB$41:$CJ$49,MATCH($C$24,$CA$52:$CA$60,0),MATCH($Q$17,$CB$51:$CJ$51,0)),0)</f>
        <v>0</v>
      </c>
      <c r="X48" s="3">
        <f ca="1">IF(AND($Q$24=$C$24,$Q$18&lt;&gt;""),INDEX($CB$41:$CJ$49,MATCH($C$24,$CA$52:$CA$60,0),MATCH($Q$18,$CB$51:$CJ$51,0)),0)</f>
        <v>0</v>
      </c>
      <c r="Y48" s="3">
        <f ca="1">IF(AND($Q$24=$C$24,$Q$19&lt;&gt;""),INDEX($CB$41:$CJ$49,MATCH($C$24,$CA$52:$CA$60,0),MATCH($Q$19,$CB$51:$CJ$51,0)),0)</f>
        <v>0</v>
      </c>
      <c r="Z48" s="3">
        <f ca="1">IF(AND($Q$24=$C$24,$Q$20&lt;&gt;""),INDEX($CB$41:$CJ$49,MATCH($C$24,$CA$52:$CA$60,0),MATCH($Q$20,$CB$51:$CJ$51,0)),0)</f>
        <v>0</v>
      </c>
      <c r="AA48" s="3">
        <f ca="1">IF(AND($Q$24=$C$24,$Q$21&lt;&gt;""),INDEX($CB$41:$CJ$49,MATCH($C$24,$CA$52:$CA$60,0),MATCH($Q$21,$CB$51:$CJ$51,0)),0)</f>
        <v>0</v>
      </c>
      <c r="AB48" s="3">
        <f ca="1">IF(AND($Q$24=$C$24,$Q$22&lt;&gt;""),INDEX($CB$41:$CJ$49,MATCH($C$24,$CA$52:$CA$60,0),MATCH($Q$22,$CB$51:$CJ$51,0)),0)</f>
        <v>0</v>
      </c>
      <c r="AC48" s="3">
        <f ca="1">IF(AND($Q$24=$C$24,$Q$23&lt;&gt;""),INDEX($CB$41:$CJ$49,MATCH($C$24,$CA$52:$CA$60,0),MATCH($Q$23,$CB$51:$CJ$51,0)),0)</f>
        <v>0</v>
      </c>
      <c r="AD48" s="3">
        <v>0</v>
      </c>
      <c r="AE48" s="53">
        <f ca="1">IF(AND($Q$24=$C$24,$Q$25&lt;&gt;""),INDEX($CB$41:$CJ$49,MATCH($C$24,$CA$52:$CA$60,0),MATCH($Q$25,$CB$51:$CJ$51,0)),0)</f>
        <v>0</v>
      </c>
      <c r="AF48" s="5">
        <f ca="1">IF(AND($R$24=$C$24,$R$17&lt;&gt;""),INDEX($CB$41:$CJ$49,MATCH($C$24,$CA$52:$CA$60,0),MATCH($R$17,$CB$51:$CJ$51,0)),0)</f>
        <v>0</v>
      </c>
      <c r="AG48" s="3">
        <f ca="1">IF(AND($R$24=$C$24,$R$18&lt;&gt;""),INDEX($CB$41:$CJ$49,MATCH($C$24,$CA$52:$CA$60,0),MATCH($R$18,$CB$51:$CJ$51,0)),0)</f>
        <v>0</v>
      </c>
      <c r="AH48" s="3">
        <f ca="1">IF(AND($R$24=$C$24,$R$19&lt;&gt;""),INDEX($CB$41:$CJ$49,MATCH($C$24,$CA$52:$CA$60,0),MATCH($R$19,$CB$51:$CJ$51,0)),0)</f>
        <v>0</v>
      </c>
      <c r="AI48" s="3">
        <f ca="1">IF(AND($R$24=$C$24,$R$20&lt;&gt;""),INDEX($CB$41:$CJ$49,MATCH($C$24,$CA$52:$CA$60,0),MATCH($R$20,$CB$51:$CJ$51,0)),0)</f>
        <v>0</v>
      </c>
      <c r="AJ48" s="3">
        <f ca="1">IF(AND($R$24=$C$24,$R$21&lt;&gt;""),INDEX($CB$41:$CJ$49,MATCH($C$24,$CA$52:$CA$60,0),MATCH($R$21,$CB$51:$CJ$51,0)),0)</f>
        <v>0</v>
      </c>
      <c r="AK48" s="3">
        <f ca="1">IF(AND($R$24=$C$24,$R$22&lt;&gt;""),INDEX($CB$41:$CJ$49,MATCH($C$24,$CA$52:$CA$60,0),MATCH($R$22,$CB$51:$CJ$51,0)),0)</f>
        <v>0</v>
      </c>
      <c r="AL48" s="3">
        <f ca="1">IF(AND($R$24=$C$24,$R$23&lt;&gt;""),INDEX($CB$41:$CJ$49,MATCH($C$24,$CA$52:$CA$60,0),MATCH($R$23,$CB$51:$CJ$51,0)),0)</f>
        <v>0</v>
      </c>
      <c r="AM48" s="3">
        <v>0</v>
      </c>
      <c r="AN48" s="53">
        <f ca="1">IF(AND($R$24=$C$24,$R$25&lt;&gt;""),INDEX($CB$41:$CJ$49,MATCH($C$24,$CA$52:$CA$60,0),MATCH($R$25,$CB$51:$CJ$51,0)),0)</f>
        <v>0</v>
      </c>
      <c r="AO48" s="5">
        <f ca="1">IF(AND($S$24=$C$24,$S$17&lt;&gt;""),INDEX($CB$41:$CJ$49,MATCH($C$24,$CA$52:$CA$60,0),MATCH($S$17,$CB$51:$CJ$51,0)),0)</f>
        <v>0</v>
      </c>
      <c r="AP48" s="3">
        <f ca="1">IF(AND($S$24=$C$24,$S$18&lt;&gt;""),INDEX($CB$41:$CJ$49,MATCH($C$24,$CA$52:$CA$60,0),MATCH($S$18,$CB$51:$CJ$51,0)),0)</f>
        <v>0</v>
      </c>
      <c r="AQ48" s="3">
        <f ca="1">IF(AND($S$24=$C$24,$S$19&lt;&gt;""),INDEX($CB$41:$CJ$49,MATCH($C$24,$CA$52:$CA$60,0),MATCH($S$19,$CB$51:$CJ$51,0)),0)</f>
        <v>0</v>
      </c>
      <c r="AR48" s="3">
        <f ca="1">IF(AND($S$24=$C$24,$S$20&lt;&gt;""),INDEX($CB$41:$CJ$49,MATCH($C$24,$CA$52:$CA$60,0),MATCH($S$20,$CB$51:$CJ$51,0)),0)</f>
        <v>0</v>
      </c>
      <c r="AS48" s="3">
        <f ca="1">IF(AND($S$24=$C$24,$S$21&lt;&gt;""),INDEX($CB$41:$CJ$49,MATCH($C$24,$CA$52:$CA$60,0),MATCH($S$21,$CB$51:$CJ$51,0)),0)</f>
        <v>0</v>
      </c>
      <c r="AT48" s="3">
        <f ca="1">IF(AND($S$24=$C$24,$S$22&lt;&gt;""),INDEX($CB$41:$CJ$49,MATCH($C$24,$CA$52:$CA$60,0),MATCH($S$22,$CB$51:$CJ$51,0)),0)</f>
        <v>0</v>
      </c>
      <c r="AU48" s="3">
        <f ca="1">IF(AND($S$24=$C$24,$S$23&lt;&gt;""),INDEX($CB$41:$CJ$49,MATCH($C$24,$CA$52:$CA$60,0),MATCH($S$23,$CB$51:$CJ$51,0)),0)</f>
        <v>0</v>
      </c>
      <c r="AV48" s="3">
        <v>0</v>
      </c>
      <c r="AW48" s="53">
        <f ca="1">IF(AND($S$24=$C$24,$S$25&lt;&gt;""),INDEX($CB$41:$CJ$49,MATCH($C$24,$CA$52:$CA$60,0),MATCH($S$25,$CB$51:$CJ$51,0)),0)</f>
        <v>0</v>
      </c>
      <c r="AX48" s="5">
        <f ca="1">IF(AND($T$24=$C$24,$T$17&lt;&gt;""),INDEX($CB$41:$CJ$49,MATCH($C$24,$CA$52:$CA$60,0),MATCH($T$17,$CB$51:$CJ$51,0)),0)</f>
        <v>0</v>
      </c>
      <c r="AY48" s="3">
        <f ca="1">IF(AND($T$24=$C$24,$T$18&lt;&gt;""),INDEX($CB$41:$CJ$49,MATCH($C$24,$CA$52:$CA$60,0),MATCH($T$18,$CB$51:$CJ$51,0)),0)</f>
        <v>0</v>
      </c>
      <c r="AZ48" s="3">
        <f ca="1">IF(AND($T$24=$C$24,$T$19&lt;&gt;""),INDEX($CB$41:$CJ$49,MATCH($C$24,$CA$52:$CA$60,0),MATCH($T$19,$CB$51:$CJ$51,0)),0)</f>
        <v>0</v>
      </c>
      <c r="BA48" s="3">
        <f ca="1">IF(AND($T$24=$C$24,$T$20&lt;&gt;""),INDEX($CB$41:$CJ$49,MATCH($C$24,$CA$52:$CA$60,0),MATCH($T$20,$CB$51:$CJ$51,0)),0)</f>
        <v>0</v>
      </c>
      <c r="BB48" s="3">
        <f ca="1">IF(AND($T$24=$C$24,$T$21&lt;&gt;""),INDEX($CB$41:$CJ$49,MATCH($C$24,$CA$52:$CA$60,0),MATCH($T$21,$CB$51:$CJ$51,0)),0)</f>
        <v>0</v>
      </c>
      <c r="BC48" s="3">
        <f ca="1">IF(AND($T$24=$C$24,$T$22&lt;&gt;""),INDEX($CB$41:$CJ$49,MATCH($C$24,$CA$52:$CA$60,0),MATCH($T$22,$CB$51:$CJ$51,0)),0)</f>
        <v>0</v>
      </c>
      <c r="BD48" s="3">
        <f ca="1">IF(AND($T$24=$C$24,$T$23&lt;&gt;""),INDEX($CB$41:$CJ$49,MATCH($C$24,$CA$52:$CA$60,0),MATCH($T$23,$CB$51:$CJ$51,0)),0)</f>
        <v>0</v>
      </c>
      <c r="BE48" s="3">
        <v>0</v>
      </c>
      <c r="BF48" s="53">
        <f ca="1">IF(AND($T$24=$C$24,$T$25&lt;&gt;""),INDEX($CB$41:$CJ$49,MATCH($C$24,$CA$52:$CA$60,0),MATCH($T$25,$CB$51:$CJ$51,0)),0)</f>
        <v>0</v>
      </c>
      <c r="BG48" s="5">
        <f ca="1">IF(AND($U$24=$C$24,$U$17&lt;&gt;""),INDEX($CB$41:$CJ$49,MATCH($C$24,$CA$52:$CA$60,0),MATCH($U$17,$CB$51:$CJ$51,0)),0)</f>
        <v>0</v>
      </c>
      <c r="BH48" s="3">
        <f ca="1">IF(AND($U$24=$C$24,$U$18&lt;&gt;""),INDEX($CB$41:$CJ$49,MATCH($C$24,$CA$52:$CA$60,0),MATCH($U$18,$CB$51:$CJ$51,0)),0)</f>
        <v>0</v>
      </c>
      <c r="BI48" s="3">
        <f ca="1">IF(AND($U$24=$C$24,$U$19&lt;&gt;""),INDEX($CB$41:$CJ$49,MATCH($C$24,$CA$52:$CA$60,0),MATCH($U$19,$CB$51:$CJ$51,0)),0)</f>
        <v>0</v>
      </c>
      <c r="BJ48" s="3">
        <f ca="1">IF(AND($U$24=$C$24,$U$20&lt;&gt;""),INDEX($CB$41:$CJ$49,MATCH($C$24,$CA$52:$CA$60,0),MATCH($U$20,$CB$51:$CJ$51,0)),0)</f>
        <v>0</v>
      </c>
      <c r="BK48" s="3">
        <f ca="1">IF(AND($U$24=$C$24,$U$21&lt;&gt;""),INDEX($CB$41:$CJ$49,MATCH($C$24,$CA$52:$CA$60,0),MATCH($U$21,$CB$51:$CJ$51,0)),0)</f>
        <v>0</v>
      </c>
      <c r="BL48" s="3">
        <f ca="1">IF(AND($U$24=$C$24,$U$22&lt;&gt;""),INDEX($CB$41:$CJ$49,MATCH($C$24,$CA$52:$CA$60,0),MATCH($U$22,$CB$51:$CJ$51,0)),0)</f>
        <v>0</v>
      </c>
      <c r="BM48" s="3">
        <f ca="1">IF(AND($U$24=$C$24,$U$23&lt;&gt;""),INDEX($CB$41:$CJ$49,MATCH($C$24,$CA$52:$CA$60,0),MATCH($U$23,$CB$51:$CJ$51,0)),0)</f>
        <v>0</v>
      </c>
      <c r="BN48" s="3">
        <v>0</v>
      </c>
      <c r="BO48" s="53">
        <f ca="1">IF(AND($U$24=$C$24,$U$25&lt;&gt;""),INDEX($CB$41:$CJ$49,MATCH($C$24,$CA$52:$CA$60,0),MATCH($U$25,$CB$51:$CJ$51,0)),0)</f>
        <v>0</v>
      </c>
      <c r="BP48" s="5">
        <f ca="1">IF(AND($V$24=$C$24,$V$17&lt;&gt;""),INDEX($CB$41:$CJ$49,MATCH($C$24,$CA$52:$CA$60,0),MATCH($V$17,$CB$51:$CJ$51,0)),0)</f>
        <v>0</v>
      </c>
      <c r="BQ48" s="3">
        <f ca="1">IF(AND($V$24=$C$24,$V$18&lt;&gt;""),INDEX($CB$41:$CJ$49,MATCH($C$24,$CA$52:$CA$60,0),MATCH($V$18,$CB$51:$CJ$51,0)),0)</f>
        <v>0</v>
      </c>
      <c r="BR48" s="3">
        <f ca="1">IF(AND($V$24=$C$24,$V$19&lt;&gt;""),INDEX($CB$41:$CJ$49,MATCH($C$24,$CA$52:$CA$60,0),MATCH($V$19,$CB$51:$CJ$51,0)),0)</f>
        <v>0</v>
      </c>
      <c r="BS48" s="3">
        <f ca="1">IF(AND($V$24=$C$24,$V$20&lt;&gt;""),INDEX($CB$41:$CJ$49,MATCH($C$24,$CA$52:$CA$60,0),MATCH($V$20,$CB$51:$CJ$51,0)),0)</f>
        <v>0</v>
      </c>
      <c r="BT48" s="3">
        <f ca="1">IF(AND($V$24=$C$24,$V$21&lt;&gt;""),INDEX($CB$41:$CJ$49,MATCH($C$24,$CA$52:$CA$60,0),MATCH($V$21,$CB$51:$CJ$51,0)),0)</f>
        <v>0</v>
      </c>
      <c r="BU48" s="3">
        <f ca="1">IF(AND($V$24=$C$24,$V$22&lt;&gt;""),INDEX($CB$41:$CJ$49,MATCH($C$24,$CA$52:$CA$60,0),MATCH($V$22,$CB$51:$CJ$51,0)),0)</f>
        <v>0</v>
      </c>
      <c r="BV48" s="3">
        <f ca="1">IF(AND($V$24=$C$24,$V$23&lt;&gt;""),INDEX($CB$41:$CJ$49,MATCH($C$24,$CA$52:$CA$60,0),MATCH($V$23,$CB$51:$CJ$51,0)),0)</f>
        <v>0</v>
      </c>
      <c r="BW48" s="3">
        <v>0</v>
      </c>
      <c r="BX48" s="3">
        <f ca="1">IF(AND($V$24=$C$24,$V$25&lt;&gt;""),INDEX($CB$41:$CJ$49,MATCH($C$24,$CA$52:$CA$60,0),MATCH($V$25,$CB$51:$CJ$51,0)),0)</f>
        <v>0</v>
      </c>
      <c r="BY48" s="14"/>
      <c r="BZ48" s="3"/>
      <c r="CA48" s="2" t="str">
        <f t="shared" si="65"/>
        <v/>
      </c>
      <c r="CB48" s="8">
        <f ca="1">IF(CI41="","",-1*CI41)</f>
        <v>0</v>
      </c>
      <c r="CC48" s="8">
        <f ca="1">IF(CI42="","",-1*CI42)</f>
        <v>0</v>
      </c>
      <c r="CD48" s="8">
        <f ca="1">IF(CI43="","",-1*CI43)</f>
        <v>0</v>
      </c>
      <c r="CE48" s="8">
        <f ca="1">IF(CI44="","",-1*CI44)</f>
        <v>0</v>
      </c>
      <c r="CF48" s="8">
        <f ca="1">IF(CI45="","",-1*CI45)</f>
        <v>0</v>
      </c>
      <c r="CG48" s="8">
        <f ca="1">IF(CI46="","",-1*CI46)</f>
        <v>0</v>
      </c>
      <c r="CH48" s="8">
        <f ca="1">IF(CI47="","",-1*CI47)</f>
        <v>0</v>
      </c>
      <c r="CI48" s="6"/>
      <c r="CJ48" s="7">
        <f ca="1">CJ37-CI38</f>
        <v>0</v>
      </c>
      <c r="CK48" s="3"/>
    </row>
    <row r="49" spans="2:89" s="2" customFormat="1" x14ac:dyDescent="0.2">
      <c r="E49" s="14">
        <f ca="1">IF(AND($O$25=$C$25,$O$17&lt;&gt;""),INDEX($CB$41:$CJ$49,MATCH($C$25,$CA$52:$CA$60,0),MATCH($O$17,$CB$51:$CJ$51,0)),0)</f>
        <v>0</v>
      </c>
      <c r="F49" s="3">
        <f ca="1">IF(AND($O$25=$C$25,$O$18&lt;&gt;""),INDEX($CB$41:$CJ$49,MATCH($C$25,$CA$52:$CA$60,0),MATCH($O$18,$CB$51:$CJ$51,0)),0)</f>
        <v>0</v>
      </c>
      <c r="G49" s="3">
        <f ca="1">IF(AND($O$25=$C$25,$O$19&lt;&gt;""),INDEX($CB$41:$CJ$49,MATCH($C$25,$CA$52:$CA$60,0),MATCH($O$19,$CB$51:$CJ$51,0)),0)</f>
        <v>0</v>
      </c>
      <c r="H49" s="3">
        <f ca="1">IF(AND($O$25=$C$25,$O$20&lt;&gt;""),INDEX($CB$41:$CJ$49,MATCH($C$25,$CA$52:$CA$60,0),MATCH($O$20,$CB$51:$CJ$51,0)),0)</f>
        <v>0</v>
      </c>
      <c r="I49" s="3">
        <f ca="1">IF(AND($O$25=$C$25,$O$21&lt;&gt;""),INDEX($CB$41:$CJ$49,MATCH($C$25,$CA$52:$CA$60,0),MATCH($O$21,$CB$51:$CJ$51,0)),0)</f>
        <v>0</v>
      </c>
      <c r="J49" s="3">
        <f ca="1">IF(AND($O$25=$C$25,$O$22&lt;&gt;""),INDEX($CB$41:$CJ$49,MATCH($C$25,$CA$52:$CA$60,0),MATCH($O$22,$CB$51:$CJ$51,0)),0)</f>
        <v>0</v>
      </c>
      <c r="K49" s="3">
        <f ca="1">IF(AND($O$25=$C$25,$O$23&lt;&gt;""),INDEX($CB$41:$CJ$49,MATCH($C$25,$CA$52:$CA$60,0),MATCH($O$23,$CB$51:$CJ$51,0)),0)</f>
        <v>0</v>
      </c>
      <c r="L49" s="3">
        <f ca="1">IF(AND($O$25=$C$25,$O$24&lt;&gt;""),INDEX($CB$41:$CJ$49,MATCH($C$25,$CA$52:$CA$60,0),MATCH($O$24,$CB$51:$CJ$51,0)),0)</f>
        <v>0</v>
      </c>
      <c r="M49" s="53">
        <v>0</v>
      </c>
      <c r="N49" s="5">
        <f ca="1">IF(AND($P$25=$C$25,$P$17&lt;&gt;""),INDEX($CB$41:$CJ$49,MATCH($C$25,$CA$52:$CA$60,0),MATCH($P$17,$CB$51:$CJ$51,0)),0)</f>
        <v>0</v>
      </c>
      <c r="O49" s="3">
        <f ca="1">IF(AND($P$25=$C$25,$P$18&lt;&gt;""),INDEX($CB$41:$CJ$49,MATCH($C$25,$CA$52:$CA$60,0),MATCH($P$18,$CB$51:$CJ$51,0)),0)</f>
        <v>0</v>
      </c>
      <c r="P49" s="3">
        <f ca="1">IF(AND($P$25=$C$25,$P$19&lt;&gt;""),INDEX($CB$41:$CJ$49,MATCH($C$25,$CA$52:$CA$60,0),MATCH($P$19,$CB$51:$CJ$51,0)),0)</f>
        <v>0</v>
      </c>
      <c r="Q49" s="3">
        <f ca="1">IF(AND($P$25=$C$25,$P$20&lt;&gt;""),INDEX($CB$41:$CJ$49,MATCH($C$25,$CA$52:$CA$60,0),MATCH($P$20,$CB$51:$CJ$51,0)),0)</f>
        <v>0</v>
      </c>
      <c r="R49" s="3">
        <f ca="1">IF(AND($P$25=$C$25,$P$21&lt;&gt;""),INDEX($CB$41:$CJ$49,MATCH($C$25,$CA$52:$CA$60,0),MATCH($P$21,$CB$51:$CJ$51,0)),0)</f>
        <v>0</v>
      </c>
      <c r="S49" s="3">
        <f ca="1">IF(AND($P$25=$C$25,$P$22&lt;&gt;""),INDEX($CB$41:$CJ$49,MATCH($C$25,$CA$52:$CA$60,0),MATCH($P$22,$CB$51:$CJ$51,0)),0)</f>
        <v>0</v>
      </c>
      <c r="T49" s="3">
        <f ca="1">IF(AND($P$25=$C$25,$P$23&lt;&gt;""),INDEX($CB$41:$CJ$49,MATCH($C$25,$CA$52:$CA$60,0),MATCH($P$23,$CB$51:$CJ$51,0)),0)</f>
        <v>0</v>
      </c>
      <c r="U49" s="3">
        <f ca="1">IF(AND($P$25=$C$25,$P$24&lt;&gt;""),INDEX($CB$41:$CJ$49,MATCH($C$25,$CA$52:$CA$60,0),MATCH($P$24,$CB$51:$CJ$51,0)),0)</f>
        <v>0</v>
      </c>
      <c r="V49" s="53">
        <v>0</v>
      </c>
      <c r="W49" s="5">
        <f ca="1">IF(AND($Q$25=$C$25,$Q$17&lt;&gt;""),INDEX($CB$41:$CJ$49,MATCH($C$25,$CA$52:$CA$60,0),MATCH($Q$17,$CB$51:$CJ$51,0)),0)</f>
        <v>0</v>
      </c>
      <c r="X49" s="3">
        <f ca="1">IF(AND($Q$25=$C$25,$Q$18&lt;&gt;""),INDEX($CB$41:$CJ$49,MATCH($C$25,$CA$52:$CA$60,0),MATCH($Q$18,$CB$51:$CJ$51,0)),0)</f>
        <v>0</v>
      </c>
      <c r="Y49" s="3">
        <f ca="1">IF(AND($Q$25=$C$25,$Q$19&lt;&gt;""),INDEX($CB$41:$CJ$49,MATCH($C$25,$CA$52:$CA$60,0),MATCH($Q$19,$CB$51:$CJ$51,0)),0)</f>
        <v>0</v>
      </c>
      <c r="Z49" s="3">
        <f ca="1">IF(AND($Q$25=$C$25,$Q$20&lt;&gt;""),INDEX($CB$41:$CJ$49,MATCH($C$25,$CA$52:$CA$60,0),MATCH($Q$20,$CB$51:$CJ$51,0)),0)</f>
        <v>0</v>
      </c>
      <c r="AA49" s="3">
        <f ca="1">IF(AND($Q$25=$C$25,$Q$21&lt;&gt;""),INDEX($CB$41:$CJ$49,MATCH($C$25,$CA$52:$CA$60,0),MATCH($Q$21,$CB$51:$CJ$51,0)),0)</f>
        <v>0</v>
      </c>
      <c r="AB49" s="3">
        <f ca="1">IF(AND($Q$25=$C$25,$Q$22&lt;&gt;""),INDEX($CB$41:$CJ$49,MATCH($C$25,$CA$52:$CA$60,0),MATCH($Q$22,$CB$51:$CJ$51,0)),0)</f>
        <v>0</v>
      </c>
      <c r="AC49" s="3">
        <f ca="1">IF(AND($Q$25=$C$25,$Q$23&lt;&gt;""),INDEX($CB$41:$CJ$49,MATCH($C$25,$CA$52:$CA$60,0),MATCH($Q$23,$CB$51:$CJ$51,0)),0)</f>
        <v>0</v>
      </c>
      <c r="AD49" s="3">
        <f ca="1">IF(AND($Q$25=$C$25,$Q$24&lt;&gt;""),INDEX($CB$41:$CJ$49,MATCH($C$25,$CA$52:$CA$60,0),MATCH($Q$24,$CB$51:$CJ$51,0)),0)</f>
        <v>0</v>
      </c>
      <c r="AE49" s="53">
        <v>0</v>
      </c>
      <c r="AF49" s="5">
        <f ca="1">IF(AND($R$25=$C$25,$R$17&lt;&gt;""),INDEX($CB$41:$CJ$49,MATCH($C$25,$CA$52:$CA$60,0),MATCH($R$17,$CB$51:$CJ$51,0)),0)</f>
        <v>0</v>
      </c>
      <c r="AG49" s="3">
        <f ca="1">IF(AND($R$25=$C$25,$R$18&lt;&gt;""),INDEX($CB$41:$CJ$49,MATCH($C$25,$CA$52:$CA$60,0),MATCH($R$18,$CB$51:$CJ$51,0)),0)</f>
        <v>0</v>
      </c>
      <c r="AH49" s="3">
        <f ca="1">IF(AND($R$25=$C$25,$R$19&lt;&gt;""),INDEX($CB$41:$CJ$49,MATCH($C$25,$CA$52:$CA$60,0),MATCH($R$19,$CB$51:$CJ$51,0)),0)</f>
        <v>0</v>
      </c>
      <c r="AI49" s="3">
        <f ca="1">IF(AND($R$25=$C$25,$R$20&lt;&gt;""),INDEX($CB$41:$CJ$49,MATCH($C$25,$CA$52:$CA$60,0),MATCH($R$20,$CB$51:$CJ$51,0)),0)</f>
        <v>0</v>
      </c>
      <c r="AJ49" s="3">
        <f ca="1">IF(AND($R$25=$C$25,$R$21&lt;&gt;""),INDEX($CB$41:$CJ$49,MATCH($C$25,$CA$52:$CA$60,0),MATCH($R$21,$CB$51:$CJ$51,0)),0)</f>
        <v>0</v>
      </c>
      <c r="AK49" s="3">
        <f ca="1">IF(AND($R$25=$C$25,$R$22&lt;&gt;""),INDEX($CB$41:$CJ$49,MATCH($C$25,$CA$52:$CA$60,0),MATCH($R$22,$CB$51:$CJ$51,0)),0)</f>
        <v>0</v>
      </c>
      <c r="AL49" s="3">
        <f ca="1">IF(AND($R$25=$C$25,$R$23&lt;&gt;""),INDEX($CB$41:$CJ$49,MATCH($C$25,$CA$52:$CA$60,0),MATCH($R$23,$CB$51:$CJ$51,0)),0)</f>
        <v>0</v>
      </c>
      <c r="AM49" s="3">
        <f ca="1">IF(AND($R$25=$C$25,$R$24&lt;&gt;""),INDEX($CB$41:$CJ$49,MATCH($C$25,$CA$52:$CA$60,0),MATCH($R$24,$CB$51:$CJ$51,0)),0)</f>
        <v>0</v>
      </c>
      <c r="AN49" s="53">
        <v>0</v>
      </c>
      <c r="AO49" s="5">
        <f ca="1">IF(AND($S$25=$C$25,$S$17&lt;&gt;""),INDEX($CB$41:$CJ$49,MATCH($C$25,$CA$52:$CA$60,0),MATCH($S$17,$CB$51:$CJ$51,0)),0)</f>
        <v>0</v>
      </c>
      <c r="AP49" s="3">
        <f ca="1">IF(AND($S$25=$C$25,$S$18&lt;&gt;""),INDEX($CB$41:$CJ$49,MATCH($C$25,$CA$52:$CA$60,0),MATCH($S$18,$CB$51:$CJ$51,0)),0)</f>
        <v>0</v>
      </c>
      <c r="AQ49" s="3">
        <f ca="1">IF(AND($S$25=$C$25,$S$19&lt;&gt;""),INDEX($CB$41:$CJ$49,MATCH($C$25,$CA$52:$CA$60,0),MATCH($S$19,$CB$51:$CJ$51,0)),0)</f>
        <v>0</v>
      </c>
      <c r="AR49" s="3">
        <f ca="1">IF(AND($S$25=$C$25,$S$20&lt;&gt;""),INDEX($CB$41:$CJ$49,MATCH($C$25,$CA$52:$CA$60,0),MATCH($S$20,$CB$51:$CJ$51,0)),0)</f>
        <v>0</v>
      </c>
      <c r="AS49" s="3">
        <f ca="1">IF(AND($S$25=$C$25,$S$21&lt;&gt;""),INDEX($CB$41:$CJ$49,MATCH($C$25,$CA$52:$CA$60,0),MATCH($S$21,$CB$51:$CJ$51,0)),0)</f>
        <v>0</v>
      </c>
      <c r="AT49" s="3">
        <f ca="1">IF(AND($S$25=$C$25,$S$22&lt;&gt;""),INDEX($CB$41:$CJ$49,MATCH($C$25,$CA$52:$CA$60,0),MATCH($S$22,$CB$51:$CJ$51,0)),0)</f>
        <v>0</v>
      </c>
      <c r="AU49" s="3">
        <f ca="1">IF(AND($S$25=$C$25,$S$23&lt;&gt;""),INDEX($CB$41:$CJ$49,MATCH($C$25,$CA$52:$CA$60,0),MATCH($S$23,$CB$51:$CJ$51,0)),0)</f>
        <v>0</v>
      </c>
      <c r="AV49" s="3">
        <f ca="1">IF(AND($S$25=$C$25,$S$24&lt;&gt;""),INDEX($CB$41:$CJ$49,MATCH($C$25,$CA$52:$CA$60,0),MATCH($S$24,$CB$51:$CJ$51,0)),0)</f>
        <v>0</v>
      </c>
      <c r="AW49" s="53">
        <v>0</v>
      </c>
      <c r="AX49" s="5">
        <f ca="1">IF(AND($T$25=$C$25,$T$17&lt;&gt;""),INDEX($CB$41:$CJ$49,MATCH($C$25,$CA$52:$CA$60,0),MATCH($T$17,$CB$51:$CJ$51,0)),0)</f>
        <v>0</v>
      </c>
      <c r="AY49" s="3">
        <f ca="1">IF(AND($T$25=$C$25,$T$18&lt;&gt;""),INDEX($CB$41:$CJ$49,MATCH($C$25,$CA$52:$CA$60,0),MATCH($T$18,$CB$51:$CJ$51,0)),0)</f>
        <v>0</v>
      </c>
      <c r="AZ49" s="3">
        <f ca="1">IF(AND($T$25=$C$25,$T$19&lt;&gt;""),INDEX($CB$41:$CJ$49,MATCH($C$25,$CA$52:$CA$60,0),MATCH($T$19,$CB$51:$CJ$51,0)),0)</f>
        <v>0</v>
      </c>
      <c r="BA49" s="3">
        <f ca="1">IF(AND($T$25=$C$25,$T$20&lt;&gt;""),INDEX($CB$41:$CJ$49,MATCH($C$25,$CA$52:$CA$60,0),MATCH($T$20,$CB$51:$CJ$51,0)),0)</f>
        <v>0</v>
      </c>
      <c r="BB49" s="3">
        <f ca="1">IF(AND($T$25=$C$25,$T$21&lt;&gt;""),INDEX($CB$41:$CJ$49,MATCH($C$25,$CA$52:$CA$60,0),MATCH($T$21,$CB$51:$CJ$51,0)),0)</f>
        <v>0</v>
      </c>
      <c r="BC49" s="3">
        <f ca="1">IF(AND($T$25=$C$25,$T$22&lt;&gt;""),INDEX($CB$41:$CJ$49,MATCH($C$25,$CA$52:$CA$60,0),MATCH($T$22,$CB$51:$CJ$51,0)),0)</f>
        <v>0</v>
      </c>
      <c r="BD49" s="3">
        <f ca="1">IF(AND($T$25=$C$25,$T$23&lt;&gt;""),INDEX($CB$41:$CJ$49,MATCH($C$25,$CA$52:$CA$60,0),MATCH($T$23,$CB$51:$CJ$51,0)),0)</f>
        <v>0</v>
      </c>
      <c r="BE49" s="3">
        <f ca="1">IF(AND($T$25=$C$25,$T$24&lt;&gt;""),INDEX($CB$41:$CJ$49,MATCH($C$25,$CA$52:$CA$60,0),MATCH($T$24,$CB$51:$CJ$51,0)),0)</f>
        <v>0</v>
      </c>
      <c r="BF49" s="53">
        <v>0</v>
      </c>
      <c r="BG49" s="5">
        <f ca="1">IF(AND($U$25=$C$25,$U$17&lt;&gt;""),INDEX($CB$41:$CJ$49,MATCH($C$25,$CA$52:$CA$60,0),MATCH($U$17,$CB$51:$CJ$51,0)),0)</f>
        <v>0</v>
      </c>
      <c r="BH49" s="3">
        <f ca="1">IF(AND($U$25=$C$25,$U$18&lt;&gt;""),INDEX($CB$41:$CJ$49,MATCH($C$25,$CA$52:$CA$60,0),MATCH($U$18,$CB$51:$CJ$51,0)),0)</f>
        <v>0</v>
      </c>
      <c r="BI49" s="3">
        <f ca="1">IF(AND($U$25=$C$25,$U$19&lt;&gt;""),INDEX($CB$41:$CJ$49,MATCH($C$25,$CA$52:$CA$60,0),MATCH($U$19,$CB$51:$CJ$51,0)),0)</f>
        <v>0</v>
      </c>
      <c r="BJ49" s="3">
        <f ca="1">IF(AND($U$25=$C$25,$U$20&lt;&gt;""),INDEX($CB$41:$CJ$49,MATCH($C$25,$CA$52:$CA$60,0),MATCH($U$20,$CB$51:$CJ$51,0)),0)</f>
        <v>0</v>
      </c>
      <c r="BK49" s="3">
        <f ca="1">IF(AND($U$25=$C$25,$U$21&lt;&gt;""),INDEX($CB$41:$CJ$49,MATCH($C$25,$CA$52:$CA$60,0),MATCH($U$21,$CB$51:$CJ$51,0)),0)</f>
        <v>0</v>
      </c>
      <c r="BL49" s="3">
        <f ca="1">IF(AND($U$25=$C$25,$U$22&lt;&gt;""),INDEX($CB$41:$CJ$49,MATCH($C$25,$CA$52:$CA$60,0),MATCH($U$22,$CB$51:$CJ$51,0)),0)</f>
        <v>0</v>
      </c>
      <c r="BM49" s="3">
        <f ca="1">IF(AND($U$25=$C$25,$U$23&lt;&gt;""),INDEX($CB$41:$CJ$49,MATCH($C$25,$CA$52:$CA$60,0),MATCH($U$23,$CB$51:$CJ$51,0)),0)</f>
        <v>0</v>
      </c>
      <c r="BN49" s="3">
        <f ca="1">IF(AND($U$25=$C$25,$U$24&lt;&gt;""),INDEX($CB$41:$CJ$49,MATCH($C$25,$CA$52:$CA$60,0),MATCH($U$24,$CB$51:$CJ$51,0)),0)</f>
        <v>0</v>
      </c>
      <c r="BO49" s="53">
        <v>0</v>
      </c>
      <c r="BP49" s="5">
        <f ca="1">IF(AND($V$25=$C$25,$V$17&lt;&gt;""),INDEX($CB$41:$CJ$49,MATCH($C$25,$CA$52:$CA$60,0),MATCH($V$17,$CB$51:$CJ$51,0)),0)</f>
        <v>0</v>
      </c>
      <c r="BQ49" s="3">
        <f ca="1">IF(AND($V$25=$C$25,$V$18&lt;&gt;""),INDEX($CB$41:$CJ$49,MATCH($C$25,$CA$52:$CA$60,0),MATCH($V$18,$CB$51:$CJ$51,0)),0)</f>
        <v>0</v>
      </c>
      <c r="BR49" s="3">
        <f ca="1">IF(AND($V$25=$C$25,$V$19&lt;&gt;""),INDEX($CB$41:$CJ$49,MATCH($C$25,$CA$52:$CA$60,0),MATCH($V$19,$CB$51:$CJ$51,0)),0)</f>
        <v>0</v>
      </c>
      <c r="BS49" s="3">
        <f ca="1">IF(AND($V$25=$C$25,$V$20&lt;&gt;""),INDEX($CB$41:$CJ$49,MATCH($C$25,$CA$52:$CA$60,0),MATCH($V$20,$CB$51:$CJ$51,0)),0)</f>
        <v>0</v>
      </c>
      <c r="BT49" s="3">
        <f ca="1">IF(AND($V$25=$C$25,$V$21&lt;&gt;""),INDEX($CB$41:$CJ$49,MATCH($C$25,$CA$52:$CA$60,0),MATCH($V$21,$CB$51:$CJ$51,0)),0)</f>
        <v>0</v>
      </c>
      <c r="BU49" s="3">
        <f ca="1">IF(AND($V$25=$C$25,$V$22&lt;&gt;""),INDEX($CB$41:$CJ$49,MATCH($C$25,$CA$52:$CA$60,0),MATCH($V$22,$CB$51:$CJ$51,0)),0)</f>
        <v>0</v>
      </c>
      <c r="BV49" s="3">
        <f ca="1">IF(AND($V$25=$C$25,$V$23&lt;&gt;""),INDEX($CB$41:$CJ$49,MATCH($C$25,$CA$52:$CA$60,0),MATCH($V$23,$CB$51:$CJ$51,0)),0)</f>
        <v>0</v>
      </c>
      <c r="BW49" s="3">
        <f ca="1">IF(AND($V$25=$C$25,$V$24&lt;&gt;""),INDEX($CB$41:$CJ$49,MATCH($C$25,$CA$52:$CA$60,0),MATCH($V$24,$CB$51:$CJ$51,0)),0)</f>
        <v>0</v>
      </c>
      <c r="BX49" s="3">
        <v>0</v>
      </c>
      <c r="BY49" s="14"/>
      <c r="BZ49" s="3"/>
      <c r="CA49" s="2" t="str">
        <f t="shared" si="65"/>
        <v/>
      </c>
      <c r="CB49" s="8">
        <f ca="1">IF(CJ41="","",-1*CJ41)</f>
        <v>0</v>
      </c>
      <c r="CC49" s="8">
        <f ca="1">IF(CJ42="","",-1*CJ42)</f>
        <v>0</v>
      </c>
      <c r="CD49" s="8">
        <f ca="1">IF(CJ43="","",-1*CJ43)</f>
        <v>0</v>
      </c>
      <c r="CE49" s="8">
        <f ca="1">IF(CJ44="","",-1*CJ44)</f>
        <v>0</v>
      </c>
      <c r="CF49" s="8">
        <f ca="1">IF(CJ45="","",-1*CJ45)</f>
        <v>0</v>
      </c>
      <c r="CG49" s="8">
        <f ca="1">IF(CJ46="","",-1*CJ46)</f>
        <v>0</v>
      </c>
      <c r="CH49" s="8">
        <f ca="1">IF(CJ47="","",-1*CJ47)</f>
        <v>0</v>
      </c>
      <c r="CI49" s="8">
        <f ca="1">IF(CJ48="","",-1*CJ48)</f>
        <v>0</v>
      </c>
      <c r="CJ49" s="6"/>
      <c r="CK49" s="3"/>
    </row>
    <row r="50" spans="2:89" s="2" customFormat="1" x14ac:dyDescent="0.2">
      <c r="E50" s="14"/>
      <c r="F50" s="3"/>
      <c r="G50" s="3"/>
      <c r="H50" s="3"/>
      <c r="I50" s="3"/>
      <c r="J50" s="3"/>
      <c r="K50" s="3"/>
      <c r="L50" s="3"/>
      <c r="M50" s="53"/>
      <c r="N50" s="5"/>
      <c r="O50" s="3"/>
      <c r="P50" s="3"/>
      <c r="Q50" s="3"/>
      <c r="R50" s="3"/>
      <c r="S50" s="3"/>
      <c r="T50" s="3"/>
      <c r="U50" s="3"/>
      <c r="V50" s="53"/>
      <c r="W50" s="5"/>
      <c r="X50" s="3"/>
      <c r="Y50" s="3"/>
      <c r="Z50" s="3"/>
      <c r="AA50" s="3"/>
      <c r="AB50" s="3"/>
      <c r="AC50" s="3"/>
      <c r="AD50" s="3"/>
      <c r="AE50" s="53"/>
      <c r="AF50" s="5"/>
      <c r="AG50" s="3"/>
      <c r="AH50" s="3"/>
      <c r="AI50" s="3"/>
      <c r="AJ50" s="3"/>
      <c r="AK50" s="3"/>
      <c r="AL50" s="3"/>
      <c r="AM50" s="3"/>
      <c r="AN50" s="53"/>
      <c r="AO50" s="5"/>
      <c r="AP50" s="3"/>
      <c r="AQ50" s="3"/>
      <c r="AR50" s="3"/>
      <c r="AS50" s="3"/>
      <c r="AT50" s="3"/>
      <c r="AU50" s="3"/>
      <c r="AV50" s="3"/>
      <c r="AW50" s="53"/>
      <c r="AX50" s="5"/>
      <c r="AY50" s="3"/>
      <c r="AZ50" s="3"/>
      <c r="BA50" s="3"/>
      <c r="BB50" s="3"/>
      <c r="BC50" s="3"/>
      <c r="BD50" s="3"/>
      <c r="BE50" s="3"/>
      <c r="BF50" s="53"/>
      <c r="BG50" s="5"/>
      <c r="BH50" s="3"/>
      <c r="BI50" s="3"/>
      <c r="BJ50" s="3"/>
      <c r="BK50" s="3"/>
      <c r="BL50" s="3"/>
      <c r="BM50" s="3"/>
      <c r="BN50" s="3"/>
      <c r="BO50" s="53"/>
      <c r="BP50" s="5"/>
      <c r="BQ50" s="3"/>
      <c r="BR50" s="3"/>
      <c r="BS50" s="3"/>
      <c r="BT50" s="3"/>
      <c r="BU50" s="3"/>
      <c r="BV50" s="3"/>
      <c r="BW50" s="3"/>
      <c r="BX50" s="3"/>
      <c r="BY50" s="14"/>
      <c r="BZ50" s="3"/>
      <c r="CK50" s="3"/>
    </row>
    <row r="51" spans="2:89" s="2" customFormat="1" x14ac:dyDescent="0.2">
      <c r="E51" s="14"/>
      <c r="F51" s="3"/>
      <c r="G51" s="3"/>
      <c r="H51" s="3"/>
      <c r="I51" s="3"/>
      <c r="J51" s="3"/>
      <c r="K51" s="3"/>
      <c r="L51" s="3"/>
      <c r="M51" s="53"/>
      <c r="N51" s="5"/>
      <c r="O51" s="3"/>
      <c r="P51" s="3"/>
      <c r="Q51" s="3"/>
      <c r="R51" s="3"/>
      <c r="S51" s="3"/>
      <c r="T51" s="3"/>
      <c r="U51" s="3"/>
      <c r="V51" s="53"/>
      <c r="W51" s="5"/>
      <c r="X51" s="3"/>
      <c r="Y51" s="3"/>
      <c r="Z51" s="3"/>
      <c r="AA51" s="3"/>
      <c r="AB51" s="3"/>
      <c r="AC51" s="3"/>
      <c r="AD51" s="3"/>
      <c r="AE51" s="53"/>
      <c r="AF51" s="5"/>
      <c r="AG51" s="3"/>
      <c r="AH51" s="3"/>
      <c r="AI51" s="3"/>
      <c r="AJ51" s="3"/>
      <c r="AK51" s="3"/>
      <c r="AL51" s="3"/>
      <c r="AM51" s="3"/>
      <c r="AN51" s="53"/>
      <c r="AO51" s="5"/>
      <c r="AP51" s="3"/>
      <c r="AQ51" s="3"/>
      <c r="AR51" s="3"/>
      <c r="AS51" s="3"/>
      <c r="AT51" s="3"/>
      <c r="AU51" s="3"/>
      <c r="AV51" s="3"/>
      <c r="AW51" s="53"/>
      <c r="AX51" s="5"/>
      <c r="AY51" s="3"/>
      <c r="AZ51" s="3"/>
      <c r="BA51" s="3"/>
      <c r="BB51" s="3"/>
      <c r="BC51" s="3"/>
      <c r="BD51" s="3"/>
      <c r="BE51" s="3"/>
      <c r="BF51" s="53"/>
      <c r="BG51" s="5"/>
      <c r="BH51" s="3"/>
      <c r="BI51" s="3"/>
      <c r="BJ51" s="3"/>
      <c r="BK51" s="3"/>
      <c r="BL51" s="3"/>
      <c r="BM51" s="3"/>
      <c r="BN51" s="3"/>
      <c r="BO51" s="53"/>
      <c r="BP51" s="5"/>
      <c r="BQ51" s="3"/>
      <c r="BR51" s="3"/>
      <c r="BS51" s="3"/>
      <c r="BT51" s="3"/>
      <c r="BU51" s="3"/>
      <c r="BV51" s="3"/>
      <c r="BW51" s="3"/>
      <c r="BX51" s="3"/>
      <c r="BY51" s="14"/>
      <c r="BZ51" s="3"/>
      <c r="CA51" s="4" t="s">
        <v>322</v>
      </c>
      <c r="CB51" s="2" t="str">
        <f>$F$4</f>
        <v>1. FC Riedwald</v>
      </c>
      <c r="CC51" s="2" t="str">
        <f>$F$5</f>
        <v>FC Barcelona</v>
      </c>
      <c r="CD51" s="2" t="str">
        <f>$F$6</f>
        <v>Eintracht Frankfurt</v>
      </c>
      <c r="CE51" s="2" t="str">
        <f>$F$7</f>
        <v>Maibach 1822 eV</v>
      </c>
      <c r="CF51" s="2" t="str">
        <f>$F$8</f>
        <v>VFB Essenheim</v>
      </c>
      <c r="CG51" s="2" t="str">
        <f>$F$9</f>
        <v>Inter Mailand</v>
      </c>
      <c r="CH51" s="2" t="str">
        <f>$F$10</f>
        <v>SSV Wildbach</v>
      </c>
      <c r="CI51" s="2" t="str">
        <f>$F$11</f>
        <v/>
      </c>
      <c r="CJ51" s="2" t="str">
        <f>$F$12</f>
        <v/>
      </c>
      <c r="CK51" s="3"/>
    </row>
    <row r="52" spans="2:89" s="2" customFormat="1" x14ac:dyDescent="0.2">
      <c r="B52" s="487" t="s">
        <v>97</v>
      </c>
      <c r="E52" s="14">
        <v>0</v>
      </c>
      <c r="F52" s="3">
        <f ca="1">IF(AND($O$17=$C$17,$O$18&lt;&gt;""),INDEX($CB$30:$CJ$38,MATCH($C$17,$CA$52:$CA$60,0),MATCH($O$18,$CB$51:$CJ$51,0)),0)</f>
        <v>0</v>
      </c>
      <c r="G52" s="3">
        <f ca="1">IF(AND($O$17=$C$17,$O$19&lt;&gt;""),INDEX($CB$30:$CJ$38,MATCH($C$17,$CA$52:$CA$60,0),MATCH($O$19,$CB$51:$CJ$51,0)),0)</f>
        <v>0</v>
      </c>
      <c r="H52" s="3">
        <f ca="1">IF(AND($O$17=$C$17,$O$20&lt;&gt;""),INDEX($CB$30:$CJ$38,MATCH($C$17,$CA$52:$CA$60,0),MATCH($O$20,$CB$51:$CJ$51,0)),0)</f>
        <v>0</v>
      </c>
      <c r="I52" s="3">
        <f ca="1">IF(AND($O$17=$C$17,$O$21&lt;&gt;""),INDEX($CB$30:$CJ$38,MATCH($C$17,$CA$52:$CA$60,0),MATCH($O$21,$CB$51:$CJ$51,0)),0)</f>
        <v>0</v>
      </c>
      <c r="J52" s="3">
        <f ca="1">IF(AND($O$17=$C$17,$O$22&lt;&gt;""),INDEX($CB$30:$CJ$38,MATCH($C$17,$CA$52:$CA$60,0),MATCH($O$22,$CB$51:$CJ$51,0)),0)</f>
        <v>0</v>
      </c>
      <c r="K52" s="3">
        <f ca="1">IF(AND($O$17=$C$17,$O$23&lt;&gt;""),INDEX($CB$30:$CJ$38,MATCH($C$17,$CA$52:$CA$60,0),MATCH($O$23,$CB$51:$CJ$51,0)),0)</f>
        <v>0</v>
      </c>
      <c r="L52" s="3">
        <f ca="1">IF(AND($O$17=$C$17,$O$24&lt;&gt;""),INDEX($CB$30:$CJ$38,MATCH($C$17,$CA$52:$CA$60,0),MATCH($O$24,$CB$51:$CJ$51,0)),0)</f>
        <v>0</v>
      </c>
      <c r="M52" s="53">
        <f ca="1">IF(AND($O$17=$C$17,$O$25&lt;&gt;""),INDEX($CB$30:$CJ$38,MATCH($C$17,$CA$52:$CA$60,0),MATCH($O$25,$CB$51:$CJ$51,0)),0)</f>
        <v>0</v>
      </c>
      <c r="N52" s="5">
        <v>0</v>
      </c>
      <c r="O52" s="3">
        <f ca="1">IF(AND($P$17=$C$17,$P$18&lt;&gt;""),INDEX($CB$30:$CJ$38,MATCH($C$17,$CA$52:$CA$60,0),MATCH($P$18,$CB$51:$CJ$51,0)),0)</f>
        <v>0</v>
      </c>
      <c r="P52" s="3">
        <f ca="1">IF(AND($P$17=$C$17,$P$19&lt;&gt;""),INDEX($CB$30:$CJ$38,MATCH($C$17,$CA$52:$CA$60,0),MATCH($P$19,$CB$51:$CJ$51,0)),0)</f>
        <v>0</v>
      </c>
      <c r="Q52" s="3">
        <f ca="1">IF(AND($P$17=$C$17,$P$20&lt;&gt;""),INDEX($CB$30:$CJ$38,MATCH($C$17,$CA$52:$CA$60,0),MATCH($P$20,$CB$51:$CJ$51,0)),0)</f>
        <v>0</v>
      </c>
      <c r="R52" s="3">
        <f ca="1">IF(AND($P$17=$C$17,$P$21&lt;&gt;""),INDEX($CB$30:$CJ$38,MATCH($C$17,$CA$52:$CA$60,0),MATCH($P$21,$CB$51:$CJ$51,0)),0)</f>
        <v>0</v>
      </c>
      <c r="S52" s="3">
        <f ca="1">IF(AND($P$17=$C$17,$P$22&lt;&gt;""),INDEX($CB$30:$CJ$38,MATCH($C$17,$CA$52:$CA$60,0),MATCH($P$22,$CB$51:$CJ$51,0)),0)</f>
        <v>0</v>
      </c>
      <c r="T52" s="3">
        <f ca="1">IF(AND($P$17=$C$17,$P$23&lt;&gt;""),INDEX($CB$30:$CJ$38,MATCH($C$17,$CA$52:$CA$60,0),MATCH($P$23,$CB$51:$CJ$51,0)),0)</f>
        <v>0</v>
      </c>
      <c r="U52" s="3">
        <f ca="1">IF(AND($P$17=$C$17,$P$24&lt;&gt;""),INDEX($CB$30:$CJ$38,MATCH($C$17,$CA$52:$CA$60,0),MATCH($P$24,$CB$51:$CJ$51,0)),0)</f>
        <v>0</v>
      </c>
      <c r="V52" s="53">
        <f ca="1">IF(AND($P$17=$C$17,$P$25&lt;&gt;""),INDEX($CB$30:$CJ$38,MATCH($C$17,$CA$52:$CA$60,0),MATCH($P$25,$CB$51:$CJ$51,0)),0)</f>
        <v>0</v>
      </c>
      <c r="W52" s="5">
        <v>0</v>
      </c>
      <c r="X52" s="3">
        <f ca="1">IF(AND($Q$17=$C$17,$Q$18&lt;&gt;""),INDEX($CB$30:$CJ$38,MATCH($C$17,$CA$52:$CA$60,0),MATCH($Q$18,$CB$51:$CJ$51,0)),0)</f>
        <v>0</v>
      </c>
      <c r="Y52" s="3">
        <f ca="1">IF(AND($Q$17=$C$17,$Q$19&lt;&gt;""),INDEX($CB$30:$CJ$38,MATCH($C$17,$CA$52:$CA$60,0),MATCH($Q$19,$CB$51:$CJ$51,0)),0)</f>
        <v>0</v>
      </c>
      <c r="Z52" s="3">
        <f ca="1">IF(AND($Q$17=$C$17,$Q$20&lt;&gt;""),INDEX($CB$30:$CJ$38,MATCH($C$17,$CA$52:$CA$60,0),MATCH($Q$20,$CB$51:$CJ$51,0)),0)</f>
        <v>0</v>
      </c>
      <c r="AA52" s="3">
        <f ca="1">IF(AND($Q$17=$C$17,$Q$21&lt;&gt;""),INDEX($CB$30:$CJ$38,MATCH($C$17,$CA$52:$CA$60,0),MATCH($Q$21,$CB$51:$CJ$51,0)),0)</f>
        <v>0</v>
      </c>
      <c r="AB52" s="3">
        <f ca="1">IF(AND($Q$17=$C$17,$Q$22&lt;&gt;""),INDEX($CB$30:$CJ$38,MATCH($C$17,$CA$52:$CA$60,0),MATCH($Q$22,$CB$51:$CJ$51,0)),0)</f>
        <v>0</v>
      </c>
      <c r="AC52" s="3">
        <f ca="1">IF(AND($Q$17=$C$17,$Q$23&lt;&gt;""),INDEX($CB$30:$CJ$38,MATCH($C$17,$CA$52:$CA$60,0),MATCH($Q$23,$CB$51:$CJ$51,0)),0)</f>
        <v>0</v>
      </c>
      <c r="AD52" s="3">
        <f ca="1">IF(AND($Q$17=$C$17,$Q$24&lt;&gt;""),INDEX($CB$30:$CJ$38,MATCH($C$17,$CA$52:$CA$60,0),MATCH($Q$24,$CB$51:$CJ$51,0)),0)</f>
        <v>0</v>
      </c>
      <c r="AE52" s="53">
        <f ca="1">IF(AND($Q$17=$C$17,$Q$25&lt;&gt;""),INDEX($CB$30:$CJ$38,MATCH($C$17,$CA$52:$CA$60,0),MATCH($Q$25,$CB$51:$CJ$51,0)),0)</f>
        <v>0</v>
      </c>
      <c r="AF52" s="5">
        <v>0</v>
      </c>
      <c r="AG52" s="3">
        <f ca="1">IF(AND($R$17=$C$17,$R$18&lt;&gt;""),INDEX($CB$30:$CJ$38,MATCH($C$17,$CA$52:$CA$60,0),MATCH($R$18,$CB$51:$CJ$51,0)),0)</f>
        <v>0</v>
      </c>
      <c r="AH52" s="3">
        <f ca="1">IF(AND($R$17=$C$17,$R$19&lt;&gt;""),INDEX($CB$30:$CJ$38,MATCH($C$17,$CA$52:$CA$60,0),MATCH($R$19,$CB$51:$CJ$51,0)),0)</f>
        <v>0</v>
      </c>
      <c r="AI52" s="3">
        <f ca="1">IF(AND($R$17=$C$17,$R$20&lt;&gt;""),INDEX($CB$30:$CJ$38,MATCH($C$17,$CA$52:$CA$60,0),MATCH($R$20,$CB$51:$CJ$51,0)),0)</f>
        <v>0</v>
      </c>
      <c r="AJ52" s="3">
        <f ca="1">IF(AND($R$17=$C$17,$R$21&lt;&gt;""),INDEX($CB$30:$CJ$38,MATCH($C$17,$CA$52:$CA$60,0),MATCH($R$21,$CB$51:$CJ$51,0)),0)</f>
        <v>0</v>
      </c>
      <c r="AK52" s="3">
        <f ca="1">IF(AND($R$17=$C$17,$R$22&lt;&gt;""),INDEX($CB$30:$CJ$38,MATCH($C$17,$CA$52:$CA$60,0),MATCH($R$22,$CB$51:$CJ$51,0)),0)</f>
        <v>0</v>
      </c>
      <c r="AL52" s="3">
        <f ca="1">IF(AND($R$17=$C$17,$R$23&lt;&gt;""),INDEX($CB$30:$CJ$38,MATCH($C$17,$CA$52:$CA$60,0),MATCH($R$23,$CB$51:$CJ$51,0)),0)</f>
        <v>0</v>
      </c>
      <c r="AM52" s="3">
        <f ca="1">IF(AND($R$17=$C$17,$R$24&lt;&gt;""),INDEX($CB$30:$CJ$38,MATCH($C$17,$CA$52:$CA$60,0),MATCH($R$24,$CB$51:$CJ$51,0)),0)</f>
        <v>0</v>
      </c>
      <c r="AN52" s="53">
        <f ca="1">IF(AND($R$17=$C$17,$R$25&lt;&gt;""),INDEX($CB$30:$CJ$38,MATCH($C$17,$CA$52:$CA$60,0),MATCH($R$25,$CB$51:$CJ$51,0)),0)</f>
        <v>0</v>
      </c>
      <c r="AO52" s="5">
        <v>0</v>
      </c>
      <c r="AP52" s="3">
        <f ca="1">IF(AND($S$17=$C$17,$S$18&lt;&gt;""),INDEX($CB$30:$CJ$38,MATCH($C$17,$CA$52:$CA$60,0),MATCH($S$18,$CB$51:$CJ$51,0)),0)</f>
        <v>0</v>
      </c>
      <c r="AQ52" s="3">
        <f ca="1">IF(AND($S$17=$C$17,$S$19&lt;&gt;""),INDEX($CB$30:$CJ$38,MATCH($C$17,$CA$52:$CA$60,0),MATCH($S$19,$CB$51:$CJ$51,0)),0)</f>
        <v>0</v>
      </c>
      <c r="AR52" s="3">
        <f ca="1">IF(AND($S$17=$C$17,$S$20&lt;&gt;""),INDEX($CB$30:$CJ$38,MATCH($C$17,$CA$52:$CA$60,0),MATCH($S$20,$CB$51:$CJ$51,0)),0)</f>
        <v>0</v>
      </c>
      <c r="AS52" s="3">
        <f ca="1">IF(AND($S$17=$C$17,$S$21&lt;&gt;""),INDEX($CB$30:$CJ$38,MATCH($C$17,$CA$52:$CA$60,0),MATCH($S$21,$CB$51:$CJ$51,0)),0)</f>
        <v>0</v>
      </c>
      <c r="AT52" s="3">
        <f ca="1">IF(AND($S$17=$C$17,$S$22&lt;&gt;""),INDEX($CB$30:$CJ$38,MATCH($C$17,$CA$52:$CA$60,0),MATCH($S$22,$CB$51:$CJ$51,0)),0)</f>
        <v>0</v>
      </c>
      <c r="AU52" s="3">
        <f ca="1">IF(AND($S$17=$C$17,$S$23&lt;&gt;""),INDEX($CB$30:$CJ$38,MATCH($C$17,$CA$52:$CA$60,0),MATCH($S$23,$CB$51:$CJ$51,0)),0)</f>
        <v>0</v>
      </c>
      <c r="AV52" s="3">
        <f ca="1">IF(AND($S$17=$C$17,$S$24&lt;&gt;""),INDEX($CB$30:$CJ$38,MATCH($C$17,$CA$52:$CA$60,0),MATCH($S$24,$CB$51:$CJ$51,0)),0)</f>
        <v>0</v>
      </c>
      <c r="AW52" s="53">
        <f ca="1">IF(AND($S$17=$C$17,$S$25&lt;&gt;""),INDEX($CB$30:$CJ$38,MATCH($C$17,$CA$52:$CA$60,0),MATCH($S$25,$CB$51:$CJ$51,0)),0)</f>
        <v>0</v>
      </c>
      <c r="AX52" s="5">
        <v>0</v>
      </c>
      <c r="AY52" s="3">
        <f ca="1">IF(AND($T$17=$C$17,$T$18&lt;&gt;""),INDEX($CB$30:$CJ$38,MATCH($C$17,$CA$52:$CA$60,0),MATCH($T$18,$CB$51:$CJ$51,0)),0)</f>
        <v>0</v>
      </c>
      <c r="AZ52" s="3">
        <f ca="1">IF(AND($T$17=$C$17,$T$19&lt;&gt;""),INDEX($CB$30:$CJ$38,MATCH($C$17,$CA$52:$CA$60,0),MATCH($T$19,$CB$51:$CJ$51,0)),0)</f>
        <v>0</v>
      </c>
      <c r="BA52" s="3">
        <f ca="1">IF(AND($T$17=$C$17,$T$20&lt;&gt;""),INDEX($CB$30:$CJ$38,MATCH($C$17,$CA$52:$CA$60,0),MATCH($T$20,$CB$51:$CJ$51,0)),0)</f>
        <v>0</v>
      </c>
      <c r="BB52" s="3">
        <f ca="1">IF(AND($T$17=$C$17,$T$21&lt;&gt;""),INDEX($CB$30:$CJ$38,MATCH($C$17,$CA$52:$CA$60,0),MATCH($T$21,$CB$51:$CJ$51,0)),0)</f>
        <v>0</v>
      </c>
      <c r="BC52" s="3">
        <f ca="1">IF(AND($T$17=$C$17,$T$22&lt;&gt;""),INDEX($CB$30:$CJ$38,MATCH($C$17,$CA$52:$CA$60,0),MATCH($T$22,$CB$51:$CJ$51,0)),0)</f>
        <v>0</v>
      </c>
      <c r="BD52" s="3">
        <f ca="1">IF(AND($T$17=$C$17,$T$23&lt;&gt;""),INDEX($CB$30:$CJ$38,MATCH($C$17,$CA$52:$CA$60,0),MATCH($T$23,$CB$51:$CJ$51,0)),0)</f>
        <v>0</v>
      </c>
      <c r="BE52" s="3">
        <f ca="1">IF(AND($T$17=$C$17,$T$24&lt;&gt;""),INDEX($CB$30:$CJ$38,MATCH($C$17,$CA$52:$CA$60,0),MATCH($T$24,$CB$51:$CJ$51,0)),0)</f>
        <v>0</v>
      </c>
      <c r="BF52" s="53">
        <f ca="1">IF(AND($T$17=$C$17,$T$25&lt;&gt;""),INDEX($CB$30:$CJ$38,MATCH($C$17,$CA$52:$CA$60,0),MATCH($T$25,$CB$51:$CJ$51,0)),0)</f>
        <v>0</v>
      </c>
      <c r="BG52" s="5">
        <v>0</v>
      </c>
      <c r="BH52" s="3">
        <f ca="1">IF(AND($U$17=$C$17,$U$18&lt;&gt;""),INDEX($CB$30:$CJ$38,MATCH($C$17,$CA$52:$CA$60,0),MATCH($U$18,$CB$51:$CJ$51,0)),0)</f>
        <v>0</v>
      </c>
      <c r="BI52" s="3">
        <f ca="1">IF(AND($U$17=$C$17,$U$19&lt;&gt;""),INDEX($CB$30:$CJ$38,MATCH($C$17,$CA$52:$CA$60,0),MATCH($U$19,$CB$51:$CJ$51,0)),0)</f>
        <v>0</v>
      </c>
      <c r="BJ52" s="3">
        <f ca="1">IF(AND($U$17=$C$17,$U$20&lt;&gt;""),INDEX($CB$30:$CJ$38,MATCH($C$17,$CA$52:$CA$60,0),MATCH($U$20,$CB$51:$CJ$51,0)),0)</f>
        <v>0</v>
      </c>
      <c r="BK52" s="3">
        <f ca="1">IF(AND($U$17=$C$17,$U$21&lt;&gt;""),INDEX($CB$30:$CJ$38,MATCH($C$17,$CA$52:$CA$60,0),MATCH($U$21,$CB$51:$CJ$51,0)),0)</f>
        <v>0</v>
      </c>
      <c r="BL52" s="3">
        <f ca="1">IF(AND($U$17=$C$17,$U$22&lt;&gt;""),INDEX($CB$30:$CJ$38,MATCH($C$17,$CA$52:$CA$60,0),MATCH($U$22,$CB$51:$CJ$51,0)),0)</f>
        <v>0</v>
      </c>
      <c r="BM52" s="3">
        <f ca="1">IF(AND($U$17=$C$17,$U$23&lt;&gt;""),INDEX($CB$30:$CJ$38,MATCH($C$17,$CA$52:$CA$60,0),MATCH($U$23,$CB$51:$CJ$51,0)),0)</f>
        <v>0</v>
      </c>
      <c r="BN52" s="3">
        <f ca="1">IF(AND($U$17=$C$17,$U$24&lt;&gt;""),INDEX($CB$30:$CJ$38,MATCH($C$17,$CA$52:$CA$60,0),MATCH($U$24,$CB$51:$CJ$51,0)),0)</f>
        <v>0</v>
      </c>
      <c r="BO52" s="53">
        <f ca="1">IF(AND($U$17=$C$17,$U$25&lt;&gt;""),INDEX($CB$30:$CJ$38,MATCH($C$17,$CA$52:$CA$60,0),MATCH($U$25,$CB$51:$CJ$51,0)),0)</f>
        <v>0</v>
      </c>
      <c r="BP52" s="5">
        <v>0</v>
      </c>
      <c r="BQ52" s="3">
        <f ca="1">IF(AND($V$17=$C$17,$V$18&lt;&gt;""),INDEX($CB$30:$CJ$38,MATCH($C$17,$CA$52:$CA$60,0),MATCH($V$18,$CB$51:$CJ$51,0)),0)</f>
        <v>0</v>
      </c>
      <c r="BR52" s="3">
        <f ca="1">IF(AND($V$17=$C$17,$V$19&lt;&gt;""),INDEX($CB$30:$CJ$38,MATCH($C$17,$CA$52:$CA$60,0),MATCH($V$19,$CB$51:$CJ$51,0)),0)</f>
        <v>0</v>
      </c>
      <c r="BS52" s="3">
        <f ca="1">IF(AND($V$17=$C$17,$V$20&lt;&gt;""),INDEX($CB$30:$CJ$38,MATCH($C$17,$CA$52:$CA$60,0),MATCH($V$20,$CB$51:$CJ$51,0)),0)</f>
        <v>0</v>
      </c>
      <c r="BT52" s="3">
        <f ca="1">IF(AND($V$17=$C$17,$V$21&lt;&gt;""),INDEX($CB$30:$CJ$38,MATCH($C$17,$CA$52:$CA$60,0),MATCH($V$21,$CB$51:$CJ$51,0)),0)</f>
        <v>0</v>
      </c>
      <c r="BU52" s="3">
        <f ca="1">IF(AND($V$17=$C$17,$V$22&lt;&gt;""),INDEX($CB$30:$CJ$38,MATCH($C$17,$CA$52:$CA$60,0),MATCH($V$22,$CB$51:$CJ$51,0)),0)</f>
        <v>0</v>
      </c>
      <c r="BV52" s="3">
        <f ca="1">IF(AND($V$17=$C$17,$V$23&lt;&gt;""),INDEX($CB$30:$CJ$38,MATCH($C$17,$CA$52:$CA$60,0),MATCH($V$23,$CB$51:$CJ$51,0)),0)</f>
        <v>0</v>
      </c>
      <c r="BW52" s="3">
        <f ca="1">IF(AND($V$17=$C$17,$V$24&lt;&gt;""),INDEX($CB$30:$CJ$38,MATCH($C$17,$CA$52:$CA$60,0),MATCH($V$24,$CB$51:$CJ$51,0)),0)</f>
        <v>0</v>
      </c>
      <c r="BX52" s="3">
        <f ca="1">IF(AND($V$17=$C$17,$V$25&lt;&gt;""),INDEX($CB$30:$CJ$38,MATCH($C$17,$CA$52:$CA$60,0),MATCH($V$25,$CB$51:$CJ$51,0)),0)</f>
        <v>0</v>
      </c>
      <c r="BY52" s="14"/>
      <c r="BZ52" s="3"/>
      <c r="CA52" s="2" t="str">
        <f t="shared" ref="CA52:CA60" si="66">F4</f>
        <v>1. FC Riedwald</v>
      </c>
      <c r="CB52" s="6"/>
      <c r="CC52" s="7">
        <f t="shared" ref="CC52:CJ52" ca="1" si="67">SUMIFS($AL$64:$AL$135,$V$64:$V$135,$CA52,$W$64:$W$135,CC$51)+SUMIFS($AM$64:$AM$135,$W$64:$W$135,$CA52,$V$64:$V$135,CC$51)</f>
        <v>2</v>
      </c>
      <c r="CD52" s="7">
        <f t="shared" ca="1" si="67"/>
        <v>4</v>
      </c>
      <c r="CE52" s="7">
        <f t="shared" ca="1" si="67"/>
        <v>1</v>
      </c>
      <c r="CF52" s="7">
        <f t="shared" ca="1" si="67"/>
        <v>2</v>
      </c>
      <c r="CG52" s="7">
        <f t="shared" ca="1" si="67"/>
        <v>2</v>
      </c>
      <c r="CH52" s="7">
        <f t="shared" ca="1" si="67"/>
        <v>3</v>
      </c>
      <c r="CI52" s="7">
        <f t="shared" ca="1" si="67"/>
        <v>0</v>
      </c>
      <c r="CJ52" s="7">
        <f t="shared" ca="1" si="67"/>
        <v>0</v>
      </c>
      <c r="CK52" s="3"/>
    </row>
    <row r="53" spans="2:89" s="2" customFormat="1" x14ac:dyDescent="0.2">
      <c r="E53" s="14">
        <f ca="1">IF(AND($O$18=$C$18,$O$17&lt;&gt;""),INDEX($CB$30:$CJ$38,MATCH($C$18,$CA$52:$CA$60,0),MATCH($O$17,$CB$51:$CJ$51,0)),0)</f>
        <v>0</v>
      </c>
      <c r="F53" s="3">
        <v>0</v>
      </c>
      <c r="G53" s="3">
        <f ca="1">IF(AND($O$18=$C$18,$O$19&lt;&gt;""),INDEX($CB$30:$CJ$38,MATCH($C$18,$CA$52:$CA$60,0),MATCH($O$19,$CB$51:$CJ$51,0)),0)</f>
        <v>0</v>
      </c>
      <c r="H53" s="3">
        <f ca="1">IF(AND($O$18=$C$18,$O$20&lt;&gt;""),INDEX($CB$30:$CJ$38,MATCH($C$18,$CA$52:$CA$60,0),MATCH($O$20,$CB$51:$CJ$51,0)),0)</f>
        <v>0</v>
      </c>
      <c r="I53" s="3">
        <f ca="1">IF(AND($O$18=$C$18,$O$21&lt;&gt;""),INDEX($CB$30:$CJ$38,MATCH($C$18,$CA$52:$CA$60,0),MATCH($O$21,$CB$51:$CJ$51,0)),0)</f>
        <v>0</v>
      </c>
      <c r="J53" s="3">
        <f ca="1">IF(AND($O$18=$C$18,$O$22&lt;&gt;""),INDEX($CB$30:$CJ$38,MATCH($C$18,$CA$52:$CA$60,0),MATCH($O$22,$CB$51:$CJ$51,0)),0)</f>
        <v>0</v>
      </c>
      <c r="K53" s="3">
        <f ca="1">IF(AND($O$18=$C$18,$O$23&lt;&gt;""),INDEX($CB$30:$CJ$38,MATCH($C$18,$CA$52:$CA$60,0),MATCH($O$23,$CB$51:$CJ$51,0)),0)</f>
        <v>0</v>
      </c>
      <c r="L53" s="3">
        <f ca="1">IF(AND($O$18=$C$18,$O$24&lt;&gt;""),INDEX($CB$30:$CJ$38,MATCH($C$18,$CA$52:$CA$60,0),MATCH($O$24,$CB$51:$CJ$51,0)),0)</f>
        <v>0</v>
      </c>
      <c r="M53" s="53">
        <f ca="1">IF(AND($O$18=$C$18,$O$25&lt;&gt;""),INDEX($CB$30:$CJ$38,MATCH($C$18,$CA$52:$CA$60,0),MATCH($O$25,$CB$51:$CJ$51,0)),0)</f>
        <v>0</v>
      </c>
      <c r="N53" s="5">
        <f ca="1">IF(AND($P$18=$C$18,$P$17&lt;&gt;""),INDEX($CB$30:$CJ$38,MATCH($C$18,$CA$52:$CA$60,0),MATCH($P$17,$CB$51:$CJ$51,0)),0)</f>
        <v>0</v>
      </c>
      <c r="O53" s="3">
        <v>0</v>
      </c>
      <c r="P53" s="3">
        <f ca="1">IF(AND($P$18=$C$18,$P$19&lt;&gt;""),INDEX($CB$30:$CJ$38,MATCH($C$18,$CA$52:$CA$60,0),MATCH($P$19,$CB$51:$CJ$51,0)),0)</f>
        <v>0</v>
      </c>
      <c r="Q53" s="3">
        <f ca="1">IF(AND($P$18=$C$18,$P$20&lt;&gt;""),INDEX($CB$30:$CJ$38,MATCH($C$18,$CA$52:$CA$60,0),MATCH($P$20,$CB$51:$CJ$51,0)),0)</f>
        <v>0</v>
      </c>
      <c r="R53" s="3">
        <f ca="1">IF(AND($P$18=$C$18,$P$21&lt;&gt;""),INDEX($CB$30:$CJ$38,MATCH($C$18,$CA$52:$CA$60,0),MATCH($P$21,$CB$51:$CJ$51,0)),0)</f>
        <v>0</v>
      </c>
      <c r="S53" s="3">
        <f ca="1">IF(AND($P$18=$C$18,$P$22&lt;&gt;""),INDEX($CB$30:$CJ$38,MATCH($C$18,$CA$52:$CA$60,0),MATCH($P$22,$CB$51:$CJ$51,0)),0)</f>
        <v>0</v>
      </c>
      <c r="T53" s="3">
        <f ca="1">IF(AND($P$18=$C$18,$P$23&lt;&gt;""),INDEX($CB$30:$CJ$38,MATCH($C$18,$CA$52:$CA$60,0),MATCH($P$23,$CB$51:$CJ$51,0)),0)</f>
        <v>0</v>
      </c>
      <c r="U53" s="3">
        <f ca="1">IF(AND($P$18=$C$18,$P$24&lt;&gt;""),INDEX($CB$30:$CJ$38,MATCH($C$18,$CA$52:$CA$60,0),MATCH($P$24,$CB$51:$CJ$51,0)),0)</f>
        <v>0</v>
      </c>
      <c r="V53" s="53">
        <f ca="1">IF(AND($P$18=$C$18,$P$25&lt;&gt;""),INDEX($CB$30:$CJ$38,MATCH($C$18,$CA$52:$CA$60,0),MATCH($P$25,$CB$51:$CJ$51,0)),0)</f>
        <v>0</v>
      </c>
      <c r="W53" s="5">
        <f ca="1">IF(AND($Q$18=$C$18,$Q$17&lt;&gt;""),INDEX($CB$30:$CJ$38,MATCH($C$18,$CA$52:$CA$60,0),MATCH($Q$17,$CB$51:$CJ$51,0)),0)</f>
        <v>0</v>
      </c>
      <c r="X53" s="3">
        <v>0</v>
      </c>
      <c r="Y53" s="3">
        <f ca="1">IF(AND($Q$18=$C$18,$Q$19&lt;&gt;""),INDEX($CB$30:$CJ$38,MATCH($C$18,$CA$52:$CA$60,0),MATCH($Q$19,$CB$51:$CJ$51,0)),0)</f>
        <v>0</v>
      </c>
      <c r="Z53" s="3">
        <f ca="1">IF(AND($Q$18=$C$18,$Q$20&lt;&gt;""),INDEX($CB$30:$CJ$38,MATCH($C$18,$CA$52:$CA$60,0),MATCH($Q$20,$CB$51:$CJ$51,0)),0)</f>
        <v>0</v>
      </c>
      <c r="AA53" s="3">
        <f ca="1">IF(AND($Q$18=$C$18,$Q$21&lt;&gt;""),INDEX($CB$30:$CJ$38,MATCH($C$18,$CA$52:$CA$60,0),MATCH($Q$21,$CB$51:$CJ$51,0)),0)</f>
        <v>0</v>
      </c>
      <c r="AB53" s="3">
        <f ca="1">IF(AND($Q$18=$C$18,$Q$22&lt;&gt;""),INDEX($CB$30:$CJ$38,MATCH($C$18,$CA$52:$CA$60,0),MATCH($Q$22,$CB$51:$CJ$51,0)),0)</f>
        <v>0</v>
      </c>
      <c r="AC53" s="3">
        <f ca="1">IF(AND($Q$18=$C$18,$Q$23&lt;&gt;""),INDEX($CB$30:$CJ$38,MATCH($C$18,$CA$52:$CA$60,0),MATCH($Q$23,$CB$51:$CJ$51,0)),0)</f>
        <v>0</v>
      </c>
      <c r="AD53" s="3">
        <f ca="1">IF(AND($Q$18=$C$18,$Q$24&lt;&gt;""),INDEX($CB$30:$CJ$38,MATCH($C$18,$CA$52:$CA$60,0),MATCH($Q$24,$CB$51:$CJ$51,0)),0)</f>
        <v>0</v>
      </c>
      <c r="AE53" s="53">
        <f ca="1">IF(AND($Q$18=$C$18,$Q$25&lt;&gt;""),INDEX($CB$30:$CJ$38,MATCH($C$18,$CA$52:$CA$60,0),MATCH($Q$25,$CB$51:$CJ$51,0)),0)</f>
        <v>0</v>
      </c>
      <c r="AF53" s="5">
        <f ca="1">IF(AND($R$18=$C$18,$R$17&lt;&gt;""),INDEX($CB$30:$CJ$38,MATCH($C$18,$CA$52:$CA$60,0),MATCH($R$17,$CB$51:$CJ$51,0)),0)</f>
        <v>0</v>
      </c>
      <c r="AG53" s="3">
        <v>0</v>
      </c>
      <c r="AH53" s="3">
        <f ca="1">IF(AND($R$18=$C$18,$R$19&lt;&gt;""),INDEX($CB$30:$CJ$38,MATCH($C$18,$CA$52:$CA$60,0),MATCH($R$19,$CB$51:$CJ$51,0)),0)</f>
        <v>0</v>
      </c>
      <c r="AI53" s="3">
        <f ca="1">IF(AND($R$18=$C$18,$R$20&lt;&gt;""),INDEX($CB$30:$CJ$38,MATCH($C$18,$CA$52:$CA$60,0),MATCH($R$20,$CB$51:$CJ$51,0)),0)</f>
        <v>0</v>
      </c>
      <c r="AJ53" s="3">
        <f ca="1">IF(AND($R$18=$C$18,$R$21&lt;&gt;""),INDEX($CB$30:$CJ$38,MATCH($C$18,$CA$52:$CA$60,0),MATCH($R$21,$CB$51:$CJ$51,0)),0)</f>
        <v>0</v>
      </c>
      <c r="AK53" s="3">
        <f ca="1">IF(AND($R$18=$C$18,$R$22&lt;&gt;""),INDEX($CB$30:$CJ$38,MATCH($C$18,$CA$52:$CA$60,0),MATCH($R$22,$CB$51:$CJ$51,0)),0)</f>
        <v>0</v>
      </c>
      <c r="AL53" s="3">
        <f ca="1">IF(AND($R$18=$C$18,$R$23&lt;&gt;""),INDEX($CB$30:$CJ$38,MATCH($C$18,$CA$52:$CA$60,0),MATCH($R$23,$CB$51:$CJ$51,0)),0)</f>
        <v>0</v>
      </c>
      <c r="AM53" s="3">
        <f ca="1">IF(AND($R$18=$C$18,$R$24&lt;&gt;""),INDEX($CB$30:$CJ$38,MATCH($C$18,$CA$52:$CA$60,0),MATCH($R$24,$CB$51:$CJ$51,0)),0)</f>
        <v>0</v>
      </c>
      <c r="AN53" s="53">
        <f ca="1">IF(AND($R$18=$C$18,$R$25&lt;&gt;""),INDEX($CB$30:$CJ$38,MATCH($C$18,$CA$52:$CA$60,0),MATCH($R$25,$CB$51:$CJ$51,0)),0)</f>
        <v>0</v>
      </c>
      <c r="AO53" s="5">
        <f ca="1">IF(AND($S$18=$C$18,$S$17&lt;&gt;""),INDEX($CB$30:$CJ$38,MATCH($C$18,$CA$52:$CA$60,0),MATCH($S$17,$CB$51:$CJ$51,0)),0)</f>
        <v>0</v>
      </c>
      <c r="AP53" s="3">
        <v>0</v>
      </c>
      <c r="AQ53" s="3">
        <f ca="1">IF(AND($S$18=$C$18,$S$19&lt;&gt;""),INDEX($CB$30:$CJ$38,MATCH($C$18,$CA$52:$CA$60,0),MATCH($S$19,$CB$51:$CJ$51,0)),0)</f>
        <v>0</v>
      </c>
      <c r="AR53" s="3">
        <f ca="1">IF(AND($S$18=$C$18,$S$20&lt;&gt;""),INDEX($CB$30:$CJ$38,MATCH($C$18,$CA$52:$CA$60,0),MATCH($S$20,$CB$51:$CJ$51,0)),0)</f>
        <v>0</v>
      </c>
      <c r="AS53" s="3">
        <f ca="1">IF(AND($S$18=$C$18,$S$21&lt;&gt;""),INDEX($CB$30:$CJ$38,MATCH($C$18,$CA$52:$CA$60,0),MATCH($S$21,$CB$51:$CJ$51,0)),0)</f>
        <v>0</v>
      </c>
      <c r="AT53" s="3">
        <f ca="1">IF(AND($S$18=$C$18,$S$22&lt;&gt;""),INDEX($CB$30:$CJ$38,MATCH($C$18,$CA$52:$CA$60,0),MATCH($S$22,$CB$51:$CJ$51,0)),0)</f>
        <v>0</v>
      </c>
      <c r="AU53" s="3">
        <f ca="1">IF(AND($S$18=$C$18,$S$23&lt;&gt;""),INDEX($CB$30:$CJ$38,MATCH($C$18,$CA$52:$CA$60,0),MATCH($S$23,$CB$51:$CJ$51,0)),0)</f>
        <v>0</v>
      </c>
      <c r="AV53" s="3">
        <f ca="1">IF(AND($S$18=$C$18,$S$24&lt;&gt;""),INDEX($CB$30:$CJ$38,MATCH($C$18,$CA$52:$CA$60,0),MATCH($S$24,$CB$51:$CJ$51,0)),0)</f>
        <v>0</v>
      </c>
      <c r="AW53" s="53">
        <f ca="1">IF(AND($S$18=$C$18,$S$25&lt;&gt;""),INDEX($CB$30:$CJ$38,MATCH($C$18,$CA$52:$CA$60,0),MATCH($S$25,$CB$51:$CJ$51,0)),0)</f>
        <v>0</v>
      </c>
      <c r="AX53" s="5">
        <f ca="1">IF(AND($T$18=$C$18,$T$17&lt;&gt;""),INDEX($CB$30:$CJ$38,MATCH($C$18,$CA$52:$CA$60,0),MATCH($T$17,$CB$51:$CJ$51,0)),0)</f>
        <v>0</v>
      </c>
      <c r="AY53" s="3">
        <v>0</v>
      </c>
      <c r="AZ53" s="3">
        <f ca="1">IF(AND($T$18=$C$18,$T$19&lt;&gt;""),INDEX($CB$30:$CJ$38,MATCH($C$18,$CA$52:$CA$60,0),MATCH($T$19,$CB$51:$CJ$51,0)),0)</f>
        <v>0</v>
      </c>
      <c r="BA53" s="3">
        <f ca="1">IF(AND($T$18=$C$18,$T$20&lt;&gt;""),INDEX($CB$30:$CJ$38,MATCH($C$18,$CA$52:$CA$60,0),MATCH($T$20,$CB$51:$CJ$51,0)),0)</f>
        <v>0</v>
      </c>
      <c r="BB53" s="3">
        <f ca="1">IF(AND($T$18=$C$18,$T$21&lt;&gt;""),INDEX($CB$30:$CJ$38,MATCH($C$18,$CA$52:$CA$60,0),MATCH($T$21,$CB$51:$CJ$51,0)),0)</f>
        <v>0</v>
      </c>
      <c r="BC53" s="3">
        <f ca="1">IF(AND($T$18=$C$18,$T$22&lt;&gt;""),INDEX($CB$30:$CJ$38,MATCH($C$18,$CA$52:$CA$60,0),MATCH($T$22,$CB$51:$CJ$51,0)),0)</f>
        <v>0</v>
      </c>
      <c r="BD53" s="3">
        <f ca="1">IF(AND($T$18=$C$18,$T$23&lt;&gt;""),INDEX($CB$30:$CJ$38,MATCH($C$18,$CA$52:$CA$60,0),MATCH($T$23,$CB$51:$CJ$51,0)),0)</f>
        <v>0</v>
      </c>
      <c r="BE53" s="3">
        <f ca="1">IF(AND($T$18=$C$18,$T$24&lt;&gt;""),INDEX($CB$30:$CJ$38,MATCH($C$18,$CA$52:$CA$60,0),MATCH($T$24,$CB$51:$CJ$51,0)),0)</f>
        <v>0</v>
      </c>
      <c r="BF53" s="53">
        <f ca="1">IF(AND($T$18=$C$18,$T$25&lt;&gt;""),INDEX($CB$30:$CJ$38,MATCH($C$18,$CA$52:$CA$60,0),MATCH($T$25,$CB$51:$CJ$51,0)),0)</f>
        <v>0</v>
      </c>
      <c r="BG53" s="5">
        <f ca="1">IF(AND($U$18=$C$18,$U$17&lt;&gt;""),INDEX($CB$30:$CJ$38,MATCH($C$18,$CA$52:$CA$60,0),MATCH($U$17,$CB$51:$CJ$51,0)),0)</f>
        <v>0</v>
      </c>
      <c r="BH53" s="3">
        <v>0</v>
      </c>
      <c r="BI53" s="3">
        <f ca="1">IF(AND($U$18=$C$18,$U$19&lt;&gt;""),INDEX($CB$30:$CJ$38,MATCH($C$18,$CA$52:$CA$60,0),MATCH($U$19,$CB$51:$CJ$51,0)),0)</f>
        <v>0</v>
      </c>
      <c r="BJ53" s="3">
        <f ca="1">IF(AND($U$18=$C$18,$U$20&lt;&gt;""),INDEX($CB$30:$CJ$38,MATCH($C$18,$CA$52:$CA$60,0),MATCH($U$20,$CB$51:$CJ$51,0)),0)</f>
        <v>0</v>
      </c>
      <c r="BK53" s="3">
        <f ca="1">IF(AND($U$18=$C$18,$U$21&lt;&gt;""),INDEX($CB$30:$CJ$38,MATCH($C$18,$CA$52:$CA$60,0),MATCH($U$21,$CB$51:$CJ$51,0)),0)</f>
        <v>0</v>
      </c>
      <c r="BL53" s="3">
        <f ca="1">IF(AND($U$18=$C$18,$U$22&lt;&gt;""),INDEX($CB$30:$CJ$38,MATCH($C$18,$CA$52:$CA$60,0),MATCH($U$22,$CB$51:$CJ$51,0)),0)</f>
        <v>0</v>
      </c>
      <c r="BM53" s="3">
        <f ca="1">IF(AND($U$18=$C$18,$U$23&lt;&gt;""),INDEX($CB$30:$CJ$38,MATCH($C$18,$CA$52:$CA$60,0),MATCH($U$23,$CB$51:$CJ$51,0)),0)</f>
        <v>0</v>
      </c>
      <c r="BN53" s="3">
        <f ca="1">IF(AND($U$18=$C$18,$U$24&lt;&gt;""),INDEX($CB$30:$CJ$38,MATCH($C$18,$CA$52:$CA$60,0),MATCH($U$24,$CB$51:$CJ$51,0)),0)</f>
        <v>0</v>
      </c>
      <c r="BO53" s="53">
        <f ca="1">IF(AND($U$18=$C$18,$U$25&lt;&gt;""),INDEX($CB$30:$CJ$38,MATCH($C$18,$CA$52:$CA$60,0),MATCH($U$25,$CB$51:$CJ$51,0)),0)</f>
        <v>0</v>
      </c>
      <c r="BP53" s="5">
        <f ca="1">IF(AND($V$18=$C$18,$V$17&lt;&gt;""),INDEX($CB$30:$CJ$38,MATCH($C$18,$CA$52:$CA$60,0),MATCH($V$17,$CB$51:$CJ$51,0)),0)</f>
        <v>0</v>
      </c>
      <c r="BQ53" s="3">
        <v>0</v>
      </c>
      <c r="BR53" s="3">
        <f ca="1">IF(AND($V$18=$C$18,$V$19&lt;&gt;""),INDEX($CB$30:$CJ$38,MATCH($C$18,$CA$52:$CA$60,0),MATCH($V$19,$CB$51:$CJ$51,0)),0)</f>
        <v>0</v>
      </c>
      <c r="BS53" s="3">
        <f ca="1">IF(AND($V$18=$C$18,$V$20&lt;&gt;""),INDEX($CB$30:$CJ$38,MATCH($C$18,$CA$52:$CA$60,0),MATCH($V$20,$CB$51:$CJ$51,0)),0)</f>
        <v>0</v>
      </c>
      <c r="BT53" s="3">
        <f ca="1">IF(AND($V$18=$C$18,$V$21&lt;&gt;""),INDEX($CB$30:$CJ$38,MATCH($C$18,$CA$52:$CA$60,0),MATCH($V$21,$CB$51:$CJ$51,0)),0)</f>
        <v>0</v>
      </c>
      <c r="BU53" s="3">
        <f ca="1">IF(AND($V$18=$C$18,$V$22&lt;&gt;""),INDEX($CB$30:$CJ$38,MATCH($C$18,$CA$52:$CA$60,0),MATCH($V$22,$CB$51:$CJ$51,0)),0)</f>
        <v>0</v>
      </c>
      <c r="BV53" s="3">
        <f ca="1">IF(AND($V$18=$C$18,$V$23&lt;&gt;""),INDEX($CB$30:$CJ$38,MATCH($C$18,$CA$52:$CA$60,0),MATCH($V$23,$CB$51:$CJ$51,0)),0)</f>
        <v>0</v>
      </c>
      <c r="BW53" s="3">
        <f ca="1">IF(AND($V$18=$C$18,$V$24&lt;&gt;""),INDEX($CB$30:$CJ$38,MATCH($C$18,$CA$52:$CA$60,0),MATCH($V$24,$CB$51:$CJ$51,0)),0)</f>
        <v>0</v>
      </c>
      <c r="BX53" s="3">
        <f ca="1">IF(AND($V$18=$C$18,$V$25&lt;&gt;""),INDEX($CB$30:$CJ$38,MATCH($C$18,$CA$52:$CA$60,0),MATCH($V$25,$CB$51:$CJ$51,0)),0)</f>
        <v>0</v>
      </c>
      <c r="BY53" s="14"/>
      <c r="BZ53" s="3"/>
      <c r="CA53" s="2" t="str">
        <f t="shared" si="66"/>
        <v>FC Barcelona</v>
      </c>
      <c r="CB53" s="8">
        <f t="shared" ref="CB53:CB60" ca="1" si="68">SUMIFS($AL$64:$AL$135,$V$64:$V$135,$CA53,$W$64:$W$135,CB$51)+SUMIFS($AM$64:$AM$135,$W$64:$W$135,$CA53,$V$64:$V$135,CB$51)</f>
        <v>2</v>
      </c>
      <c r="CC53" s="6"/>
      <c r="CD53" s="7">
        <f t="shared" ref="CD53:CJ53" ca="1" si="69">SUMIFS($AL$64:$AL$135,$V$64:$V$135,$CA53,$W$64:$W$135,CD$51)+SUMIFS($AM$64:$AM$135,$W$64:$W$135,$CA53,$V$64:$V$135,CD$51)</f>
        <v>1</v>
      </c>
      <c r="CE53" s="7">
        <f t="shared" ca="1" si="69"/>
        <v>2</v>
      </c>
      <c r="CF53" s="7">
        <f t="shared" ca="1" si="69"/>
        <v>3</v>
      </c>
      <c r="CG53" s="7">
        <f t="shared" ca="1" si="69"/>
        <v>3</v>
      </c>
      <c r="CH53" s="7">
        <f t="shared" ca="1" si="69"/>
        <v>2</v>
      </c>
      <c r="CI53" s="7">
        <f t="shared" ca="1" si="69"/>
        <v>0</v>
      </c>
      <c r="CJ53" s="7">
        <f t="shared" ca="1" si="69"/>
        <v>0</v>
      </c>
      <c r="CK53" s="3"/>
    </row>
    <row r="54" spans="2:89" s="2" customFormat="1" x14ac:dyDescent="0.2">
      <c r="E54" s="14">
        <f ca="1">IF(AND($O$19=$C$19,$O$17&lt;&gt;""),INDEX($CB$30:$CJ$38,MATCH($C$19,$CA$52:$CA$60,0),MATCH($O$17,$CB$51:$CJ$51,0)),0)</f>
        <v>0</v>
      </c>
      <c r="F54" s="3">
        <f ca="1">IF(AND($O$19=$C$19,$O$18&lt;&gt;""),INDEX($CB$30:$CJ$38,MATCH($C$19,$CA$52:$CA$60,0),MATCH($O$18,$CB$51:$CJ$51,0)),0)</f>
        <v>0</v>
      </c>
      <c r="G54" s="3">
        <v>0</v>
      </c>
      <c r="H54" s="3">
        <f ca="1">IF(AND($O$19=$C$19,$O$20&lt;&gt;""),INDEX($CB$30:$CJ$38,MATCH($C$19,$CA$52:$CA$60,0),MATCH($O$20,$CB$51:$CJ$51,0)),0)</f>
        <v>0</v>
      </c>
      <c r="I54" s="3">
        <f ca="1">IF(AND($O$19=$C$19,$O$21&lt;&gt;""),INDEX($CB$30:$CJ$38,MATCH($C$19,$CA$52:$CA$60,0),MATCH($O$21,$CB$51:$CJ$51,0)),0)</f>
        <v>0</v>
      </c>
      <c r="J54" s="3">
        <f ca="1">IF(AND($O$19=$C$19,$O$22&lt;&gt;""),INDEX($CB$30:$CJ$38,MATCH($C$19,$CA$52:$CA$60,0),MATCH($O$22,$CB$51:$CJ$51,0)),0)</f>
        <v>0</v>
      </c>
      <c r="K54" s="3">
        <f ca="1">IF(AND($O$19=$C$19,$O$23&lt;&gt;""),INDEX($CB$30:$CJ$38,MATCH($C$19,$CA$52:$CA$60,0),MATCH($O$23,$CB$51:$CJ$51,0)),0)</f>
        <v>0</v>
      </c>
      <c r="L54" s="3">
        <f ca="1">IF(AND($O$19=$C$19,$O$24&lt;&gt;""),INDEX($CB$30:$CJ$38,MATCH($C$19,$CA$52:$CA$60,0),MATCH($O$24,$CB$51:$CJ$51,0)),0)</f>
        <v>0</v>
      </c>
      <c r="M54" s="53">
        <f ca="1">IF(AND($O$19=$C$19,$O$25&lt;&gt;""),INDEX($CB$30:$CJ$38,MATCH($C$19,$CA$52:$CA$60,0),MATCH($O$25,$CB$51:$CJ$51,0)),0)</f>
        <v>0</v>
      </c>
      <c r="N54" s="5">
        <f ca="1">IF(AND($P$19=$C$19,$P$17&lt;&gt;""),INDEX($CB$30:$CJ$38,MATCH($C$19,$CA$52:$CA$60,0),MATCH($P$17,$CB$51:$CJ$51,0)),0)</f>
        <v>0</v>
      </c>
      <c r="O54" s="3">
        <f ca="1">IF(AND($P$19=$C$19,$P$18&lt;&gt;""),INDEX($CB$30:$CJ$38,MATCH($C$19,$CA$52:$CA$60,0),MATCH($P$18,$CB$51:$CJ$51,0)),0)</f>
        <v>0</v>
      </c>
      <c r="P54" s="3">
        <v>0</v>
      </c>
      <c r="Q54" s="3">
        <f ca="1">IF(AND($P$19=$C$19,$P$20&lt;&gt;""),INDEX($CB$30:$CJ$38,MATCH($C$19,$CA$52:$CA$60,0),MATCH($P$20,$CB$51:$CJ$51,0)),0)</f>
        <v>0</v>
      </c>
      <c r="R54" s="3">
        <f ca="1">IF(AND($P$19=$C$19,$P$21&lt;&gt;""),INDEX($CB$30:$CJ$38,MATCH($C$19,$CA$52:$CA$60,0),MATCH($P$21,$CB$51:$CJ$51,0)),0)</f>
        <v>0</v>
      </c>
      <c r="S54" s="3">
        <f ca="1">IF(AND($P$19=$C$19,$P$22&lt;&gt;""),INDEX($CB$30:$CJ$38,MATCH($C$19,$CA$52:$CA$60,0),MATCH($P$22,$CB$51:$CJ$51,0)),0)</f>
        <v>0</v>
      </c>
      <c r="T54" s="3">
        <f ca="1">IF(AND($P$19=$C$19,$P$23&lt;&gt;""),INDEX($CB$30:$CJ$38,MATCH($C$19,$CA$52:$CA$60,0),MATCH($P$23,$CB$51:$CJ$51,0)),0)</f>
        <v>0</v>
      </c>
      <c r="U54" s="3">
        <f ca="1">IF(AND($P$19=$C$19,$P$24&lt;&gt;""),INDEX($CB$30:$CJ$38,MATCH($C$19,$CA$52:$CA$60,0),MATCH($P$24,$CB$51:$CJ$51,0)),0)</f>
        <v>0</v>
      </c>
      <c r="V54" s="53">
        <f ca="1">IF(AND($P$19=$C$19,$P$25&lt;&gt;""),INDEX($CB$30:$CJ$38,MATCH($C$19,$CA$52:$CA$60,0),MATCH($P$25,$CB$51:$CJ$51,0)),0)</f>
        <v>0</v>
      </c>
      <c r="W54" s="5">
        <f ca="1">IF(AND($Q$19=$C$19,$Q$17&lt;&gt;""),INDEX($CB$30:$CJ$38,MATCH($C$19,$CA$52:$CA$60,0),MATCH($Q$17,$CB$51:$CJ$51,0)),0)</f>
        <v>0</v>
      </c>
      <c r="X54" s="3">
        <f ca="1">IF(AND($Q$19=$C$19,$Q$18&lt;&gt;""),INDEX($CB$30:$CJ$38,MATCH($C$19,$CA$52:$CA$60,0),MATCH($Q$18,$CB$51:$CJ$51,0)),0)</f>
        <v>0</v>
      </c>
      <c r="Y54" s="3">
        <v>0</v>
      </c>
      <c r="Z54" s="3">
        <f ca="1">IF(AND($Q$19=$C$19,$Q$20&lt;&gt;""),INDEX($CB$30:$CJ$38,MATCH($C$19,$CA$52:$CA$60,0),MATCH($Q$20,$CB$51:$CJ$51,0)),0)</f>
        <v>0</v>
      </c>
      <c r="AA54" s="3">
        <f ca="1">IF(AND($Q$19=$C$19,$Q$21&lt;&gt;""),INDEX($CB$30:$CJ$38,MATCH($C$19,$CA$52:$CA$60,0),MATCH($Q$21,$CB$51:$CJ$51,0)),0)</f>
        <v>0</v>
      </c>
      <c r="AB54" s="3">
        <f ca="1">IF(AND($Q$19=$C$19,$Q$22&lt;&gt;""),INDEX($CB$30:$CJ$38,MATCH($C$19,$CA$52:$CA$60,0),MATCH($Q$22,$CB$51:$CJ$51,0)),0)</f>
        <v>0</v>
      </c>
      <c r="AC54" s="3">
        <f ca="1">IF(AND($Q$19=$C$19,$Q$23&lt;&gt;""),INDEX($CB$30:$CJ$38,MATCH($C$19,$CA$52:$CA$60,0),MATCH($Q$23,$CB$51:$CJ$51,0)),0)</f>
        <v>0</v>
      </c>
      <c r="AD54" s="3">
        <f ca="1">IF(AND($Q$19=$C$19,$Q$24&lt;&gt;""),INDEX($CB$30:$CJ$38,MATCH($C$19,$CA$52:$CA$60,0),MATCH($Q$24,$CB$51:$CJ$51,0)),0)</f>
        <v>0</v>
      </c>
      <c r="AE54" s="53">
        <f ca="1">IF(AND($Q$19=$C$19,$Q$25&lt;&gt;""),INDEX($CB$30:$CJ$38,MATCH($C$19,$CA$52:$CA$60,0),MATCH($Q$25,$CB$51:$CJ$51,0)),0)</f>
        <v>0</v>
      </c>
      <c r="AF54" s="5">
        <f ca="1">IF(AND($R$19=$C$19,$R$17&lt;&gt;""),INDEX($CB$30:$CJ$38,MATCH($C$19,$CA$52:$CA$60,0),MATCH($R$17,$CB$51:$CJ$51,0)),0)</f>
        <v>0</v>
      </c>
      <c r="AG54" s="3">
        <f ca="1">IF(AND($R$19=$C$19,$R$18&lt;&gt;""),INDEX($CB$30:$CJ$38,MATCH($C$19,$CA$52:$CA$60,0),MATCH($R$18,$CB$51:$CJ$51,0)),0)</f>
        <v>0</v>
      </c>
      <c r="AH54" s="3">
        <v>0</v>
      </c>
      <c r="AI54" s="3">
        <f ca="1">IF(AND($R$19=$C$19,$R$20&lt;&gt;""),INDEX($CB$30:$CJ$38,MATCH($C$19,$CA$52:$CA$60,0),MATCH($R$20,$CB$51:$CJ$51,0)),0)</f>
        <v>0</v>
      </c>
      <c r="AJ54" s="3">
        <f ca="1">IF(AND($R$19=$C$19,$R$21&lt;&gt;""),INDEX($CB$30:$CJ$38,MATCH($C$19,$CA$52:$CA$60,0),MATCH($R$21,$CB$51:$CJ$51,0)),0)</f>
        <v>0</v>
      </c>
      <c r="AK54" s="3">
        <f ca="1">IF(AND($R$19=$C$19,$R$22&lt;&gt;""),INDEX($CB$30:$CJ$38,MATCH($C$19,$CA$52:$CA$60,0),MATCH($R$22,$CB$51:$CJ$51,0)),0)</f>
        <v>0</v>
      </c>
      <c r="AL54" s="3">
        <f ca="1">IF(AND($R$19=$C$19,$R$23&lt;&gt;""),INDEX($CB$30:$CJ$38,MATCH($C$19,$CA$52:$CA$60,0),MATCH($R$23,$CB$51:$CJ$51,0)),0)</f>
        <v>0</v>
      </c>
      <c r="AM54" s="3">
        <f ca="1">IF(AND($R$19=$C$19,$R$24&lt;&gt;""),INDEX($CB$30:$CJ$38,MATCH($C$19,$CA$52:$CA$60,0),MATCH($R$24,$CB$51:$CJ$51,0)),0)</f>
        <v>0</v>
      </c>
      <c r="AN54" s="53">
        <f ca="1">IF(AND($R$19=$C$19,$R$25&lt;&gt;""),INDEX($CB$30:$CJ$38,MATCH($C$19,$CA$52:$CA$60,0),MATCH($R$25,$CB$51:$CJ$51,0)),0)</f>
        <v>0</v>
      </c>
      <c r="AO54" s="5">
        <f ca="1">IF(AND($S$19=$C$19,$S$17&lt;&gt;""),INDEX($CB$30:$CJ$38,MATCH($C$19,$CA$52:$CA$60,0),MATCH($S$17,$CB$51:$CJ$51,0)),0)</f>
        <v>0</v>
      </c>
      <c r="AP54" s="3">
        <f ca="1">IF(AND($S$19=$C$19,$S$18&lt;&gt;""),INDEX($CB$30:$CJ$38,MATCH($C$19,$CA$52:$CA$60,0),MATCH($S$18,$CB$51:$CJ$51,0)),0)</f>
        <v>0</v>
      </c>
      <c r="AQ54" s="3">
        <v>0</v>
      </c>
      <c r="AR54" s="3">
        <f ca="1">IF(AND($S$19=$C$19,$S$20&lt;&gt;""),INDEX($CB$30:$CJ$38,MATCH($C$19,$CA$52:$CA$60,0),MATCH($S$20,$CB$51:$CJ$51,0)),0)</f>
        <v>0</v>
      </c>
      <c r="AS54" s="3">
        <f ca="1">IF(AND($S$19=$C$19,$S$21&lt;&gt;""),INDEX($CB$30:$CJ$38,MATCH($C$19,$CA$52:$CA$60,0),MATCH($S$21,$CB$51:$CJ$51,0)),0)</f>
        <v>0</v>
      </c>
      <c r="AT54" s="3">
        <f ca="1">IF(AND($S$19=$C$19,$S$22&lt;&gt;""),INDEX($CB$30:$CJ$38,MATCH($C$19,$CA$52:$CA$60,0),MATCH($S$22,$CB$51:$CJ$51,0)),0)</f>
        <v>0</v>
      </c>
      <c r="AU54" s="3">
        <f ca="1">IF(AND($S$19=$C$19,$S$23&lt;&gt;""),INDEX($CB$30:$CJ$38,MATCH($C$19,$CA$52:$CA$60,0),MATCH($S$23,$CB$51:$CJ$51,0)),0)</f>
        <v>0</v>
      </c>
      <c r="AV54" s="3">
        <f ca="1">IF(AND($S$19=$C$19,$S$24&lt;&gt;""),INDEX($CB$30:$CJ$38,MATCH($C$19,$CA$52:$CA$60,0),MATCH($S$24,$CB$51:$CJ$51,0)),0)</f>
        <v>0</v>
      </c>
      <c r="AW54" s="53">
        <f ca="1">IF(AND($S$19=$C$19,$S$25&lt;&gt;""),INDEX($CB$30:$CJ$38,MATCH($C$19,$CA$52:$CA$60,0),MATCH($S$25,$CB$51:$CJ$51,0)),0)</f>
        <v>0</v>
      </c>
      <c r="AX54" s="5">
        <f ca="1">IF(AND($T$19=$C$19,$T$17&lt;&gt;""),INDEX($CB$30:$CJ$38,MATCH($C$19,$CA$52:$CA$60,0),MATCH($T$17,$CB$51:$CJ$51,0)),0)</f>
        <v>0</v>
      </c>
      <c r="AY54" s="3">
        <f ca="1">IF(AND($T$19=$C$19,$T$18&lt;&gt;""),INDEX($CB$30:$CJ$38,MATCH($C$19,$CA$52:$CA$60,0),MATCH($T$18,$CB$51:$CJ$51,0)),0)</f>
        <v>0</v>
      </c>
      <c r="AZ54" s="3">
        <v>0</v>
      </c>
      <c r="BA54" s="3">
        <f ca="1">IF(AND($T$19=$C$19,$T$20&lt;&gt;""),INDEX($CB$30:$CJ$38,MATCH($C$19,$CA$52:$CA$60,0),MATCH($T$20,$CB$51:$CJ$51,0)),0)</f>
        <v>0</v>
      </c>
      <c r="BB54" s="3">
        <f ca="1">IF(AND($T$19=$C$19,$T$21&lt;&gt;""),INDEX($CB$30:$CJ$38,MATCH($C$19,$CA$52:$CA$60,0),MATCH($T$21,$CB$51:$CJ$51,0)),0)</f>
        <v>0</v>
      </c>
      <c r="BC54" s="3">
        <f ca="1">IF(AND($T$19=$C$19,$T$22&lt;&gt;""),INDEX($CB$30:$CJ$38,MATCH($C$19,$CA$52:$CA$60,0),MATCH($T$22,$CB$51:$CJ$51,0)),0)</f>
        <v>0</v>
      </c>
      <c r="BD54" s="3">
        <f ca="1">IF(AND($T$19=$C$19,$T$23&lt;&gt;""),INDEX($CB$30:$CJ$38,MATCH($C$19,$CA$52:$CA$60,0),MATCH($T$23,$CB$51:$CJ$51,0)),0)</f>
        <v>0</v>
      </c>
      <c r="BE54" s="3">
        <f ca="1">IF(AND($T$19=$C$19,$T$24&lt;&gt;""),INDEX($CB$30:$CJ$38,MATCH($C$19,$CA$52:$CA$60,0),MATCH($T$24,$CB$51:$CJ$51,0)),0)</f>
        <v>0</v>
      </c>
      <c r="BF54" s="53">
        <f ca="1">IF(AND($T$19=$C$19,$T$25&lt;&gt;""),INDEX($CB$30:$CJ$38,MATCH($C$19,$CA$52:$CA$60,0),MATCH($T$25,$CB$51:$CJ$51,0)),0)</f>
        <v>0</v>
      </c>
      <c r="BG54" s="5">
        <f ca="1">IF(AND($U$19=$C$19,$U$17&lt;&gt;""),INDEX($CB$30:$CJ$38,MATCH($C$19,$CA$52:$CA$60,0),MATCH($U$17,$CB$51:$CJ$51,0)),0)</f>
        <v>0</v>
      </c>
      <c r="BH54" s="3">
        <f ca="1">IF(AND($U$19=$C$19,$U$18&lt;&gt;""),INDEX($CB$30:$CJ$38,MATCH($C$19,$CA$52:$CA$60,0),MATCH($U$18,$CB$51:$CJ$51,0)),0)</f>
        <v>0</v>
      </c>
      <c r="BI54" s="3">
        <v>0</v>
      </c>
      <c r="BJ54" s="3">
        <f ca="1">IF(AND($U$19=$C$19,$U$20&lt;&gt;""),INDEX($CB$30:$CJ$38,MATCH($C$19,$CA$52:$CA$60,0),MATCH($U$20,$CB$51:$CJ$51,0)),0)</f>
        <v>0</v>
      </c>
      <c r="BK54" s="3">
        <f ca="1">IF(AND($U$19=$C$19,$U$21&lt;&gt;""),INDEX($CB$30:$CJ$38,MATCH($C$19,$CA$52:$CA$60,0),MATCH($U$21,$CB$51:$CJ$51,0)),0)</f>
        <v>0</v>
      </c>
      <c r="BL54" s="3">
        <f ca="1">IF(AND($U$19=$C$19,$U$22&lt;&gt;""),INDEX($CB$30:$CJ$38,MATCH($C$19,$CA$52:$CA$60,0),MATCH($U$22,$CB$51:$CJ$51,0)),0)</f>
        <v>0</v>
      </c>
      <c r="BM54" s="3">
        <f ca="1">IF(AND($U$19=$C$19,$U$23&lt;&gt;""),INDEX($CB$30:$CJ$38,MATCH($C$19,$CA$52:$CA$60,0),MATCH($U$23,$CB$51:$CJ$51,0)),0)</f>
        <v>0</v>
      </c>
      <c r="BN54" s="3">
        <f ca="1">IF(AND($U$19=$C$19,$U$24&lt;&gt;""),INDEX($CB$30:$CJ$38,MATCH($C$19,$CA$52:$CA$60,0),MATCH($U$24,$CB$51:$CJ$51,0)),0)</f>
        <v>0</v>
      </c>
      <c r="BO54" s="53">
        <f ca="1">IF(AND($U$19=$C$19,$U$25&lt;&gt;""),INDEX($CB$30:$CJ$38,MATCH($C$19,$CA$52:$CA$60,0),MATCH($U$25,$CB$51:$CJ$51,0)),0)</f>
        <v>0</v>
      </c>
      <c r="BP54" s="5">
        <f ca="1">IF(AND($V$19=$C$19,$V$17&lt;&gt;""),INDEX($CB$30:$CJ$38,MATCH($C$19,$CA$52:$CA$60,0),MATCH($V$17,$CB$51:$CJ$51,0)),0)</f>
        <v>0</v>
      </c>
      <c r="BQ54" s="3">
        <f ca="1">IF(AND($V$19=$C$19,$V$18&lt;&gt;""),INDEX($CB$30:$CJ$38,MATCH($C$19,$CA$52:$CA$60,0),MATCH($V$18,$CB$51:$CJ$51,0)),0)</f>
        <v>0</v>
      </c>
      <c r="BR54" s="3">
        <v>0</v>
      </c>
      <c r="BS54" s="3">
        <f ca="1">IF(AND($V$19=$C$19,$V$20&lt;&gt;""),INDEX($CB$30:$CJ$38,MATCH($C$19,$CA$52:$CA$60,0),MATCH($V$20,$CB$51:$CJ$51,0)),0)</f>
        <v>0</v>
      </c>
      <c r="BT54" s="3">
        <f ca="1">IF(AND($V$19=$C$19,$V$21&lt;&gt;""),INDEX($CB$30:$CJ$38,MATCH($C$19,$CA$52:$CA$60,0),MATCH($V$21,$CB$51:$CJ$51,0)),0)</f>
        <v>0</v>
      </c>
      <c r="BU54" s="3">
        <f ca="1">IF(AND($V$19=$C$19,$V$22&lt;&gt;""),INDEX($CB$30:$CJ$38,MATCH($C$19,$CA$52:$CA$60,0),MATCH($V$22,$CB$51:$CJ$51,0)),0)</f>
        <v>0</v>
      </c>
      <c r="BV54" s="3">
        <f ca="1">IF(AND($V$19=$C$19,$V$23&lt;&gt;""),INDEX($CB$30:$CJ$38,MATCH($C$19,$CA$52:$CA$60,0),MATCH($V$23,$CB$51:$CJ$51,0)),0)</f>
        <v>0</v>
      </c>
      <c r="BW54" s="3">
        <f ca="1">IF(AND($V$19=$C$19,$V$24&lt;&gt;""),INDEX($CB$30:$CJ$38,MATCH($C$19,$CA$52:$CA$60,0),MATCH($V$24,$CB$51:$CJ$51,0)),0)</f>
        <v>0</v>
      </c>
      <c r="BX54" s="3">
        <f ca="1">IF(AND($V$19=$C$19,$V$25&lt;&gt;""),INDEX($CB$30:$CJ$38,MATCH($C$19,$CA$52:$CA$60,0),MATCH($V$25,$CB$51:$CJ$51,0)),0)</f>
        <v>0</v>
      </c>
      <c r="BY54" s="14"/>
      <c r="BZ54" s="3"/>
      <c r="CA54" s="2" t="str">
        <f t="shared" si="66"/>
        <v>Eintracht Frankfurt</v>
      </c>
      <c r="CB54" s="8">
        <f t="shared" ca="1" si="68"/>
        <v>0</v>
      </c>
      <c r="CC54" s="8">
        <f t="shared" ref="CC54:CC60" ca="1" si="70">SUMIFS($AL$64:$AL$135,$V$64:$V$135,$CA54,$W$64:$W$135,CC$51)+SUMIFS($AM$64:$AM$135,$W$64:$W$135,$CA54,$V$64:$V$135,CC$51)</f>
        <v>3</v>
      </c>
      <c r="CD54" s="6"/>
      <c r="CE54" s="7">
        <f t="shared" ref="CE54:CJ54" ca="1" si="71">SUMIFS($AL$64:$AL$135,$V$64:$V$135,$CA54,$W$64:$W$135,CE$51)+SUMIFS($AM$64:$AM$135,$W$64:$W$135,$CA54,$V$64:$V$135,CE$51)</f>
        <v>1</v>
      </c>
      <c r="CF54" s="7">
        <f t="shared" ca="1" si="71"/>
        <v>2</v>
      </c>
      <c r="CG54" s="7">
        <f t="shared" ca="1" si="71"/>
        <v>4</v>
      </c>
      <c r="CH54" s="7">
        <f t="shared" ca="1" si="71"/>
        <v>2</v>
      </c>
      <c r="CI54" s="7">
        <f t="shared" ca="1" si="71"/>
        <v>0</v>
      </c>
      <c r="CJ54" s="7">
        <f t="shared" ca="1" si="71"/>
        <v>0</v>
      </c>
      <c r="CK54" s="3"/>
    </row>
    <row r="55" spans="2:89" s="2" customFormat="1" x14ac:dyDescent="0.2">
      <c r="E55" s="14">
        <f ca="1">IF(AND($O$20=$C$20,$O$17&lt;&gt;""),INDEX($CB$30:$CJ$38,MATCH($C$20,$CA$52:$CA$60,0),MATCH($O$17,$CB$51:$CJ$51,0)),0)</f>
        <v>0</v>
      </c>
      <c r="F55" s="3">
        <f ca="1">IF(AND($O$20=$C$20,$O$18&lt;&gt;""),INDEX($CB$30:$CJ$38,MATCH($C$20,$CA$52:$CA$60,0),MATCH($O$18,$CB$51:$CJ$51,0)),0)</f>
        <v>0</v>
      </c>
      <c r="G55" s="3">
        <f ca="1">IF(AND($O$20=$C$20,$O$19&lt;&gt;""),INDEX($CB$30:$CJ$38,MATCH($C$20,$CA$52:$CA$60,0),MATCH($O$19,$CB$51:$CJ$51,0)),0)</f>
        <v>0</v>
      </c>
      <c r="H55" s="3">
        <v>0</v>
      </c>
      <c r="I55" s="3">
        <f ca="1">IF(AND($O$20=$C$20,$O$21&lt;&gt;""),INDEX($CB$30:$CJ$38,MATCH($C$20,$CA$52:$CA$60,0),MATCH($O$21,$CB$51:$CJ$51,0)),0)</f>
        <v>0</v>
      </c>
      <c r="J55" s="3">
        <f ca="1">IF(AND($O$20=$C$20,$O$22&lt;&gt;""),INDEX($CB$30:$CJ$38,MATCH($C$20,$CA$52:$CA$60,0),MATCH($O$22,$CB$51:$CJ$51,0)),0)</f>
        <v>0</v>
      </c>
      <c r="K55" s="3">
        <f ca="1">IF(AND($O$20=$C$20,$O$23&lt;&gt;""),INDEX($CB$30:$CJ$38,MATCH($C$20,$CA$52:$CA$60,0),MATCH($O$23,$CB$51:$CJ$51,0)),0)</f>
        <v>0</v>
      </c>
      <c r="L55" s="3">
        <f ca="1">IF(AND($O$20=$C$20,$O$24&lt;&gt;""),INDEX($CB$30:$CJ$38,MATCH($C$20,$CA$52:$CA$60,0),MATCH($O$24,$CB$51:$CJ$51,0)),0)</f>
        <v>0</v>
      </c>
      <c r="M55" s="53">
        <f ca="1">IF(AND($O$20=$C$20,$O$25&lt;&gt;""),INDEX($CB$30:$CJ$38,MATCH($C$20,$CA$52:$CA$60,0),MATCH($O$25,$CB$51:$CJ$51,0)),0)</f>
        <v>0</v>
      </c>
      <c r="N55" s="5">
        <f ca="1">IF(AND($P$20=$C$20,$P$17&lt;&gt;""),INDEX($CB$30:$CJ$38,MATCH($C$20,$CA$52:$CA$60,0),MATCH($P$17,$CB$51:$CJ$51,0)),0)</f>
        <v>0</v>
      </c>
      <c r="O55" s="3">
        <f ca="1">IF(AND($P$20=$C$20,$P$18&lt;&gt;""),INDEX($CB$30:$CJ$38,MATCH($C$20,$CA$52:$CA$60,0),MATCH($P$18,$CB$51:$CJ$51,0)),0)</f>
        <v>0</v>
      </c>
      <c r="P55" s="3">
        <f ca="1">IF(AND($P$20=$C$20,$P$19&lt;&gt;""),INDEX($CB$30:$CJ$38,MATCH($C$20,$CA$52:$CA$60,0),MATCH($P$19,$CB$51:$CJ$51,0)),0)</f>
        <v>0</v>
      </c>
      <c r="Q55" s="3">
        <v>0</v>
      </c>
      <c r="R55" s="3">
        <f ca="1">IF(AND($P$20=$C$20,$P$21&lt;&gt;""),INDEX($CB$30:$CJ$38,MATCH($C$20,$CA$52:$CA$60,0),MATCH($P$21,$CB$51:$CJ$51,0)),0)</f>
        <v>0</v>
      </c>
      <c r="S55" s="3">
        <f ca="1">IF(AND($P$20=$C$20,$P$22&lt;&gt;""),INDEX($CB$30:$CJ$38,MATCH($C$20,$CA$52:$CA$60,0),MATCH($P$22,$CB$51:$CJ$51,0)),0)</f>
        <v>0</v>
      </c>
      <c r="T55" s="3">
        <f ca="1">IF(AND($P$20=$C$20,$P$23&lt;&gt;""),INDEX($CB$30:$CJ$38,MATCH($C$20,$CA$52:$CA$60,0),MATCH($P$23,$CB$51:$CJ$51,0)),0)</f>
        <v>0</v>
      </c>
      <c r="U55" s="3">
        <f ca="1">IF(AND($P$20=$C$20,$P$24&lt;&gt;""),INDEX($CB$30:$CJ$38,MATCH($C$20,$CA$52:$CA$60,0),MATCH($P$24,$CB$51:$CJ$51,0)),0)</f>
        <v>0</v>
      </c>
      <c r="V55" s="53">
        <f ca="1">IF(AND($P$20=$C$20,$P$25&lt;&gt;""),INDEX($CB$30:$CJ$38,MATCH($C$20,$CA$52:$CA$60,0),MATCH($P$25,$CB$51:$CJ$51,0)),0)</f>
        <v>0</v>
      </c>
      <c r="W55" s="5">
        <f ca="1">IF(AND($Q$20=$C$20,$Q$17&lt;&gt;""),INDEX($CB$30:$CJ$38,MATCH($C$20,$CA$52:$CA$60,0),MATCH($Q$17,$CB$51:$CJ$51,0)),0)</f>
        <v>0</v>
      </c>
      <c r="X55" s="3">
        <f ca="1">IF(AND($Q$20=$C$20,$Q$18&lt;&gt;""),INDEX($CB$30:$CJ$38,MATCH($C$20,$CA$52:$CA$60,0),MATCH($Q$18,$CB$51:$CJ$51,0)),0)</f>
        <v>0</v>
      </c>
      <c r="Y55" s="3">
        <f ca="1">IF(AND($Q$20=$C$20,$Q$19&lt;&gt;""),INDEX($CB$30:$CJ$38,MATCH($C$20,$CA$52:$CA$60,0),MATCH($Q$19,$CB$51:$CJ$51,0)),0)</f>
        <v>0</v>
      </c>
      <c r="Z55" s="3">
        <v>0</v>
      </c>
      <c r="AA55" s="3">
        <f ca="1">IF(AND($Q$20=$C$20,$Q$21&lt;&gt;""),INDEX($CB$30:$CJ$38,MATCH($C$20,$CA$52:$CA$60,0),MATCH($Q$21,$CB$51:$CJ$51,0)),0)</f>
        <v>0</v>
      </c>
      <c r="AB55" s="3">
        <f ca="1">IF(AND($Q$20=$C$20,$Q$22&lt;&gt;""),INDEX($CB$30:$CJ$38,MATCH($C$20,$CA$52:$CA$60,0),MATCH($Q$22,$CB$51:$CJ$51,0)),0)</f>
        <v>0</v>
      </c>
      <c r="AC55" s="3">
        <f ca="1">IF(AND($Q$20=$C$20,$Q$23&lt;&gt;""),INDEX($CB$30:$CJ$38,MATCH($C$20,$CA$52:$CA$60,0),MATCH($Q$23,$CB$51:$CJ$51,0)),0)</f>
        <v>0</v>
      </c>
      <c r="AD55" s="3">
        <f ca="1">IF(AND($Q$20=$C$20,$Q$24&lt;&gt;""),INDEX($CB$30:$CJ$38,MATCH($C$20,$CA$52:$CA$60,0),MATCH($Q$24,$CB$51:$CJ$51,0)),0)</f>
        <v>0</v>
      </c>
      <c r="AE55" s="53">
        <f ca="1">IF(AND($Q$20=$C$20,$Q$25&lt;&gt;""),INDEX($CB$30:$CJ$38,MATCH($C$20,$CA$52:$CA$60,0),MATCH($Q$25,$CB$51:$CJ$51,0)),0)</f>
        <v>0</v>
      </c>
      <c r="AF55" s="5">
        <f ca="1">IF(AND($R$20=$C$20,$R$17&lt;&gt;""),INDEX($CB$30:$CJ$38,MATCH($C$20,$CA$52:$CA$60,0),MATCH($R$17,$CB$51:$CJ$51,0)),0)</f>
        <v>0</v>
      </c>
      <c r="AG55" s="3">
        <f ca="1">IF(AND($R$20=$C$20,$R$18&lt;&gt;""),INDEX($CB$30:$CJ$38,MATCH($C$20,$CA$52:$CA$60,0),MATCH($R$18,$CB$51:$CJ$51,0)),0)</f>
        <v>0</v>
      </c>
      <c r="AH55" s="3">
        <f ca="1">IF(AND($R$20=$C$20,$R$19&lt;&gt;""),INDEX($CB$30:$CJ$38,MATCH($C$20,$CA$52:$CA$60,0),MATCH($R$19,$CB$51:$CJ$51,0)),0)</f>
        <v>0</v>
      </c>
      <c r="AI55" s="3">
        <v>0</v>
      </c>
      <c r="AJ55" s="3">
        <f ca="1">IF(AND($R$20=$C$20,$R$21&lt;&gt;""),INDEX($CB$30:$CJ$38,MATCH($C$20,$CA$52:$CA$60,0),MATCH($R$21,$CB$51:$CJ$51,0)),0)</f>
        <v>0</v>
      </c>
      <c r="AK55" s="3">
        <f ca="1">IF(AND($R$20=$C$20,$R$22&lt;&gt;""),INDEX($CB$30:$CJ$38,MATCH($C$20,$CA$52:$CA$60,0),MATCH($R$22,$CB$51:$CJ$51,0)),0)</f>
        <v>0</v>
      </c>
      <c r="AL55" s="3">
        <f ca="1">IF(AND($R$20=$C$20,$R$23&lt;&gt;""),INDEX($CB$30:$CJ$38,MATCH($C$20,$CA$52:$CA$60,0),MATCH($R$23,$CB$51:$CJ$51,0)),0)</f>
        <v>0</v>
      </c>
      <c r="AM55" s="3">
        <f ca="1">IF(AND($R$20=$C$20,$R$24&lt;&gt;""),INDEX($CB$30:$CJ$38,MATCH($C$20,$CA$52:$CA$60,0),MATCH($R$24,$CB$51:$CJ$51,0)),0)</f>
        <v>0</v>
      </c>
      <c r="AN55" s="53">
        <f ca="1">IF(AND($R$20=$C$20,$R$25&lt;&gt;""),INDEX($CB$30:$CJ$38,MATCH($C$20,$CA$52:$CA$60,0),MATCH($R$25,$CB$51:$CJ$51,0)),0)</f>
        <v>0</v>
      </c>
      <c r="AO55" s="5">
        <f ca="1">IF(AND($S$20=$C$20,$S$17&lt;&gt;""),INDEX($CB$30:$CJ$38,MATCH($C$20,$CA$52:$CA$60,0),MATCH($S$17,$CB$51:$CJ$51,0)),0)</f>
        <v>0</v>
      </c>
      <c r="AP55" s="3">
        <f ca="1">IF(AND($S$20=$C$20,$S$18&lt;&gt;""),INDEX($CB$30:$CJ$38,MATCH($C$20,$CA$52:$CA$60,0),MATCH($S$18,$CB$51:$CJ$51,0)),0)</f>
        <v>0</v>
      </c>
      <c r="AQ55" s="3">
        <f ca="1">IF(AND($S$20=$C$20,$S$19&lt;&gt;""),INDEX($CB$30:$CJ$38,MATCH($C$20,$CA$52:$CA$60,0),MATCH($S$19,$CB$51:$CJ$51,0)),0)</f>
        <v>0</v>
      </c>
      <c r="AR55" s="3">
        <v>0</v>
      </c>
      <c r="AS55" s="3">
        <f ca="1">IF(AND($S$20=$C$20,$S$21&lt;&gt;""),INDEX($CB$30:$CJ$38,MATCH($C$20,$CA$52:$CA$60,0),MATCH($S$21,$CB$51:$CJ$51,0)),0)</f>
        <v>0</v>
      </c>
      <c r="AT55" s="3">
        <f ca="1">IF(AND($S$20=$C$20,$S$22&lt;&gt;""),INDEX($CB$30:$CJ$38,MATCH($C$20,$CA$52:$CA$60,0),MATCH($S$22,$CB$51:$CJ$51,0)),0)</f>
        <v>0</v>
      </c>
      <c r="AU55" s="3">
        <f ca="1">IF(AND($S$20=$C$20,$S$23&lt;&gt;""),INDEX($CB$30:$CJ$38,MATCH($C$20,$CA$52:$CA$60,0),MATCH($S$23,$CB$51:$CJ$51,0)),0)</f>
        <v>0</v>
      </c>
      <c r="AV55" s="3">
        <f ca="1">IF(AND($S$20=$C$20,$S$24&lt;&gt;""),INDEX($CB$30:$CJ$38,MATCH($C$20,$CA$52:$CA$60,0),MATCH($S$24,$CB$51:$CJ$51,0)),0)</f>
        <v>0</v>
      </c>
      <c r="AW55" s="53">
        <f ca="1">IF(AND($S$20=$C$20,$S$25&lt;&gt;""),INDEX($CB$30:$CJ$38,MATCH($C$20,$CA$52:$CA$60,0),MATCH($S$25,$CB$51:$CJ$51,0)),0)</f>
        <v>0</v>
      </c>
      <c r="AX55" s="5">
        <f ca="1">IF(AND($T$20=$C$20,$T$17&lt;&gt;""),INDEX($CB$30:$CJ$38,MATCH($C$20,$CA$52:$CA$60,0),MATCH($T$17,$CB$51:$CJ$51,0)),0)</f>
        <v>0</v>
      </c>
      <c r="AY55" s="3">
        <f ca="1">IF(AND($T$20=$C$20,$T$18&lt;&gt;""),INDEX($CB$30:$CJ$38,MATCH($C$20,$CA$52:$CA$60,0),MATCH($T$18,$CB$51:$CJ$51,0)),0)</f>
        <v>0</v>
      </c>
      <c r="AZ55" s="3">
        <f ca="1">IF(AND($T$20=$C$20,$T$19&lt;&gt;""),INDEX($CB$30:$CJ$38,MATCH($C$20,$CA$52:$CA$60,0),MATCH($T$19,$CB$51:$CJ$51,0)),0)</f>
        <v>0</v>
      </c>
      <c r="BA55" s="3">
        <v>0</v>
      </c>
      <c r="BB55" s="3">
        <f ca="1">IF(AND($T$20=$C$20,$T$21&lt;&gt;""),INDEX($CB$30:$CJ$38,MATCH($C$20,$CA$52:$CA$60,0),MATCH($T$21,$CB$51:$CJ$51,0)),0)</f>
        <v>0</v>
      </c>
      <c r="BC55" s="3">
        <f ca="1">IF(AND($T$20=$C$20,$T$22&lt;&gt;""),INDEX($CB$30:$CJ$38,MATCH($C$20,$CA$52:$CA$60,0),MATCH($T$22,$CB$51:$CJ$51,0)),0)</f>
        <v>0</v>
      </c>
      <c r="BD55" s="3">
        <f ca="1">IF(AND($T$20=$C$20,$T$23&lt;&gt;""),INDEX($CB$30:$CJ$38,MATCH($C$20,$CA$52:$CA$60,0),MATCH($T$23,$CB$51:$CJ$51,0)),0)</f>
        <v>0</v>
      </c>
      <c r="BE55" s="3">
        <f ca="1">IF(AND($T$20=$C$20,$T$24&lt;&gt;""),INDEX($CB$30:$CJ$38,MATCH($C$20,$CA$52:$CA$60,0),MATCH($T$24,$CB$51:$CJ$51,0)),0)</f>
        <v>0</v>
      </c>
      <c r="BF55" s="53">
        <f ca="1">IF(AND($T$20=$C$20,$T$25&lt;&gt;""),INDEX($CB$30:$CJ$38,MATCH($C$20,$CA$52:$CA$60,0),MATCH($T$25,$CB$51:$CJ$51,0)),0)</f>
        <v>0</v>
      </c>
      <c r="BG55" s="5">
        <f ca="1">IF(AND($U$20=$C$20,$U$17&lt;&gt;""),INDEX($CB$30:$CJ$38,MATCH($C$20,$CA$52:$CA$60,0),MATCH($U$17,$CB$51:$CJ$51,0)),0)</f>
        <v>0</v>
      </c>
      <c r="BH55" s="3">
        <f ca="1">IF(AND($U$20=$C$20,$U$18&lt;&gt;""),INDEX($CB$30:$CJ$38,MATCH($C$20,$CA$52:$CA$60,0),MATCH($U$18,$CB$51:$CJ$51,0)),0)</f>
        <v>0</v>
      </c>
      <c r="BI55" s="3">
        <f ca="1">IF(AND($U$20=$C$20,$U$19&lt;&gt;""),INDEX($CB$30:$CJ$38,MATCH($C$20,$CA$52:$CA$60,0),MATCH($U$19,$CB$51:$CJ$51,0)),0)</f>
        <v>0</v>
      </c>
      <c r="BJ55" s="3">
        <v>0</v>
      </c>
      <c r="BK55" s="3">
        <f ca="1">IF(AND($U$20=$C$20,$U$21&lt;&gt;""),INDEX($CB$30:$CJ$38,MATCH($C$20,$CA$52:$CA$60,0),MATCH($U$21,$CB$51:$CJ$51,0)),0)</f>
        <v>0</v>
      </c>
      <c r="BL55" s="3">
        <f ca="1">IF(AND($U$20=$C$20,$U$22&lt;&gt;""),INDEX($CB$30:$CJ$38,MATCH($C$20,$CA$52:$CA$60,0),MATCH($U$22,$CB$51:$CJ$51,0)),0)</f>
        <v>0</v>
      </c>
      <c r="BM55" s="3">
        <f ca="1">IF(AND($U$20=$C$20,$U$23&lt;&gt;""),INDEX($CB$30:$CJ$38,MATCH($C$20,$CA$52:$CA$60,0),MATCH($U$23,$CB$51:$CJ$51,0)),0)</f>
        <v>0</v>
      </c>
      <c r="BN55" s="3">
        <f ca="1">IF(AND($U$20=$C$20,$U$24&lt;&gt;""),INDEX($CB$30:$CJ$38,MATCH($C$20,$CA$52:$CA$60,0),MATCH($U$24,$CB$51:$CJ$51,0)),0)</f>
        <v>0</v>
      </c>
      <c r="BO55" s="53">
        <f ca="1">IF(AND($U$20=$C$20,$U$25&lt;&gt;""),INDEX($CB$30:$CJ$38,MATCH($C$20,$CA$52:$CA$60,0),MATCH($U$25,$CB$51:$CJ$51,0)),0)</f>
        <v>0</v>
      </c>
      <c r="BP55" s="5">
        <f ca="1">IF(AND($V$20=$C$20,$V$17&lt;&gt;""),INDEX($CB$30:$CJ$38,MATCH($C$20,$CA$52:$CA$60,0),MATCH($V$17,$CB$51:$CJ$51,0)),0)</f>
        <v>0</v>
      </c>
      <c r="BQ55" s="3">
        <f ca="1">IF(AND($V$20=$C$20,$V$18&lt;&gt;""),INDEX($CB$30:$CJ$38,MATCH($C$20,$CA$52:$CA$60,0),MATCH($V$18,$CB$51:$CJ$51,0)),0)</f>
        <v>0</v>
      </c>
      <c r="BR55" s="3">
        <f ca="1">IF(AND($V$20=$C$20,$V$19&lt;&gt;""),INDEX($CB$30:$CJ$38,MATCH($C$20,$CA$52:$CA$60,0),MATCH($V$19,$CB$51:$CJ$51,0)),0)</f>
        <v>0</v>
      </c>
      <c r="BS55" s="3">
        <v>0</v>
      </c>
      <c r="BT55" s="3">
        <f ca="1">IF(AND($V$20=$C$20,$V$21&lt;&gt;""),INDEX($CB$30:$CJ$38,MATCH($C$20,$CA$52:$CA$60,0),MATCH($V$21,$CB$51:$CJ$51,0)),0)</f>
        <v>0</v>
      </c>
      <c r="BU55" s="3">
        <f ca="1">IF(AND($V$20=$C$20,$V$22&lt;&gt;""),INDEX($CB$30:$CJ$38,MATCH($C$20,$CA$52:$CA$60,0),MATCH($V$22,$CB$51:$CJ$51,0)),0)</f>
        <v>0</v>
      </c>
      <c r="BV55" s="3">
        <f ca="1">IF(AND($V$20=$C$20,$V$23&lt;&gt;""),INDEX($CB$30:$CJ$38,MATCH($C$20,$CA$52:$CA$60,0),MATCH($V$23,$CB$51:$CJ$51,0)),0)</f>
        <v>0</v>
      </c>
      <c r="BW55" s="3">
        <f ca="1">IF(AND($V$20=$C$20,$V$24&lt;&gt;""),INDEX($CB$30:$CJ$38,MATCH($C$20,$CA$52:$CA$60,0),MATCH($V$24,$CB$51:$CJ$51,0)),0)</f>
        <v>0</v>
      </c>
      <c r="BX55" s="3">
        <f ca="1">IF(AND($V$20=$C$20,$V$25&lt;&gt;""),INDEX($CB$30:$CJ$38,MATCH($C$20,$CA$52:$CA$60,0),MATCH($V$25,$CB$51:$CJ$51,0)),0)</f>
        <v>0</v>
      </c>
      <c r="BY55" s="14"/>
      <c r="BZ55" s="3"/>
      <c r="CA55" s="2" t="str">
        <f t="shared" si="66"/>
        <v>Maibach 1822 eV</v>
      </c>
      <c r="CB55" s="8">
        <f t="shared" ca="1" si="68"/>
        <v>3</v>
      </c>
      <c r="CC55" s="8">
        <f t="shared" ca="1" si="70"/>
        <v>2</v>
      </c>
      <c r="CD55" s="8">
        <f t="shared" ref="CD55:CD60" ca="1" si="72">SUMIFS($AL$64:$AL$135,$V$64:$V$135,$CA55,$W$64:$W$135,CD$51)+SUMIFS($AM$64:$AM$135,$W$64:$W$135,$CA55,$V$64:$V$135,CD$51)</f>
        <v>3</v>
      </c>
      <c r="CE55" s="6"/>
      <c r="CF55" s="7">
        <f ca="1">SUMIFS($AL$64:$AL$135,$V$64:$V$135,$CA55,$W$64:$W$135,CF$51)+SUMIFS($AM$64:$AM$135,$W$64:$W$135,$CA55,$V$64:$V$135,CF$51)</f>
        <v>1</v>
      </c>
      <c r="CG55" s="7">
        <f ca="1">SUMIFS($AL$64:$AL$135,$V$64:$V$135,$CA55,$W$64:$W$135,CG$51)+SUMIFS($AM$64:$AM$135,$W$64:$W$135,$CA55,$V$64:$V$135,CG$51)</f>
        <v>3</v>
      </c>
      <c r="CH55" s="7">
        <f ca="1">SUMIFS($AL$64:$AL$135,$V$64:$V$135,$CA55,$W$64:$W$135,CH$51)+SUMIFS($AM$64:$AM$135,$W$64:$W$135,$CA55,$V$64:$V$135,CH$51)</f>
        <v>3</v>
      </c>
      <c r="CI55" s="7">
        <f ca="1">SUMIFS($AL$64:$AL$135,$V$64:$V$135,$CA55,$W$64:$W$135,CI$51)+SUMIFS($AM$64:$AM$135,$W$64:$W$135,$CA55,$V$64:$V$135,CI$51)</f>
        <v>0</v>
      </c>
      <c r="CJ55" s="7">
        <f ca="1">SUMIFS($AL$64:$AL$135,$V$64:$V$135,$CA55,$W$64:$W$135,CJ$51)+SUMIFS($AM$64:$AM$135,$W$64:$W$135,$CA55,$V$64:$V$135,CJ$51)</f>
        <v>0</v>
      </c>
      <c r="CK55" s="3"/>
    </row>
    <row r="56" spans="2:89" s="2" customFormat="1" x14ac:dyDescent="0.2">
      <c r="E56" s="14">
        <f ca="1">IF(AND($O$21=$C$21,$O$17&lt;&gt;""),INDEX($CB$30:$CJ$38,MATCH($C$21,$CA$52:$CA$60,0),MATCH($O$17,$CB$51:$CJ$51,0)),0)</f>
        <v>0</v>
      </c>
      <c r="F56" s="3">
        <f ca="1">IF(AND($O$21=$C$21,$O$18&lt;&gt;""),INDEX($CB$30:$CJ$38,MATCH($C$21,$CA$52:$CA$60,0),MATCH($O$18,$CB$51:$CJ$51,0)),0)</f>
        <v>0</v>
      </c>
      <c r="G56" s="3">
        <f ca="1">IF(AND($O$21=$C$21,$O$19&lt;&gt;""),INDEX($CB$30:$CJ$38,MATCH($C$21,$CA$52:$CA$60,0),MATCH($O$19,$CB$51:$CJ$51,0)),0)</f>
        <v>0</v>
      </c>
      <c r="H56" s="3">
        <f ca="1">IF(AND($O$21=$C$21,$O$20&lt;&gt;""),INDEX($CB$30:$CJ$38,MATCH($C$21,$CA$52:$CA$60,0),MATCH($O$20,$CB$51:$CJ$51,0)),0)</f>
        <v>0</v>
      </c>
      <c r="I56" s="3">
        <v>0</v>
      </c>
      <c r="J56" s="3">
        <f ca="1">IF(AND($O$21=$C$21,$O$22&lt;&gt;""),INDEX($CB$30:$CJ$38,MATCH($C$21,$CA$52:$CA$60,0),MATCH($O$22,$CB$51:$CJ$51,0)),0)</f>
        <v>0</v>
      </c>
      <c r="K56" s="3">
        <f ca="1">IF(AND($O$21=$C$21,$O$23&lt;&gt;""),INDEX($CB$30:$CJ$38,MATCH($C$21,$CA$52:$CA$60,0),MATCH($O$23,$CB$51:$CJ$51,0)),0)</f>
        <v>0</v>
      </c>
      <c r="L56" s="3">
        <f ca="1">IF(AND($O$21=$C$21,$O$24&lt;&gt;""),INDEX($CB$30:$CJ$38,MATCH($C$21,$CA$52:$CA$60,0),MATCH($O$24,$CB$51:$CJ$51,0)),0)</f>
        <v>0</v>
      </c>
      <c r="M56" s="53">
        <f ca="1">IF(AND($O$21=$C$21,$O$25&lt;&gt;""),INDEX($CB$30:$CJ$38,MATCH($C$21,$CA$52:$CA$60,0),MATCH($O$25,$CB$51:$CJ$51,0)),0)</f>
        <v>0</v>
      </c>
      <c r="N56" s="5">
        <f ca="1">IF(AND($P$21=$C$21,$P$17&lt;&gt;""),INDEX($CB$30:$CJ$38,MATCH($C$21,$CA$52:$CA$60,0),MATCH($P$17,$CB$51:$CJ$51,0)),0)</f>
        <v>0</v>
      </c>
      <c r="O56" s="3">
        <f ca="1">IF(AND($P$21=$C$21,$P$18&lt;&gt;""),INDEX($CB$30:$CJ$38,MATCH($C$21,$CA$52:$CA$60,0),MATCH($P$18,$CB$51:$CJ$51,0)),0)</f>
        <v>0</v>
      </c>
      <c r="P56" s="3">
        <f ca="1">IF(AND($P$21=$C$21,$P$19&lt;&gt;""),INDEX($CB$30:$CJ$38,MATCH($C$21,$CA$52:$CA$60,0),MATCH($P$19,$CB$51:$CJ$51,0)),0)</f>
        <v>0</v>
      </c>
      <c r="Q56" s="3">
        <f ca="1">IF(AND($P$21=$C$21,$P$20&lt;&gt;""),INDEX($CB$30:$CJ$38,MATCH($C$21,$CA$52:$CA$60,0),MATCH($P$20,$CB$51:$CJ$51,0)),0)</f>
        <v>0</v>
      </c>
      <c r="R56" s="3">
        <v>0</v>
      </c>
      <c r="S56" s="3">
        <f ca="1">IF(AND($P$21=$C$21,$P$22&lt;&gt;""),INDEX($CB$30:$CJ$38,MATCH($C$21,$CA$52:$CA$60,0),MATCH($P$22,$CB$51:$CJ$51,0)),0)</f>
        <v>0</v>
      </c>
      <c r="T56" s="3">
        <f ca="1">IF(AND($P$21=$C$21,$P$23&lt;&gt;""),INDEX($CB$30:$CJ$38,MATCH($C$21,$CA$52:$CA$60,0),MATCH($P$23,$CB$51:$CJ$51,0)),0)</f>
        <v>0</v>
      </c>
      <c r="U56" s="3">
        <f ca="1">IF(AND($P$21=$C$21,$P$24&lt;&gt;""),INDEX($CB$30:$CJ$38,MATCH($C$21,$CA$52:$CA$60,0),MATCH($P$24,$CB$51:$CJ$51,0)),0)</f>
        <v>0</v>
      </c>
      <c r="V56" s="53">
        <f ca="1">IF(AND($P$21=$C$21,$P$25&lt;&gt;""),INDEX($CB$30:$CJ$38,MATCH($C$21,$CA$52:$CA$60,0),MATCH($P$25,$CB$51:$CJ$51,0)),0)</f>
        <v>0</v>
      </c>
      <c r="W56" s="5">
        <f ca="1">IF(AND($Q$21=$C$21,$Q$17&lt;&gt;""),INDEX($CB$30:$CJ$38,MATCH($C$21,$CA$52:$CA$60,0),MATCH($Q$17,$CB$51:$CJ$51,0)),0)</f>
        <v>0</v>
      </c>
      <c r="X56" s="3">
        <f ca="1">IF(AND($Q$21=$C$21,$Q$18&lt;&gt;""),INDEX($CB$30:$CJ$38,MATCH($C$21,$CA$52:$CA$60,0),MATCH($Q$18,$CB$51:$CJ$51,0)),0)</f>
        <v>0</v>
      </c>
      <c r="Y56" s="3">
        <f ca="1">IF(AND($Q$21=$C$21,$Q$19&lt;&gt;""),INDEX($CB$30:$CJ$38,MATCH($C$21,$CA$52:$CA$60,0),MATCH($Q$19,$CB$51:$CJ$51,0)),0)</f>
        <v>0</v>
      </c>
      <c r="Z56" s="3">
        <f ca="1">IF(AND($Q$21=$C$21,$Q$20&lt;&gt;""),INDEX($CB$30:$CJ$38,MATCH($C$21,$CA$52:$CA$60,0),MATCH($Q$20,$CB$51:$CJ$51,0)),0)</f>
        <v>0</v>
      </c>
      <c r="AA56" s="3">
        <v>0</v>
      </c>
      <c r="AB56" s="3">
        <f ca="1">IF(AND($Q$21=$C$21,$Q$22&lt;&gt;""),INDEX($CB$30:$CJ$38,MATCH($C$21,$CA$52:$CA$60,0),MATCH($Q$22,$CB$51:$CJ$51,0)),0)</f>
        <v>0</v>
      </c>
      <c r="AC56" s="3">
        <f ca="1">IF(AND($Q$21=$C$21,$Q$23&lt;&gt;""),INDEX($CB$30:$CJ$38,MATCH($C$21,$CA$52:$CA$60,0),MATCH($Q$23,$CB$51:$CJ$51,0)),0)</f>
        <v>0</v>
      </c>
      <c r="AD56" s="3">
        <f ca="1">IF(AND($Q$21=$C$21,$Q$24&lt;&gt;""),INDEX($CB$30:$CJ$38,MATCH($C$21,$CA$52:$CA$60,0),MATCH($Q$24,$CB$51:$CJ$51,0)),0)</f>
        <v>0</v>
      </c>
      <c r="AE56" s="53">
        <f ca="1">IF(AND($Q$21=$C$21,$Q$25&lt;&gt;""),INDEX($CB$30:$CJ$38,MATCH($C$21,$CA$52:$CA$60,0),MATCH($Q$25,$CB$51:$CJ$51,0)),0)</f>
        <v>0</v>
      </c>
      <c r="AF56" s="5">
        <f ca="1">IF(AND($R$21=$C$21,$R$17&lt;&gt;""),INDEX($CB$30:$CJ$38,MATCH($C$21,$CA$52:$CA$60,0),MATCH($R$17,$CB$51:$CJ$51,0)),0)</f>
        <v>0</v>
      </c>
      <c r="AG56" s="3">
        <f ca="1">IF(AND($R$21=$C$21,$R$18&lt;&gt;""),INDEX($CB$30:$CJ$38,MATCH($C$21,$CA$52:$CA$60,0),MATCH($R$18,$CB$51:$CJ$51,0)),0)</f>
        <v>0</v>
      </c>
      <c r="AH56" s="3">
        <f ca="1">IF(AND($R$21=$C$21,$R$19&lt;&gt;""),INDEX($CB$30:$CJ$38,MATCH($C$21,$CA$52:$CA$60,0),MATCH($R$19,$CB$51:$CJ$51,0)),0)</f>
        <v>0</v>
      </c>
      <c r="AI56" s="3">
        <f ca="1">IF(AND($R$21=$C$21,$R$20&lt;&gt;""),INDEX($CB$30:$CJ$38,MATCH($C$21,$CA$52:$CA$60,0),MATCH($R$20,$CB$51:$CJ$51,0)),0)</f>
        <v>0</v>
      </c>
      <c r="AJ56" s="3">
        <v>0</v>
      </c>
      <c r="AK56" s="3">
        <f ca="1">IF(AND($R$21=$C$21,$R$22&lt;&gt;""),INDEX($CB$30:$CJ$38,MATCH($C$21,$CA$52:$CA$60,0),MATCH($R$22,$CB$51:$CJ$51,0)),0)</f>
        <v>0</v>
      </c>
      <c r="AL56" s="3">
        <f ca="1">IF(AND($R$21=$C$21,$R$23&lt;&gt;""),INDEX($CB$30:$CJ$38,MATCH($C$21,$CA$52:$CA$60,0),MATCH($R$23,$CB$51:$CJ$51,0)),0)</f>
        <v>0</v>
      </c>
      <c r="AM56" s="3">
        <f ca="1">IF(AND($R$21=$C$21,$R$24&lt;&gt;""),INDEX($CB$30:$CJ$38,MATCH($C$21,$CA$52:$CA$60,0),MATCH($R$24,$CB$51:$CJ$51,0)),0)</f>
        <v>0</v>
      </c>
      <c r="AN56" s="53">
        <f ca="1">IF(AND($R$21=$C$21,$R$25&lt;&gt;""),INDEX($CB$30:$CJ$38,MATCH($C$21,$CA$52:$CA$60,0),MATCH($R$25,$CB$51:$CJ$51,0)),0)</f>
        <v>0</v>
      </c>
      <c r="AO56" s="5">
        <f ca="1">IF(AND($S$21=$C$21,$S$17&lt;&gt;""),INDEX($CB$30:$CJ$38,MATCH($C$21,$CA$52:$CA$60,0),MATCH($S$17,$CB$51:$CJ$51,0)),0)</f>
        <v>0</v>
      </c>
      <c r="AP56" s="3">
        <f ca="1">IF(AND($S$21=$C$21,$S$18&lt;&gt;""),INDEX($CB$30:$CJ$38,MATCH($C$21,$CA$52:$CA$60,0),MATCH($S$18,$CB$51:$CJ$51,0)),0)</f>
        <v>0</v>
      </c>
      <c r="AQ56" s="3">
        <f ca="1">IF(AND($S$21=$C$21,$S$19&lt;&gt;""),INDEX($CB$30:$CJ$38,MATCH($C$21,$CA$52:$CA$60,0),MATCH($S$19,$CB$51:$CJ$51,0)),0)</f>
        <v>0</v>
      </c>
      <c r="AR56" s="3">
        <f ca="1">IF(AND($S$21=$C$21,$S$20&lt;&gt;""),INDEX($CB$30:$CJ$38,MATCH($C$21,$CA$52:$CA$60,0),MATCH($S$20,$CB$51:$CJ$51,0)),0)</f>
        <v>0</v>
      </c>
      <c r="AS56" s="3">
        <v>0</v>
      </c>
      <c r="AT56" s="3">
        <f ca="1">IF(AND($S$21=$C$21,$S$22&lt;&gt;""),INDEX($CB$30:$CJ$38,MATCH($C$21,$CA$52:$CA$60,0),MATCH($S$22,$CB$51:$CJ$51,0)),0)</f>
        <v>0</v>
      </c>
      <c r="AU56" s="3">
        <f ca="1">IF(AND($S$21=$C$21,$S$23&lt;&gt;""),INDEX($CB$30:$CJ$38,MATCH($C$21,$CA$52:$CA$60,0),MATCH($S$23,$CB$51:$CJ$51,0)),0)</f>
        <v>0</v>
      </c>
      <c r="AV56" s="3">
        <f ca="1">IF(AND($S$21=$C$21,$S$24&lt;&gt;""),INDEX($CB$30:$CJ$38,MATCH($C$21,$CA$52:$CA$60,0),MATCH($S$24,$CB$51:$CJ$51,0)),0)</f>
        <v>0</v>
      </c>
      <c r="AW56" s="53">
        <f ca="1">IF(AND($S$21=$C$21,$S$25&lt;&gt;""),INDEX($CB$30:$CJ$38,MATCH($C$21,$CA$52:$CA$60,0),MATCH($S$25,$CB$51:$CJ$51,0)),0)</f>
        <v>0</v>
      </c>
      <c r="AX56" s="5">
        <f ca="1">IF(AND($T$21=$C$21,$T$17&lt;&gt;""),INDEX($CB$30:$CJ$38,MATCH($C$21,$CA$52:$CA$60,0),MATCH($T$17,$CB$51:$CJ$51,0)),0)</f>
        <v>0</v>
      </c>
      <c r="AY56" s="3">
        <f ca="1">IF(AND($T$21=$C$21,$T$18&lt;&gt;""),INDEX($CB$30:$CJ$38,MATCH($C$21,$CA$52:$CA$60,0),MATCH($T$18,$CB$51:$CJ$51,0)),0)</f>
        <v>0</v>
      </c>
      <c r="AZ56" s="3">
        <f ca="1">IF(AND($T$21=$C$21,$T$19&lt;&gt;""),INDEX($CB$30:$CJ$38,MATCH($C$21,$CA$52:$CA$60,0),MATCH($T$19,$CB$51:$CJ$51,0)),0)</f>
        <v>0</v>
      </c>
      <c r="BA56" s="3">
        <f ca="1">IF(AND($T$21=$C$21,$T$20&lt;&gt;""),INDEX($CB$30:$CJ$38,MATCH($C$21,$CA$52:$CA$60,0),MATCH($T$20,$CB$51:$CJ$51,0)),0)</f>
        <v>0</v>
      </c>
      <c r="BB56" s="3">
        <v>0</v>
      </c>
      <c r="BC56" s="3">
        <f ca="1">IF(AND($T$21=$C$21,$T$22&lt;&gt;""),INDEX($CB$30:$CJ$38,MATCH($C$21,$CA$52:$CA$60,0),MATCH($T$22,$CB$51:$CJ$51,0)),0)</f>
        <v>0</v>
      </c>
      <c r="BD56" s="3">
        <f ca="1">IF(AND($T$21=$C$21,$T$23&lt;&gt;""),INDEX($CB$30:$CJ$38,MATCH($C$21,$CA$52:$CA$60,0),MATCH($T$23,$CB$51:$CJ$51,0)),0)</f>
        <v>0</v>
      </c>
      <c r="BE56" s="3">
        <f ca="1">IF(AND($T$21=$C$21,$T$24&lt;&gt;""),INDEX($CB$30:$CJ$38,MATCH($C$21,$CA$52:$CA$60,0),MATCH($T$24,$CB$51:$CJ$51,0)),0)</f>
        <v>0</v>
      </c>
      <c r="BF56" s="53">
        <f ca="1">IF(AND($T$21=$C$21,$T$25&lt;&gt;""),INDEX($CB$30:$CJ$38,MATCH($C$21,$CA$52:$CA$60,0),MATCH($T$25,$CB$51:$CJ$51,0)),0)</f>
        <v>0</v>
      </c>
      <c r="BG56" s="5">
        <f ca="1">IF(AND($U$21=$C$21,$U$17&lt;&gt;""),INDEX($CB$30:$CJ$38,MATCH($C$21,$CA$52:$CA$60,0),MATCH($U$17,$CB$51:$CJ$51,0)),0)</f>
        <v>0</v>
      </c>
      <c r="BH56" s="3">
        <f ca="1">IF(AND($U$21=$C$21,$U$18&lt;&gt;""),INDEX($CB$30:$CJ$38,MATCH($C$21,$CA$52:$CA$60,0),MATCH($U$18,$CB$51:$CJ$51,0)),0)</f>
        <v>0</v>
      </c>
      <c r="BI56" s="3">
        <f ca="1">IF(AND($U$21=$C$21,$U$19&lt;&gt;""),INDEX($CB$30:$CJ$38,MATCH($C$21,$CA$52:$CA$60,0),MATCH($U$19,$CB$51:$CJ$51,0)),0)</f>
        <v>0</v>
      </c>
      <c r="BJ56" s="3">
        <f ca="1">IF(AND($U$21=$C$21,$U$20&lt;&gt;""),INDEX($CB$30:$CJ$38,MATCH($C$21,$CA$52:$CA$60,0),MATCH($U$20,$CB$51:$CJ$51,0)),0)</f>
        <v>0</v>
      </c>
      <c r="BK56" s="3">
        <v>0</v>
      </c>
      <c r="BL56" s="3">
        <f ca="1">IF(AND($U$21=$C$21,$U$22&lt;&gt;""),INDEX($CB$30:$CJ$38,MATCH($C$21,$CA$52:$CA$60,0),MATCH($U$22,$CB$51:$CJ$51,0)),0)</f>
        <v>0</v>
      </c>
      <c r="BM56" s="3">
        <f ca="1">IF(AND($U$21=$C$21,$U$23&lt;&gt;""),INDEX($CB$30:$CJ$38,MATCH($C$21,$CA$52:$CA$60,0),MATCH($U$23,$CB$51:$CJ$51,0)),0)</f>
        <v>0</v>
      </c>
      <c r="BN56" s="3">
        <f ca="1">IF(AND($U$21=$C$21,$U$24&lt;&gt;""),INDEX($CB$30:$CJ$38,MATCH($C$21,$CA$52:$CA$60,0),MATCH($U$24,$CB$51:$CJ$51,0)),0)</f>
        <v>0</v>
      </c>
      <c r="BO56" s="53">
        <f ca="1">IF(AND($U$21=$C$21,$U$25&lt;&gt;""),INDEX($CB$30:$CJ$38,MATCH($C$21,$CA$52:$CA$60,0),MATCH($U$25,$CB$51:$CJ$51,0)),0)</f>
        <v>0</v>
      </c>
      <c r="BP56" s="5">
        <f ca="1">IF(AND($V$21=$C$21,$V$17&lt;&gt;""),INDEX($CB$30:$CJ$38,MATCH($C$21,$CA$52:$CA$60,0),MATCH($V$17,$CB$51:$CJ$51,0)),0)</f>
        <v>0</v>
      </c>
      <c r="BQ56" s="3">
        <f ca="1">IF(AND($V$21=$C$21,$V$18&lt;&gt;""),INDEX($CB$30:$CJ$38,MATCH($C$21,$CA$52:$CA$60,0),MATCH($V$18,$CB$51:$CJ$51,0)),0)</f>
        <v>0</v>
      </c>
      <c r="BR56" s="3">
        <f ca="1">IF(AND($V$21=$C$21,$V$19&lt;&gt;""),INDEX($CB$30:$CJ$38,MATCH($C$21,$CA$52:$CA$60,0),MATCH($V$19,$CB$51:$CJ$51,0)),0)</f>
        <v>0</v>
      </c>
      <c r="BS56" s="3">
        <f ca="1">IF(AND($V$21=$C$21,$V$20&lt;&gt;""),INDEX($CB$30:$CJ$38,MATCH($C$21,$CA$52:$CA$60,0),MATCH($V$20,$CB$51:$CJ$51,0)),0)</f>
        <v>0</v>
      </c>
      <c r="BT56" s="3">
        <v>0</v>
      </c>
      <c r="BU56" s="3">
        <f ca="1">IF(AND($V$21=$C$21,$V$22&lt;&gt;""),INDEX($CB$30:$CJ$38,MATCH($C$21,$CA$52:$CA$60,0),MATCH($V$22,$CB$51:$CJ$51,0)),0)</f>
        <v>0</v>
      </c>
      <c r="BV56" s="3">
        <f ca="1">IF(AND($V$21=$C$21,$V$23&lt;&gt;""),INDEX($CB$30:$CJ$38,MATCH($C$21,$CA$52:$CA$60,0),MATCH($V$23,$CB$51:$CJ$51,0)),0)</f>
        <v>0</v>
      </c>
      <c r="BW56" s="3">
        <f ca="1">IF(AND($V$21=$C$21,$V$24&lt;&gt;""),INDEX($CB$30:$CJ$38,MATCH($C$21,$CA$52:$CA$60,0),MATCH($V$24,$CB$51:$CJ$51,0)),0)</f>
        <v>0</v>
      </c>
      <c r="BX56" s="3">
        <f ca="1">IF(AND($V$21=$C$21,$V$25&lt;&gt;""),INDEX($CB$30:$CJ$38,MATCH($C$21,$CA$52:$CA$60,0),MATCH($V$25,$CB$51:$CJ$51,0)),0)</f>
        <v>0</v>
      </c>
      <c r="BY56" s="14"/>
      <c r="BZ56" s="3"/>
      <c r="CA56" s="2" t="str">
        <f t="shared" si="66"/>
        <v>VFB Essenheim</v>
      </c>
      <c r="CB56" s="8">
        <f t="shared" ca="1" si="68"/>
        <v>2</v>
      </c>
      <c r="CC56" s="8">
        <f t="shared" ca="1" si="70"/>
        <v>1</v>
      </c>
      <c r="CD56" s="8">
        <f t="shared" ca="1" si="72"/>
        <v>2</v>
      </c>
      <c r="CE56" s="8">
        <f ca="1">SUMIFS($AL$64:$AL$135,$V$64:$V$135,$CA56,$W$64:$W$135,CE$51)+SUMIFS($AM$64:$AM$135,$W$64:$W$135,$CA56,$V$64:$V$135,CE$51)</f>
        <v>3</v>
      </c>
      <c r="CF56" s="6"/>
      <c r="CG56" s="7">
        <f ca="1">SUMIFS($AL$64:$AL$135,$V$64:$V$135,$CA56,$W$64:$W$135,CG$51)+SUMIFS($AM$64:$AM$135,$W$64:$W$135,$CA56,$V$64:$V$135,CG$51)</f>
        <v>1</v>
      </c>
      <c r="CH56" s="7">
        <f ca="1">SUMIFS($AL$64:$AL$135,$V$64:$V$135,$CA56,$W$64:$W$135,CH$51)+SUMIFS($AM$64:$AM$135,$W$64:$W$135,$CA56,$V$64:$V$135,CH$51)</f>
        <v>3</v>
      </c>
      <c r="CI56" s="7">
        <f ca="1">SUMIFS($AL$64:$AL$135,$V$64:$V$135,$CA56,$W$64:$W$135,CI$51)+SUMIFS($AM$64:$AM$135,$W$64:$W$135,$CA56,$V$64:$V$135,CI$51)</f>
        <v>0</v>
      </c>
      <c r="CJ56" s="7">
        <f ca="1">SUMIFS($AL$64:$AL$135,$V$64:$V$135,$CA56,$W$64:$W$135,CJ$51)+SUMIFS($AM$64:$AM$135,$W$64:$W$135,$CA56,$V$64:$V$135,CJ$51)</f>
        <v>0</v>
      </c>
      <c r="CK56" s="3"/>
    </row>
    <row r="57" spans="2:89" s="2" customFormat="1" x14ac:dyDescent="0.2">
      <c r="E57" s="14">
        <f ca="1">IF(AND($O$22=$C$22,$O$17&lt;&gt;""),INDEX($CB$30:$CJ$38,MATCH($C$22,$CA$52:$CA$60,0),MATCH($O$17,$CB$51:$CJ$51,0)),0)</f>
        <v>0</v>
      </c>
      <c r="F57" s="3">
        <f ca="1">IF(AND($O$22=$C$22,$O$18&lt;&gt;""),INDEX($CB$30:$CJ$38,MATCH($C$22,$CA$52:$CA$60,0),MATCH($O$18,$CB$51:$CJ$51,0)),0)</f>
        <v>0</v>
      </c>
      <c r="G57" s="3">
        <f ca="1">IF(AND($O$22=$C$22,$O$19&lt;&gt;""),INDEX($CB$30:$CJ$38,MATCH($C$22,$CA$52:$CA$60,0),MATCH($O$19,$CB$51:$CJ$51,0)),0)</f>
        <v>0</v>
      </c>
      <c r="H57" s="3">
        <f ca="1">IF(AND($O$22=$C$22,$O$20&lt;&gt;""),INDEX($CB$30:$CJ$38,MATCH($C$22,$CA$52:$CA$60,0),MATCH($O$20,$CB$51:$CJ$51,0)),0)</f>
        <v>0</v>
      </c>
      <c r="I57" s="3">
        <f ca="1">IF(AND($O$22=$C$22,$O$21&lt;&gt;""),INDEX($CB$30:$CJ$38,MATCH($C$22,$CA$52:$CA$60,0),MATCH($O$21,$CB$51:$CJ$51,0)),0)</f>
        <v>0</v>
      </c>
      <c r="J57" s="3">
        <v>0</v>
      </c>
      <c r="K57" s="3">
        <f ca="1">IF(AND($O$22=$C$22,$O$23&lt;&gt;""),INDEX($CB$30:$CJ$38,MATCH($C$22,$CA$52:$CA$60,0),MATCH($O$23,$CB$51:$CJ$51,0)),0)</f>
        <v>0</v>
      </c>
      <c r="L57" s="3">
        <f ca="1">IF(AND($O$22=$C$22,$O$24&lt;&gt;""),INDEX($CB$30:$CJ$38,MATCH($C$22,$CA$52:$CA$60,0),MATCH($O$24,$CB$51:$CJ$51,0)),0)</f>
        <v>0</v>
      </c>
      <c r="M57" s="53">
        <f ca="1">IF(AND($O$22=$C$22,$O$25&lt;&gt;""),INDEX($CB$30:$CJ$38,MATCH($C$22,$CA$52:$CA$60,0),MATCH($O$25,$CB$51:$CJ$51,0)),0)</f>
        <v>0</v>
      </c>
      <c r="N57" s="5">
        <f ca="1">IF(AND($P$22=$C$22,$P$17&lt;&gt;""),INDEX($CB$30:$CJ$38,MATCH($C$22,$CA$52:$CA$60,0),MATCH($P$17,$CB$51:$CJ$51,0)),0)</f>
        <v>0</v>
      </c>
      <c r="O57" s="3">
        <f ca="1">IF(AND($P$22=$C$22,$P$18&lt;&gt;""),INDEX($CB$30:$CJ$38,MATCH($C$22,$CA$52:$CA$60,0),MATCH($P$18,$CB$51:$CJ$51,0)),0)</f>
        <v>0</v>
      </c>
      <c r="P57" s="3">
        <f ca="1">IF(AND($P$22=$C$22,$P$19&lt;&gt;""),INDEX($CB$30:$CJ$38,MATCH($C$22,$CA$52:$CA$60,0),MATCH($P$19,$CB$51:$CJ$51,0)),0)</f>
        <v>0</v>
      </c>
      <c r="Q57" s="3">
        <f ca="1">IF(AND($P$22=$C$22,$P$20&lt;&gt;""),INDEX($CB$30:$CJ$38,MATCH($C$22,$CA$52:$CA$60,0),MATCH($P$20,$CB$51:$CJ$51,0)),0)</f>
        <v>0</v>
      </c>
      <c r="R57" s="3">
        <f ca="1">IF(AND($P$22=$C$22,$P$21&lt;&gt;""),INDEX($CB$30:$CJ$38,MATCH($C$22,$CA$52:$CA$60,0),MATCH($P$21,$CB$51:$CJ$51,0)),0)</f>
        <v>0</v>
      </c>
      <c r="S57" s="3">
        <v>0</v>
      </c>
      <c r="T57" s="3">
        <f ca="1">IF(AND($P$22=$C$22,$P$23&lt;&gt;""),INDEX($CB$30:$CJ$38,MATCH($C$22,$CA$52:$CA$60,0),MATCH($P$23,$CB$51:$CJ$51,0)),0)</f>
        <v>0</v>
      </c>
      <c r="U57" s="3">
        <f ca="1">IF(AND($P$22=$C$22,$P$24&lt;&gt;""),INDEX($CB$30:$CJ$38,MATCH($C$22,$CA$52:$CA$60,0),MATCH($P$24,$CB$51:$CJ$51,0)),0)</f>
        <v>0</v>
      </c>
      <c r="V57" s="53">
        <f ca="1">IF(AND($P$22=$C$22,$P$25&lt;&gt;""),INDEX($CB$30:$CJ$38,MATCH($C$22,$CA$52:$CA$60,0),MATCH($P$25,$CB$51:$CJ$51,0)),0)</f>
        <v>0</v>
      </c>
      <c r="W57" s="5">
        <f ca="1">IF(AND($Q$22=$C$22,$Q$17&lt;&gt;""),INDEX($CB$30:$CJ$38,MATCH($C$22,$CA$52:$CA$60,0),MATCH($Q$17,$CB$51:$CJ$51,0)),0)</f>
        <v>0</v>
      </c>
      <c r="X57" s="3">
        <f ca="1">IF(AND($Q$22=$C$22,$Q$18&lt;&gt;""),INDEX($CB$30:$CJ$38,MATCH($C$22,$CA$52:$CA$60,0),MATCH($Q$18,$CB$51:$CJ$51,0)),0)</f>
        <v>0</v>
      </c>
      <c r="Y57" s="3">
        <f ca="1">IF(AND($Q$22=$C$22,$Q$19&lt;&gt;""),INDEX($CB$30:$CJ$38,MATCH($C$22,$CA$52:$CA$60,0),MATCH($Q$19,$CB$51:$CJ$51,0)),0)</f>
        <v>0</v>
      </c>
      <c r="Z57" s="3">
        <f ca="1">IF(AND($Q$22=$C$22,$Q$20&lt;&gt;""),INDEX($CB$30:$CJ$38,MATCH($C$22,$CA$52:$CA$60,0),MATCH($Q$20,$CB$51:$CJ$51,0)),0)</f>
        <v>0</v>
      </c>
      <c r="AA57" s="3">
        <f ca="1">IF(AND($Q$22=$C$22,$Q$21&lt;&gt;""),INDEX($CB$30:$CJ$38,MATCH($C$22,$CA$52:$CA$60,0),MATCH($Q$21,$CB$51:$CJ$51,0)),0)</f>
        <v>0</v>
      </c>
      <c r="AB57" s="3">
        <v>0</v>
      </c>
      <c r="AC57" s="3">
        <f ca="1">IF(AND($Q$22=$C$22,$Q$23&lt;&gt;""),INDEX($CB$30:$CJ$38,MATCH($C$22,$CA$52:$CA$60,0),MATCH($Q$23,$CB$51:$CJ$51,0)),0)</f>
        <v>0</v>
      </c>
      <c r="AD57" s="3">
        <f ca="1">IF(AND($Q$22=$C$22,$Q$24&lt;&gt;""),INDEX($CB$30:$CJ$38,MATCH($C$22,$CA$52:$CA$60,0),MATCH($Q$24,$CB$51:$CJ$51,0)),0)</f>
        <v>0</v>
      </c>
      <c r="AE57" s="53">
        <f ca="1">IF(AND($Q$22=$C$22,$Q$25&lt;&gt;""),INDEX($CB$30:$CJ$38,MATCH($C$22,$CA$52:$CA$60,0),MATCH($Q$25,$CB$51:$CJ$51,0)),0)</f>
        <v>0</v>
      </c>
      <c r="AF57" s="5">
        <f ca="1">IF(AND($R$22=$C$22,$R$17&lt;&gt;""),INDEX($CB$30:$CJ$38,MATCH($C$22,$CA$52:$CA$60,0),MATCH($R$17,$CB$51:$CJ$51,0)),0)</f>
        <v>0</v>
      </c>
      <c r="AG57" s="3">
        <f ca="1">IF(AND($R$22=$C$22,$R$18&lt;&gt;""),INDEX($CB$30:$CJ$38,MATCH($C$22,$CA$52:$CA$60,0),MATCH($R$18,$CB$51:$CJ$51,0)),0)</f>
        <v>0</v>
      </c>
      <c r="AH57" s="3">
        <f ca="1">IF(AND($R$22=$C$22,$R$19&lt;&gt;""),INDEX($CB$30:$CJ$38,MATCH($C$22,$CA$52:$CA$60,0),MATCH($R$19,$CB$51:$CJ$51,0)),0)</f>
        <v>0</v>
      </c>
      <c r="AI57" s="3">
        <f ca="1">IF(AND($R$22=$C$22,$R$20&lt;&gt;""),INDEX($CB$30:$CJ$38,MATCH($C$22,$CA$52:$CA$60,0),MATCH($R$20,$CB$51:$CJ$51,0)),0)</f>
        <v>0</v>
      </c>
      <c r="AJ57" s="3">
        <f ca="1">IF(AND($R$22=$C$22,$R$21&lt;&gt;""),INDEX($CB$30:$CJ$38,MATCH($C$22,$CA$52:$CA$60,0),MATCH($R$21,$CB$51:$CJ$51,0)),0)</f>
        <v>0</v>
      </c>
      <c r="AK57" s="3">
        <v>0</v>
      </c>
      <c r="AL57" s="3">
        <f ca="1">IF(AND($R$22=$C$22,$R$23&lt;&gt;""),INDEX($CB$30:$CJ$38,MATCH($C$22,$CA$52:$CA$60,0),MATCH($R$23,$CB$51:$CJ$51,0)),0)</f>
        <v>0</v>
      </c>
      <c r="AM57" s="3">
        <f ca="1">IF(AND($R$22=$C$22,$R$24&lt;&gt;""),INDEX($CB$30:$CJ$38,MATCH($C$22,$CA$52:$CA$60,0),MATCH($R$24,$CB$51:$CJ$51,0)),0)</f>
        <v>0</v>
      </c>
      <c r="AN57" s="53">
        <f ca="1">IF(AND($R$22=$C$22,$R$25&lt;&gt;""),INDEX($CB$30:$CJ$38,MATCH($C$22,$CA$52:$CA$60,0),MATCH($R$25,$CB$51:$CJ$51,0)),0)</f>
        <v>0</v>
      </c>
      <c r="AO57" s="5">
        <f ca="1">IF(AND($S$22=$C$22,$S$17&lt;&gt;""),INDEX($CB$30:$CJ$38,MATCH($C$22,$CA$52:$CA$60,0),MATCH($S$17,$CB$51:$CJ$51,0)),0)</f>
        <v>0</v>
      </c>
      <c r="AP57" s="3">
        <f ca="1">IF(AND($S$22=$C$22,$S$18&lt;&gt;""),INDEX($CB$30:$CJ$38,MATCH($C$22,$CA$52:$CA$60,0),MATCH($S$18,$CB$51:$CJ$51,0)),0)</f>
        <v>0</v>
      </c>
      <c r="AQ57" s="3">
        <f ca="1">IF(AND($S$22=$C$22,$S$19&lt;&gt;""),INDEX($CB$30:$CJ$38,MATCH($C$22,$CA$52:$CA$60,0),MATCH($S$19,$CB$51:$CJ$51,0)),0)</f>
        <v>0</v>
      </c>
      <c r="AR57" s="3">
        <f ca="1">IF(AND($S$22=$C$22,$S$20&lt;&gt;""),INDEX($CB$30:$CJ$38,MATCH($C$22,$CA$52:$CA$60,0),MATCH($S$20,$CB$51:$CJ$51,0)),0)</f>
        <v>0</v>
      </c>
      <c r="AS57" s="3">
        <f ca="1">IF(AND($S$22=$C$22,$S$21&lt;&gt;""),INDEX($CB$30:$CJ$38,MATCH($C$22,$CA$52:$CA$60,0),MATCH($S$21,$CB$51:$CJ$51,0)),0)</f>
        <v>0</v>
      </c>
      <c r="AT57" s="3">
        <v>0</v>
      </c>
      <c r="AU57" s="3">
        <f ca="1">IF(AND($S$22=$C$22,$S$23&lt;&gt;""),INDEX($CB$30:$CJ$38,MATCH($C$22,$CA$52:$CA$60,0),MATCH($S$23,$CB$51:$CJ$51,0)),0)</f>
        <v>0</v>
      </c>
      <c r="AV57" s="3">
        <f ca="1">IF(AND($S$22=$C$22,$S$24&lt;&gt;""),INDEX($CB$30:$CJ$38,MATCH($C$22,$CA$52:$CA$60,0),MATCH($S$24,$CB$51:$CJ$51,0)),0)</f>
        <v>0</v>
      </c>
      <c r="AW57" s="53">
        <f ca="1">IF(AND($S$22=$C$22,$S$25&lt;&gt;""),INDEX($CB$30:$CJ$38,MATCH($C$22,$CA$52:$CA$60,0),MATCH($S$25,$CB$51:$CJ$51,0)),0)</f>
        <v>0</v>
      </c>
      <c r="AX57" s="5">
        <f ca="1">IF(AND($T$22=$C$22,$T$17&lt;&gt;""),INDEX($CB$30:$CJ$38,MATCH($C$22,$CA$52:$CA$60,0),MATCH($T$17,$CB$51:$CJ$51,0)),0)</f>
        <v>0</v>
      </c>
      <c r="AY57" s="3">
        <f ca="1">IF(AND($T$22=$C$22,$T$18&lt;&gt;""),INDEX($CB$30:$CJ$38,MATCH($C$22,$CA$52:$CA$60,0),MATCH($T$18,$CB$51:$CJ$51,0)),0)</f>
        <v>0</v>
      </c>
      <c r="AZ57" s="3">
        <f ca="1">IF(AND($T$22=$C$22,$T$19&lt;&gt;""),INDEX($CB$30:$CJ$38,MATCH($C$22,$CA$52:$CA$60,0),MATCH($T$19,$CB$51:$CJ$51,0)),0)</f>
        <v>0</v>
      </c>
      <c r="BA57" s="3">
        <f ca="1">IF(AND($T$22=$C$22,$T$20&lt;&gt;""),INDEX($CB$30:$CJ$38,MATCH($C$22,$CA$52:$CA$60,0),MATCH($T$20,$CB$51:$CJ$51,0)),0)</f>
        <v>0</v>
      </c>
      <c r="BB57" s="3">
        <f ca="1">IF(AND($T$22=$C$22,$T$21&lt;&gt;""),INDEX($CB$30:$CJ$38,MATCH($C$22,$CA$52:$CA$60,0),MATCH($T$21,$CB$51:$CJ$51,0)),0)</f>
        <v>0</v>
      </c>
      <c r="BC57" s="3">
        <v>0</v>
      </c>
      <c r="BD57" s="3">
        <f ca="1">IF(AND($T$22=$C$22,$T$23&lt;&gt;""),INDEX($CB$30:$CJ$38,MATCH($C$22,$CA$52:$CA$60,0),MATCH($T$23,$CB$51:$CJ$51,0)),0)</f>
        <v>0</v>
      </c>
      <c r="BE57" s="3">
        <f ca="1">IF(AND($T$22=$C$22,$T$24&lt;&gt;""),INDEX($CB$30:$CJ$38,MATCH($C$22,$CA$52:$CA$60,0),MATCH($T$24,$CB$51:$CJ$51,0)),0)</f>
        <v>0</v>
      </c>
      <c r="BF57" s="53">
        <f ca="1">IF(AND($T$22=$C$22,$T$25&lt;&gt;""),INDEX($CB$30:$CJ$38,MATCH($C$22,$CA$52:$CA$60,0),MATCH($T$25,$CB$51:$CJ$51,0)),0)</f>
        <v>0</v>
      </c>
      <c r="BG57" s="5">
        <f ca="1">IF(AND($U$22=$C$22,$U$17&lt;&gt;""),INDEX($CB$30:$CJ$38,MATCH($C$22,$CA$52:$CA$60,0),MATCH($U$17,$CB$51:$CJ$51,0)),0)</f>
        <v>0</v>
      </c>
      <c r="BH57" s="3">
        <f ca="1">IF(AND($U$22=$C$22,$U$18&lt;&gt;""),INDEX($CB$30:$CJ$38,MATCH($C$22,$CA$52:$CA$60,0),MATCH($U$18,$CB$51:$CJ$51,0)),0)</f>
        <v>0</v>
      </c>
      <c r="BI57" s="3">
        <f ca="1">IF(AND($U$22=$C$22,$U$19&lt;&gt;""),INDEX($CB$30:$CJ$38,MATCH($C$22,$CA$52:$CA$60,0),MATCH($U$19,$CB$51:$CJ$51,0)),0)</f>
        <v>0</v>
      </c>
      <c r="BJ57" s="3">
        <f ca="1">IF(AND($U$22=$C$22,$U$20&lt;&gt;""),INDEX($CB$30:$CJ$38,MATCH($C$22,$CA$52:$CA$60,0),MATCH($U$20,$CB$51:$CJ$51,0)),0)</f>
        <v>0</v>
      </c>
      <c r="BK57" s="3">
        <f ca="1">IF(AND($U$22=$C$22,$U$21&lt;&gt;""),INDEX($CB$30:$CJ$38,MATCH($C$22,$CA$52:$CA$60,0),MATCH($U$21,$CB$51:$CJ$51,0)),0)</f>
        <v>0</v>
      </c>
      <c r="BL57" s="3">
        <v>0</v>
      </c>
      <c r="BM57" s="3">
        <f ca="1">IF(AND($U$22=$C$22,$U$23&lt;&gt;""),INDEX($CB$30:$CJ$38,MATCH($C$22,$CA$52:$CA$60,0),MATCH($U$23,$CB$51:$CJ$51,0)),0)</f>
        <v>0</v>
      </c>
      <c r="BN57" s="3">
        <f ca="1">IF(AND($U$22=$C$22,$U$24&lt;&gt;""),INDEX($CB$30:$CJ$38,MATCH($C$22,$CA$52:$CA$60,0),MATCH($U$24,$CB$51:$CJ$51,0)),0)</f>
        <v>0</v>
      </c>
      <c r="BO57" s="53">
        <f ca="1">IF(AND($U$22=$C$22,$U$25&lt;&gt;""),INDEX($CB$30:$CJ$38,MATCH($C$22,$CA$52:$CA$60,0),MATCH($U$25,$CB$51:$CJ$51,0)),0)</f>
        <v>0</v>
      </c>
      <c r="BP57" s="5">
        <f ca="1">IF(AND($V$22=$C$22,$V$17&lt;&gt;""),INDEX($CB$30:$CJ$38,MATCH($C$22,$CA$52:$CA$60,0),MATCH($V$17,$CB$51:$CJ$51,0)),0)</f>
        <v>0</v>
      </c>
      <c r="BQ57" s="3">
        <f ca="1">IF(AND($V$22=$C$22,$V$18&lt;&gt;""),INDEX($CB$30:$CJ$38,MATCH($C$22,$CA$52:$CA$60,0),MATCH($V$18,$CB$51:$CJ$51,0)),0)</f>
        <v>0</v>
      </c>
      <c r="BR57" s="3">
        <f ca="1">IF(AND($V$22=$C$22,$V$19&lt;&gt;""),INDEX($CB$30:$CJ$38,MATCH($C$22,$CA$52:$CA$60,0),MATCH($V$19,$CB$51:$CJ$51,0)),0)</f>
        <v>0</v>
      </c>
      <c r="BS57" s="3">
        <f ca="1">IF(AND($V$22=$C$22,$V$20&lt;&gt;""),INDEX($CB$30:$CJ$38,MATCH($C$22,$CA$52:$CA$60,0),MATCH($V$20,$CB$51:$CJ$51,0)),0)</f>
        <v>0</v>
      </c>
      <c r="BT57" s="3">
        <f ca="1">IF(AND($V$22=$C$22,$V$21&lt;&gt;""),INDEX($CB$30:$CJ$38,MATCH($C$22,$CA$52:$CA$60,0),MATCH($V$21,$CB$51:$CJ$51,0)),0)</f>
        <v>0</v>
      </c>
      <c r="BU57" s="3">
        <v>0</v>
      </c>
      <c r="BV57" s="3">
        <f ca="1">IF(AND($V$22=$C$22,$V$23&lt;&gt;""),INDEX($CB$30:$CJ$38,MATCH($C$22,$CA$52:$CA$60,0),MATCH($V$23,$CB$51:$CJ$51,0)),0)</f>
        <v>0</v>
      </c>
      <c r="BW57" s="3">
        <f ca="1">IF(AND($V$22=$C$22,$V$24&lt;&gt;""),INDEX($CB$30:$CJ$38,MATCH($C$22,$CA$52:$CA$60,0),MATCH($V$24,$CB$51:$CJ$51,0)),0)</f>
        <v>0</v>
      </c>
      <c r="BX57" s="3">
        <f ca="1">IF(AND($V$22=$C$22,$V$25&lt;&gt;""),INDEX($CB$30:$CJ$38,MATCH($C$22,$CA$52:$CA$60,0),MATCH($V$25,$CB$51:$CJ$51,0)),0)</f>
        <v>0</v>
      </c>
      <c r="BY57" s="14"/>
      <c r="BZ57" s="3"/>
      <c r="CA57" s="2" t="str">
        <f t="shared" si="66"/>
        <v>Inter Mailand</v>
      </c>
      <c r="CB57" s="8">
        <f t="shared" ca="1" si="68"/>
        <v>3</v>
      </c>
      <c r="CC57" s="8">
        <f t="shared" ca="1" si="70"/>
        <v>1</v>
      </c>
      <c r="CD57" s="8">
        <f t="shared" ca="1" si="72"/>
        <v>0</v>
      </c>
      <c r="CE57" s="8">
        <f ca="1">SUMIFS($AL$64:$AL$135,$V$64:$V$135,$CA57,$W$64:$W$135,CE$51)+SUMIFS($AM$64:$AM$135,$W$64:$W$135,$CA57,$V$64:$V$135,CE$51)</f>
        <v>1</v>
      </c>
      <c r="CF57" s="8">
        <f ca="1">SUMIFS($AL$64:$AL$135,$V$64:$V$135,$CA57,$W$64:$W$135,CF$51)+SUMIFS($AM$64:$AM$135,$W$64:$W$135,$CA57,$V$64:$V$135,CF$51)</f>
        <v>3</v>
      </c>
      <c r="CG57" s="6"/>
      <c r="CH57" s="7">
        <f ca="1">SUMIFS($AL$64:$AL$135,$V$64:$V$135,$CA57,$W$64:$W$135,CH$51)+SUMIFS($AM$64:$AM$135,$W$64:$W$135,$CA57,$V$64:$V$135,CH$51)</f>
        <v>2</v>
      </c>
      <c r="CI57" s="7">
        <f ca="1">SUMIFS($AL$64:$AL$135,$V$64:$V$135,$CA57,$W$64:$W$135,CI$51)+SUMIFS($AM$64:$AM$135,$W$64:$W$135,$CA57,$V$64:$V$135,CI$51)</f>
        <v>0</v>
      </c>
      <c r="CJ57" s="7">
        <f ca="1">SUMIFS($AL$64:$AL$135,$V$64:$V$135,$CA57,$W$64:$W$135,CJ$51)+SUMIFS($AM$64:$AM$135,$W$64:$W$135,$CA57,$V$64:$V$135,CJ$51)</f>
        <v>0</v>
      </c>
      <c r="CK57" s="3"/>
    </row>
    <row r="58" spans="2:89" s="2" customFormat="1" x14ac:dyDescent="0.2">
      <c r="E58" s="14">
        <f ca="1">IF(AND($O$23=$C$23,$O$17&lt;&gt;""),INDEX($CB$30:$CJ$38,MATCH($C$23,$CA$52:$CA$60,0),MATCH($O$17,$CB$51:$CJ$51,0)),0)</f>
        <v>0</v>
      </c>
      <c r="F58" s="3">
        <f ca="1">IF(AND($O$23=$C$23,$O$18&lt;&gt;""),INDEX($CB$30:$CJ$38,MATCH($C$23,$CA$52:$CA$60,0),MATCH($O$18,$CB$51:$CJ$51,0)),0)</f>
        <v>0</v>
      </c>
      <c r="G58" s="3">
        <f ca="1">IF(AND($O$23=$C$23,$O$19&lt;&gt;""),INDEX($CB$30:$CJ$38,MATCH($C$23,$CA$52:$CA$60,0),MATCH($O$19,$CB$51:$CJ$51,0)),0)</f>
        <v>0</v>
      </c>
      <c r="H58" s="3">
        <f ca="1">IF(AND($O$23=$C$23,$O$20&lt;&gt;""),INDEX($CB$30:$CJ$38,MATCH($C$23,$CA$52:$CA$60,0),MATCH($O$20,$CB$51:$CJ$51,0)),0)</f>
        <v>0</v>
      </c>
      <c r="I58" s="3">
        <f ca="1">IF(AND($O$23=$C$23,$O$21&lt;&gt;""),INDEX($CB$30:$CJ$38,MATCH($C$23,$CA$52:$CA$60,0),MATCH($O$21,$CB$51:$CJ$51,0)),0)</f>
        <v>0</v>
      </c>
      <c r="J58" s="3">
        <f ca="1">IF(AND($O$23=$C$23,$O$22&lt;&gt;""),INDEX($CB$30:$CJ$38,MATCH($C$23,$CA$52:$CA$60,0),MATCH($O$22,$CB$51:$CJ$51,0)),0)</f>
        <v>0</v>
      </c>
      <c r="K58" s="3">
        <v>0</v>
      </c>
      <c r="L58" s="3">
        <f ca="1">IF(AND($O$23=$C$23,$O$24&lt;&gt;""),INDEX($CB$30:$CJ$38,MATCH($C$23,$CA$52:$CA$60,0),MATCH($O$24,$CB$51:$CJ$51,0)),0)</f>
        <v>0</v>
      </c>
      <c r="M58" s="53">
        <f ca="1">IF(AND($O$23=$C$23,$O$25&lt;&gt;""),INDEX($CB$30:$CJ$38,MATCH($C$23,$CA$52:$CA$60,0),MATCH($O$25,$CB$51:$CJ$51,0)),0)</f>
        <v>0</v>
      </c>
      <c r="N58" s="5">
        <f ca="1">IF(AND($P$23=$C$23,$P$17&lt;&gt;""),INDEX($CB$30:$CJ$38,MATCH($C$23,$CA$52:$CA$60,0),MATCH($P$17,$CB$51:$CJ$51,0)),0)</f>
        <v>0</v>
      </c>
      <c r="O58" s="3">
        <f ca="1">IF(AND($P$23=$C$23,$P$18&lt;&gt;""),INDEX($CB$30:$CJ$38,MATCH($C$23,$CA$52:$CA$60,0),MATCH($P$18,$CB$51:$CJ$51,0)),0)</f>
        <v>0</v>
      </c>
      <c r="P58" s="3">
        <f ca="1">IF(AND($P$23=$C$23,$P$19&lt;&gt;""),INDEX($CB$30:$CJ$38,MATCH($C$23,$CA$52:$CA$60,0),MATCH($P$19,$CB$51:$CJ$51,0)),0)</f>
        <v>0</v>
      </c>
      <c r="Q58" s="3">
        <f ca="1">IF(AND($P$23=$C$23,$P$20&lt;&gt;""),INDEX($CB$30:$CJ$38,MATCH($C$23,$CA$52:$CA$60,0),MATCH($P$20,$CB$51:$CJ$51,0)),0)</f>
        <v>0</v>
      </c>
      <c r="R58" s="3">
        <f ca="1">IF(AND($P$23=$C$23,$P$21&lt;&gt;""),INDEX($CB$30:$CJ$38,MATCH($C$23,$CA$52:$CA$60,0),MATCH($P$21,$CB$51:$CJ$51,0)),0)</f>
        <v>0</v>
      </c>
      <c r="S58" s="3">
        <f ca="1">IF(AND($P$23=$C$23,$P$22&lt;&gt;""),INDEX($CB$30:$CJ$38,MATCH($C$23,$CA$52:$CA$60,0),MATCH($P$22,$CB$51:$CJ$51,0)),0)</f>
        <v>0</v>
      </c>
      <c r="T58" s="3">
        <v>0</v>
      </c>
      <c r="U58" s="3">
        <f ca="1">IF(AND($P$23=$C$23,$P$24&lt;&gt;""),INDEX($CB$30:$CJ$38,MATCH($C$23,$CA$52:$CA$60,0),MATCH($P$24,$CB$51:$CJ$51,0)),0)</f>
        <v>0</v>
      </c>
      <c r="V58" s="53">
        <f ca="1">IF(AND($P$23=$C$23,$P$25&lt;&gt;""),INDEX($CB$30:$CJ$38,MATCH($C$23,$CA$52:$CA$60,0),MATCH($P$25,$CB$51:$CJ$51,0)),0)</f>
        <v>0</v>
      </c>
      <c r="W58" s="5">
        <f ca="1">IF(AND($Q$23=$C$23,$Q$17&lt;&gt;""),INDEX($CB$30:$CJ$38,MATCH($C$23,$CA$52:$CA$60,0),MATCH($Q$17,$CB$51:$CJ$51,0)),0)</f>
        <v>0</v>
      </c>
      <c r="X58" s="3">
        <f ca="1">IF(AND($Q$23=$C$23,$Q$18&lt;&gt;""),INDEX($CB$30:$CJ$38,MATCH($C$23,$CA$52:$CA$60,0),MATCH($Q$18,$CB$51:$CJ$51,0)),0)</f>
        <v>0</v>
      </c>
      <c r="Y58" s="3">
        <f ca="1">IF(AND($Q$23=$C$23,$Q$19&lt;&gt;""),INDEX($CB$30:$CJ$38,MATCH($C$23,$CA$52:$CA$60,0),MATCH($Q$19,$CB$51:$CJ$51,0)),0)</f>
        <v>0</v>
      </c>
      <c r="Z58" s="3">
        <f ca="1">IF(AND($Q$23=$C$23,$Q$20&lt;&gt;""),INDEX($CB$30:$CJ$38,MATCH($C$23,$CA$52:$CA$60,0),MATCH($Q$20,$CB$51:$CJ$51,0)),0)</f>
        <v>0</v>
      </c>
      <c r="AA58" s="3">
        <f ca="1">IF(AND($Q$23=$C$23,$Q$21&lt;&gt;""),INDEX($CB$30:$CJ$38,MATCH($C$23,$CA$52:$CA$60,0),MATCH($Q$21,$CB$51:$CJ$51,0)),0)</f>
        <v>0</v>
      </c>
      <c r="AB58" s="3">
        <f ca="1">IF(AND($Q$23=$C$23,$Q$22&lt;&gt;""),INDEX($CB$30:$CJ$38,MATCH($C$23,$CA$52:$CA$60,0),MATCH($Q$22,$CB$51:$CJ$51,0)),0)</f>
        <v>0</v>
      </c>
      <c r="AC58" s="3">
        <v>0</v>
      </c>
      <c r="AD58" s="3">
        <f ca="1">IF(AND($Q$23=$C$23,$Q$24&lt;&gt;""),INDEX($CB$30:$CJ$38,MATCH($C$23,$CA$52:$CA$60,0),MATCH($Q$24,$CB$51:$CJ$51,0)),0)</f>
        <v>0</v>
      </c>
      <c r="AE58" s="53">
        <f ca="1">IF(AND($Q$23=$C$23,$Q$25&lt;&gt;""),INDEX($CB$30:$CJ$38,MATCH($C$23,$CA$52:$CA$60,0),MATCH($Q$25,$CB$51:$CJ$51,0)),0)</f>
        <v>0</v>
      </c>
      <c r="AF58" s="5">
        <f ca="1">IF(AND($R$23=$C$23,$R$17&lt;&gt;""),INDEX($CB$30:$CJ$38,MATCH($C$23,$CA$52:$CA$60,0),MATCH($R$17,$CB$51:$CJ$51,0)),0)</f>
        <v>0</v>
      </c>
      <c r="AG58" s="3">
        <f ca="1">IF(AND($R$23=$C$23,$R$18&lt;&gt;""),INDEX($CB$30:$CJ$38,MATCH($C$23,$CA$52:$CA$60,0),MATCH($R$18,$CB$51:$CJ$51,0)),0)</f>
        <v>0</v>
      </c>
      <c r="AH58" s="3">
        <f ca="1">IF(AND($R$23=$C$23,$R$19&lt;&gt;""),INDEX($CB$30:$CJ$38,MATCH($C$23,$CA$52:$CA$60,0),MATCH($R$19,$CB$51:$CJ$51,0)),0)</f>
        <v>0</v>
      </c>
      <c r="AI58" s="3">
        <f ca="1">IF(AND($R$23=$C$23,$R$20&lt;&gt;""),INDEX($CB$30:$CJ$38,MATCH($C$23,$CA$52:$CA$60,0),MATCH($R$20,$CB$51:$CJ$51,0)),0)</f>
        <v>0</v>
      </c>
      <c r="AJ58" s="3">
        <f ca="1">IF(AND($R$23=$C$23,$R$21&lt;&gt;""),INDEX($CB$30:$CJ$38,MATCH($C$23,$CA$52:$CA$60,0),MATCH($R$21,$CB$51:$CJ$51,0)),0)</f>
        <v>0</v>
      </c>
      <c r="AK58" s="3">
        <f ca="1">IF(AND($R$23=$C$23,$R$22&lt;&gt;""),INDEX($CB$30:$CJ$38,MATCH($C$23,$CA$52:$CA$60,0),MATCH($R$22,$CB$51:$CJ$51,0)),0)</f>
        <v>0</v>
      </c>
      <c r="AL58" s="3">
        <v>0</v>
      </c>
      <c r="AM58" s="3">
        <f ca="1">IF(AND($R$23=$C$23,$R$24&lt;&gt;""),INDEX($CB$30:$CJ$38,MATCH($C$23,$CA$52:$CA$60,0),MATCH($R$24,$CB$51:$CJ$51,0)),0)</f>
        <v>0</v>
      </c>
      <c r="AN58" s="53">
        <f ca="1">IF(AND($R$23=$C$23,$R$25&lt;&gt;""),INDEX($CB$30:$CJ$38,MATCH($C$23,$CA$52:$CA$60,0),MATCH($R$25,$CB$51:$CJ$51,0)),0)</f>
        <v>0</v>
      </c>
      <c r="AO58" s="5">
        <f ca="1">IF(AND($S$23=$C$23,$S$17&lt;&gt;""),INDEX($CB$30:$CJ$38,MATCH($C$23,$CA$52:$CA$60,0),MATCH($S$17,$CB$51:$CJ$51,0)),0)</f>
        <v>0</v>
      </c>
      <c r="AP58" s="3">
        <f ca="1">IF(AND($S$23=$C$23,$S$18&lt;&gt;""),INDEX($CB$30:$CJ$38,MATCH($C$23,$CA$52:$CA$60,0),MATCH($S$18,$CB$51:$CJ$51,0)),0)</f>
        <v>0</v>
      </c>
      <c r="AQ58" s="3">
        <f ca="1">IF(AND($S$23=$C$23,$S$19&lt;&gt;""),INDEX($CB$30:$CJ$38,MATCH($C$23,$CA$52:$CA$60,0),MATCH($S$19,$CB$51:$CJ$51,0)),0)</f>
        <v>0</v>
      </c>
      <c r="AR58" s="3">
        <f ca="1">IF(AND($S$23=$C$23,$S$20&lt;&gt;""),INDEX($CB$30:$CJ$38,MATCH($C$23,$CA$52:$CA$60,0),MATCH($S$20,$CB$51:$CJ$51,0)),0)</f>
        <v>0</v>
      </c>
      <c r="AS58" s="3">
        <f ca="1">IF(AND($S$23=$C$23,$S$21&lt;&gt;""),INDEX($CB$30:$CJ$38,MATCH($C$23,$CA$52:$CA$60,0),MATCH($S$21,$CB$51:$CJ$51,0)),0)</f>
        <v>0</v>
      </c>
      <c r="AT58" s="3">
        <f ca="1">IF(AND($S$23=$C$23,$S$22&lt;&gt;""),INDEX($CB$30:$CJ$38,MATCH($C$23,$CA$52:$CA$60,0),MATCH($S$22,$CB$51:$CJ$51,0)),0)</f>
        <v>0</v>
      </c>
      <c r="AU58" s="3">
        <v>0</v>
      </c>
      <c r="AV58" s="3">
        <f ca="1">IF(AND($S$23=$C$23,$S$24&lt;&gt;""),INDEX($CB$30:$CJ$38,MATCH($C$23,$CA$52:$CA$60,0),MATCH($S$24,$CB$51:$CJ$51,0)),0)</f>
        <v>0</v>
      </c>
      <c r="AW58" s="53">
        <f ca="1">IF(AND($S$23=$C$23,$S$25&lt;&gt;""),INDEX($CB$30:$CJ$38,MATCH($C$23,$CA$52:$CA$60,0),MATCH($S$25,$CB$51:$CJ$51,0)),0)</f>
        <v>0</v>
      </c>
      <c r="AX58" s="5">
        <f ca="1">IF(AND($T$23=$C$23,$T$17&lt;&gt;""),INDEX($CB$30:$CJ$38,MATCH($C$23,$CA$52:$CA$60,0),MATCH($T$17,$CB$51:$CJ$51,0)),0)</f>
        <v>0</v>
      </c>
      <c r="AY58" s="3">
        <f ca="1">IF(AND($T$23=$C$23,$T$18&lt;&gt;""),INDEX($CB$30:$CJ$38,MATCH($C$23,$CA$52:$CA$60,0),MATCH($T$18,$CB$51:$CJ$51,0)),0)</f>
        <v>0</v>
      </c>
      <c r="AZ58" s="3">
        <f ca="1">IF(AND($T$23=$C$23,$T$19&lt;&gt;""),INDEX($CB$30:$CJ$38,MATCH($C$23,$CA$52:$CA$60,0),MATCH($T$19,$CB$51:$CJ$51,0)),0)</f>
        <v>0</v>
      </c>
      <c r="BA58" s="3">
        <f ca="1">IF(AND($T$23=$C$23,$T$20&lt;&gt;""),INDEX($CB$30:$CJ$38,MATCH($C$23,$CA$52:$CA$60,0),MATCH($T$20,$CB$51:$CJ$51,0)),0)</f>
        <v>0</v>
      </c>
      <c r="BB58" s="3">
        <f ca="1">IF(AND($T$23=$C$23,$T$21&lt;&gt;""),INDEX($CB$30:$CJ$38,MATCH($C$23,$CA$52:$CA$60,0),MATCH($T$21,$CB$51:$CJ$51,0)),0)</f>
        <v>0</v>
      </c>
      <c r="BC58" s="3">
        <f ca="1">IF(AND($T$23=$C$23,$T$22&lt;&gt;""),INDEX($CB$30:$CJ$38,MATCH($C$23,$CA$52:$CA$60,0),MATCH($T$22,$CB$51:$CJ$51,0)),0)</f>
        <v>0</v>
      </c>
      <c r="BD58" s="3">
        <v>0</v>
      </c>
      <c r="BE58" s="3">
        <f ca="1">IF(AND($T$23=$C$23,$T$24&lt;&gt;""),INDEX($CB$30:$CJ$38,MATCH($C$23,$CA$52:$CA$60,0),MATCH($T$24,$CB$51:$CJ$51,0)),0)</f>
        <v>0</v>
      </c>
      <c r="BF58" s="53">
        <f ca="1">IF(AND($T$23=$C$23,$T$25&lt;&gt;""),INDEX($CB$30:$CJ$38,MATCH($C$23,$CA$52:$CA$60,0),MATCH($T$25,$CB$51:$CJ$51,0)),0)</f>
        <v>0</v>
      </c>
      <c r="BG58" s="5">
        <f ca="1">IF(AND($U$23=$C$23,$U$17&lt;&gt;""),INDEX($CB$30:$CJ$38,MATCH($C$23,$CA$52:$CA$60,0),MATCH($U$17,$CB$51:$CJ$51,0)),0)</f>
        <v>0</v>
      </c>
      <c r="BH58" s="3">
        <f ca="1">IF(AND($U$23=$C$23,$U$18&lt;&gt;""),INDEX($CB$30:$CJ$38,MATCH($C$23,$CA$52:$CA$60,0),MATCH($U$18,$CB$51:$CJ$51,0)),0)</f>
        <v>0</v>
      </c>
      <c r="BI58" s="3">
        <f ca="1">IF(AND($U$23=$C$23,$U$19&lt;&gt;""),INDEX($CB$30:$CJ$38,MATCH($C$23,$CA$52:$CA$60,0),MATCH($U$19,$CB$51:$CJ$51,0)),0)</f>
        <v>0</v>
      </c>
      <c r="BJ58" s="3">
        <f ca="1">IF(AND($U$23=$C$23,$U$20&lt;&gt;""),INDEX($CB$30:$CJ$38,MATCH($C$23,$CA$52:$CA$60,0),MATCH($U$20,$CB$51:$CJ$51,0)),0)</f>
        <v>0</v>
      </c>
      <c r="BK58" s="3">
        <f ca="1">IF(AND($U$23=$C$23,$U$21&lt;&gt;""),INDEX($CB$30:$CJ$38,MATCH($C$23,$CA$52:$CA$60,0),MATCH($U$21,$CB$51:$CJ$51,0)),0)</f>
        <v>0</v>
      </c>
      <c r="BL58" s="3">
        <f ca="1">IF(AND($U$23=$C$23,$U$22&lt;&gt;""),INDEX($CB$30:$CJ$38,MATCH($C$23,$CA$52:$CA$60,0),MATCH($U$22,$CB$51:$CJ$51,0)),0)</f>
        <v>0</v>
      </c>
      <c r="BM58" s="3">
        <v>0</v>
      </c>
      <c r="BN58" s="3">
        <f ca="1">IF(AND($U$23=$C$23,$U$24&lt;&gt;""),INDEX($CB$30:$CJ$38,MATCH($C$23,$CA$52:$CA$60,0),MATCH($U$24,$CB$51:$CJ$51,0)),0)</f>
        <v>0</v>
      </c>
      <c r="BO58" s="53">
        <f ca="1">IF(AND($U$23=$C$23,$U$25&lt;&gt;""),INDEX($CB$30:$CJ$38,MATCH($C$23,$CA$52:$CA$60,0),MATCH($U$25,$CB$51:$CJ$51,0)),0)</f>
        <v>0</v>
      </c>
      <c r="BP58" s="5">
        <f ca="1">IF(AND($V$23=$C$23,$V$17&lt;&gt;""),INDEX($CB$30:$CJ$38,MATCH($C$23,$CA$52:$CA$60,0),MATCH($V$17,$CB$51:$CJ$51,0)),0)</f>
        <v>0</v>
      </c>
      <c r="BQ58" s="3">
        <f ca="1">IF(AND($V$23=$C$23,$V$18&lt;&gt;""),INDEX($CB$30:$CJ$38,MATCH($C$23,$CA$52:$CA$60,0),MATCH($V$18,$CB$51:$CJ$51,0)),0)</f>
        <v>0</v>
      </c>
      <c r="BR58" s="3">
        <f ca="1">IF(AND($V$23=$C$23,$V$19&lt;&gt;""),INDEX($CB$30:$CJ$38,MATCH($C$23,$CA$52:$CA$60,0),MATCH($V$19,$CB$51:$CJ$51,0)),0)</f>
        <v>0</v>
      </c>
      <c r="BS58" s="3">
        <f ca="1">IF(AND($V$23=$C$23,$V$20&lt;&gt;""),INDEX($CB$30:$CJ$38,MATCH($C$23,$CA$52:$CA$60,0),MATCH($V$20,$CB$51:$CJ$51,0)),0)</f>
        <v>0</v>
      </c>
      <c r="BT58" s="3">
        <f ca="1">IF(AND($V$23=$C$23,$V$21&lt;&gt;""),INDEX($CB$30:$CJ$38,MATCH($C$23,$CA$52:$CA$60,0),MATCH($V$21,$CB$51:$CJ$51,0)),0)</f>
        <v>0</v>
      </c>
      <c r="BU58" s="3">
        <f ca="1">IF(AND($V$23=$C$23,$V$22&lt;&gt;""),INDEX($CB$30:$CJ$38,MATCH($C$23,$CA$52:$CA$60,0),MATCH($V$22,$CB$51:$CJ$51,0)),0)</f>
        <v>0</v>
      </c>
      <c r="BV58" s="3">
        <v>0</v>
      </c>
      <c r="BW58" s="3">
        <f ca="1">IF(AND($V$23=$C$23,$V$24&lt;&gt;""),INDEX($CB$30:$CJ$38,MATCH($C$23,$CA$52:$CA$60,0),MATCH($V$24,$CB$51:$CJ$51,0)),0)</f>
        <v>0</v>
      </c>
      <c r="BX58" s="3">
        <f ca="1">IF(AND($V$23=$C$23,$V$25&lt;&gt;""),INDEX($CB$30:$CJ$38,MATCH($C$23,$CA$52:$CA$60,0),MATCH($V$25,$CB$51:$CJ$51,0)),0)</f>
        <v>0</v>
      </c>
      <c r="BY58" s="14"/>
      <c r="BZ58" s="3"/>
      <c r="CA58" s="2" t="str">
        <f t="shared" si="66"/>
        <v>SSV Wildbach</v>
      </c>
      <c r="CB58" s="8">
        <f t="shared" ca="1" si="68"/>
        <v>1</v>
      </c>
      <c r="CC58" s="8">
        <f t="shared" ca="1" si="70"/>
        <v>3</v>
      </c>
      <c r="CD58" s="8">
        <f t="shared" ca="1" si="72"/>
        <v>2</v>
      </c>
      <c r="CE58" s="8">
        <f ca="1">SUMIFS($AL$64:$AL$135,$V$64:$V$135,$CA58,$W$64:$W$135,CE$51)+SUMIFS($AM$64:$AM$135,$W$64:$W$135,$CA58,$V$64:$V$135,CE$51)</f>
        <v>1</v>
      </c>
      <c r="CF58" s="8">
        <f ca="1">SUMIFS($AL$64:$AL$135,$V$64:$V$135,$CA58,$W$64:$W$135,CF$51)+SUMIFS($AM$64:$AM$135,$W$64:$W$135,$CA58,$V$64:$V$135,CF$51)</f>
        <v>1</v>
      </c>
      <c r="CG58" s="8">
        <f ca="1">SUMIFS($AL$64:$AL$135,$V$64:$V$135,$CA58,$W$64:$W$135,CG$51)+SUMIFS($AM$64:$AM$135,$W$64:$W$135,$CA58,$V$64:$V$135,CG$51)</f>
        <v>2</v>
      </c>
      <c r="CH58" s="6"/>
      <c r="CI58" s="7">
        <f ca="1">SUMIFS($AL$64:$AL$135,$V$64:$V$135,$CA58,$W$64:$W$135,CI$51)+SUMIFS($AM$64:$AM$135,$W$64:$W$135,$CA58,$V$64:$V$135,CI$51)</f>
        <v>0</v>
      </c>
      <c r="CJ58" s="7">
        <f ca="1">SUMIFS($AL$64:$AL$135,$V$64:$V$135,$CA58,$W$64:$W$135,CJ$51)+SUMIFS($AM$64:$AM$135,$W$64:$W$135,$CA58,$V$64:$V$135,CJ$51)</f>
        <v>0</v>
      </c>
      <c r="CK58" s="3"/>
    </row>
    <row r="59" spans="2:89" s="2" customFormat="1" x14ac:dyDescent="0.2">
      <c r="E59" s="14">
        <f ca="1">IF(AND($O$24=$C$24,$O$17&lt;&gt;""),INDEX($CB$30:$CJ$38,MATCH($C$24,$CA$52:$CA$60,0),MATCH($O$17,$CB$51:$CJ$51,0)),0)</f>
        <v>0</v>
      </c>
      <c r="F59" s="3">
        <f ca="1">IF(AND($O$24=$C$24,$O$18&lt;&gt;""),INDEX($CB$30:$CJ$38,MATCH($C$24,$CA$52:$CA$60,0),MATCH($O$18,$CB$51:$CJ$51,0)),0)</f>
        <v>0</v>
      </c>
      <c r="G59" s="3">
        <f ca="1">IF(AND($O$24=$C$24,$O$19&lt;&gt;""),INDEX($CB$30:$CJ$38,MATCH($C$24,$CA$52:$CA$60,0),MATCH($O$19,$CB$51:$CJ$51,0)),0)</f>
        <v>0</v>
      </c>
      <c r="H59" s="3">
        <f ca="1">IF(AND($O$24=$C$24,$O$20&lt;&gt;""),INDEX($CB$30:$CJ$38,MATCH($C$24,$CA$52:$CA$60,0),MATCH($O$20,$CB$51:$CJ$51,0)),0)</f>
        <v>0</v>
      </c>
      <c r="I59" s="3">
        <f ca="1">IF(AND($O$24=$C$24,$O$21&lt;&gt;""),INDEX($CB$30:$CJ$38,MATCH($C$24,$CA$52:$CA$60,0),MATCH($O$21,$CB$51:$CJ$51,0)),0)</f>
        <v>0</v>
      </c>
      <c r="J59" s="3">
        <f ca="1">IF(AND($O$24=$C$24,$O$22&lt;&gt;""),INDEX($CB$30:$CJ$38,MATCH($C$24,$CA$52:$CA$60,0),MATCH($O$22,$CB$51:$CJ$51,0)),0)</f>
        <v>0</v>
      </c>
      <c r="K59" s="3">
        <f ca="1">IF(AND($O$24=$C$24,$O$23&lt;&gt;""),INDEX($CB$30:$CJ$38,MATCH($C$24,$CA$52:$CA$60,0),MATCH($O$23,$CB$51:$CJ$51,0)),0)</f>
        <v>0</v>
      </c>
      <c r="L59" s="3">
        <v>0</v>
      </c>
      <c r="M59" s="53">
        <f ca="1">IF(AND($O$24=$C$24,$O$25&lt;&gt;""),INDEX($CB$30:$CJ$38,MATCH($C$24,$CA$52:$CA$60,0),MATCH($O$25,$CB$51:$CJ$51,0)),0)</f>
        <v>0</v>
      </c>
      <c r="N59" s="5">
        <f ca="1">IF(AND($P$24=$C$24,$P$17&lt;&gt;""),INDEX($CB$30:$CJ$38,MATCH($C$24,$CA$52:$CA$60,0),MATCH($P$17,$CB$51:$CJ$51,0)),0)</f>
        <v>0</v>
      </c>
      <c r="O59" s="3">
        <f ca="1">IF(AND($P$24=$C$24,$P$18&lt;&gt;""),INDEX($CB$30:$CJ$38,MATCH($C$24,$CA$52:$CA$60,0),MATCH($P$18,$CB$51:$CJ$51,0)),0)</f>
        <v>0</v>
      </c>
      <c r="P59" s="3">
        <f ca="1">IF(AND($P$24=$C$24,$P$19&lt;&gt;""),INDEX($CB$30:$CJ$38,MATCH($C$24,$CA$52:$CA$60,0),MATCH($P$19,$CB$51:$CJ$51,0)),0)</f>
        <v>0</v>
      </c>
      <c r="Q59" s="3">
        <f ca="1">IF(AND($P$24=$C$24,$P$20&lt;&gt;""),INDEX($CB$30:$CJ$38,MATCH($C$24,$CA$52:$CA$60,0),MATCH($P$20,$CB$51:$CJ$51,0)),0)</f>
        <v>0</v>
      </c>
      <c r="R59" s="3">
        <f ca="1">IF(AND($P$24=$C$24,$P$21&lt;&gt;""),INDEX($CB$30:$CJ$38,MATCH($C$24,$CA$52:$CA$60,0),MATCH($P$21,$CB$51:$CJ$51,0)),0)</f>
        <v>0</v>
      </c>
      <c r="S59" s="3">
        <f ca="1">IF(AND($P$24=$C$24,$P$22&lt;&gt;""),INDEX($CB$30:$CJ$38,MATCH($C$24,$CA$52:$CA$60,0),MATCH($P$22,$CB$51:$CJ$51,0)),0)</f>
        <v>0</v>
      </c>
      <c r="T59" s="3">
        <f ca="1">IF(AND($P$24=$C$24,$P$23&lt;&gt;""),INDEX($CB$30:$CJ$38,MATCH($C$24,$CA$52:$CA$60,0),MATCH($P$23,$CB$51:$CJ$51,0)),0)</f>
        <v>0</v>
      </c>
      <c r="U59" s="3">
        <v>0</v>
      </c>
      <c r="V59" s="53">
        <f ca="1">IF(AND($P$24=$C$24,$P$25&lt;&gt;""),INDEX($CB$30:$CJ$38,MATCH($C$24,$CA$52:$CA$60,0),MATCH($P$25,$CB$51:$CJ$51,0)),0)</f>
        <v>0</v>
      </c>
      <c r="W59" s="5">
        <f ca="1">IF(AND($Q$24=$C$24,$Q$17&lt;&gt;""),INDEX($CB$30:$CJ$38,MATCH($C$24,$CA$52:$CA$60,0),MATCH($Q$17,$CB$51:$CJ$51,0)),0)</f>
        <v>0</v>
      </c>
      <c r="X59" s="3">
        <f ca="1">IF(AND($Q$24=$C$24,$Q$18&lt;&gt;""),INDEX($CB$30:$CJ$38,MATCH($C$24,$CA$52:$CA$60,0),MATCH($Q$18,$CB$51:$CJ$51,0)),0)</f>
        <v>0</v>
      </c>
      <c r="Y59" s="3">
        <f ca="1">IF(AND($Q$24=$C$24,$Q$19&lt;&gt;""),INDEX($CB$30:$CJ$38,MATCH($C$24,$CA$52:$CA$60,0),MATCH($Q$19,$CB$51:$CJ$51,0)),0)</f>
        <v>0</v>
      </c>
      <c r="Z59" s="3">
        <f ca="1">IF(AND($Q$24=$C$24,$Q$20&lt;&gt;""),INDEX($CB$30:$CJ$38,MATCH($C$24,$CA$52:$CA$60,0),MATCH($Q$20,$CB$51:$CJ$51,0)),0)</f>
        <v>0</v>
      </c>
      <c r="AA59" s="3">
        <f ca="1">IF(AND($Q$24=$C$24,$Q$21&lt;&gt;""),INDEX($CB$30:$CJ$38,MATCH($C$24,$CA$52:$CA$60,0),MATCH($Q$21,$CB$51:$CJ$51,0)),0)</f>
        <v>0</v>
      </c>
      <c r="AB59" s="3">
        <f ca="1">IF(AND($Q$24=$C$24,$Q$22&lt;&gt;""),INDEX($CB$30:$CJ$38,MATCH($C$24,$CA$52:$CA$60,0),MATCH($Q$22,$CB$51:$CJ$51,0)),0)</f>
        <v>0</v>
      </c>
      <c r="AC59" s="3">
        <f ca="1">IF(AND($Q$24=$C$24,$Q$23&lt;&gt;""),INDEX($CB$30:$CJ$38,MATCH($C$24,$CA$52:$CA$60,0),MATCH($Q$23,$CB$51:$CJ$51,0)),0)</f>
        <v>0</v>
      </c>
      <c r="AD59" s="3">
        <v>0</v>
      </c>
      <c r="AE59" s="53">
        <f ca="1">IF(AND($Q$24=$C$24,$Q$25&lt;&gt;""),INDEX($CB$30:$CJ$38,MATCH($C$24,$CA$52:$CA$60,0),MATCH($Q$25,$CB$51:$CJ$51,0)),0)</f>
        <v>0</v>
      </c>
      <c r="AF59" s="5">
        <f ca="1">IF(AND($R$24=$C$24,$R$17&lt;&gt;""),INDEX($CB$30:$CJ$38,MATCH($C$24,$CA$52:$CA$60,0),MATCH($R$17,$CB$51:$CJ$51,0)),0)</f>
        <v>0</v>
      </c>
      <c r="AG59" s="3">
        <f ca="1">IF(AND($R$24=$C$24,$R$18&lt;&gt;""),INDEX($CB$30:$CJ$38,MATCH($C$24,$CA$52:$CA$60,0),MATCH($R$18,$CB$51:$CJ$51,0)),0)</f>
        <v>0</v>
      </c>
      <c r="AH59" s="3">
        <f ca="1">IF(AND($R$24=$C$24,$R$19&lt;&gt;""),INDEX($CB$30:$CJ$38,MATCH($C$24,$CA$52:$CA$60,0),MATCH($R$19,$CB$51:$CJ$51,0)),0)</f>
        <v>0</v>
      </c>
      <c r="AI59" s="3">
        <f ca="1">IF(AND($R$24=$C$24,$R$20&lt;&gt;""),INDEX($CB$30:$CJ$38,MATCH($C$24,$CA$52:$CA$60,0),MATCH($R$20,$CB$51:$CJ$51,0)),0)</f>
        <v>0</v>
      </c>
      <c r="AJ59" s="3">
        <f ca="1">IF(AND($R$24=$C$24,$R$21&lt;&gt;""),INDEX($CB$30:$CJ$38,MATCH($C$24,$CA$52:$CA$60,0),MATCH($R$21,$CB$51:$CJ$51,0)),0)</f>
        <v>0</v>
      </c>
      <c r="AK59" s="3">
        <f ca="1">IF(AND($R$24=$C$24,$R$22&lt;&gt;""),INDEX($CB$30:$CJ$38,MATCH($C$24,$CA$52:$CA$60,0),MATCH($R$22,$CB$51:$CJ$51,0)),0)</f>
        <v>0</v>
      </c>
      <c r="AL59" s="3">
        <f ca="1">IF(AND($R$24=$C$24,$R$23&lt;&gt;""),INDEX($CB$30:$CJ$38,MATCH($C$24,$CA$52:$CA$60,0),MATCH($R$23,$CB$51:$CJ$51,0)),0)</f>
        <v>0</v>
      </c>
      <c r="AM59" s="3">
        <v>0</v>
      </c>
      <c r="AN59" s="53">
        <f ca="1">IF(AND($R$24=$C$24,$R$25&lt;&gt;""),INDEX($CB$30:$CJ$38,MATCH($C$24,$CA$52:$CA$60,0),MATCH($R$25,$CB$51:$CJ$51,0)),0)</f>
        <v>0</v>
      </c>
      <c r="AO59" s="5">
        <f ca="1">IF(AND($S$24=$C$24,$S$17&lt;&gt;""),INDEX($CB$30:$CJ$38,MATCH($C$24,$CA$52:$CA$60,0),MATCH($S$17,$CB$51:$CJ$51,0)),0)</f>
        <v>0</v>
      </c>
      <c r="AP59" s="3">
        <f ca="1">IF(AND($S$24=$C$24,$S$18&lt;&gt;""),INDEX($CB$30:$CJ$38,MATCH($C$24,$CA$52:$CA$60,0),MATCH($S$18,$CB$51:$CJ$51,0)),0)</f>
        <v>0</v>
      </c>
      <c r="AQ59" s="3">
        <f ca="1">IF(AND($S$24=$C$24,$S$19&lt;&gt;""),INDEX($CB$30:$CJ$38,MATCH($C$24,$CA$52:$CA$60,0),MATCH($S$19,$CB$51:$CJ$51,0)),0)</f>
        <v>0</v>
      </c>
      <c r="AR59" s="3">
        <f ca="1">IF(AND($S$24=$C$24,$S$20&lt;&gt;""),INDEX($CB$30:$CJ$38,MATCH($C$24,$CA$52:$CA$60,0),MATCH($S$20,$CB$51:$CJ$51,0)),0)</f>
        <v>0</v>
      </c>
      <c r="AS59" s="3">
        <f ca="1">IF(AND($S$24=$C$24,$S$21&lt;&gt;""),INDEX($CB$30:$CJ$38,MATCH($C$24,$CA$52:$CA$60,0),MATCH($S$21,$CB$51:$CJ$51,0)),0)</f>
        <v>0</v>
      </c>
      <c r="AT59" s="3">
        <f ca="1">IF(AND($S$24=$C$24,$S$22&lt;&gt;""),INDEX($CB$30:$CJ$38,MATCH($C$24,$CA$52:$CA$60,0),MATCH($S$22,$CB$51:$CJ$51,0)),0)</f>
        <v>0</v>
      </c>
      <c r="AU59" s="3">
        <f ca="1">IF(AND($S$24=$C$24,$S$23&lt;&gt;""),INDEX($CB$30:$CJ$38,MATCH($C$24,$CA$52:$CA$60,0),MATCH($S$23,$CB$51:$CJ$51,0)),0)</f>
        <v>0</v>
      </c>
      <c r="AV59" s="3">
        <v>0</v>
      </c>
      <c r="AW59" s="53">
        <f ca="1">IF(AND($S$24=$C$24,$S$25&lt;&gt;""),INDEX($CB$30:$CJ$38,MATCH($C$24,$CA$52:$CA$60,0),MATCH($S$25,$CB$51:$CJ$51,0)),0)</f>
        <v>0</v>
      </c>
      <c r="AX59" s="5">
        <f ca="1">IF(AND($T$24=$C$24,$T$17&lt;&gt;""),INDEX($CB$30:$CJ$38,MATCH($C$24,$CA$52:$CA$60,0),MATCH($T$17,$CB$51:$CJ$51,0)),0)</f>
        <v>0</v>
      </c>
      <c r="AY59" s="3">
        <f ca="1">IF(AND($T$24=$C$24,$T$18&lt;&gt;""),INDEX($CB$30:$CJ$38,MATCH($C$24,$CA$52:$CA$60,0),MATCH($T$18,$CB$51:$CJ$51,0)),0)</f>
        <v>0</v>
      </c>
      <c r="AZ59" s="3">
        <f ca="1">IF(AND($T$24=$C$24,$T$19&lt;&gt;""),INDEX($CB$30:$CJ$38,MATCH($C$24,$CA$52:$CA$60,0),MATCH($T$19,$CB$51:$CJ$51,0)),0)</f>
        <v>0</v>
      </c>
      <c r="BA59" s="3">
        <f ca="1">IF(AND($T$24=$C$24,$T$20&lt;&gt;""),INDEX($CB$30:$CJ$38,MATCH($C$24,$CA$52:$CA$60,0),MATCH($T$20,$CB$51:$CJ$51,0)),0)</f>
        <v>0</v>
      </c>
      <c r="BB59" s="3">
        <f ca="1">IF(AND($T$24=$C$24,$T$21&lt;&gt;""),INDEX($CB$30:$CJ$38,MATCH($C$24,$CA$52:$CA$60,0),MATCH($T$21,$CB$51:$CJ$51,0)),0)</f>
        <v>0</v>
      </c>
      <c r="BC59" s="3">
        <f ca="1">IF(AND($T$24=$C$24,$T$22&lt;&gt;""),INDEX($CB$30:$CJ$38,MATCH($C$24,$CA$52:$CA$60,0),MATCH($T$22,$CB$51:$CJ$51,0)),0)</f>
        <v>0</v>
      </c>
      <c r="BD59" s="3">
        <f ca="1">IF(AND($T$24=$C$24,$T$23&lt;&gt;""),INDEX($CB$30:$CJ$38,MATCH($C$24,$CA$52:$CA$60,0),MATCH($T$23,$CB$51:$CJ$51,0)),0)</f>
        <v>0</v>
      </c>
      <c r="BE59" s="3">
        <v>0</v>
      </c>
      <c r="BF59" s="53">
        <f ca="1">IF(AND($T$24=$C$24,$T$25&lt;&gt;""),INDEX($CB$30:$CJ$38,MATCH($C$24,$CA$52:$CA$60,0),MATCH($T$25,$CB$51:$CJ$51,0)),0)</f>
        <v>0</v>
      </c>
      <c r="BG59" s="5">
        <f ca="1">IF(AND($U$24=$C$24,$U$17&lt;&gt;""),INDEX($CB$30:$CJ$38,MATCH($C$24,$CA$52:$CA$60,0),MATCH($U$17,$CB$51:$CJ$51,0)),0)</f>
        <v>0</v>
      </c>
      <c r="BH59" s="3">
        <f ca="1">IF(AND($U$24=$C$24,$U$18&lt;&gt;""),INDEX($CB$30:$CJ$38,MATCH($C$24,$CA$52:$CA$60,0),MATCH($U$18,$CB$51:$CJ$51,0)),0)</f>
        <v>0</v>
      </c>
      <c r="BI59" s="3">
        <f ca="1">IF(AND($U$24=$C$24,$U$19&lt;&gt;""),INDEX($CB$30:$CJ$38,MATCH($C$24,$CA$52:$CA$60,0),MATCH($U$19,$CB$51:$CJ$51,0)),0)</f>
        <v>0</v>
      </c>
      <c r="BJ59" s="3">
        <f ca="1">IF(AND($U$24=$C$24,$U$20&lt;&gt;""),INDEX($CB$30:$CJ$38,MATCH($C$24,$CA$52:$CA$60,0),MATCH($U$20,$CB$51:$CJ$51,0)),0)</f>
        <v>0</v>
      </c>
      <c r="BK59" s="3">
        <f ca="1">IF(AND($U$24=$C$24,$U$21&lt;&gt;""),INDEX($CB$30:$CJ$38,MATCH($C$24,$CA$52:$CA$60,0),MATCH($U$21,$CB$51:$CJ$51,0)),0)</f>
        <v>0</v>
      </c>
      <c r="BL59" s="3">
        <f ca="1">IF(AND($U$24=$C$24,$U$22&lt;&gt;""),INDEX($CB$30:$CJ$38,MATCH($C$24,$CA$52:$CA$60,0),MATCH($U$22,$CB$51:$CJ$51,0)),0)</f>
        <v>0</v>
      </c>
      <c r="BM59" s="3">
        <f ca="1">IF(AND($U$24=$C$24,$U$23&lt;&gt;""),INDEX($CB$30:$CJ$38,MATCH($C$24,$CA$52:$CA$60,0),MATCH($U$23,$CB$51:$CJ$51,0)),0)</f>
        <v>0</v>
      </c>
      <c r="BN59" s="3">
        <v>0</v>
      </c>
      <c r="BO59" s="53">
        <f ca="1">IF(AND($U$24=$C$24,$U$25&lt;&gt;""),INDEX($CB$30:$CJ$38,MATCH($C$24,$CA$52:$CA$60,0),MATCH($U$25,$CB$51:$CJ$51,0)),0)</f>
        <v>0</v>
      </c>
      <c r="BP59" s="5">
        <f ca="1">IF(AND($V$24=$C$24,$V$17&lt;&gt;""),INDEX($CB$30:$CJ$38,MATCH($C$24,$CA$52:$CA$60,0),MATCH($V$17,$CB$51:$CJ$51,0)),0)</f>
        <v>0</v>
      </c>
      <c r="BQ59" s="3">
        <f ca="1">IF(AND($V$24=$C$24,$V$18&lt;&gt;""),INDEX($CB$30:$CJ$38,MATCH($C$24,$CA$52:$CA$60,0),MATCH($V$18,$CB$51:$CJ$51,0)),0)</f>
        <v>0</v>
      </c>
      <c r="BR59" s="3">
        <f ca="1">IF(AND($V$24=$C$24,$V$19&lt;&gt;""),INDEX($CB$30:$CJ$38,MATCH($C$24,$CA$52:$CA$60,0),MATCH($V$19,$CB$51:$CJ$51,0)),0)</f>
        <v>0</v>
      </c>
      <c r="BS59" s="3">
        <f ca="1">IF(AND($V$24=$C$24,$V$20&lt;&gt;""),INDEX($CB$30:$CJ$38,MATCH($C$24,$CA$52:$CA$60,0),MATCH($V$20,$CB$51:$CJ$51,0)),0)</f>
        <v>0</v>
      </c>
      <c r="BT59" s="3">
        <f ca="1">IF(AND($V$24=$C$24,$V$21&lt;&gt;""),INDEX($CB$30:$CJ$38,MATCH($C$24,$CA$52:$CA$60,0),MATCH($V$21,$CB$51:$CJ$51,0)),0)</f>
        <v>0</v>
      </c>
      <c r="BU59" s="3">
        <f ca="1">IF(AND($V$24=$C$24,$V$22&lt;&gt;""),INDEX($CB$30:$CJ$38,MATCH($C$24,$CA$52:$CA$60,0),MATCH($V$22,$CB$51:$CJ$51,0)),0)</f>
        <v>0</v>
      </c>
      <c r="BV59" s="3">
        <f ca="1">IF(AND($V$24=$C$24,$V$23&lt;&gt;""),INDEX($CB$30:$CJ$38,MATCH($C$24,$CA$52:$CA$60,0),MATCH($V$23,$CB$51:$CJ$51,0)),0)</f>
        <v>0</v>
      </c>
      <c r="BW59" s="3">
        <v>0</v>
      </c>
      <c r="BX59" s="3">
        <f ca="1">IF(AND($V$24=$C$24,$V$25&lt;&gt;""),INDEX($CB$30:$CJ$38,MATCH($C$24,$CA$52:$CA$60,0),MATCH($V$25,$CB$51:$CJ$51,0)),0)</f>
        <v>0</v>
      </c>
      <c r="BY59" s="14"/>
      <c r="BZ59" s="3"/>
      <c r="CA59" s="2" t="str">
        <f t="shared" si="66"/>
        <v/>
      </c>
      <c r="CB59" s="8">
        <f t="shared" ca="1" si="68"/>
        <v>0</v>
      </c>
      <c r="CC59" s="8">
        <f t="shared" ca="1" si="70"/>
        <v>0</v>
      </c>
      <c r="CD59" s="8">
        <f t="shared" ca="1" si="72"/>
        <v>0</v>
      </c>
      <c r="CE59" s="8">
        <f ca="1">SUMIFS($AL$64:$AL$135,$V$64:$V$135,$CA59,$W$64:$W$135,CE$51)+SUMIFS($AM$64:$AM$135,$W$64:$W$135,$CA59,$V$64:$V$135,CE$51)</f>
        <v>0</v>
      </c>
      <c r="CF59" s="8">
        <f ca="1">SUMIFS($AL$64:$AL$135,$V$64:$V$135,$CA59,$W$64:$W$135,CF$51)+SUMIFS($AM$64:$AM$135,$W$64:$W$135,$CA59,$V$64:$V$135,CF$51)</f>
        <v>0</v>
      </c>
      <c r="CG59" s="8">
        <f ca="1">SUMIFS($AL$64:$AL$135,$V$64:$V$135,$CA59,$W$64:$W$135,CG$51)+SUMIFS($AM$64:$AM$135,$W$64:$W$135,$CA59,$V$64:$V$135,CG$51)</f>
        <v>0</v>
      </c>
      <c r="CH59" s="8">
        <f ca="1">SUMIFS($AL$64:$AL$135,$V$64:$V$135,$CA59,$W$64:$W$135,CH$51)+SUMIFS($AM$64:$AM$135,$W$64:$W$135,$CA59,$V$64:$V$135,CH$51)</f>
        <v>0</v>
      </c>
      <c r="CI59" s="6"/>
      <c r="CJ59" s="7">
        <f ca="1">SUMIFS($AL$64:$AL$135,$V$64:$V$135,$CA59,$W$64:$W$135,CJ$51)+SUMIFS($AM$64:$AM$135,$W$64:$W$135,$CA59,$V$64:$V$135,CJ$51)</f>
        <v>0</v>
      </c>
      <c r="CK59" s="3"/>
    </row>
    <row r="60" spans="2:89" s="2" customFormat="1" ht="12.75" thickBot="1" x14ac:dyDescent="0.25">
      <c r="E60" s="15">
        <f ca="1">IF(AND($O$25=$C$25,$O$17&lt;&gt;""),INDEX($CB$30:$CJ$38,MATCH($C$25,$CA$52:$CA$60,0),MATCH($O$17,$CB$51:$CJ$51,0)),0)</f>
        <v>0</v>
      </c>
      <c r="F60" s="16">
        <f ca="1">IF(AND($O$25=$C$25,$O$18&lt;&gt;""),INDEX($CB$30:$CJ$38,MATCH($C$25,$CA$52:$CA$60,0),MATCH($O$18,$CB$51:$CJ$51,0)),0)</f>
        <v>0</v>
      </c>
      <c r="G60" s="16">
        <f ca="1">IF(AND($O$25=$C$25,$O$19&lt;&gt;""),INDEX($CB$30:$CJ$38,MATCH($C$25,$CA$52:$CA$60,0),MATCH($O$19,$CB$51:$CJ$51,0)),0)</f>
        <v>0</v>
      </c>
      <c r="H60" s="16">
        <f ca="1">IF(AND($O$25=$C$25,$O$20&lt;&gt;""),INDEX($CB$30:$CJ$38,MATCH($C$25,$CA$52:$CA$60,0),MATCH($O$20,$CB$51:$CJ$51,0)),0)</f>
        <v>0</v>
      </c>
      <c r="I60" s="16">
        <f ca="1">IF(AND($O$25=$C$25,$O$21&lt;&gt;""),INDEX($CB$30:$CJ$38,MATCH($C$25,$CA$52:$CA$60,0),MATCH($O$21,$CB$51:$CJ$51,0)),0)</f>
        <v>0</v>
      </c>
      <c r="J60" s="16">
        <f ca="1">IF(AND($O$25=$C$25,$O$22&lt;&gt;""),INDEX($CB$30:$CJ$38,MATCH($C$25,$CA$52:$CA$60,0),MATCH($O$22,$CB$51:$CJ$51,0)),0)</f>
        <v>0</v>
      </c>
      <c r="K60" s="16">
        <f ca="1">IF(AND($O$25=$C$25,$O$23&lt;&gt;""),INDEX($CB$30:$CJ$38,MATCH($C$25,$CA$52:$CA$60,0),MATCH($O$23,$CB$51:$CJ$51,0)),0)</f>
        <v>0</v>
      </c>
      <c r="L60" s="16">
        <f ca="1">IF(AND($O$25=$C$25,$O$24&lt;&gt;""),INDEX($CB$30:$CJ$38,MATCH($C$25,$CA$52:$CA$60,0),MATCH($O$24,$CB$51:$CJ$51,0)),0)</f>
        <v>0</v>
      </c>
      <c r="M60" s="412">
        <v>0</v>
      </c>
      <c r="N60" s="17">
        <f ca="1">IF(AND($P$25=$C$25,$P$17&lt;&gt;""),INDEX($CB$30:$CJ$38,MATCH($C$25,$CA$52:$CA$60,0),MATCH($P$17,$CB$51:$CJ$51,0)),0)</f>
        <v>0</v>
      </c>
      <c r="O60" s="16">
        <f ca="1">IF(AND($P$25=$C$25,$P$18&lt;&gt;""),INDEX($CB$30:$CJ$38,MATCH($C$25,$CA$52:$CA$60,0),MATCH($P$18,$CB$51:$CJ$51,0)),0)</f>
        <v>0</v>
      </c>
      <c r="P60" s="16">
        <f ca="1">IF(AND($P$25=$C$25,$P$19&lt;&gt;""),INDEX($CB$30:$CJ$38,MATCH($C$25,$CA$52:$CA$60,0),MATCH($P$19,$CB$51:$CJ$51,0)),0)</f>
        <v>0</v>
      </c>
      <c r="Q60" s="16">
        <f ca="1">IF(AND($P$25=$C$25,$P$20&lt;&gt;""),INDEX($CB$30:$CJ$38,MATCH($C$25,$CA$52:$CA$60,0),MATCH($P$20,$CB$51:$CJ$51,0)),0)</f>
        <v>0</v>
      </c>
      <c r="R60" s="16">
        <f ca="1">IF(AND($P$25=$C$25,$P$21&lt;&gt;""),INDEX($CB$30:$CJ$38,MATCH($C$25,$CA$52:$CA$60,0),MATCH($P$21,$CB$51:$CJ$51,0)),0)</f>
        <v>0</v>
      </c>
      <c r="S60" s="16">
        <f ca="1">IF(AND($P$25=$C$25,$P$22&lt;&gt;""),INDEX($CB$30:$CJ$38,MATCH($C$25,$CA$52:$CA$60,0),MATCH($P$22,$CB$51:$CJ$51,0)),0)</f>
        <v>0</v>
      </c>
      <c r="T60" s="16">
        <f ca="1">IF(AND($P$25=$C$25,$P$23&lt;&gt;""),INDEX($CB$30:$CJ$38,MATCH($C$25,$CA$52:$CA$60,0),MATCH($P$23,$CB$51:$CJ$51,0)),0)</f>
        <v>0</v>
      </c>
      <c r="U60" s="16">
        <f ca="1">IF(AND($P$25=$C$25,$P$24&lt;&gt;""),INDEX($CB$30:$CJ$38,MATCH($C$25,$CA$52:$CA$60,0),MATCH($P$24,$CB$51:$CJ$51,0)),0)</f>
        <v>0</v>
      </c>
      <c r="V60" s="412">
        <v>0</v>
      </c>
      <c r="W60" s="17">
        <f ca="1">IF(AND($Q$25=$C$25,$Q$17&lt;&gt;""),INDEX($CB$30:$CJ$38,MATCH($C$25,$CA$52:$CA$60,0),MATCH($Q$17,$CB$51:$CJ$51,0)),0)</f>
        <v>0</v>
      </c>
      <c r="X60" s="16">
        <f ca="1">IF(AND($Q$25=$C$25,$Q$18&lt;&gt;""),INDEX($CB$30:$CJ$38,MATCH($C$25,$CA$52:$CA$60,0),MATCH($Q$18,$CB$51:$CJ$51,0)),0)</f>
        <v>0</v>
      </c>
      <c r="Y60" s="16">
        <f ca="1">IF(AND($Q$25=$C$25,$Q$19&lt;&gt;""),INDEX($CB$30:$CJ$38,MATCH($C$25,$CA$52:$CA$60,0),MATCH($Q$19,$CB$51:$CJ$51,0)),0)</f>
        <v>0</v>
      </c>
      <c r="Z60" s="16">
        <f ca="1">IF(AND($Q$25=$C$25,$Q$20&lt;&gt;""),INDEX($CB$30:$CJ$38,MATCH($C$25,$CA$52:$CA$60,0),MATCH($Q$20,$CB$51:$CJ$51,0)),0)</f>
        <v>0</v>
      </c>
      <c r="AA60" s="16">
        <f ca="1">IF(AND($Q$25=$C$25,$Q$21&lt;&gt;""),INDEX($CB$30:$CJ$38,MATCH($C$25,$CA$52:$CA$60,0),MATCH($Q$21,$CB$51:$CJ$51,0)),0)</f>
        <v>0</v>
      </c>
      <c r="AB60" s="16">
        <f ca="1">IF(AND($Q$25=$C$25,$Q$22&lt;&gt;""),INDEX($CB$30:$CJ$38,MATCH($C$25,$CA$52:$CA$60,0),MATCH($Q$22,$CB$51:$CJ$51,0)),0)</f>
        <v>0</v>
      </c>
      <c r="AC60" s="16">
        <f ca="1">IF(AND($Q$25=$C$25,$Q$23&lt;&gt;""),INDEX($CB$30:$CJ$38,MATCH($C$25,$CA$52:$CA$60,0),MATCH($Q$23,$CB$51:$CJ$51,0)),0)</f>
        <v>0</v>
      </c>
      <c r="AD60" s="16">
        <f ca="1">IF(AND($Q$25=$C$25,$Q$24&lt;&gt;""),INDEX($CB$30:$CJ$38,MATCH($C$25,$CA$52:$CA$60,0),MATCH($Q$24,$CB$51:$CJ$51,0)),0)</f>
        <v>0</v>
      </c>
      <c r="AE60" s="412">
        <v>0</v>
      </c>
      <c r="AF60" s="17">
        <f ca="1">IF(AND($R$25=$C$25,$R$17&lt;&gt;""),INDEX($CB$30:$CJ$38,MATCH($C$25,$CA$52:$CA$60,0),MATCH($R$17,$CB$51:$CJ$51,0)),0)</f>
        <v>0</v>
      </c>
      <c r="AG60" s="16">
        <f ca="1">IF(AND($R$25=$C$25,$R$18&lt;&gt;""),INDEX($CB$30:$CJ$38,MATCH($C$25,$CA$52:$CA$60,0),MATCH($R$18,$CB$51:$CJ$51,0)),0)</f>
        <v>0</v>
      </c>
      <c r="AH60" s="16">
        <f ca="1">IF(AND($R$25=$C$25,$R$19&lt;&gt;""),INDEX($CB$30:$CJ$38,MATCH($C$25,$CA$52:$CA$60,0),MATCH($R$19,$CB$51:$CJ$51,0)),0)</f>
        <v>0</v>
      </c>
      <c r="AI60" s="16">
        <f ca="1">IF(AND($R$25=$C$25,$R$20&lt;&gt;""),INDEX($CB$30:$CJ$38,MATCH($C$25,$CA$52:$CA$60,0),MATCH($R$20,$CB$51:$CJ$51,0)),0)</f>
        <v>0</v>
      </c>
      <c r="AJ60" s="16">
        <f ca="1">IF(AND($R$25=$C$25,$R$21&lt;&gt;""),INDEX($CB$30:$CJ$38,MATCH($C$25,$CA$52:$CA$60,0),MATCH($R$21,$CB$51:$CJ$51,0)),0)</f>
        <v>0</v>
      </c>
      <c r="AK60" s="16">
        <f ca="1">IF(AND($R$25=$C$25,$R$22&lt;&gt;""),INDEX($CB$30:$CJ$38,MATCH($C$25,$CA$52:$CA$60,0),MATCH($R$22,$CB$51:$CJ$51,0)),0)</f>
        <v>0</v>
      </c>
      <c r="AL60" s="16">
        <f ca="1">IF(AND($R$25=$C$25,$R$23&lt;&gt;""),INDEX($CB$30:$CJ$38,MATCH($C$25,$CA$52:$CA$60,0),MATCH($R$23,$CB$51:$CJ$51,0)),0)</f>
        <v>0</v>
      </c>
      <c r="AM60" s="16">
        <f ca="1">IF(AND($R$25=$C$25,$R$24&lt;&gt;""),INDEX($CB$30:$CJ$38,MATCH($C$25,$CA$52:$CA$60,0),MATCH($R$24,$CB$51:$CJ$51,0)),0)</f>
        <v>0</v>
      </c>
      <c r="AN60" s="412">
        <v>0</v>
      </c>
      <c r="AO60" s="17">
        <f ca="1">IF(AND($S$25=$C$25,$S$17&lt;&gt;""),INDEX($CB$30:$CJ$38,MATCH($C$25,$CA$52:$CA$60,0),MATCH($S$17,$CB$51:$CJ$51,0)),0)</f>
        <v>0</v>
      </c>
      <c r="AP60" s="16">
        <f ca="1">IF(AND($S$25=$C$25,$S$18&lt;&gt;""),INDEX($CB$30:$CJ$38,MATCH($C$25,$CA$52:$CA$60,0),MATCH($S$18,$CB$51:$CJ$51,0)),0)</f>
        <v>0</v>
      </c>
      <c r="AQ60" s="16">
        <f ca="1">IF(AND($S$25=$C$25,$S$19&lt;&gt;""),INDEX($CB$30:$CJ$38,MATCH($C$25,$CA$52:$CA$60,0),MATCH($S$19,$CB$51:$CJ$51,0)),0)</f>
        <v>0</v>
      </c>
      <c r="AR60" s="16">
        <f ca="1">IF(AND($S$25=$C$25,$S$20&lt;&gt;""),INDEX($CB$30:$CJ$38,MATCH($C$25,$CA$52:$CA$60,0),MATCH($S$20,$CB$51:$CJ$51,0)),0)</f>
        <v>0</v>
      </c>
      <c r="AS60" s="16">
        <f ca="1">IF(AND($S$25=$C$25,$S$21&lt;&gt;""),INDEX($CB$30:$CJ$38,MATCH($C$25,$CA$52:$CA$60,0),MATCH($S$21,$CB$51:$CJ$51,0)),0)</f>
        <v>0</v>
      </c>
      <c r="AT60" s="16">
        <f ca="1">IF(AND($S$25=$C$25,$S$22&lt;&gt;""),INDEX($CB$30:$CJ$38,MATCH($C$25,$CA$52:$CA$60,0),MATCH($S$22,$CB$51:$CJ$51,0)),0)</f>
        <v>0</v>
      </c>
      <c r="AU60" s="16">
        <f ca="1">IF(AND($S$25=$C$25,$S$23&lt;&gt;""),INDEX($CB$30:$CJ$38,MATCH($C$25,$CA$52:$CA$60,0),MATCH($S$23,$CB$51:$CJ$51,0)),0)</f>
        <v>0</v>
      </c>
      <c r="AV60" s="16">
        <f ca="1">IF(AND($S$25=$C$25,$S$24&lt;&gt;""),INDEX($CB$30:$CJ$38,MATCH($C$25,$CA$52:$CA$60,0),MATCH($S$24,$CB$51:$CJ$51,0)),0)</f>
        <v>0</v>
      </c>
      <c r="AW60" s="412">
        <v>0</v>
      </c>
      <c r="AX60" s="17">
        <f ca="1">IF(AND($T$25=$C$25,$T$17&lt;&gt;""),INDEX($CB$30:$CJ$38,MATCH($C$25,$CA$52:$CA$60,0),MATCH($T$17,$CB$51:$CJ$51,0)),0)</f>
        <v>0</v>
      </c>
      <c r="AY60" s="16">
        <f ca="1">IF(AND($T$25=$C$25,$T$18&lt;&gt;""),INDEX($CB$30:$CJ$38,MATCH($C$25,$CA$52:$CA$60,0),MATCH($T$18,$CB$51:$CJ$51,0)),0)</f>
        <v>0</v>
      </c>
      <c r="AZ60" s="16">
        <f ca="1">IF(AND($T$25=$C$25,$T$19&lt;&gt;""),INDEX($CB$30:$CJ$38,MATCH($C$25,$CA$52:$CA$60,0),MATCH($T$19,$CB$51:$CJ$51,0)),0)</f>
        <v>0</v>
      </c>
      <c r="BA60" s="16">
        <f ca="1">IF(AND($T$25=$C$25,$T$20&lt;&gt;""),INDEX($CB$30:$CJ$38,MATCH($C$25,$CA$52:$CA$60,0),MATCH($T$20,$CB$51:$CJ$51,0)),0)</f>
        <v>0</v>
      </c>
      <c r="BB60" s="16">
        <f ca="1">IF(AND($T$25=$C$25,$T$21&lt;&gt;""),INDEX($CB$30:$CJ$38,MATCH($C$25,$CA$52:$CA$60,0),MATCH($T$21,$CB$51:$CJ$51,0)),0)</f>
        <v>0</v>
      </c>
      <c r="BC60" s="16">
        <f ca="1">IF(AND($T$25=$C$25,$T$22&lt;&gt;""),INDEX($CB$30:$CJ$38,MATCH($C$25,$CA$52:$CA$60,0),MATCH($T$22,$CB$51:$CJ$51,0)),0)</f>
        <v>0</v>
      </c>
      <c r="BD60" s="16">
        <f ca="1">IF(AND($T$25=$C$25,$T$23&lt;&gt;""),INDEX($CB$30:$CJ$38,MATCH($C$25,$CA$52:$CA$60,0),MATCH($T$23,$CB$51:$CJ$51,0)),0)</f>
        <v>0</v>
      </c>
      <c r="BE60" s="16">
        <f ca="1">IF(AND($T$25=$C$25,$T$24&lt;&gt;""),INDEX($CB$30:$CJ$38,MATCH($C$25,$CA$52:$CA$60,0),MATCH($T$24,$CB$51:$CJ$51,0)),0)</f>
        <v>0</v>
      </c>
      <c r="BF60" s="412">
        <v>0</v>
      </c>
      <c r="BG60" s="17">
        <f ca="1">IF(AND($U$25=$C$25,$U$17&lt;&gt;""),INDEX($CB$30:$CJ$38,MATCH($C$25,$CA$52:$CA$60,0),MATCH($U$17,$CB$51:$CJ$51,0)),0)</f>
        <v>0</v>
      </c>
      <c r="BH60" s="16">
        <f ca="1">IF(AND($U$25=$C$25,$U$18&lt;&gt;""),INDEX($CB$30:$CJ$38,MATCH($C$25,$CA$52:$CA$60,0),MATCH($U$18,$CB$51:$CJ$51,0)),0)</f>
        <v>0</v>
      </c>
      <c r="BI60" s="16">
        <f ca="1">IF(AND($U$25=$C$25,$U$19&lt;&gt;""),INDEX($CB$30:$CJ$38,MATCH($C$25,$CA$52:$CA$60,0),MATCH($U$19,$CB$51:$CJ$51,0)),0)</f>
        <v>0</v>
      </c>
      <c r="BJ60" s="16">
        <f ca="1">IF(AND($U$25=$C$25,$U$20&lt;&gt;""),INDEX($CB$30:$CJ$38,MATCH($C$25,$CA$52:$CA$60,0),MATCH($U$20,$CB$51:$CJ$51,0)),0)</f>
        <v>0</v>
      </c>
      <c r="BK60" s="16">
        <f ca="1">IF(AND($U$25=$C$25,$U$21&lt;&gt;""),INDEX($CB$30:$CJ$38,MATCH($C$25,$CA$52:$CA$60,0),MATCH($U$21,$CB$51:$CJ$51,0)),0)</f>
        <v>0</v>
      </c>
      <c r="BL60" s="16">
        <f ca="1">IF(AND($U$25=$C$25,$U$22&lt;&gt;""),INDEX($CB$30:$CJ$38,MATCH($C$25,$CA$52:$CA$60,0),MATCH($U$22,$CB$51:$CJ$51,0)),0)</f>
        <v>0</v>
      </c>
      <c r="BM60" s="16">
        <f ca="1">IF(AND($U$25=$C$25,$U$23&lt;&gt;""),INDEX($CB$30:$CJ$38,MATCH($C$25,$CA$52:$CA$60,0),MATCH($U$23,$CB$51:$CJ$51,0)),0)</f>
        <v>0</v>
      </c>
      <c r="BN60" s="16">
        <f ca="1">IF(AND($U$25=$C$25,$U$24&lt;&gt;""),INDEX($CB$30:$CJ$38,MATCH($C$25,$CA$52:$CA$60,0),MATCH($U$24,$CB$51:$CJ$51,0)),0)</f>
        <v>0</v>
      </c>
      <c r="BO60" s="412">
        <v>0</v>
      </c>
      <c r="BP60" s="17">
        <f ca="1">IF(AND($V$25=$C$25,$V$17&lt;&gt;""),INDEX($CB$30:$CJ$38,MATCH($C$25,$CA$52:$CA$60,0),MATCH($V$17,$CB$51:$CJ$51,0)),0)</f>
        <v>0</v>
      </c>
      <c r="BQ60" s="16">
        <f ca="1">IF(AND($V$25=$C$25,$V$18&lt;&gt;""),INDEX($CB$30:$CJ$38,MATCH($C$25,$CA$52:$CA$60,0),MATCH($V$18,$CB$51:$CJ$51,0)),0)</f>
        <v>0</v>
      </c>
      <c r="BR60" s="16">
        <f ca="1">IF(AND($V$25=$C$25,$V$19&lt;&gt;""),INDEX($CB$30:$CJ$38,MATCH($C$25,$CA$52:$CA$60,0),MATCH($V$19,$CB$51:$CJ$51,0)),0)</f>
        <v>0</v>
      </c>
      <c r="BS60" s="16">
        <f ca="1">IF(AND($V$25=$C$25,$V$20&lt;&gt;""),INDEX($CB$30:$CJ$38,MATCH($C$25,$CA$52:$CA$60,0),MATCH($V$20,$CB$51:$CJ$51,0)),0)</f>
        <v>0</v>
      </c>
      <c r="BT60" s="16">
        <f ca="1">IF(AND($V$25=$C$25,$V$21&lt;&gt;""),INDEX($CB$30:$CJ$38,MATCH($C$25,$CA$52:$CA$60,0),MATCH($V$21,$CB$51:$CJ$51,0)),0)</f>
        <v>0</v>
      </c>
      <c r="BU60" s="16">
        <f ca="1">IF(AND($V$25=$C$25,$V$22&lt;&gt;""),INDEX($CB$30:$CJ$38,MATCH($C$25,$CA$52:$CA$60,0),MATCH($V$22,$CB$51:$CJ$51,0)),0)</f>
        <v>0</v>
      </c>
      <c r="BV60" s="16">
        <f ca="1">IF(AND($V$25=$C$25,$V$23&lt;&gt;""),INDEX($CB$30:$CJ$38,MATCH($C$25,$CA$52:$CA$60,0),MATCH($V$23,$CB$51:$CJ$51,0)),0)</f>
        <v>0</v>
      </c>
      <c r="BW60" s="16">
        <f ca="1">IF(AND($V$25=$C$25,$V$24&lt;&gt;""),INDEX($CB$30:$CJ$38,MATCH($C$25,$CA$52:$CA$60,0),MATCH($V$24,$CB$51:$CJ$51,0)),0)</f>
        <v>0</v>
      </c>
      <c r="BX60" s="16">
        <v>0</v>
      </c>
      <c r="BY60" s="14"/>
      <c r="BZ60" s="3"/>
      <c r="CA60" s="2" t="str">
        <f t="shared" si="66"/>
        <v/>
      </c>
      <c r="CB60" s="8">
        <f t="shared" ca="1" si="68"/>
        <v>0</v>
      </c>
      <c r="CC60" s="8">
        <f t="shared" ca="1" si="70"/>
        <v>0</v>
      </c>
      <c r="CD60" s="8">
        <f t="shared" ca="1" si="72"/>
        <v>0</v>
      </c>
      <c r="CE60" s="8">
        <f ca="1">SUMIFS($AL$64:$AL$135,$V$64:$V$135,$CA60,$W$64:$W$135,CE$51)+SUMIFS($AM$64:$AM$135,$W$64:$W$135,$CA60,$V$64:$V$135,CE$51)</f>
        <v>0</v>
      </c>
      <c r="CF60" s="8">
        <f ca="1">SUMIFS($AL$64:$AL$135,$V$64:$V$135,$CA60,$W$64:$W$135,CF$51)+SUMIFS($AM$64:$AM$135,$W$64:$W$135,$CA60,$V$64:$V$135,CF$51)</f>
        <v>0</v>
      </c>
      <c r="CG60" s="8">
        <f ca="1">SUMIFS($AL$64:$AL$135,$V$64:$V$135,$CA60,$W$64:$W$135,CG$51)+SUMIFS($AM$64:$AM$135,$W$64:$W$135,$CA60,$V$64:$V$135,CG$51)</f>
        <v>0</v>
      </c>
      <c r="CH60" s="8">
        <f ca="1">SUMIFS($AL$64:$AL$135,$V$64:$V$135,$CA60,$W$64:$W$135,CH$51)+SUMIFS($AM$64:$AM$135,$W$64:$W$135,$CA60,$V$64:$V$135,CH$51)</f>
        <v>0</v>
      </c>
      <c r="CI60" s="8">
        <f ca="1">SUMIFS($AL$64:$AL$135,$V$64:$V$135,$CA60,$W$64:$W$135,CI$51)+SUMIFS($AM$64:$AM$135,$W$64:$W$135,$CA60,$V$64:$V$135,CI$51)</f>
        <v>0</v>
      </c>
      <c r="CJ60" s="6"/>
      <c r="CK60" s="3"/>
    </row>
    <row r="61" spans="2:89" s="2" customFormat="1" ht="12.75" thickTop="1" x14ac:dyDescent="0.2"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</row>
    <row r="62" spans="2:89" s="2" customFormat="1" x14ac:dyDescent="0.2"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</row>
    <row r="63" spans="2:89" s="2" customFormat="1" ht="12.75" thickBot="1" x14ac:dyDescent="0.25">
      <c r="F63" s="183" t="s">
        <v>193</v>
      </c>
      <c r="X63" s="716" t="s">
        <v>251</v>
      </c>
      <c r="Y63" s="716"/>
      <c r="Z63" s="129" t="s">
        <v>170</v>
      </c>
      <c r="AA63" s="129" t="s">
        <v>15</v>
      </c>
      <c r="AB63" s="129" t="s">
        <v>164</v>
      </c>
      <c r="AC63" s="130" t="s">
        <v>171</v>
      </c>
      <c r="AD63" s="129" t="s">
        <v>165</v>
      </c>
      <c r="AE63" s="23" t="s">
        <v>291</v>
      </c>
      <c r="AF63" s="717" t="s">
        <v>253</v>
      </c>
      <c r="AG63" s="717"/>
      <c r="AH63" s="717" t="s">
        <v>257</v>
      </c>
      <c r="AI63" s="717"/>
      <c r="AJ63" s="717" t="s">
        <v>255</v>
      </c>
      <c r="AK63" s="717"/>
      <c r="AL63" s="712" t="s">
        <v>291</v>
      </c>
      <c r="AM63" s="712"/>
      <c r="AN63" s="717" t="s">
        <v>316</v>
      </c>
      <c r="AO63" s="717"/>
      <c r="AP63" s="3"/>
    </row>
    <row r="64" spans="2:89" s="2" customFormat="1" ht="14.25" thickTop="1" thickBot="1" x14ac:dyDescent="0.25">
      <c r="F64" s="481">
        <v>1000000</v>
      </c>
      <c r="G64" s="484" t="s">
        <v>318</v>
      </c>
      <c r="P64" s="41" t="s">
        <v>6</v>
      </c>
      <c r="Q64" s="58" t="str">
        <f>IF(Planning!$C$8="","",Planning!$C$8)</f>
        <v>1. FC Riedwald</v>
      </c>
      <c r="U64" s="66" t="s">
        <v>6</v>
      </c>
      <c r="V64" s="36" t="str">
        <f ca="1">Planning!$N7</f>
        <v>SSV Wildbach</v>
      </c>
      <c r="W64" s="29" t="str">
        <f ca="1">Planning!$P7</f>
        <v>FC Barcelona</v>
      </c>
      <c r="X64" s="29">
        <f ca="1">IF(AND(Results!$H10&lt;&gt;"",Results!$J10&lt;&gt;"",ABS(Results!$H10-Results!$J10)&gt;1,Results!$E10&lt;&gt;Results!$G10,$V64&lt;&gt;"",$W64&lt;&gt;""),Results!$H10,"")</f>
        <v>25</v>
      </c>
      <c r="Y64" s="30">
        <f ca="1">IF(AND(Results!$H10&lt;&gt;"",Results!$J10&lt;&gt;"",ABS(Results!$H10-Results!$J10)&gt;1,Results!$E10&lt;&gt;Results!$G10,$V64&lt;&gt;"",$W64&lt;&gt;""),Results!$J10,"")</f>
        <v>18</v>
      </c>
      <c r="Z64" s="28" t="str">
        <f ca="1">IF(Planning!$F7=0,V64&amp;W64,"")</f>
        <v>SSV WildbachFC Barcelona</v>
      </c>
      <c r="AA64" s="29">
        <f ca="1">IF(AND(V64&lt;&gt;"",W64&lt;&gt;"",V64&lt;&gt;W64,Results!$Q10&lt;&gt;"",Results!$S10&lt;&gt;""),1,0)</f>
        <v>1</v>
      </c>
      <c r="AB64" s="118" t="str">
        <f ca="1">IF(AND(AA64&gt;0,Planning!$F7=0),AJ64&amp;Language!$E$90&amp;AK64,"")</f>
        <v>55 - 54</v>
      </c>
      <c r="AC64" s="2" t="str">
        <f ca="1">IF(Planning!$F7=1,V64&amp;W64,"")</f>
        <v/>
      </c>
      <c r="AD64" s="119" t="str">
        <f ca="1">IF(AND(AA64&gt;0,Planning!$F7=1),AJ64&amp;Language!$E$90&amp;AK64,"")</f>
        <v/>
      </c>
      <c r="AE64" s="331" t="str">
        <f ca="1">IF(AA64&gt;0,AL64&amp;Language!$E$90&amp;AM64,"")</f>
        <v>2 - 1</v>
      </c>
      <c r="AF64" s="124">
        <f ca="1">IF(AND(Results!$K10&lt;&gt;"",Results!$M10&lt;&gt;"",ABS(Results!$K10-Results!$M10)&gt;1,Results!$E10&lt;&gt;Results!$G10,$V64&lt;&gt;"",$W64&lt;&gt;""),Results!$K10,"")</f>
        <v>17</v>
      </c>
      <c r="AG64" s="118">
        <f ca="1">IF(AND(Results!$K10&lt;&gt;"",Results!$M10&lt;&gt;"",ABS(Results!$K10-Results!$M10)&gt;1,Results!$E10&lt;&gt;Results!$G10,$V64&lt;&gt;"",$W64&lt;&gt;""),Results!$M10,"")</f>
        <v>25</v>
      </c>
      <c r="AH64" s="124">
        <f ca="1">IF(AND(Results!$N10&lt;&gt;"",Results!$P10&lt;&gt;"",ABS(Results!$N10-Results!$P10)&gt;1,Results!$E10&lt;&gt;Results!$G10,$V64&lt;&gt;"",$W64&lt;&gt;""),Results!$N10,"")</f>
        <v>13</v>
      </c>
      <c r="AI64" s="118">
        <f ca="1">IF(AND(Results!$N10&lt;&gt;"",Results!$P10&lt;&gt;"",ABS(Results!$N10-Results!$P10)&gt;1,Results!$E10&lt;&gt;Results!$G10,$V64&lt;&gt;"",$W64&lt;&gt;""),Results!$P10,"")</f>
        <v>11</v>
      </c>
      <c r="AJ64" s="124">
        <f ca="1">IF(AA64&gt;0,SUM(X64,AF64,AH64),"")</f>
        <v>55</v>
      </c>
      <c r="AK64" s="119">
        <f ca="1">IF(AA64&gt;0,SUM(Y64,AG64,AI64),"")</f>
        <v>54</v>
      </c>
      <c r="AL64" s="124">
        <f ca="1">IF(Results!$Q10="",0,Results!$Q10)</f>
        <v>2</v>
      </c>
      <c r="AM64" s="119">
        <f ca="1">IF(Results!$S10="",0,Results!$S10)</f>
        <v>1</v>
      </c>
      <c r="AN64" s="124">
        <f ca="1">IF($AA64=0,"",IF($AL64&gt;$AM64,Settings!$C$4,IF($AL64=$AM64,1,0)))</f>
        <v>2</v>
      </c>
      <c r="AO64" s="119">
        <f ca="1">IF($AA64=0,"",IF($AL64&lt;$AM64,Settings!$C$4,IF($AL64=$AM64,1,0)))</f>
        <v>0</v>
      </c>
      <c r="AP64" s="3"/>
    </row>
    <row r="65" spans="2:42" s="2" customFormat="1" ht="13.5" thickBot="1" x14ac:dyDescent="0.25">
      <c r="F65" s="482">
        <v>1000</v>
      </c>
      <c r="G65" s="485" t="s">
        <v>319</v>
      </c>
      <c r="H65" s="480">
        <v>500</v>
      </c>
      <c r="I65" s="184" t="s">
        <v>317</v>
      </c>
      <c r="P65" s="42" t="s">
        <v>7</v>
      </c>
      <c r="Q65" s="59" t="str">
        <f>IF(Planning!$C$10="","",Planning!$C$10)</f>
        <v>FC Barcelona</v>
      </c>
      <c r="U65" s="67" t="s">
        <v>7</v>
      </c>
      <c r="V65" s="37" t="str">
        <f ca="1">Planning!$N8</f>
        <v>Eintracht Frankfurt</v>
      </c>
      <c r="W65" s="12" t="str">
        <f ca="1">Planning!$P8</f>
        <v>Inter Mailand</v>
      </c>
      <c r="X65" s="12">
        <f ca="1">IF(AND(Results!$H11&lt;&gt;"",Results!$J11&lt;&gt;"",ABS(Results!$H11-Results!$J11)&gt;1,Results!$E11&lt;&gt;Results!$G11,$V65&lt;&gt;"",$W65&lt;&gt;""),Results!$H11,"")</f>
        <v>25</v>
      </c>
      <c r="Y65" s="32">
        <f ca="1">IF(AND(Results!$H11&lt;&gt;"",Results!$J11&lt;&gt;"",ABS(Results!$H11-Results!$J11)&gt;1,Results!$E11&lt;&gt;Results!$G11,$V65&lt;&gt;"",$W65&lt;&gt;""),Results!$J11,"")</f>
        <v>20</v>
      </c>
      <c r="Z65" s="31" t="str">
        <f ca="1">IF(Planning!$F8=0,V65&amp;W65,"")</f>
        <v>Eintracht FrankfurtInter Mailand</v>
      </c>
      <c r="AA65" s="12">
        <f ca="1">IF(AND(V65&lt;&gt;"",W65&lt;&gt;"",V65&lt;&gt;W65,Results!$Q11&lt;&gt;"",Results!$S11&lt;&gt;""),1,0)</f>
        <v>1</v>
      </c>
      <c r="AB65" s="12" t="str">
        <f ca="1">IF(AND(AA65&gt;0,Planning!$F8=0),AJ65&amp;Language!$E$90&amp;AK65,"")</f>
        <v>50 - 42</v>
      </c>
      <c r="AC65" s="2" t="str">
        <f ca="1">IF(Planning!$F8=1,V65&amp;W65,"")</f>
        <v/>
      </c>
      <c r="AD65" s="120" t="str">
        <f ca="1">IF(AND(AA65&gt;0,Planning!$F8=1),AJ65&amp;Language!$E$90&amp;AK65,"")</f>
        <v/>
      </c>
      <c r="AE65" s="332" t="str">
        <f ca="1">IF(AA65&gt;0,AL65&amp;Language!$E$90&amp;AM65,"")</f>
        <v>2 - 0</v>
      </c>
      <c r="AF65" s="125">
        <f ca="1">IF(AND(Results!$K11&lt;&gt;"",Results!$M11&lt;&gt;"",ABS(Results!$K11-Results!$M11)&gt;1,Results!$E11&lt;&gt;Results!$G11,$V65&lt;&gt;"",$W65&lt;&gt;""),Results!$K11,"")</f>
        <v>25</v>
      </c>
      <c r="AG65" s="12">
        <f ca="1">IF(AND(Results!$K11&lt;&gt;"",Results!$M11&lt;&gt;"",ABS(Results!$K11-Results!$M11)&gt;1,Results!$E11&lt;&gt;Results!$G11,$V65&lt;&gt;"",$W65&lt;&gt;""),Results!$M11,"")</f>
        <v>22</v>
      </c>
      <c r="AH65" s="125" t="str">
        <f ca="1">IF(AND(Results!$N11&lt;&gt;"",Results!$P11&lt;&gt;"",ABS(Results!$N11-Results!$P11)&gt;1,Results!$E11&lt;&gt;Results!$G11,$V65&lt;&gt;"",$W65&lt;&gt;""),Results!$N11,"")</f>
        <v/>
      </c>
      <c r="AI65" s="12" t="str">
        <f ca="1">IF(AND(Results!$N11&lt;&gt;"",Results!$P11&lt;&gt;"",ABS(Results!$N11-Results!$P11)&gt;1,Results!$E11&lt;&gt;Results!$G11,$V65&lt;&gt;"",$W65&lt;&gt;""),Results!$P11,"")</f>
        <v/>
      </c>
      <c r="AJ65" s="125">
        <f t="shared" ref="AJ65:AJ128" ca="1" si="73">IF(AA65&gt;0,SUM(X65,AF65,AH65),"")</f>
        <v>50</v>
      </c>
      <c r="AK65" s="120">
        <f t="shared" ref="AK65:AK128" ca="1" si="74">IF(AA65&gt;0,SUM(Y65,AG65,AI65),"")</f>
        <v>42</v>
      </c>
      <c r="AL65" s="125">
        <f ca="1">IF(Results!$Q11="",0,Results!$Q11)</f>
        <v>2</v>
      </c>
      <c r="AM65" s="120">
        <f ca="1">IF(Results!$S11="",0,Results!$S11)</f>
        <v>0</v>
      </c>
      <c r="AN65" s="125">
        <f ca="1">IF($AA65=0,"",IF($AL65&gt;$AM65,Settings!$C$4,IF($AL65=$AM65,1,0)))</f>
        <v>2</v>
      </c>
      <c r="AO65" s="120">
        <f ca="1">IF($AA65=0,"",IF($AL65&lt;$AM65,Settings!$C$4,IF($AL65=$AM65,1,0)))</f>
        <v>0</v>
      </c>
      <c r="AP65" s="12"/>
    </row>
    <row r="66" spans="2:42" s="2" customFormat="1" ht="12.75" x14ac:dyDescent="0.2">
      <c r="F66" s="482">
        <v>1</v>
      </c>
      <c r="G66" s="485" t="s">
        <v>320</v>
      </c>
      <c r="P66" s="42" t="s">
        <v>8</v>
      </c>
      <c r="Q66" s="59" t="str">
        <f>IF(Planning!$C$12="","",Planning!$C$12)</f>
        <v>Eintracht Frankfurt</v>
      </c>
      <c r="U66" s="67" t="s">
        <v>8</v>
      </c>
      <c r="V66" s="37" t="str">
        <f ca="1">Planning!$N9</f>
        <v>VFB Essenheim</v>
      </c>
      <c r="W66" s="12" t="str">
        <f ca="1">Planning!$P9</f>
        <v>Maibach 1822 eV</v>
      </c>
      <c r="X66" s="12">
        <f ca="1">IF(AND(Results!$H12&lt;&gt;"",Results!$J12&lt;&gt;"",ABS(Results!$H12-Results!$J12)&gt;1,Results!$E12&lt;&gt;Results!$G12,$V66&lt;&gt;"",$W66&lt;&gt;""),Results!$H12,"")</f>
        <v>25</v>
      </c>
      <c r="Y66" s="32">
        <f ca="1">IF(AND(Results!$H12&lt;&gt;"",Results!$J12&lt;&gt;"",ABS(Results!$H12-Results!$J12)&gt;1,Results!$E12&lt;&gt;Results!$G12,$V66&lt;&gt;"",$W66&lt;&gt;""),Results!$J12,"")</f>
        <v>21</v>
      </c>
      <c r="Z66" s="31" t="str">
        <f ca="1">IF(Planning!$F9=0,V66&amp;W66,"")</f>
        <v>VFB EssenheimMaibach 1822 eV</v>
      </c>
      <c r="AA66" s="12">
        <f ca="1">IF(AND(V66&lt;&gt;"",W66&lt;&gt;"",V66&lt;&gt;W66,Results!$Q12&lt;&gt;"",Results!$S12&lt;&gt;""),1,0)</f>
        <v>1</v>
      </c>
      <c r="AB66" s="12" t="str">
        <f ca="1">IF(AND(AA66&gt;0,Planning!$F9=0),AJ66&amp;Language!$E$90&amp;AK66,"")</f>
        <v>50 - 40</v>
      </c>
      <c r="AC66" s="2" t="str">
        <f ca="1">IF(Planning!$F9=1,V66&amp;W66,"")</f>
        <v/>
      </c>
      <c r="AD66" s="120" t="str">
        <f ca="1">IF(AND(AA66&gt;0,Planning!$F9=1),AJ66&amp;Language!$E$90&amp;AK66,"")</f>
        <v/>
      </c>
      <c r="AE66" s="332" t="str">
        <f ca="1">IF(AA66&gt;0,AL66&amp;Language!$E$90&amp;AM66,"")</f>
        <v>2 - 0</v>
      </c>
      <c r="AF66" s="125">
        <f ca="1">IF(AND(Results!$K12&lt;&gt;"",Results!$M12&lt;&gt;"",ABS(Results!$K12-Results!$M12)&gt;1,Results!$E12&lt;&gt;Results!$G12,$V66&lt;&gt;"",$W66&lt;&gt;""),Results!$K12,"")</f>
        <v>25</v>
      </c>
      <c r="AG66" s="12">
        <f ca="1">IF(AND(Results!$K12&lt;&gt;"",Results!$M12&lt;&gt;"",ABS(Results!$K12-Results!$M12)&gt;1,Results!$E12&lt;&gt;Results!$G12,$V66&lt;&gt;"",$W66&lt;&gt;""),Results!$M12,"")</f>
        <v>19</v>
      </c>
      <c r="AH66" s="125" t="str">
        <f ca="1">IF(AND(Results!$N12&lt;&gt;"",Results!$P12&lt;&gt;"",ABS(Results!$N12-Results!$P12)&gt;1,Results!$E12&lt;&gt;Results!$G12,$V66&lt;&gt;"",$W66&lt;&gt;""),Results!$N12,"")</f>
        <v/>
      </c>
      <c r="AI66" s="12" t="str">
        <f ca="1">IF(AND(Results!$N12&lt;&gt;"",Results!$P12&lt;&gt;"",ABS(Results!$N12-Results!$P12)&gt;1,Results!$E12&lt;&gt;Results!$G12,$V66&lt;&gt;"",$W66&lt;&gt;""),Results!$P12,"")</f>
        <v/>
      </c>
      <c r="AJ66" s="125">
        <f t="shared" ca="1" si="73"/>
        <v>50</v>
      </c>
      <c r="AK66" s="120">
        <f t="shared" ca="1" si="74"/>
        <v>40</v>
      </c>
      <c r="AL66" s="125">
        <f ca="1">IF(Results!$Q12="",0,Results!$Q12)</f>
        <v>2</v>
      </c>
      <c r="AM66" s="120">
        <f ca="1">IF(Results!$S12="",0,Results!$S12)</f>
        <v>0</v>
      </c>
      <c r="AN66" s="125">
        <f ca="1">IF($AA66=0,"",IF($AL66&gt;$AM66,Settings!$C$4,IF($AL66=$AM66,1,0)))</f>
        <v>2</v>
      </c>
      <c r="AO66" s="120">
        <f ca="1">IF($AA66=0,"",IF($AL66&lt;$AM66,Settings!$C$4,IF($AL66=$AM66,1,0)))</f>
        <v>0</v>
      </c>
      <c r="AP66" s="12"/>
    </row>
    <row r="67" spans="2:42" s="2" customFormat="1" ht="12.75" thickBot="1" x14ac:dyDescent="0.25">
      <c r="F67" s="483">
        <v>1E-3</v>
      </c>
      <c r="G67" s="486" t="s">
        <v>321</v>
      </c>
      <c r="P67" s="42" t="s">
        <v>9</v>
      </c>
      <c r="Q67" s="59" t="str">
        <f>IF(Planning!$C$14="","",Planning!$C$14)</f>
        <v>Maibach 1822 eV</v>
      </c>
      <c r="U67" s="67" t="s">
        <v>9</v>
      </c>
      <c r="V67" s="37" t="str">
        <f ca="1">Planning!$N10</f>
        <v>SSV Wildbach</v>
      </c>
      <c r="W67" s="12" t="str">
        <f ca="1">Planning!$P10</f>
        <v>1. FC Riedwald</v>
      </c>
      <c r="X67" s="12">
        <f ca="1">IF(AND(Results!$H13&lt;&gt;"",Results!$J13&lt;&gt;"",ABS(Results!$H13-Results!$J13)&gt;1,Results!$E13&lt;&gt;Results!$G13,$V67&lt;&gt;"",$W67&lt;&gt;""),Results!$H13,"")</f>
        <v>15</v>
      </c>
      <c r="Y67" s="32">
        <f ca="1">IF(AND(Results!$H13&lt;&gt;"",Results!$J13&lt;&gt;"",ABS(Results!$H13-Results!$J13)&gt;1,Results!$E13&lt;&gt;Results!$G13,$V67&lt;&gt;"",$W67&lt;&gt;""),Results!$J13,"")</f>
        <v>25</v>
      </c>
      <c r="Z67" s="31" t="str">
        <f ca="1">IF(Planning!$F10=0,V67&amp;W67,"")</f>
        <v>SSV Wildbach1. FC Riedwald</v>
      </c>
      <c r="AA67" s="12">
        <f ca="1">IF(AND(V67&lt;&gt;"",W67&lt;&gt;"",V67&lt;&gt;W67,Results!$Q13&lt;&gt;"",Results!$S13&lt;&gt;""),1,0)</f>
        <v>1</v>
      </c>
      <c r="AB67" s="12" t="str">
        <f ca="1">IF(AND(AA67&gt;0,Planning!$F10=0),AJ67&amp;Language!$E$90&amp;AK67,"")</f>
        <v>31 - 50</v>
      </c>
      <c r="AC67" s="2" t="str">
        <f ca="1">IF(Planning!$F10=1,V67&amp;W67,"")</f>
        <v/>
      </c>
      <c r="AD67" s="120" t="str">
        <f ca="1">IF(AND(AA67&gt;0,Planning!$F10=1),AJ67&amp;Language!$E$90&amp;AK67,"")</f>
        <v/>
      </c>
      <c r="AE67" s="332" t="str">
        <f ca="1">IF(AA67&gt;0,AL67&amp;Language!$E$90&amp;AM67,"")</f>
        <v>0 - 2</v>
      </c>
      <c r="AF67" s="125">
        <f ca="1">IF(AND(Results!$K13&lt;&gt;"",Results!$M13&lt;&gt;"",ABS(Results!$K13-Results!$M13)&gt;1,Results!$E13&lt;&gt;Results!$G13,$V67&lt;&gt;"",$W67&lt;&gt;""),Results!$K13,"")</f>
        <v>16</v>
      </c>
      <c r="AG67" s="12">
        <f ca="1">IF(AND(Results!$K13&lt;&gt;"",Results!$M13&lt;&gt;"",ABS(Results!$K13-Results!$M13)&gt;1,Results!$E13&lt;&gt;Results!$G13,$V67&lt;&gt;"",$W67&lt;&gt;""),Results!$M13,"")</f>
        <v>25</v>
      </c>
      <c r="AH67" s="125" t="str">
        <f ca="1">IF(AND(Results!$N13&lt;&gt;"",Results!$P13&lt;&gt;"",ABS(Results!$N13-Results!$P13)&gt;1,Results!$E13&lt;&gt;Results!$G13,$V67&lt;&gt;"",$W67&lt;&gt;""),Results!$N13,"")</f>
        <v/>
      </c>
      <c r="AI67" s="12" t="str">
        <f ca="1">IF(AND(Results!$N13&lt;&gt;"",Results!$P13&lt;&gt;"",ABS(Results!$N13-Results!$P13)&gt;1,Results!$E13&lt;&gt;Results!$G13,$V67&lt;&gt;"",$W67&lt;&gt;""),Results!$P13,"")</f>
        <v/>
      </c>
      <c r="AJ67" s="125">
        <f t="shared" ca="1" si="73"/>
        <v>31</v>
      </c>
      <c r="AK67" s="120">
        <f t="shared" ca="1" si="74"/>
        <v>50</v>
      </c>
      <c r="AL67" s="125">
        <f ca="1">IF(Results!$Q13="",0,Results!$Q13)</f>
        <v>0</v>
      </c>
      <c r="AM67" s="120">
        <f ca="1">IF(Results!$S13="",0,Results!$S13)</f>
        <v>2</v>
      </c>
      <c r="AN67" s="125">
        <f ca="1">IF($AA67=0,"",IF($AL67&gt;$AM67,Settings!$C$4,IF($AL67=$AM67,1,0)))</f>
        <v>0</v>
      </c>
      <c r="AO67" s="120">
        <f ca="1">IF($AA67=0,"",IF($AL67&lt;$AM67,Settings!$C$4,IF($AL67=$AM67,1,0)))</f>
        <v>2</v>
      </c>
      <c r="AP67" s="12"/>
    </row>
    <row r="68" spans="2:42" s="2" customFormat="1" x14ac:dyDescent="0.2">
      <c r="P68" s="42" t="s">
        <v>10</v>
      </c>
      <c r="Q68" s="59" t="str">
        <f>IF(Planning!$C$16="","",Planning!$C$16)</f>
        <v>VFB Essenheim</v>
      </c>
      <c r="U68" s="67" t="s">
        <v>10</v>
      </c>
      <c r="V68" s="37" t="str">
        <f ca="1">Planning!$N11</f>
        <v>FC Barcelona</v>
      </c>
      <c r="W68" s="12" t="str">
        <f ca="1">Planning!$P11</f>
        <v>VFB Essenheim</v>
      </c>
      <c r="X68" s="12">
        <f ca="1">IF(AND(Results!$H14&lt;&gt;"",Results!$J14&lt;&gt;"",ABS(Results!$H14-Results!$J14)&gt;1,Results!$E14&lt;&gt;Results!$G14,$V68&lt;&gt;"",$W68&lt;&gt;""),Results!$H14,"")</f>
        <v>25</v>
      </c>
      <c r="Y68" s="32">
        <f ca="1">IF(AND(Results!$H14&lt;&gt;"",Results!$J14&lt;&gt;"",ABS(Results!$H14-Results!$J14)&gt;1,Results!$E14&lt;&gt;Results!$G14,$V68&lt;&gt;"",$W68&lt;&gt;""),Results!$J14,"")</f>
        <v>23</v>
      </c>
      <c r="Z68" s="31" t="str">
        <f ca="1">IF(Planning!$F11=0,V68&amp;W68,"")</f>
        <v>FC BarcelonaVFB Essenheim</v>
      </c>
      <c r="AA68" s="12">
        <f ca="1">IF(AND(V68&lt;&gt;"",W68&lt;&gt;"",V68&lt;&gt;W68,Results!$Q14&lt;&gt;"",Results!$S14&lt;&gt;""),1,0)</f>
        <v>1</v>
      </c>
      <c r="AB68" s="12" t="str">
        <f ca="1">IF(AND(AA68&gt;0,Planning!$F11=0),AJ68&amp;Language!$E$90&amp;AK68,"")</f>
        <v>50 - 46</v>
      </c>
      <c r="AC68" s="2" t="str">
        <f ca="1">IF(Planning!$F11=1,V68&amp;W68,"")</f>
        <v/>
      </c>
      <c r="AD68" s="120" t="str">
        <f ca="1">IF(AND(AA68&gt;0,Planning!$F11=1),AJ68&amp;Language!$E$90&amp;AK68,"")</f>
        <v/>
      </c>
      <c r="AE68" s="332" t="str">
        <f ca="1">IF(AA68&gt;0,AL68&amp;Language!$E$90&amp;AM68,"")</f>
        <v>2 - 0</v>
      </c>
      <c r="AF68" s="125">
        <f ca="1">IF(AND(Results!$K14&lt;&gt;"",Results!$M14&lt;&gt;"",ABS(Results!$K14-Results!$M14)&gt;1,Results!$E14&lt;&gt;Results!$G14,$V68&lt;&gt;"",$W68&lt;&gt;""),Results!$K14,"")</f>
        <v>25</v>
      </c>
      <c r="AG68" s="12">
        <f ca="1">IF(AND(Results!$K14&lt;&gt;"",Results!$M14&lt;&gt;"",ABS(Results!$K14-Results!$M14)&gt;1,Results!$E14&lt;&gt;Results!$G14,$V68&lt;&gt;"",$W68&lt;&gt;""),Results!$M14,"")</f>
        <v>23</v>
      </c>
      <c r="AH68" s="125" t="str">
        <f ca="1">IF(AND(Results!$N14&lt;&gt;"",Results!$P14&lt;&gt;"",ABS(Results!$N14-Results!$P14)&gt;1,Results!$E14&lt;&gt;Results!$G14,$V68&lt;&gt;"",$W68&lt;&gt;""),Results!$N14,"")</f>
        <v/>
      </c>
      <c r="AI68" s="12" t="str">
        <f ca="1">IF(AND(Results!$N14&lt;&gt;"",Results!$P14&lt;&gt;"",ABS(Results!$N14-Results!$P14)&gt;1,Results!$E14&lt;&gt;Results!$G14,$V68&lt;&gt;"",$W68&lt;&gt;""),Results!$P14,"")</f>
        <v/>
      </c>
      <c r="AJ68" s="125">
        <f t="shared" ca="1" si="73"/>
        <v>50</v>
      </c>
      <c r="AK68" s="120">
        <f t="shared" ca="1" si="74"/>
        <v>46</v>
      </c>
      <c r="AL68" s="125">
        <f ca="1">IF(Results!$Q14="",0,Results!$Q14)</f>
        <v>2</v>
      </c>
      <c r="AM68" s="120">
        <f ca="1">IF(Results!$S14="",0,Results!$S14)</f>
        <v>0</v>
      </c>
      <c r="AN68" s="125">
        <f ca="1">IF($AA68=0,"",IF($AL68&gt;$AM68,Settings!$C$4,IF($AL68=$AM68,1,0)))</f>
        <v>2</v>
      </c>
      <c r="AO68" s="120">
        <f ca="1">IF($AA68=0,"",IF($AL68&lt;$AM68,Settings!$C$4,IF($AL68=$AM68,1,0)))</f>
        <v>0</v>
      </c>
      <c r="AP68" s="12"/>
    </row>
    <row r="69" spans="2:42" s="2" customFormat="1" x14ac:dyDescent="0.2">
      <c r="P69" s="42" t="s">
        <v>11</v>
      </c>
      <c r="Q69" s="59" t="str">
        <f>IF(Planning!$C$18="","",Planning!$C$18)</f>
        <v>Inter Mailand</v>
      </c>
      <c r="U69" s="67" t="s">
        <v>11</v>
      </c>
      <c r="V69" s="37" t="str">
        <f ca="1">Planning!$N12</f>
        <v>Maibach 1822 eV</v>
      </c>
      <c r="W69" s="12" t="str">
        <f ca="1">Planning!$P12</f>
        <v>Eintracht Frankfurt</v>
      </c>
      <c r="X69" s="12">
        <f ca="1">IF(AND(Results!$H15&lt;&gt;"",Results!$J15&lt;&gt;"",ABS(Results!$H15-Results!$J15)&gt;1,Results!$E15&lt;&gt;Results!$G15,$V69&lt;&gt;"",$W69&lt;&gt;""),Results!$H15,"")</f>
        <v>25</v>
      </c>
      <c r="Y69" s="32">
        <f ca="1">IF(AND(Results!$H15&lt;&gt;"",Results!$J15&lt;&gt;"",ABS(Results!$H15-Results!$J15)&gt;1,Results!$E15&lt;&gt;Results!$G15,$V69&lt;&gt;"",$W69&lt;&gt;""),Results!$J15,"")</f>
        <v>17</v>
      </c>
      <c r="Z69" s="31" t="str">
        <f ca="1">IF(Planning!$F12=0,V69&amp;W69,"")</f>
        <v>Maibach 1822 eVEintracht Frankfurt</v>
      </c>
      <c r="AA69" s="12">
        <f ca="1">IF(AND(V69&lt;&gt;"",W69&lt;&gt;"",V69&lt;&gt;W69,Results!$Q15&lt;&gt;"",Results!$S15&lt;&gt;""),1,0)</f>
        <v>1</v>
      </c>
      <c r="AB69" s="12" t="str">
        <f ca="1">IF(AND(AA69&gt;0,Planning!$F12=0),AJ69&amp;Language!$E$90&amp;AK69,"")</f>
        <v>50 - 39</v>
      </c>
      <c r="AC69" s="2" t="str">
        <f ca="1">IF(Planning!$F12=1,V69&amp;W69,"")</f>
        <v/>
      </c>
      <c r="AD69" s="120" t="str">
        <f ca="1">IF(AND(AA69&gt;0,Planning!$F12=1),AJ69&amp;Language!$E$90&amp;AK69,"")</f>
        <v/>
      </c>
      <c r="AE69" s="332" t="str">
        <f ca="1">IF(AA69&gt;0,AL69&amp;Language!$E$90&amp;AM69,"")</f>
        <v>2 - 0</v>
      </c>
      <c r="AF69" s="125">
        <f ca="1">IF(AND(Results!$K15&lt;&gt;"",Results!$M15&lt;&gt;"",ABS(Results!$K15-Results!$M15)&gt;1,Results!$E15&lt;&gt;Results!$G15,$V69&lt;&gt;"",$W69&lt;&gt;""),Results!$K15,"")</f>
        <v>25</v>
      </c>
      <c r="AG69" s="12">
        <f ca="1">IF(AND(Results!$K15&lt;&gt;"",Results!$M15&lt;&gt;"",ABS(Results!$K15-Results!$M15)&gt;1,Results!$E15&lt;&gt;Results!$G15,$V69&lt;&gt;"",$W69&lt;&gt;""),Results!$M15,"")</f>
        <v>22</v>
      </c>
      <c r="AH69" s="125" t="str">
        <f ca="1">IF(AND(Results!$N15&lt;&gt;"",Results!$P15&lt;&gt;"",ABS(Results!$N15-Results!$P15)&gt;1,Results!$E15&lt;&gt;Results!$G15,$V69&lt;&gt;"",$W69&lt;&gt;""),Results!$N15,"")</f>
        <v/>
      </c>
      <c r="AI69" s="12" t="str">
        <f ca="1">IF(AND(Results!$N15&lt;&gt;"",Results!$P15&lt;&gt;"",ABS(Results!$N15-Results!$P15)&gt;1,Results!$E15&lt;&gt;Results!$G15,$V69&lt;&gt;"",$W69&lt;&gt;""),Results!$P15,"")</f>
        <v/>
      </c>
      <c r="AJ69" s="125">
        <f t="shared" ca="1" si="73"/>
        <v>50</v>
      </c>
      <c r="AK69" s="120">
        <f t="shared" ca="1" si="74"/>
        <v>39</v>
      </c>
      <c r="AL69" s="125">
        <f ca="1">IF(Results!$Q15="",0,Results!$Q15)</f>
        <v>2</v>
      </c>
      <c r="AM69" s="120">
        <f ca="1">IF(Results!$S15="",0,Results!$S15)</f>
        <v>0</v>
      </c>
      <c r="AN69" s="125">
        <f ca="1">IF($AA69=0,"",IF($AL69&gt;$AM69,Settings!$C$4,IF($AL69=$AM69,1,0)))</f>
        <v>2</v>
      </c>
      <c r="AO69" s="120">
        <f ca="1">IF($AA69=0,"",IF($AL69&lt;$AM69,Settings!$C$4,IF($AL69=$AM69,1,0)))</f>
        <v>0</v>
      </c>
      <c r="AP69" s="12"/>
    </row>
    <row r="70" spans="2:42" s="2" customFormat="1" x14ac:dyDescent="0.2">
      <c r="P70" s="42" t="s">
        <v>16</v>
      </c>
      <c r="Q70" s="59" t="str">
        <f>IF(Planning!$C$20="","",Planning!$C$20)</f>
        <v>SSV Wildbach</v>
      </c>
      <c r="U70" s="67" t="s">
        <v>16</v>
      </c>
      <c r="V70" s="37" t="str">
        <f ca="1">Planning!$N13</f>
        <v>1. FC Riedwald</v>
      </c>
      <c r="W70" s="12" t="str">
        <f ca="1">Planning!$P13</f>
        <v>Inter Mailand</v>
      </c>
      <c r="X70" s="12">
        <f ca="1">IF(AND(Results!$H16&lt;&gt;"",Results!$J16&lt;&gt;"",ABS(Results!$H16-Results!$J16)&gt;1,Results!$E16&lt;&gt;Results!$G16,$V70&lt;&gt;"",$W70&lt;&gt;""),Results!$H16,"")</f>
        <v>23</v>
      </c>
      <c r="Y70" s="32">
        <f ca="1">IF(AND(Results!$H16&lt;&gt;"",Results!$J16&lt;&gt;"",ABS(Results!$H16-Results!$J16)&gt;1,Results!$E16&lt;&gt;Results!$G16,$V70&lt;&gt;"",$W70&lt;&gt;""),Results!$J16,"")</f>
        <v>25</v>
      </c>
      <c r="Z70" s="31" t="str">
        <f ca="1">IF(Planning!$F13=0,V70&amp;W70,"")</f>
        <v>1. FC RiedwaldInter Mailand</v>
      </c>
      <c r="AA70" s="12">
        <f ca="1">IF(AND(V70&lt;&gt;"",W70&lt;&gt;"",V70&lt;&gt;W70,Results!$Q16&lt;&gt;"",Results!$S16&lt;&gt;""),1,0)</f>
        <v>1</v>
      </c>
      <c r="AB70" s="12" t="str">
        <f ca="1">IF(AND(AA70&gt;0,Planning!$F13=0),AJ70&amp;Language!$E$90&amp;AK70,"")</f>
        <v>62 - 64</v>
      </c>
      <c r="AC70" s="2" t="str">
        <f ca="1">IF(Planning!$F13=1,V70&amp;W70,"")</f>
        <v/>
      </c>
      <c r="AD70" s="120" t="str">
        <f ca="1">IF(AND(AA70&gt;0,Planning!$F13=1),AJ70&amp;Language!$E$90&amp;AK70,"")</f>
        <v/>
      </c>
      <c r="AE70" s="332" t="str">
        <f ca="1">IF(AA70&gt;0,AL70&amp;Language!$E$90&amp;AM70,"")</f>
        <v>1 - 2</v>
      </c>
      <c r="AF70" s="125">
        <f ca="1">IF(AND(Results!$K16&lt;&gt;"",Results!$M16&lt;&gt;"",ABS(Results!$K16-Results!$M16)&gt;1,Results!$E16&lt;&gt;Results!$G16,$V70&lt;&gt;"",$W70&lt;&gt;""),Results!$K16,"")</f>
        <v>25</v>
      </c>
      <c r="AG70" s="12">
        <f ca="1">IF(AND(Results!$K16&lt;&gt;"",Results!$M16&lt;&gt;"",ABS(Results!$K16-Results!$M16)&gt;1,Results!$E16&lt;&gt;Results!$G16,$V70&lt;&gt;"",$W70&lt;&gt;""),Results!$M16,"")</f>
        <v>23</v>
      </c>
      <c r="AH70" s="125">
        <f ca="1">IF(AND(Results!$N16&lt;&gt;"",Results!$P16&lt;&gt;"",ABS(Results!$N16-Results!$P16)&gt;1,Results!$E16&lt;&gt;Results!$G16,$V70&lt;&gt;"",$W70&lt;&gt;""),Results!$N16,"")</f>
        <v>14</v>
      </c>
      <c r="AI70" s="12">
        <f ca="1">IF(AND(Results!$N16&lt;&gt;"",Results!$P16&lt;&gt;"",ABS(Results!$N16-Results!$P16)&gt;1,Results!$E16&lt;&gt;Results!$G16,$V70&lt;&gt;"",$W70&lt;&gt;""),Results!$P16,"")</f>
        <v>16</v>
      </c>
      <c r="AJ70" s="125">
        <f t="shared" ca="1" si="73"/>
        <v>62</v>
      </c>
      <c r="AK70" s="120">
        <f t="shared" ca="1" si="74"/>
        <v>64</v>
      </c>
      <c r="AL70" s="125">
        <f ca="1">IF(Results!$Q16="",0,Results!$Q16)</f>
        <v>1</v>
      </c>
      <c r="AM70" s="120">
        <f ca="1">IF(Results!$S16="",0,Results!$S16)</f>
        <v>2</v>
      </c>
      <c r="AN70" s="125">
        <f ca="1">IF($AA70=0,"",IF($AL70&gt;$AM70,Settings!$C$4,IF($AL70=$AM70,1,0)))</f>
        <v>0</v>
      </c>
      <c r="AO70" s="120">
        <f ca="1">IF($AA70=0,"",IF($AL70&lt;$AM70,Settings!$C$4,IF($AL70=$AM70,1,0)))</f>
        <v>2</v>
      </c>
      <c r="AP70" s="12"/>
    </row>
    <row r="71" spans="2:42" s="2" customFormat="1" x14ac:dyDescent="0.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P71" s="42" t="s">
        <v>17</v>
      </c>
      <c r="Q71" s="59" t="str">
        <f>IF(Planning!$C$22="","",Planning!$C$22)</f>
        <v/>
      </c>
      <c r="U71" s="67" t="s">
        <v>17</v>
      </c>
      <c r="V71" s="37" t="str">
        <f ca="1">Planning!$N14</f>
        <v>VFB Essenheim</v>
      </c>
      <c r="W71" s="12" t="str">
        <f ca="1">Planning!$P14</f>
        <v>SSV Wildbach</v>
      </c>
      <c r="X71" s="12">
        <f ca="1">IF(AND(Results!$H17&lt;&gt;"",Results!$J17&lt;&gt;"",ABS(Results!$H17-Results!$J17)&gt;1,Results!$E17&lt;&gt;Results!$G17,$V71&lt;&gt;"",$W71&lt;&gt;""),Results!$H17,"")</f>
        <v>19</v>
      </c>
      <c r="Y71" s="32">
        <f ca="1">IF(AND(Results!$H17&lt;&gt;"",Results!$J17&lt;&gt;"",ABS(Results!$H17-Results!$J17)&gt;1,Results!$E17&lt;&gt;Results!$G17,$V71&lt;&gt;"",$W71&lt;&gt;""),Results!$J17,"")</f>
        <v>25</v>
      </c>
      <c r="Z71" s="31" t="str">
        <f ca="1">IF(Planning!$F14=0,V71&amp;W71,"")</f>
        <v>VFB EssenheimSSV Wildbach</v>
      </c>
      <c r="AA71" s="12">
        <f ca="1">IF(AND(V71&lt;&gt;"",W71&lt;&gt;"",V71&lt;&gt;W71,Results!$Q17&lt;&gt;"",Results!$S17&lt;&gt;""),1,0)</f>
        <v>1</v>
      </c>
      <c r="AB71" s="12" t="str">
        <f ca="1">IF(AND(AA71&gt;0,Planning!$F14=0),AJ71&amp;Language!$E$90&amp;AK71,"")</f>
        <v>44 - 42</v>
      </c>
      <c r="AC71" s="2" t="str">
        <f ca="1">IF(Planning!$F14=1,V71&amp;W71,"")</f>
        <v/>
      </c>
      <c r="AD71" s="120" t="str">
        <f ca="1">IF(AND(AA71&gt;0,Planning!$F14=1),AJ71&amp;Language!$E$90&amp;AK71,"")</f>
        <v/>
      </c>
      <c r="AE71" s="332" t="str">
        <f ca="1">IF(AA71&gt;0,AL71&amp;Language!$E$90&amp;AM71,"")</f>
        <v>1 - 1</v>
      </c>
      <c r="AF71" s="125">
        <f ca="1">IF(AND(Results!$K17&lt;&gt;"",Results!$M17&lt;&gt;"",ABS(Results!$K17-Results!$M17)&gt;1,Results!$E17&lt;&gt;Results!$G17,$V71&lt;&gt;"",$W71&lt;&gt;""),Results!$K17,"")</f>
        <v>25</v>
      </c>
      <c r="AG71" s="12">
        <f ca="1">IF(AND(Results!$K17&lt;&gt;"",Results!$M17&lt;&gt;"",ABS(Results!$K17-Results!$M17)&gt;1,Results!$E17&lt;&gt;Results!$G17,$V71&lt;&gt;"",$W71&lt;&gt;""),Results!$M17,"")</f>
        <v>17</v>
      </c>
      <c r="AH71" s="125" t="str">
        <f ca="1">IF(AND(Results!$N17&lt;&gt;"",Results!$P17&lt;&gt;"",ABS(Results!$N17-Results!$P17)&gt;1,Results!$E17&lt;&gt;Results!$G17,$V71&lt;&gt;"",$W71&lt;&gt;""),Results!$N17,"")</f>
        <v/>
      </c>
      <c r="AI71" s="12" t="str">
        <f ca="1">IF(AND(Results!$N17&lt;&gt;"",Results!$P17&lt;&gt;"",ABS(Results!$N17-Results!$P17)&gt;1,Results!$E17&lt;&gt;Results!$G17,$V71&lt;&gt;"",$W71&lt;&gt;""),Results!$P17,"")</f>
        <v/>
      </c>
      <c r="AJ71" s="125">
        <f t="shared" ca="1" si="73"/>
        <v>44</v>
      </c>
      <c r="AK71" s="120">
        <f t="shared" ca="1" si="74"/>
        <v>42</v>
      </c>
      <c r="AL71" s="125">
        <f ca="1">IF(Results!$Q17="",0,Results!$Q17)</f>
        <v>1</v>
      </c>
      <c r="AM71" s="120">
        <f ca="1">IF(Results!$S17="",0,Results!$S17)</f>
        <v>1</v>
      </c>
      <c r="AN71" s="125">
        <f ca="1">IF($AA71=0,"",IF($AL71&gt;$AM71,Settings!$C$4,IF($AL71=$AM71,1,0)))</f>
        <v>1</v>
      </c>
      <c r="AO71" s="120">
        <f ca="1">IF($AA71=0,"",IF($AL71&lt;$AM71,Settings!$C$4,IF($AL71=$AM71,1,0)))</f>
        <v>1</v>
      </c>
      <c r="AP71" s="12"/>
    </row>
    <row r="72" spans="2:42" s="2" customFormat="1" ht="12.75" thickBot="1" x14ac:dyDescent="0.25">
      <c r="B72" s="3"/>
      <c r="C72" s="3"/>
      <c r="D72" s="3"/>
      <c r="E72" s="3"/>
      <c r="F72" s="12"/>
      <c r="G72" s="12"/>
      <c r="H72" s="12"/>
      <c r="I72" s="12"/>
      <c r="J72" s="12"/>
      <c r="K72" s="12"/>
      <c r="L72" s="12"/>
      <c r="M72" s="12"/>
      <c r="P72" s="43" t="s">
        <v>18</v>
      </c>
      <c r="Q72" s="60" t="str">
        <f>IF(Planning!$C$24="","",Planning!$C$24)</f>
        <v/>
      </c>
      <c r="U72" s="67" t="s">
        <v>18</v>
      </c>
      <c r="V72" s="37" t="str">
        <f ca="1">Planning!$N15</f>
        <v>Eintracht Frankfurt</v>
      </c>
      <c r="W72" s="12" t="str">
        <f ca="1">Planning!$P15</f>
        <v>FC Barcelona</v>
      </c>
      <c r="X72" s="12">
        <f ca="1">IF(AND(Results!$H18&lt;&gt;"",Results!$J18&lt;&gt;"",ABS(Results!$H18-Results!$J18)&gt;1,Results!$E18&lt;&gt;Results!$G18,$V72&lt;&gt;"",$W72&lt;&gt;""),Results!$H18,"")</f>
        <v>16</v>
      </c>
      <c r="Y72" s="32">
        <f ca="1">IF(AND(Results!$H18&lt;&gt;"",Results!$J18&lt;&gt;"",ABS(Results!$H18-Results!$J18)&gt;1,Results!$E18&lt;&gt;Results!$G18,$V72&lt;&gt;"",$W72&lt;&gt;""),Results!$J18,"")</f>
        <v>25</v>
      </c>
      <c r="Z72" s="31" t="str">
        <f ca="1">IF(Planning!$F15=0,V72&amp;W72,"")</f>
        <v>Eintracht FrankfurtFC Barcelona</v>
      </c>
      <c r="AA72" s="12">
        <f ca="1">IF(AND(V72&lt;&gt;"",W72&lt;&gt;"",V72&lt;&gt;W72,Results!$Q18&lt;&gt;"",Results!$S18&lt;&gt;""),1,0)</f>
        <v>1</v>
      </c>
      <c r="AB72" s="12" t="str">
        <f ca="1">IF(AND(AA72&gt;0,Planning!$F15=0),AJ72&amp;Language!$E$90&amp;AK72,"")</f>
        <v>41 - 39</v>
      </c>
      <c r="AC72" s="2" t="str">
        <f ca="1">IF(Planning!$F15=1,V72&amp;W72,"")</f>
        <v/>
      </c>
      <c r="AD72" s="120" t="str">
        <f ca="1">IF(AND(AA72&gt;0,Planning!$F15=1),AJ72&amp;Language!$E$90&amp;AK72,"")</f>
        <v/>
      </c>
      <c r="AE72" s="332" t="str">
        <f ca="1">IF(AA72&gt;0,AL72&amp;Language!$E$90&amp;AM72,"")</f>
        <v>1 - 1</v>
      </c>
      <c r="AF72" s="125">
        <f ca="1">IF(AND(Results!$K18&lt;&gt;"",Results!$M18&lt;&gt;"",ABS(Results!$K18-Results!$M18)&gt;1,Results!$E18&lt;&gt;Results!$G18,$V72&lt;&gt;"",$W72&lt;&gt;""),Results!$K18,"")</f>
        <v>25</v>
      </c>
      <c r="AG72" s="12">
        <f ca="1">IF(AND(Results!$K18&lt;&gt;"",Results!$M18&lt;&gt;"",ABS(Results!$K18-Results!$M18)&gt;1,Results!$E18&lt;&gt;Results!$G18,$V72&lt;&gt;"",$W72&lt;&gt;""),Results!$M18,"")</f>
        <v>14</v>
      </c>
      <c r="AH72" s="125" t="str">
        <f ca="1">IF(AND(Results!$N18&lt;&gt;"",Results!$P18&lt;&gt;"",ABS(Results!$N18-Results!$P18)&gt;1,Results!$E18&lt;&gt;Results!$G18,$V72&lt;&gt;"",$W72&lt;&gt;""),Results!$N18,"")</f>
        <v/>
      </c>
      <c r="AI72" s="12" t="str">
        <f ca="1">IF(AND(Results!$N18&lt;&gt;"",Results!$P18&lt;&gt;"",ABS(Results!$N18-Results!$P18)&gt;1,Results!$E18&lt;&gt;Results!$G18,$V72&lt;&gt;"",$W72&lt;&gt;""),Results!$P18,"")</f>
        <v/>
      </c>
      <c r="AJ72" s="125">
        <f t="shared" ca="1" si="73"/>
        <v>41</v>
      </c>
      <c r="AK72" s="120">
        <f t="shared" ca="1" si="74"/>
        <v>39</v>
      </c>
      <c r="AL72" s="125">
        <f ca="1">IF(Results!$Q18="",0,Results!$Q18)</f>
        <v>1</v>
      </c>
      <c r="AM72" s="120">
        <f ca="1">IF(Results!$S18="",0,Results!$S18)</f>
        <v>1</v>
      </c>
      <c r="AN72" s="125">
        <f ca="1">IF($AA72=0,"",IF($AL72&gt;$AM72,Settings!$C$4,IF($AL72=$AM72,1,0)))</f>
        <v>1</v>
      </c>
      <c r="AO72" s="120">
        <f ca="1">IF($AA72=0,"",IF($AL72&lt;$AM72,Settings!$C$4,IF($AL72=$AM72,1,0)))</f>
        <v>1</v>
      </c>
      <c r="AP72" s="3"/>
    </row>
    <row r="73" spans="2:42" s="2" customFormat="1" ht="12.75" thickTop="1" x14ac:dyDescent="0.2">
      <c r="B73" s="3"/>
      <c r="C73" s="3"/>
      <c r="D73" s="3"/>
      <c r="E73" s="3"/>
      <c r="F73" s="12"/>
      <c r="G73" s="12"/>
      <c r="H73" s="12"/>
      <c r="I73" s="12"/>
      <c r="J73" s="12"/>
      <c r="K73" s="12"/>
      <c r="L73" s="12"/>
      <c r="M73" s="12"/>
      <c r="U73" s="67" t="s">
        <v>24</v>
      </c>
      <c r="V73" s="37" t="str">
        <f ca="1">Planning!$N16</f>
        <v>VFB Essenheim</v>
      </c>
      <c r="W73" s="12" t="str">
        <f ca="1">Planning!$P16</f>
        <v>1. FC Riedwald</v>
      </c>
      <c r="X73" s="12">
        <f ca="1">IF(AND(Results!$H19&lt;&gt;"",Results!$J19&lt;&gt;"",ABS(Results!$H19-Results!$J19)&gt;1,Results!$E19&lt;&gt;Results!$G19,$V73&lt;&gt;"",$W73&lt;&gt;""),Results!$H19,"")</f>
        <v>14</v>
      </c>
      <c r="Y73" s="32">
        <f ca="1">IF(AND(Results!$H19&lt;&gt;"",Results!$J19&lt;&gt;"",ABS(Results!$H19-Results!$J19)&gt;1,Results!$E19&lt;&gt;Results!$G19,$V73&lt;&gt;"",$W73&lt;&gt;""),Results!$J19,"")</f>
        <v>25</v>
      </c>
      <c r="Z73" s="31" t="str">
        <f ca="1">IF(Planning!$F16=0,V73&amp;W73,"")</f>
        <v>VFB Essenheim1. FC Riedwald</v>
      </c>
      <c r="AA73" s="12">
        <f ca="1">IF(AND(V73&lt;&gt;"",W73&lt;&gt;"",V73&lt;&gt;W73,Results!$Q19&lt;&gt;"",Results!$S19&lt;&gt;""),1,0)</f>
        <v>1</v>
      </c>
      <c r="AB73" s="12" t="str">
        <f ca="1">IF(AND(AA73&gt;0,Planning!$F16=0),AJ73&amp;Language!$E$90&amp;AK73,"")</f>
        <v>39 - 44</v>
      </c>
      <c r="AC73" s="2" t="str">
        <f ca="1">IF(Planning!$F16=1,V73&amp;W73,"")</f>
        <v/>
      </c>
      <c r="AD73" s="120" t="str">
        <f ca="1">IF(AND(AA73&gt;0,Planning!$F16=1),AJ73&amp;Language!$E$90&amp;AK73,"")</f>
        <v/>
      </c>
      <c r="AE73" s="332" t="str">
        <f ca="1">IF(AA73&gt;0,AL73&amp;Language!$E$90&amp;AM73,"")</f>
        <v>1 - 1</v>
      </c>
      <c r="AF73" s="125">
        <f ca="1">IF(AND(Results!$K19&lt;&gt;"",Results!$M19&lt;&gt;"",ABS(Results!$K19-Results!$M19)&gt;1,Results!$E19&lt;&gt;Results!$G19,$V73&lt;&gt;"",$W73&lt;&gt;""),Results!$K19,"")</f>
        <v>25</v>
      </c>
      <c r="AG73" s="12">
        <f ca="1">IF(AND(Results!$K19&lt;&gt;"",Results!$M19&lt;&gt;"",ABS(Results!$K19-Results!$M19)&gt;1,Results!$E19&lt;&gt;Results!$G19,$V73&lt;&gt;"",$W73&lt;&gt;""),Results!$M19,"")</f>
        <v>19</v>
      </c>
      <c r="AH73" s="125" t="str">
        <f ca="1">IF(AND(Results!$N19&lt;&gt;"",Results!$P19&lt;&gt;"",ABS(Results!$N19-Results!$P19)&gt;1,Results!$E19&lt;&gt;Results!$G19,$V73&lt;&gt;"",$W73&lt;&gt;""),Results!$N19,"")</f>
        <v/>
      </c>
      <c r="AI73" s="12" t="str">
        <f ca="1">IF(AND(Results!$N19&lt;&gt;"",Results!$P19&lt;&gt;"",ABS(Results!$N19-Results!$P19)&gt;1,Results!$E19&lt;&gt;Results!$G19,$V73&lt;&gt;"",$W73&lt;&gt;""),Results!$P19,"")</f>
        <v/>
      </c>
      <c r="AJ73" s="125">
        <f t="shared" ca="1" si="73"/>
        <v>39</v>
      </c>
      <c r="AK73" s="120">
        <f t="shared" ca="1" si="74"/>
        <v>44</v>
      </c>
      <c r="AL73" s="125">
        <f ca="1">IF(Results!$Q19="",0,Results!$Q19)</f>
        <v>1</v>
      </c>
      <c r="AM73" s="120">
        <f ca="1">IF(Results!$S19="",0,Results!$S19)</f>
        <v>1</v>
      </c>
      <c r="AN73" s="125">
        <f ca="1">IF($AA73=0,"",IF($AL73&gt;$AM73,Settings!$C$4,IF($AL73=$AM73,1,0)))</f>
        <v>1</v>
      </c>
      <c r="AO73" s="120">
        <f ca="1">IF($AA73=0,"",IF($AL73&lt;$AM73,Settings!$C$4,IF($AL73=$AM73,1,0)))</f>
        <v>1</v>
      </c>
      <c r="AP73" s="12"/>
    </row>
    <row r="74" spans="2:42" s="2" customFormat="1" x14ac:dyDescent="0.2">
      <c r="B74" s="3"/>
      <c r="C74" s="3"/>
      <c r="D74" s="3"/>
      <c r="E74" s="3"/>
      <c r="F74" s="12"/>
      <c r="G74" s="12"/>
      <c r="H74" s="12"/>
      <c r="I74" s="12"/>
      <c r="J74" s="12"/>
      <c r="K74" s="12"/>
      <c r="L74" s="12"/>
      <c r="M74" s="12"/>
      <c r="U74" s="67" t="s">
        <v>25</v>
      </c>
      <c r="V74" s="37" t="str">
        <f ca="1">Planning!$N17</f>
        <v>Maibach 1822 eV</v>
      </c>
      <c r="W74" s="12" t="str">
        <f ca="1">Planning!$P17</f>
        <v>Inter Mailand</v>
      </c>
      <c r="X74" s="12">
        <f ca="1">IF(AND(Results!$H20&lt;&gt;"",Results!$J20&lt;&gt;"",ABS(Results!$H20-Results!$J20)&gt;1,Results!$E20&lt;&gt;Results!$G20,$V74&lt;&gt;"",$W74&lt;&gt;""),Results!$H20,"")</f>
        <v>22</v>
      </c>
      <c r="Y74" s="32">
        <f ca="1">IF(AND(Results!$H20&lt;&gt;"",Results!$J20&lt;&gt;"",ABS(Results!$H20-Results!$J20)&gt;1,Results!$E20&lt;&gt;Results!$G20,$V74&lt;&gt;"",$W74&lt;&gt;""),Results!$J20,"")</f>
        <v>25</v>
      </c>
      <c r="Z74" s="31" t="str">
        <f ca="1">IF(Planning!$F17=0,V74&amp;W74,"")</f>
        <v>Maibach 1822 eVInter Mailand</v>
      </c>
      <c r="AA74" s="12">
        <f ca="1">IF(AND(V74&lt;&gt;"",W74&lt;&gt;"",V74&lt;&gt;W74,Results!$Q20&lt;&gt;"",Results!$S20&lt;&gt;""),1,0)</f>
        <v>1</v>
      </c>
      <c r="AB74" s="12" t="str">
        <f ca="1">IF(AND(AA74&gt;0,Planning!$F17=0),AJ74&amp;Language!$E$90&amp;AK74,"")</f>
        <v>47 - 45</v>
      </c>
      <c r="AC74" s="2" t="str">
        <f ca="1">IF(Planning!$F17=1,V74&amp;W74,"")</f>
        <v/>
      </c>
      <c r="AD74" s="120" t="str">
        <f ca="1">IF(AND(AA74&gt;0,Planning!$F17=1),AJ74&amp;Language!$E$90&amp;AK74,"")</f>
        <v/>
      </c>
      <c r="AE74" s="332" t="str">
        <f ca="1">IF(AA74&gt;0,AL74&amp;Language!$E$90&amp;AM74,"")</f>
        <v>1 - 1</v>
      </c>
      <c r="AF74" s="125">
        <f ca="1">IF(AND(Results!$K20&lt;&gt;"",Results!$M20&lt;&gt;"",ABS(Results!$K20-Results!$M20)&gt;1,Results!$E20&lt;&gt;Results!$G20,$V74&lt;&gt;"",$W74&lt;&gt;""),Results!$K20,"")</f>
        <v>25</v>
      </c>
      <c r="AG74" s="12">
        <f ca="1">IF(AND(Results!$K20&lt;&gt;"",Results!$M20&lt;&gt;"",ABS(Results!$K20-Results!$M20)&gt;1,Results!$E20&lt;&gt;Results!$G20,$V74&lt;&gt;"",$W74&lt;&gt;""),Results!$M20,"")</f>
        <v>20</v>
      </c>
      <c r="AH74" s="125" t="str">
        <f ca="1">IF(AND(Results!$N20&lt;&gt;"",Results!$P20&lt;&gt;"",ABS(Results!$N20-Results!$P20)&gt;1,Results!$E20&lt;&gt;Results!$G20,$V74&lt;&gt;"",$W74&lt;&gt;""),Results!$N20,"")</f>
        <v/>
      </c>
      <c r="AI74" s="12" t="str">
        <f ca="1">IF(AND(Results!$N20&lt;&gt;"",Results!$P20&lt;&gt;"",ABS(Results!$N20-Results!$P20)&gt;1,Results!$E20&lt;&gt;Results!$G20,$V74&lt;&gt;"",$W74&lt;&gt;""),Results!$P20,"")</f>
        <v/>
      </c>
      <c r="AJ74" s="125">
        <f t="shared" ca="1" si="73"/>
        <v>47</v>
      </c>
      <c r="AK74" s="120">
        <f t="shared" ca="1" si="74"/>
        <v>45</v>
      </c>
      <c r="AL74" s="125">
        <f ca="1">IF(Results!$Q20="",0,Results!$Q20)</f>
        <v>1</v>
      </c>
      <c r="AM74" s="120">
        <f ca="1">IF(Results!$S20="",0,Results!$S20)</f>
        <v>1</v>
      </c>
      <c r="AN74" s="125">
        <f ca="1">IF($AA74=0,"",IF($AL74&gt;$AM74,Settings!$C$4,IF($AL74=$AM74,1,0)))</f>
        <v>1</v>
      </c>
      <c r="AO74" s="120">
        <f ca="1">IF($AA74=0,"",IF($AL74&lt;$AM74,Settings!$C$4,IF($AL74=$AM74,1,0)))</f>
        <v>1</v>
      </c>
    </row>
    <row r="75" spans="2:42" s="2" customFormat="1" x14ac:dyDescent="0.2">
      <c r="B75" s="3"/>
      <c r="C75" s="3"/>
      <c r="D75" s="3"/>
      <c r="E75" s="3"/>
      <c r="F75" s="12"/>
      <c r="G75" s="12"/>
      <c r="H75" s="12"/>
      <c r="I75" s="12"/>
      <c r="J75" s="12"/>
      <c r="K75" s="12"/>
      <c r="L75" s="12"/>
      <c r="M75" s="12"/>
      <c r="U75" s="67" t="s">
        <v>26</v>
      </c>
      <c r="V75" s="37" t="str">
        <f ca="1">Planning!$N18</f>
        <v>SSV Wildbach</v>
      </c>
      <c r="W75" s="12" t="str">
        <f ca="1">Planning!$P18</f>
        <v>Eintracht Frankfurt</v>
      </c>
      <c r="X75" s="12">
        <f ca="1">IF(AND(Results!$H21&lt;&gt;"",Results!$J21&lt;&gt;"",ABS(Results!$H21-Results!$J21)&gt;1,Results!$E21&lt;&gt;Results!$G21,$V75&lt;&gt;"",$W75&lt;&gt;""),Results!$H21,"")</f>
        <v>15</v>
      </c>
      <c r="Y75" s="32">
        <f ca="1">IF(AND(Results!$H21&lt;&gt;"",Results!$J21&lt;&gt;"",ABS(Results!$H21-Results!$J21)&gt;1,Results!$E21&lt;&gt;Results!$G21,$V75&lt;&gt;"",$W75&lt;&gt;""),Results!$J21,"")</f>
        <v>25</v>
      </c>
      <c r="Z75" s="31" t="str">
        <f ca="1">IF(Planning!$F18=0,V75&amp;W75,"")</f>
        <v>SSV WildbachEintracht Frankfurt</v>
      </c>
      <c r="AA75" s="12">
        <f ca="1">IF(AND(V75&lt;&gt;"",W75&lt;&gt;"",V75&lt;&gt;W75,Results!$Q21&lt;&gt;"",Results!$S21&lt;&gt;""),1,0)</f>
        <v>1</v>
      </c>
      <c r="AB75" s="12" t="str">
        <f ca="1">IF(AND(AA75&gt;0,Planning!$F18=0),AJ75&amp;Language!$E$90&amp;AK75,"")</f>
        <v>40 - 46</v>
      </c>
      <c r="AC75" s="2" t="str">
        <f ca="1">IF(Planning!$F18=1,V75&amp;W75,"")</f>
        <v/>
      </c>
      <c r="AD75" s="120" t="str">
        <f ca="1">IF(AND(AA75&gt;0,Planning!$F18=1),AJ75&amp;Language!$E$90&amp;AK75,"")</f>
        <v/>
      </c>
      <c r="AE75" s="332" t="str">
        <f ca="1">IF(AA75&gt;0,AL75&amp;Language!$E$90&amp;AM75,"")</f>
        <v>1 - 1</v>
      </c>
      <c r="AF75" s="125">
        <f ca="1">IF(AND(Results!$K21&lt;&gt;"",Results!$M21&lt;&gt;"",ABS(Results!$K21-Results!$M21)&gt;1,Results!$E21&lt;&gt;Results!$G21,$V75&lt;&gt;"",$W75&lt;&gt;""),Results!$K21,"")</f>
        <v>25</v>
      </c>
      <c r="AG75" s="12">
        <f ca="1">IF(AND(Results!$K21&lt;&gt;"",Results!$M21&lt;&gt;"",ABS(Results!$K21-Results!$M21)&gt;1,Results!$E21&lt;&gt;Results!$G21,$V75&lt;&gt;"",$W75&lt;&gt;""),Results!$M21,"")</f>
        <v>21</v>
      </c>
      <c r="AH75" s="125" t="str">
        <f ca="1">IF(AND(Results!$N21&lt;&gt;"",Results!$P21&lt;&gt;"",ABS(Results!$N21-Results!$P21)&gt;1,Results!$E21&lt;&gt;Results!$G21,$V75&lt;&gt;"",$W75&lt;&gt;""),Results!$N21,"")</f>
        <v/>
      </c>
      <c r="AI75" s="12" t="str">
        <f ca="1">IF(AND(Results!$N21&lt;&gt;"",Results!$P21&lt;&gt;"",ABS(Results!$N21-Results!$P21)&gt;1,Results!$E21&lt;&gt;Results!$G21,$V75&lt;&gt;"",$W75&lt;&gt;""),Results!$P21,"")</f>
        <v/>
      </c>
      <c r="AJ75" s="125">
        <f t="shared" ca="1" si="73"/>
        <v>40</v>
      </c>
      <c r="AK75" s="120">
        <f t="shared" ca="1" si="74"/>
        <v>46</v>
      </c>
      <c r="AL75" s="125">
        <f ca="1">IF(Results!$Q21="",0,Results!$Q21)</f>
        <v>1</v>
      </c>
      <c r="AM75" s="120">
        <f ca="1">IF(Results!$S21="",0,Results!$S21)</f>
        <v>1</v>
      </c>
      <c r="AN75" s="125">
        <f ca="1">IF($AA75=0,"",IF($AL75&gt;$AM75,Settings!$C$4,IF($AL75=$AM75,1,0)))</f>
        <v>1</v>
      </c>
      <c r="AO75" s="120">
        <f ca="1">IF($AA75=0,"",IF($AL75&lt;$AM75,Settings!$C$4,IF($AL75=$AM75,1,0)))</f>
        <v>1</v>
      </c>
    </row>
    <row r="76" spans="2:42" s="2" customFormat="1" x14ac:dyDescent="0.2">
      <c r="B76" s="3"/>
      <c r="C76" s="3"/>
      <c r="D76" s="3"/>
      <c r="E76" s="3"/>
      <c r="F76" s="12"/>
      <c r="G76" s="12"/>
      <c r="H76" s="12"/>
      <c r="I76" s="12"/>
      <c r="J76" s="12"/>
      <c r="K76" s="12"/>
      <c r="L76" s="12"/>
      <c r="M76" s="12"/>
      <c r="U76" s="67" t="s">
        <v>27</v>
      </c>
      <c r="V76" s="37" t="str">
        <f ca="1">Planning!$N19</f>
        <v>1. FC Riedwald</v>
      </c>
      <c r="W76" s="12" t="str">
        <f ca="1">Planning!$P19</f>
        <v>Maibach 1822 eV</v>
      </c>
      <c r="X76" s="12">
        <f ca="1">IF(AND(Results!$H22&lt;&gt;"",Results!$J22&lt;&gt;"",ABS(Results!$H22-Results!$J22)&gt;1,Results!$E22&lt;&gt;Results!$G22,$V76&lt;&gt;"",$W76&lt;&gt;""),Results!$H22,"")</f>
        <v>17</v>
      </c>
      <c r="Y76" s="32">
        <f ca="1">IF(AND(Results!$H22&lt;&gt;"",Results!$J22&lt;&gt;"",ABS(Results!$H22-Results!$J22)&gt;1,Results!$E22&lt;&gt;Results!$G22,$V76&lt;&gt;"",$W76&lt;&gt;""),Results!$J22,"")</f>
        <v>25</v>
      </c>
      <c r="Z76" s="31" t="str">
        <f ca="1">IF(Planning!$F19=0,V76&amp;W76,"")</f>
        <v>1. FC RiedwaldMaibach 1822 eV</v>
      </c>
      <c r="AA76" s="12">
        <f ca="1">IF(AND(V76&lt;&gt;"",W76&lt;&gt;"",V76&lt;&gt;W76,Results!$Q22&lt;&gt;"",Results!$S22&lt;&gt;""),1,0)</f>
        <v>1</v>
      </c>
      <c r="AB76" s="12" t="str">
        <f ca="1">IF(AND(AA76&gt;0,Planning!$F19=0),AJ76&amp;Language!$E$90&amp;AK76,"")</f>
        <v>29 - 50</v>
      </c>
      <c r="AC76" s="2" t="str">
        <f ca="1">IF(Planning!$F19=1,V76&amp;W76,"")</f>
        <v/>
      </c>
      <c r="AD76" s="120" t="str">
        <f ca="1">IF(AND(AA76&gt;0,Planning!$F19=1),AJ76&amp;Language!$E$90&amp;AK76,"")</f>
        <v/>
      </c>
      <c r="AE76" s="332" t="str">
        <f ca="1">IF(AA76&gt;0,AL76&amp;Language!$E$90&amp;AM76,"")</f>
        <v>0 - 2</v>
      </c>
      <c r="AF76" s="125">
        <f ca="1">IF(AND(Results!$K22&lt;&gt;"",Results!$M22&lt;&gt;"",ABS(Results!$K22-Results!$M22)&gt;1,Results!$E22&lt;&gt;Results!$G22,$V76&lt;&gt;"",$W76&lt;&gt;""),Results!$K22,"")</f>
        <v>12</v>
      </c>
      <c r="AG76" s="12">
        <f ca="1">IF(AND(Results!$K22&lt;&gt;"",Results!$M22&lt;&gt;"",ABS(Results!$K22-Results!$M22)&gt;1,Results!$E22&lt;&gt;Results!$G22,$V76&lt;&gt;"",$W76&lt;&gt;""),Results!$M22,"")</f>
        <v>25</v>
      </c>
      <c r="AH76" s="125" t="str">
        <f ca="1">IF(AND(Results!$N22&lt;&gt;"",Results!$P22&lt;&gt;"",ABS(Results!$N22-Results!$P22)&gt;1,Results!$E22&lt;&gt;Results!$G22,$V76&lt;&gt;"",$W76&lt;&gt;""),Results!$N22,"")</f>
        <v/>
      </c>
      <c r="AI76" s="12" t="str">
        <f ca="1">IF(AND(Results!$N22&lt;&gt;"",Results!$P22&lt;&gt;"",ABS(Results!$N22-Results!$P22)&gt;1,Results!$E22&lt;&gt;Results!$G22,$V76&lt;&gt;"",$W76&lt;&gt;""),Results!$P22,"")</f>
        <v/>
      </c>
      <c r="AJ76" s="125">
        <f t="shared" ca="1" si="73"/>
        <v>29</v>
      </c>
      <c r="AK76" s="120">
        <f t="shared" ca="1" si="74"/>
        <v>50</v>
      </c>
      <c r="AL76" s="125">
        <f ca="1">IF(Results!$Q22="",0,Results!$Q22)</f>
        <v>0</v>
      </c>
      <c r="AM76" s="120">
        <f ca="1">IF(Results!$S22="",0,Results!$S22)</f>
        <v>2</v>
      </c>
      <c r="AN76" s="125">
        <f ca="1">IF($AA76=0,"",IF($AL76&gt;$AM76,Settings!$C$4,IF($AL76=$AM76,1,0)))</f>
        <v>0</v>
      </c>
      <c r="AO76" s="120">
        <f ca="1">IF($AA76=0,"",IF($AL76&lt;$AM76,Settings!$C$4,IF($AL76=$AM76,1,0)))</f>
        <v>2</v>
      </c>
    </row>
    <row r="77" spans="2:42" s="2" customFormat="1" x14ac:dyDescent="0.2">
      <c r="B77" s="3"/>
      <c r="C77" s="3"/>
      <c r="D77" s="3"/>
      <c r="E77" s="3"/>
      <c r="F77" s="12"/>
      <c r="G77" s="12"/>
      <c r="H77" s="12"/>
      <c r="I77" s="12"/>
      <c r="J77" s="12"/>
      <c r="K77" s="12"/>
      <c r="L77" s="12"/>
      <c r="M77" s="12"/>
      <c r="U77" s="67" t="s">
        <v>28</v>
      </c>
      <c r="V77" s="37" t="str">
        <f ca="1">Planning!$N20</f>
        <v>Eintracht Frankfurt</v>
      </c>
      <c r="W77" s="12" t="str">
        <f ca="1">Planning!$P20</f>
        <v>VFB Essenheim</v>
      </c>
      <c r="X77" s="12">
        <f ca="1">IF(AND(Results!$H23&lt;&gt;"",Results!$J23&lt;&gt;"",ABS(Results!$H23-Results!$J23)&gt;1,Results!$E23&lt;&gt;Results!$G23,$V77&lt;&gt;"",$W77&lt;&gt;""),Results!$H23,"")</f>
        <v>25</v>
      </c>
      <c r="Y77" s="32">
        <f ca="1">IF(AND(Results!$H23&lt;&gt;"",Results!$J23&lt;&gt;"",ABS(Results!$H23-Results!$J23)&gt;1,Results!$E23&lt;&gt;Results!$G23,$V77&lt;&gt;"",$W77&lt;&gt;""),Results!$J23,"")</f>
        <v>19</v>
      </c>
      <c r="Z77" s="31" t="str">
        <f ca="1">IF(Planning!$F20=0,V77&amp;W77,"")</f>
        <v>Eintracht FrankfurtVFB Essenheim</v>
      </c>
      <c r="AA77" s="12">
        <f ca="1">IF(AND(V77&lt;&gt;"",W77&lt;&gt;"",V77&lt;&gt;W77,Results!$Q23&lt;&gt;"",Results!$S23&lt;&gt;""),1,0)</f>
        <v>1</v>
      </c>
      <c r="AB77" s="12" t="str">
        <f ca="1">IF(AND(AA77&gt;0,Planning!$F20=0),AJ77&amp;Language!$E$90&amp;AK77,"")</f>
        <v>45 - 44</v>
      </c>
      <c r="AC77" s="2" t="str">
        <f ca="1">IF(Planning!$F20=1,V77&amp;W77,"")</f>
        <v/>
      </c>
      <c r="AD77" s="120" t="str">
        <f ca="1">IF(AND(AA77&gt;0,Planning!$F20=1),AJ77&amp;Language!$E$90&amp;AK77,"")</f>
        <v/>
      </c>
      <c r="AE77" s="332" t="str">
        <f ca="1">IF(AA77&gt;0,AL77&amp;Language!$E$90&amp;AM77,"")</f>
        <v>1 - 1</v>
      </c>
      <c r="AF77" s="125">
        <f ca="1">IF(AND(Results!$K23&lt;&gt;"",Results!$M23&lt;&gt;"",ABS(Results!$K23-Results!$M23)&gt;1,Results!$E23&lt;&gt;Results!$G23,$V77&lt;&gt;"",$W77&lt;&gt;""),Results!$K23,"")</f>
        <v>20</v>
      </c>
      <c r="AG77" s="12">
        <f ca="1">IF(AND(Results!$K23&lt;&gt;"",Results!$M23&lt;&gt;"",ABS(Results!$K23-Results!$M23)&gt;1,Results!$E23&lt;&gt;Results!$G23,$V77&lt;&gt;"",$W77&lt;&gt;""),Results!$M23,"")</f>
        <v>25</v>
      </c>
      <c r="AH77" s="125" t="str">
        <f ca="1">IF(AND(Results!$N23&lt;&gt;"",Results!$P23&lt;&gt;"",ABS(Results!$N23-Results!$P23)&gt;1,Results!$E23&lt;&gt;Results!$G23,$V77&lt;&gt;"",$W77&lt;&gt;""),Results!$N23,"")</f>
        <v/>
      </c>
      <c r="AI77" s="12" t="str">
        <f ca="1">IF(AND(Results!$N23&lt;&gt;"",Results!$P23&lt;&gt;"",ABS(Results!$N23-Results!$P23)&gt;1,Results!$E23&lt;&gt;Results!$G23,$V77&lt;&gt;"",$W77&lt;&gt;""),Results!$P23,"")</f>
        <v/>
      </c>
      <c r="AJ77" s="125">
        <f t="shared" ca="1" si="73"/>
        <v>45</v>
      </c>
      <c r="AK77" s="120">
        <f t="shared" ca="1" si="74"/>
        <v>44</v>
      </c>
      <c r="AL77" s="125">
        <f ca="1">IF(Results!$Q23="",0,Results!$Q23)</f>
        <v>1</v>
      </c>
      <c r="AM77" s="120">
        <f ca="1">IF(Results!$S23="",0,Results!$S23)</f>
        <v>1</v>
      </c>
      <c r="AN77" s="125">
        <f ca="1">IF($AA77=0,"",IF($AL77&gt;$AM77,Settings!$C$4,IF($AL77=$AM77,1,0)))</f>
        <v>1</v>
      </c>
      <c r="AO77" s="120">
        <f ca="1">IF($AA77=0,"",IF($AL77&lt;$AM77,Settings!$C$4,IF($AL77=$AM77,1,0)))</f>
        <v>1</v>
      </c>
    </row>
    <row r="78" spans="2:42" s="2" customFormat="1" x14ac:dyDescent="0.2">
      <c r="B78" s="3"/>
      <c r="C78" s="3"/>
      <c r="D78" s="3"/>
      <c r="E78" s="3"/>
      <c r="F78" s="12"/>
      <c r="G78" s="12"/>
      <c r="H78" s="12"/>
      <c r="I78" s="12"/>
      <c r="J78" s="12"/>
      <c r="K78" s="12"/>
      <c r="L78" s="12"/>
      <c r="M78" s="12"/>
      <c r="U78" s="67" t="s">
        <v>29</v>
      </c>
      <c r="V78" s="37" t="str">
        <f ca="1">Planning!$N21</f>
        <v>Inter Mailand</v>
      </c>
      <c r="W78" s="12" t="str">
        <f ca="1">Planning!$P21</f>
        <v>FC Barcelona</v>
      </c>
      <c r="X78" s="12">
        <f ca="1">IF(AND(Results!$H24&lt;&gt;"",Results!$J24&lt;&gt;"",ABS(Results!$H24-Results!$J24)&gt;1,Results!$E24&lt;&gt;Results!$G24,$V78&lt;&gt;"",$W78&lt;&gt;""),Results!$H24,"")</f>
        <v>23</v>
      </c>
      <c r="Y78" s="32">
        <f ca="1">IF(AND(Results!$H24&lt;&gt;"",Results!$J24&lt;&gt;"",ABS(Results!$H24-Results!$J24)&gt;1,Results!$E24&lt;&gt;Results!$G24,$V78&lt;&gt;"",$W78&lt;&gt;""),Results!$J24,"")</f>
        <v>25</v>
      </c>
      <c r="Z78" s="31" t="str">
        <f ca="1">IF(Planning!$F21=0,V78&amp;W78,"")</f>
        <v>Inter MailandFC Barcelona</v>
      </c>
      <c r="AA78" s="12">
        <f ca="1">IF(AND(V78&lt;&gt;"",W78&lt;&gt;"",V78&lt;&gt;W78,Results!$Q24&lt;&gt;"",Results!$S24&lt;&gt;""),1,0)</f>
        <v>1</v>
      </c>
      <c r="AB78" s="12" t="str">
        <f ca="1">IF(AND(AA78&gt;0,Planning!$F21=0),AJ78&amp;Language!$E$90&amp;AK78,"")</f>
        <v>48 - 40</v>
      </c>
      <c r="AC78" s="2" t="str">
        <f ca="1">IF(Planning!$F21=1,V78&amp;W78,"")</f>
        <v/>
      </c>
      <c r="AD78" s="120" t="str">
        <f ca="1">IF(AND(AA78&gt;0,Planning!$F21=1),AJ78&amp;Language!$E$90&amp;AK78,"")</f>
        <v/>
      </c>
      <c r="AE78" s="332" t="str">
        <f ca="1">IF(AA78&gt;0,AL78&amp;Language!$E$90&amp;AM78,"")</f>
        <v>1 - 1</v>
      </c>
      <c r="AF78" s="125">
        <f ca="1">IF(AND(Results!$K24&lt;&gt;"",Results!$M24&lt;&gt;"",ABS(Results!$K24-Results!$M24)&gt;1,Results!$E24&lt;&gt;Results!$G24,$V78&lt;&gt;"",$W78&lt;&gt;""),Results!$K24,"")</f>
        <v>25</v>
      </c>
      <c r="AG78" s="12">
        <f ca="1">IF(AND(Results!$K24&lt;&gt;"",Results!$M24&lt;&gt;"",ABS(Results!$K24-Results!$M24)&gt;1,Results!$E24&lt;&gt;Results!$G24,$V78&lt;&gt;"",$W78&lt;&gt;""),Results!$M24,"")</f>
        <v>15</v>
      </c>
      <c r="AH78" s="125" t="str">
        <f ca="1">IF(AND(Results!$N24&lt;&gt;"",Results!$P24&lt;&gt;"",ABS(Results!$N24-Results!$P24)&gt;1,Results!$E24&lt;&gt;Results!$G24,$V78&lt;&gt;"",$W78&lt;&gt;""),Results!$N24,"")</f>
        <v/>
      </c>
      <c r="AI78" s="12" t="str">
        <f ca="1">IF(AND(Results!$N24&lt;&gt;"",Results!$P24&lt;&gt;"",ABS(Results!$N24-Results!$P24)&gt;1,Results!$E24&lt;&gt;Results!$G24,$V78&lt;&gt;"",$W78&lt;&gt;""),Results!$P24,"")</f>
        <v/>
      </c>
      <c r="AJ78" s="125">
        <f t="shared" ca="1" si="73"/>
        <v>48</v>
      </c>
      <c r="AK78" s="120">
        <f t="shared" ca="1" si="74"/>
        <v>40</v>
      </c>
      <c r="AL78" s="125">
        <f ca="1">IF(Results!$Q24="",0,Results!$Q24)</f>
        <v>1</v>
      </c>
      <c r="AM78" s="120">
        <f ca="1">IF(Results!$S24="",0,Results!$S24)</f>
        <v>1</v>
      </c>
      <c r="AN78" s="125">
        <f ca="1">IF($AA78=0,"",IF($AL78&gt;$AM78,Settings!$C$4,IF($AL78=$AM78,1,0)))</f>
        <v>1</v>
      </c>
      <c r="AO78" s="120">
        <f ca="1">IF($AA78=0,"",IF($AL78&lt;$AM78,Settings!$C$4,IF($AL78=$AM78,1,0)))</f>
        <v>1</v>
      </c>
    </row>
    <row r="79" spans="2:42" s="2" customFormat="1" x14ac:dyDescent="0.2">
      <c r="B79" s="3"/>
      <c r="C79" s="3"/>
      <c r="D79" s="3"/>
      <c r="E79" s="3"/>
      <c r="F79" s="12"/>
      <c r="G79" s="12"/>
      <c r="H79" s="12"/>
      <c r="I79" s="12"/>
      <c r="J79" s="12"/>
      <c r="K79" s="12"/>
      <c r="L79" s="12"/>
      <c r="M79" s="12"/>
      <c r="U79" s="67" t="s">
        <v>30</v>
      </c>
      <c r="V79" s="37" t="str">
        <f ca="1">Planning!$N22</f>
        <v>Eintracht Frankfurt</v>
      </c>
      <c r="W79" s="12" t="str">
        <f ca="1">Planning!$P22</f>
        <v>1. FC Riedwald</v>
      </c>
      <c r="X79" s="12">
        <f ca="1">IF(AND(Results!$H25&lt;&gt;"",Results!$J25&lt;&gt;"",ABS(Results!$H25-Results!$J25)&gt;1,Results!$E25&lt;&gt;Results!$G25,$V79&lt;&gt;"",$W79&lt;&gt;""),Results!$H25,"")</f>
        <v>20</v>
      </c>
      <c r="Y79" s="32">
        <f ca="1">IF(AND(Results!$H25&lt;&gt;"",Results!$J25&lt;&gt;"",ABS(Results!$H25-Results!$J25)&gt;1,Results!$E25&lt;&gt;Results!$G25,$V79&lt;&gt;"",$W79&lt;&gt;""),Results!$J25,"")</f>
        <v>25</v>
      </c>
      <c r="Z79" s="31" t="str">
        <f ca="1">IF(Planning!$F22=0,V79&amp;W79,"")</f>
        <v>Eintracht Frankfurt1. FC Riedwald</v>
      </c>
      <c r="AA79" s="12">
        <f ca="1">IF(AND(V79&lt;&gt;"",W79&lt;&gt;"",V79&lt;&gt;W79,Results!$Q25&lt;&gt;"",Results!$S25&lt;&gt;""),1,0)</f>
        <v>1</v>
      </c>
      <c r="AB79" s="12" t="str">
        <f ca="1">IF(AND(AA79&gt;0,Planning!$F22=0),AJ79&amp;Language!$E$90&amp;AK79,"")</f>
        <v>41 - 50</v>
      </c>
      <c r="AC79" s="2" t="str">
        <f ca="1">IF(Planning!$F22=1,V79&amp;W79,"")</f>
        <v/>
      </c>
      <c r="AD79" s="120" t="str">
        <f ca="1">IF(AND(AA79&gt;0,Planning!$F22=1),AJ79&amp;Language!$E$90&amp;AK79,"")</f>
        <v/>
      </c>
      <c r="AE79" s="332" t="str">
        <f ca="1">IF(AA79&gt;0,AL79&amp;Language!$E$90&amp;AM79,"")</f>
        <v>0 - 2</v>
      </c>
      <c r="AF79" s="125">
        <f ca="1">IF(AND(Results!$K25&lt;&gt;"",Results!$M25&lt;&gt;"",ABS(Results!$K25-Results!$M25)&gt;1,Results!$E25&lt;&gt;Results!$G25,$V79&lt;&gt;"",$W79&lt;&gt;""),Results!$K25,"")</f>
        <v>21</v>
      </c>
      <c r="AG79" s="12">
        <f ca="1">IF(AND(Results!$K25&lt;&gt;"",Results!$M25&lt;&gt;"",ABS(Results!$K25-Results!$M25)&gt;1,Results!$E25&lt;&gt;Results!$G25,$V79&lt;&gt;"",$W79&lt;&gt;""),Results!$M25,"")</f>
        <v>25</v>
      </c>
      <c r="AH79" s="125" t="str">
        <f ca="1">IF(AND(Results!$N25&lt;&gt;"",Results!$P25&lt;&gt;"",ABS(Results!$N25-Results!$P25)&gt;1,Results!$E25&lt;&gt;Results!$G25,$V79&lt;&gt;"",$W79&lt;&gt;""),Results!$N25,"")</f>
        <v/>
      </c>
      <c r="AI79" s="12" t="str">
        <f ca="1">IF(AND(Results!$N25&lt;&gt;"",Results!$P25&lt;&gt;"",ABS(Results!$N25-Results!$P25)&gt;1,Results!$E25&lt;&gt;Results!$G25,$V79&lt;&gt;"",$W79&lt;&gt;""),Results!$P25,"")</f>
        <v/>
      </c>
      <c r="AJ79" s="125">
        <f t="shared" ca="1" si="73"/>
        <v>41</v>
      </c>
      <c r="AK79" s="120">
        <f t="shared" ca="1" si="74"/>
        <v>50</v>
      </c>
      <c r="AL79" s="125">
        <f ca="1">IF(Results!$Q25="",0,Results!$Q25)</f>
        <v>0</v>
      </c>
      <c r="AM79" s="120">
        <f ca="1">IF(Results!$S25="",0,Results!$S25)</f>
        <v>2</v>
      </c>
      <c r="AN79" s="125">
        <f ca="1">IF($AA79=0,"",IF($AL79&gt;$AM79,Settings!$C$4,IF($AL79=$AM79,1,0)))</f>
        <v>0</v>
      </c>
      <c r="AO79" s="120">
        <f ca="1">IF($AA79=0,"",IF($AL79&lt;$AM79,Settings!$C$4,IF($AL79=$AM79,1,0)))</f>
        <v>2</v>
      </c>
    </row>
    <row r="80" spans="2:42" s="2" customFormat="1" x14ac:dyDescent="0.2">
      <c r="B80" s="3"/>
      <c r="C80" s="3"/>
      <c r="D80" s="3"/>
      <c r="E80" s="3"/>
      <c r="F80" s="12"/>
      <c r="G80" s="12"/>
      <c r="H80" s="12"/>
      <c r="I80" s="12"/>
      <c r="J80" s="12"/>
      <c r="K80" s="12"/>
      <c r="L80" s="12"/>
      <c r="M80" s="12"/>
      <c r="U80" s="67" t="s">
        <v>31</v>
      </c>
      <c r="V80" s="37" t="str">
        <f ca="1">Planning!$N23</f>
        <v>FC Barcelona</v>
      </c>
      <c r="W80" s="12" t="str">
        <f ca="1">Planning!$P23</f>
        <v>Maibach 1822 eV</v>
      </c>
      <c r="X80" s="12">
        <f ca="1">IF(AND(Results!$H26&lt;&gt;"",Results!$J26&lt;&gt;"",ABS(Results!$H26-Results!$J26)&gt;1,Results!$E26&lt;&gt;Results!$G26,$V80&lt;&gt;"",$W80&lt;&gt;""),Results!$H26,"")</f>
        <v>25</v>
      </c>
      <c r="Y80" s="32">
        <f ca="1">IF(AND(Results!$H26&lt;&gt;"",Results!$J26&lt;&gt;"",ABS(Results!$H26-Results!$J26)&gt;1,Results!$E26&lt;&gt;Results!$G26,$V80&lt;&gt;"",$W80&lt;&gt;""),Results!$J26,"")</f>
        <v>20</v>
      </c>
      <c r="Z80" s="31" t="str">
        <f ca="1">IF(Planning!$F23=0,V80&amp;W80,"")</f>
        <v>FC BarcelonaMaibach 1822 eV</v>
      </c>
      <c r="AA80" s="12">
        <f ca="1">IF(AND(V80&lt;&gt;"",W80&lt;&gt;"",V80&lt;&gt;W80,Results!$Q26&lt;&gt;"",Results!$S26&lt;&gt;""),1,0)</f>
        <v>1</v>
      </c>
      <c r="AB80" s="12" t="str">
        <f ca="1">IF(AND(AA80&gt;0,Planning!$F23=0),AJ80&amp;Language!$E$90&amp;AK80,"")</f>
        <v>50 - 39</v>
      </c>
      <c r="AC80" s="2" t="str">
        <f ca="1">IF(Planning!$F23=1,V80&amp;W80,"")</f>
        <v/>
      </c>
      <c r="AD80" s="120" t="str">
        <f ca="1">IF(AND(AA80&gt;0,Planning!$F23=1),AJ80&amp;Language!$E$90&amp;AK80,"")</f>
        <v/>
      </c>
      <c r="AE80" s="332" t="str">
        <f ca="1">IF(AA80&gt;0,AL80&amp;Language!$E$90&amp;AM80,"")</f>
        <v>2 - 0</v>
      </c>
      <c r="AF80" s="125">
        <f ca="1">IF(AND(Results!$K26&lt;&gt;"",Results!$M26&lt;&gt;"",ABS(Results!$K26-Results!$M26)&gt;1,Results!$E26&lt;&gt;Results!$G26,$V80&lt;&gt;"",$W80&lt;&gt;""),Results!$K26,"")</f>
        <v>25</v>
      </c>
      <c r="AG80" s="12">
        <f ca="1">IF(AND(Results!$K26&lt;&gt;"",Results!$M26&lt;&gt;"",ABS(Results!$K26-Results!$M26)&gt;1,Results!$E26&lt;&gt;Results!$G26,$V80&lt;&gt;"",$W80&lt;&gt;""),Results!$M26,"")</f>
        <v>19</v>
      </c>
      <c r="AH80" s="125" t="str">
        <f ca="1">IF(AND(Results!$N26&lt;&gt;"",Results!$P26&lt;&gt;"",ABS(Results!$N26-Results!$P26)&gt;1,Results!$E26&lt;&gt;Results!$G26,$V80&lt;&gt;"",$W80&lt;&gt;""),Results!$N26,"")</f>
        <v/>
      </c>
      <c r="AI80" s="12" t="str">
        <f ca="1">IF(AND(Results!$N26&lt;&gt;"",Results!$P26&lt;&gt;"",ABS(Results!$N26-Results!$P26)&gt;1,Results!$E26&lt;&gt;Results!$G26,$V80&lt;&gt;"",$W80&lt;&gt;""),Results!$P26,"")</f>
        <v/>
      </c>
      <c r="AJ80" s="125">
        <f t="shared" ca="1" si="73"/>
        <v>50</v>
      </c>
      <c r="AK80" s="120">
        <f t="shared" ca="1" si="74"/>
        <v>39</v>
      </c>
      <c r="AL80" s="125">
        <f ca="1">IF(Results!$Q26="",0,Results!$Q26)</f>
        <v>2</v>
      </c>
      <c r="AM80" s="120">
        <f ca="1">IF(Results!$S26="",0,Results!$S26)</f>
        <v>0</v>
      </c>
      <c r="AN80" s="125">
        <f ca="1">IF($AA80=0,"",IF($AL80&gt;$AM80,Settings!$C$4,IF($AL80=$AM80,1,0)))</f>
        <v>2</v>
      </c>
      <c r="AO80" s="120">
        <f ca="1">IF($AA80=0,"",IF($AL80&lt;$AM80,Settings!$C$4,IF($AL80=$AM80,1,0)))</f>
        <v>0</v>
      </c>
    </row>
    <row r="81" spans="2:41" s="2" customFormat="1" x14ac:dyDescent="0.2">
      <c r="B81" s="3"/>
      <c r="C81" s="3"/>
      <c r="D81" s="3"/>
      <c r="E81" s="3"/>
      <c r="F81" s="12"/>
      <c r="G81" s="12"/>
      <c r="H81" s="12"/>
      <c r="I81" s="12"/>
      <c r="J81" s="12"/>
      <c r="K81" s="12"/>
      <c r="L81" s="12"/>
      <c r="M81" s="12"/>
      <c r="U81" s="67" t="s">
        <v>32</v>
      </c>
      <c r="V81" s="37" t="str">
        <f ca="1">Planning!$N24</f>
        <v>SSV Wildbach</v>
      </c>
      <c r="W81" s="12" t="str">
        <f ca="1">Planning!$P24</f>
        <v>Inter Mailand</v>
      </c>
      <c r="X81" s="12">
        <f ca="1">IF(AND(Results!$H27&lt;&gt;"",Results!$J27&lt;&gt;"",ABS(Results!$H27-Results!$J27)&gt;1,Results!$E27&lt;&gt;Results!$G27,$V81&lt;&gt;"",$W81&lt;&gt;""),Results!$H27,"")</f>
        <v>25</v>
      </c>
      <c r="Y81" s="32">
        <f ca="1">IF(AND(Results!$H27&lt;&gt;"",Results!$J27&lt;&gt;"",ABS(Results!$H27-Results!$J27)&gt;1,Results!$E27&lt;&gt;Results!$G27,$V81&lt;&gt;"",$W81&lt;&gt;""),Results!$J27,"")</f>
        <v>12</v>
      </c>
      <c r="Z81" s="31" t="str">
        <f ca="1">IF(Planning!$F24=0,V81&amp;W81,"")</f>
        <v>SSV WildbachInter Mailand</v>
      </c>
      <c r="AA81" s="12">
        <f ca="1">IF(AND(V81&lt;&gt;"",W81&lt;&gt;"",V81&lt;&gt;W81,Results!$Q27&lt;&gt;"",Results!$S27&lt;&gt;""),1,0)</f>
        <v>1</v>
      </c>
      <c r="AB81" s="12" t="str">
        <f ca="1">IF(AND(AA81&gt;0,Planning!$F24=0),AJ81&amp;Language!$E$90&amp;AK81,"")</f>
        <v>50 - 32</v>
      </c>
      <c r="AC81" s="2" t="str">
        <f ca="1">IF(Planning!$F24=1,V81&amp;W81,"")</f>
        <v/>
      </c>
      <c r="AD81" s="120" t="str">
        <f ca="1">IF(AND(AA81&gt;0,Planning!$F24=1),AJ81&amp;Language!$E$90&amp;AK81,"")</f>
        <v/>
      </c>
      <c r="AE81" s="332" t="str">
        <f ca="1">IF(AA81&gt;0,AL81&amp;Language!$E$90&amp;AM81,"")</f>
        <v>2 - 0</v>
      </c>
      <c r="AF81" s="125">
        <f ca="1">IF(AND(Results!$K27&lt;&gt;"",Results!$M27&lt;&gt;"",ABS(Results!$K27-Results!$M27)&gt;1,Results!$E27&lt;&gt;Results!$G27,$V81&lt;&gt;"",$W81&lt;&gt;""),Results!$K27,"")</f>
        <v>25</v>
      </c>
      <c r="AG81" s="12">
        <f ca="1">IF(AND(Results!$K27&lt;&gt;"",Results!$M27&lt;&gt;"",ABS(Results!$K27-Results!$M27)&gt;1,Results!$E27&lt;&gt;Results!$G27,$V81&lt;&gt;"",$W81&lt;&gt;""),Results!$M27,"")</f>
        <v>20</v>
      </c>
      <c r="AH81" s="125" t="str">
        <f ca="1">IF(AND(Results!$N27&lt;&gt;"",Results!$P27&lt;&gt;"",ABS(Results!$N27-Results!$P27)&gt;1,Results!$E27&lt;&gt;Results!$G27,$V81&lt;&gt;"",$W81&lt;&gt;""),Results!$N27,"")</f>
        <v/>
      </c>
      <c r="AI81" s="12" t="str">
        <f ca="1">IF(AND(Results!$N27&lt;&gt;"",Results!$P27&lt;&gt;"",ABS(Results!$N27-Results!$P27)&gt;1,Results!$E27&lt;&gt;Results!$G27,$V81&lt;&gt;"",$W81&lt;&gt;""),Results!$P27,"")</f>
        <v/>
      </c>
      <c r="AJ81" s="125">
        <f t="shared" ca="1" si="73"/>
        <v>50</v>
      </c>
      <c r="AK81" s="120">
        <f t="shared" ca="1" si="74"/>
        <v>32</v>
      </c>
      <c r="AL81" s="125">
        <f ca="1">IF(Results!$Q27="",0,Results!$Q27)</f>
        <v>2</v>
      </c>
      <c r="AM81" s="120">
        <f ca="1">IF(Results!$S27="",0,Results!$S27)</f>
        <v>0</v>
      </c>
      <c r="AN81" s="125">
        <f ca="1">IF($AA81=0,"",IF($AL81&gt;$AM81,Settings!$C$4,IF($AL81=$AM81,1,0)))</f>
        <v>2</v>
      </c>
      <c r="AO81" s="120">
        <f ca="1">IF($AA81=0,"",IF($AL81&lt;$AM81,Settings!$C$4,IF($AL81=$AM81,1,0)))</f>
        <v>0</v>
      </c>
    </row>
    <row r="82" spans="2:41" s="2" customFormat="1" x14ac:dyDescent="0.2">
      <c r="B82" s="3"/>
      <c r="C82" s="3"/>
      <c r="D82" s="3"/>
      <c r="E82" s="3"/>
      <c r="F82" s="12"/>
      <c r="G82" s="12"/>
      <c r="H82" s="12"/>
      <c r="I82" s="12"/>
      <c r="J82" s="12"/>
      <c r="K82" s="12"/>
      <c r="L82" s="12"/>
      <c r="M82" s="12"/>
      <c r="U82" s="67" t="s">
        <v>33</v>
      </c>
      <c r="V82" s="37" t="str">
        <f ca="1">Planning!$N25</f>
        <v>1. FC Riedwald</v>
      </c>
      <c r="W82" s="12" t="str">
        <f ca="1">Planning!$P25</f>
        <v>FC Barcelona</v>
      </c>
      <c r="X82" s="12">
        <f ca="1">IF(AND(Results!$H28&lt;&gt;"",Results!$J28&lt;&gt;"",ABS(Results!$H28-Results!$J28)&gt;1,Results!$E28&lt;&gt;Results!$G28,$V82&lt;&gt;"",$W82&lt;&gt;""),Results!$H28,"")</f>
        <v>25</v>
      </c>
      <c r="Y82" s="32">
        <f ca="1">IF(AND(Results!$H28&lt;&gt;"",Results!$J28&lt;&gt;"",ABS(Results!$H28-Results!$J28)&gt;1,Results!$E28&lt;&gt;Results!$G28,$V82&lt;&gt;"",$W82&lt;&gt;""),Results!$J28,"")</f>
        <v>21</v>
      </c>
      <c r="Z82" s="31" t="str">
        <f ca="1">IF(Planning!$F25=0,V82&amp;W82,"")</f>
        <v>1. FC RiedwaldFC Barcelona</v>
      </c>
      <c r="AA82" s="12">
        <f ca="1">IF(AND(V82&lt;&gt;"",W82&lt;&gt;"",V82&lt;&gt;W82,Results!$Q28&lt;&gt;"",Results!$S28&lt;&gt;""),1,0)</f>
        <v>1</v>
      </c>
      <c r="AB82" s="12" t="str">
        <f ca="1">IF(AND(AA82&gt;0,Planning!$F25=0),AJ82&amp;Language!$E$90&amp;AK82,"")</f>
        <v>50 - 41</v>
      </c>
      <c r="AC82" s="2" t="str">
        <f ca="1">IF(Planning!$F25=1,V82&amp;W82,"")</f>
        <v/>
      </c>
      <c r="AD82" s="120" t="str">
        <f ca="1">IF(AND(AA82&gt;0,Planning!$F25=1),AJ82&amp;Language!$E$90&amp;AK82,"")</f>
        <v/>
      </c>
      <c r="AE82" s="332" t="str">
        <f ca="1">IF(AA82&gt;0,AL82&amp;Language!$E$90&amp;AM82,"")</f>
        <v>2 - 0</v>
      </c>
      <c r="AF82" s="125">
        <f ca="1">IF(AND(Results!$K28&lt;&gt;"",Results!$M28&lt;&gt;"",ABS(Results!$K28-Results!$M28)&gt;1,Results!$E28&lt;&gt;Results!$G28,$V82&lt;&gt;"",$W82&lt;&gt;""),Results!$K28,"")</f>
        <v>25</v>
      </c>
      <c r="AG82" s="12">
        <f ca="1">IF(AND(Results!$K28&lt;&gt;"",Results!$M28&lt;&gt;"",ABS(Results!$K28-Results!$M28)&gt;1,Results!$E28&lt;&gt;Results!$G28,$V82&lt;&gt;"",$W82&lt;&gt;""),Results!$M28,"")</f>
        <v>20</v>
      </c>
      <c r="AH82" s="125" t="str">
        <f ca="1">IF(AND(Results!$N28&lt;&gt;"",Results!$P28&lt;&gt;"",ABS(Results!$N28-Results!$P28)&gt;1,Results!$E28&lt;&gt;Results!$G28,$V82&lt;&gt;"",$W82&lt;&gt;""),Results!$N28,"")</f>
        <v/>
      </c>
      <c r="AI82" s="12" t="str">
        <f ca="1">IF(AND(Results!$N28&lt;&gt;"",Results!$P28&lt;&gt;"",ABS(Results!$N28-Results!$P28)&gt;1,Results!$E28&lt;&gt;Results!$G28,$V82&lt;&gt;"",$W82&lt;&gt;""),Results!$P28,"")</f>
        <v/>
      </c>
      <c r="AJ82" s="125">
        <f t="shared" ca="1" si="73"/>
        <v>50</v>
      </c>
      <c r="AK82" s="120">
        <f t="shared" ca="1" si="74"/>
        <v>41</v>
      </c>
      <c r="AL82" s="125">
        <f ca="1">IF(Results!$Q28="",0,Results!$Q28)</f>
        <v>2</v>
      </c>
      <c r="AM82" s="120">
        <f ca="1">IF(Results!$S28="",0,Results!$S28)</f>
        <v>0</v>
      </c>
      <c r="AN82" s="125">
        <f ca="1">IF($AA82=0,"",IF($AL82&gt;$AM82,Settings!$C$4,IF($AL82=$AM82,1,0)))</f>
        <v>2</v>
      </c>
      <c r="AO82" s="120">
        <f ca="1">IF($AA82=0,"",IF($AL82&lt;$AM82,Settings!$C$4,IF($AL82=$AM82,1,0)))</f>
        <v>0</v>
      </c>
    </row>
    <row r="83" spans="2:41" s="2" customFormat="1" x14ac:dyDescent="0.2">
      <c r="B83" s="3"/>
      <c r="C83" s="3"/>
      <c r="D83" s="3"/>
      <c r="E83" s="3"/>
      <c r="F83" s="12"/>
      <c r="G83" s="12"/>
      <c r="H83" s="12"/>
      <c r="I83" s="12"/>
      <c r="J83" s="12"/>
      <c r="K83" s="12"/>
      <c r="L83" s="12"/>
      <c r="M83" s="12"/>
      <c r="U83" s="67" t="s">
        <v>34</v>
      </c>
      <c r="V83" s="37" t="str">
        <f ca="1">Planning!$N26</f>
        <v>Maibach 1822 eV</v>
      </c>
      <c r="W83" s="12" t="str">
        <f ca="1">Planning!$P26</f>
        <v>SSV Wildbach</v>
      </c>
      <c r="X83" s="12">
        <f ca="1">IF(AND(Results!$H29&lt;&gt;"",Results!$J29&lt;&gt;"",ABS(Results!$H29-Results!$J29)&gt;1,Results!$E29&lt;&gt;Results!$G29,$V83&lt;&gt;"",$W83&lt;&gt;""),Results!$H29,"")</f>
        <v>25</v>
      </c>
      <c r="Y83" s="32">
        <f ca="1">IF(AND(Results!$H29&lt;&gt;"",Results!$J29&lt;&gt;"",ABS(Results!$H29-Results!$J29)&gt;1,Results!$E29&lt;&gt;Results!$G29,$V83&lt;&gt;"",$W83&lt;&gt;""),Results!$J29,"")</f>
        <v>23</v>
      </c>
      <c r="Z83" s="31" t="str">
        <f ca="1">IF(Planning!$F26=0,V83&amp;W83,"")</f>
        <v>Maibach 1822 eVSSV Wildbach</v>
      </c>
      <c r="AA83" s="12">
        <f ca="1">IF(AND(V83&lt;&gt;"",W83&lt;&gt;"",V83&lt;&gt;W83,Results!$Q29&lt;&gt;"",Results!$S29&lt;&gt;""),1,0)</f>
        <v>1</v>
      </c>
      <c r="AB83" s="12" t="str">
        <f ca="1">IF(AND(AA83&gt;0,Planning!$F26=0),AJ83&amp;Language!$E$90&amp;AK83,"")</f>
        <v>50 - 45</v>
      </c>
      <c r="AC83" s="2" t="str">
        <f ca="1">IF(Planning!$F26=1,V83&amp;W83,"")</f>
        <v/>
      </c>
      <c r="AD83" s="120" t="str">
        <f ca="1">IF(AND(AA83&gt;0,Planning!$F26=1),AJ83&amp;Language!$E$90&amp;AK83,"")</f>
        <v/>
      </c>
      <c r="AE83" s="332" t="str">
        <f ca="1">IF(AA83&gt;0,AL83&amp;Language!$E$90&amp;AM83,"")</f>
        <v>2 - 0</v>
      </c>
      <c r="AF83" s="125">
        <f ca="1">IF(AND(Results!$K29&lt;&gt;"",Results!$M29&lt;&gt;"",ABS(Results!$K29-Results!$M29)&gt;1,Results!$E29&lt;&gt;Results!$G29,$V83&lt;&gt;"",$W83&lt;&gt;""),Results!$K29,"")</f>
        <v>25</v>
      </c>
      <c r="AG83" s="12">
        <f ca="1">IF(AND(Results!$K29&lt;&gt;"",Results!$M29&lt;&gt;"",ABS(Results!$K29-Results!$M29)&gt;1,Results!$E29&lt;&gt;Results!$G29,$V83&lt;&gt;"",$W83&lt;&gt;""),Results!$M29,"")</f>
        <v>22</v>
      </c>
      <c r="AH83" s="125" t="str">
        <f ca="1">IF(AND(Results!$N29&lt;&gt;"",Results!$P29&lt;&gt;"",ABS(Results!$N29-Results!$P29)&gt;1,Results!$E29&lt;&gt;Results!$G29,$V83&lt;&gt;"",$W83&lt;&gt;""),Results!$N29,"")</f>
        <v/>
      </c>
      <c r="AI83" s="12" t="str">
        <f ca="1">IF(AND(Results!$N29&lt;&gt;"",Results!$P29&lt;&gt;"",ABS(Results!$N29-Results!$P29)&gt;1,Results!$E29&lt;&gt;Results!$G29,$V83&lt;&gt;"",$W83&lt;&gt;""),Results!$P29,"")</f>
        <v/>
      </c>
      <c r="AJ83" s="125">
        <f t="shared" ca="1" si="73"/>
        <v>50</v>
      </c>
      <c r="AK83" s="120">
        <f t="shared" ca="1" si="74"/>
        <v>45</v>
      </c>
      <c r="AL83" s="125">
        <f ca="1">IF(Results!$Q29="",0,Results!$Q29)</f>
        <v>2</v>
      </c>
      <c r="AM83" s="120">
        <f ca="1">IF(Results!$S29="",0,Results!$S29)</f>
        <v>0</v>
      </c>
      <c r="AN83" s="125">
        <f ca="1">IF($AA83=0,"",IF($AL83&gt;$AM83,Settings!$C$4,IF($AL83=$AM83,1,0)))</f>
        <v>2</v>
      </c>
      <c r="AO83" s="120">
        <f ca="1">IF($AA83=0,"",IF($AL83&lt;$AM83,Settings!$C$4,IF($AL83=$AM83,1,0)))</f>
        <v>0</v>
      </c>
    </row>
    <row r="84" spans="2:41" s="2" customFormat="1" x14ac:dyDescent="0.2">
      <c r="B84" s="3"/>
      <c r="C84" s="3"/>
      <c r="D84" s="3"/>
      <c r="E84" s="3"/>
      <c r="F84" s="12"/>
      <c r="G84" s="12"/>
      <c r="H84" s="12"/>
      <c r="I84" s="12"/>
      <c r="J84" s="12"/>
      <c r="K84" s="12"/>
      <c r="L84" s="12"/>
      <c r="M84" s="12"/>
      <c r="U84" s="67" t="s">
        <v>35</v>
      </c>
      <c r="V84" s="37" t="str">
        <f ca="1">Planning!$N27</f>
        <v>Inter Mailand</v>
      </c>
      <c r="W84" s="12" t="str">
        <f ca="1">Planning!$P27</f>
        <v>VFB Essenheim</v>
      </c>
      <c r="X84" s="12">
        <f ca="1">IF(AND(Results!$H30&lt;&gt;"",Results!$J30&lt;&gt;"",ABS(Results!$H30-Results!$J30)&gt;1,Results!$E30&lt;&gt;Results!$G30,$V84&lt;&gt;"",$W84&lt;&gt;""),Results!$H30,"")</f>
        <v>25</v>
      </c>
      <c r="Y84" s="32">
        <f ca="1">IF(AND(Results!$H30&lt;&gt;"",Results!$J30&lt;&gt;"",ABS(Results!$H30-Results!$J30)&gt;1,Results!$E30&lt;&gt;Results!$G30,$V84&lt;&gt;"",$W84&lt;&gt;""),Results!$J30,"")</f>
        <v>18</v>
      </c>
      <c r="Z84" s="31" t="str">
        <f ca="1">IF(Planning!$F27=0,V84&amp;W84,"")</f>
        <v>Inter MailandVFB Essenheim</v>
      </c>
      <c r="AA84" s="12">
        <f ca="1">IF(AND(V84&lt;&gt;"",W84&lt;&gt;"",V84&lt;&gt;W84,Results!$Q30&lt;&gt;"",Results!$S30&lt;&gt;""),1,0)</f>
        <v>1</v>
      </c>
      <c r="AB84" s="12" t="str">
        <f ca="1">IF(AND(AA84&gt;0,Planning!$F27=0),AJ84&amp;Language!$E$90&amp;AK84,"")</f>
        <v>50 - 29</v>
      </c>
      <c r="AC84" s="2" t="str">
        <f ca="1">IF(Planning!$F27=1,V84&amp;W84,"")</f>
        <v/>
      </c>
      <c r="AD84" s="120" t="str">
        <f ca="1">IF(AND(AA84&gt;0,Planning!$F27=1),AJ84&amp;Language!$E$90&amp;AK84,"")</f>
        <v/>
      </c>
      <c r="AE84" s="332" t="str">
        <f ca="1">IF(AA84&gt;0,AL84&amp;Language!$E$90&amp;AM84,"")</f>
        <v>2 - 0</v>
      </c>
      <c r="AF84" s="125">
        <f ca="1">IF(AND(Results!$K30&lt;&gt;"",Results!$M30&lt;&gt;"",ABS(Results!$K30-Results!$M30)&gt;1,Results!$E30&lt;&gt;Results!$G30,$V84&lt;&gt;"",$W84&lt;&gt;""),Results!$K30,"")</f>
        <v>25</v>
      </c>
      <c r="AG84" s="12">
        <f ca="1">IF(AND(Results!$K30&lt;&gt;"",Results!$M30&lt;&gt;"",ABS(Results!$K30-Results!$M30)&gt;1,Results!$E30&lt;&gt;Results!$G30,$V84&lt;&gt;"",$W84&lt;&gt;""),Results!$M30,"")</f>
        <v>11</v>
      </c>
      <c r="AH84" s="125" t="str">
        <f ca="1">IF(AND(Results!$N30&lt;&gt;"",Results!$P30&lt;&gt;"",ABS(Results!$N30-Results!$P30)&gt;1,Results!$E30&lt;&gt;Results!$G30,$V84&lt;&gt;"",$W84&lt;&gt;""),Results!$N30,"")</f>
        <v/>
      </c>
      <c r="AI84" s="12" t="str">
        <f ca="1">IF(AND(Results!$N30&lt;&gt;"",Results!$P30&lt;&gt;"",ABS(Results!$N30-Results!$P30)&gt;1,Results!$E30&lt;&gt;Results!$G30,$V84&lt;&gt;"",$W84&lt;&gt;""),Results!$P30,"")</f>
        <v/>
      </c>
      <c r="AJ84" s="125">
        <f t="shared" ca="1" si="73"/>
        <v>50</v>
      </c>
      <c r="AK84" s="120">
        <f t="shared" ca="1" si="74"/>
        <v>29</v>
      </c>
      <c r="AL84" s="125">
        <f ca="1">IF(Results!$Q30="",0,Results!$Q30)</f>
        <v>2</v>
      </c>
      <c r="AM84" s="120">
        <f ca="1">IF(Results!$S30="",0,Results!$S30)</f>
        <v>0</v>
      </c>
      <c r="AN84" s="125">
        <f ca="1">IF($AA84=0,"",IF($AL84&gt;$AM84,Settings!$C$4,IF($AL84=$AM84,1,0)))</f>
        <v>2</v>
      </c>
      <c r="AO84" s="120">
        <f ca="1">IF($AA84=0,"",IF($AL84&lt;$AM84,Settings!$C$4,IF($AL84=$AM84,1,0)))</f>
        <v>0</v>
      </c>
    </row>
    <row r="85" spans="2:41" s="2" customFormat="1" x14ac:dyDescent="0.2">
      <c r="B85" s="3"/>
      <c r="C85" s="3"/>
      <c r="D85" s="3"/>
      <c r="E85" s="3"/>
      <c r="F85" s="12"/>
      <c r="G85" s="12"/>
      <c r="H85" s="12"/>
      <c r="I85" s="12"/>
      <c r="J85" s="12"/>
      <c r="K85" s="12"/>
      <c r="L85" s="12"/>
      <c r="M85" s="12"/>
      <c r="U85" s="67" t="s">
        <v>36</v>
      </c>
      <c r="V85" s="37" t="str">
        <f ca="1">Planning!$N28</f>
        <v>FC Barcelona</v>
      </c>
      <c r="W85" s="12" t="str">
        <f ca="1">Planning!$P28</f>
        <v>SSV Wildbach</v>
      </c>
      <c r="X85" s="12">
        <f ca="1">IF(AND(Results!$H31&lt;&gt;"",Results!$J31&lt;&gt;"",ABS(Results!$H31-Results!$J31)&gt;1,Results!$E31&lt;&gt;Results!$G31,$V85&lt;&gt;"",$W85&lt;&gt;""),Results!$H31,"")</f>
        <v>19</v>
      </c>
      <c r="Y85" s="32">
        <f ca="1">IF(AND(Results!$H31&lt;&gt;"",Results!$J31&lt;&gt;"",ABS(Results!$H31-Results!$J31)&gt;1,Results!$E31&lt;&gt;Results!$G31,$V85&lt;&gt;"",$W85&lt;&gt;""),Results!$J31,"")</f>
        <v>25</v>
      </c>
      <c r="Z85" s="31" t="str">
        <f ca="1">IF(Planning!$F28=0,V85&amp;W85,"")</f>
        <v/>
      </c>
      <c r="AA85" s="12">
        <f ca="1">IF(AND(V85&lt;&gt;"",W85&lt;&gt;"",V85&lt;&gt;W85,Results!$Q31&lt;&gt;"",Results!$S31&lt;&gt;""),1,0)</f>
        <v>1</v>
      </c>
      <c r="AB85" s="12" t="str">
        <f ca="1">IF(AND(AA85&gt;0,Planning!$F28=0),AJ85&amp;Language!$E$90&amp;AK85,"")</f>
        <v/>
      </c>
      <c r="AC85" s="2" t="str">
        <f ca="1">IF(Planning!$F28=1,V85&amp;W85,"")</f>
        <v>FC BarcelonaSSV Wildbach</v>
      </c>
      <c r="AD85" s="120" t="str">
        <f ca="1">IF(AND(AA85&gt;0,Planning!$F28=1),AJ85&amp;Language!$E$90&amp;AK85,"")</f>
        <v>44 - 44</v>
      </c>
      <c r="AE85" s="332" t="str">
        <f ca="1">IF(AA85&gt;0,AL85&amp;Language!$E$90&amp;AM85,"")</f>
        <v>1 - 1</v>
      </c>
      <c r="AF85" s="125">
        <f ca="1">IF(AND(Results!$K31&lt;&gt;"",Results!$M31&lt;&gt;"",ABS(Results!$K31-Results!$M31)&gt;1,Results!$E31&lt;&gt;Results!$G31,$V85&lt;&gt;"",$W85&lt;&gt;""),Results!$K31,"")</f>
        <v>25</v>
      </c>
      <c r="AG85" s="12">
        <f ca="1">IF(AND(Results!$K31&lt;&gt;"",Results!$M31&lt;&gt;"",ABS(Results!$K31-Results!$M31)&gt;1,Results!$E31&lt;&gt;Results!$G31,$V85&lt;&gt;"",$W85&lt;&gt;""),Results!$M31,"")</f>
        <v>19</v>
      </c>
      <c r="AH85" s="125" t="str">
        <f ca="1">IF(AND(Results!$N31&lt;&gt;"",Results!$P31&lt;&gt;"",ABS(Results!$N31-Results!$P31)&gt;1,Results!$E31&lt;&gt;Results!$G31,$V85&lt;&gt;"",$W85&lt;&gt;""),Results!$N31,"")</f>
        <v/>
      </c>
      <c r="AI85" s="12" t="str">
        <f ca="1">IF(AND(Results!$N31&lt;&gt;"",Results!$P31&lt;&gt;"",ABS(Results!$N31-Results!$P31)&gt;1,Results!$E31&lt;&gt;Results!$G31,$V85&lt;&gt;"",$W85&lt;&gt;""),Results!$P31,"")</f>
        <v/>
      </c>
      <c r="AJ85" s="125">
        <f t="shared" ca="1" si="73"/>
        <v>44</v>
      </c>
      <c r="AK85" s="120">
        <f t="shared" ca="1" si="74"/>
        <v>44</v>
      </c>
      <c r="AL85" s="125">
        <f ca="1">IF(Results!$Q31="",0,Results!$Q31)</f>
        <v>1</v>
      </c>
      <c r="AM85" s="120">
        <f ca="1">IF(Results!$S31="",0,Results!$S31)</f>
        <v>1</v>
      </c>
      <c r="AN85" s="125">
        <f ca="1">IF($AA85=0,"",IF($AL85&gt;$AM85,Settings!$C$4,IF($AL85=$AM85,1,0)))</f>
        <v>1</v>
      </c>
      <c r="AO85" s="120">
        <f ca="1">IF($AA85=0,"",IF($AL85&lt;$AM85,Settings!$C$4,IF($AL85=$AM85,1,0)))</f>
        <v>1</v>
      </c>
    </row>
    <row r="86" spans="2:41" s="2" customFormat="1" x14ac:dyDescent="0.2">
      <c r="B86" s="3"/>
      <c r="C86" s="3"/>
      <c r="D86" s="3"/>
      <c r="E86" s="3"/>
      <c r="F86" s="12"/>
      <c r="G86" s="12"/>
      <c r="H86" s="12"/>
      <c r="I86" s="12"/>
      <c r="J86" s="12"/>
      <c r="K86" s="12"/>
      <c r="L86" s="12"/>
      <c r="M86" s="12"/>
      <c r="U86" s="67" t="s">
        <v>37</v>
      </c>
      <c r="V86" s="37" t="str">
        <f ca="1">Planning!$N29</f>
        <v>Inter Mailand</v>
      </c>
      <c r="W86" s="12" t="str">
        <f ca="1">Planning!$P29</f>
        <v>Eintracht Frankfurt</v>
      </c>
      <c r="X86" s="12">
        <f ca="1">IF(AND(Results!$H32&lt;&gt;"",Results!$J32&lt;&gt;"",ABS(Results!$H32-Results!$J32)&gt;1,Results!$E32&lt;&gt;Results!$G32,$V86&lt;&gt;"",$W86&lt;&gt;""),Results!$H32,"")</f>
        <v>17</v>
      </c>
      <c r="Y86" s="32">
        <f ca="1">IF(AND(Results!$H32&lt;&gt;"",Results!$J32&lt;&gt;"",ABS(Results!$H32-Results!$J32)&gt;1,Results!$E32&lt;&gt;Results!$G32,$V86&lt;&gt;"",$W86&lt;&gt;""),Results!$J32,"")</f>
        <v>25</v>
      </c>
      <c r="Z86" s="31" t="str">
        <f ca="1">IF(Planning!$F29=0,V86&amp;W86,"")</f>
        <v/>
      </c>
      <c r="AA86" s="12">
        <f ca="1">IF(AND(V86&lt;&gt;"",W86&lt;&gt;"",V86&lt;&gt;W86,Results!$Q32&lt;&gt;"",Results!$S32&lt;&gt;""),1,0)</f>
        <v>1</v>
      </c>
      <c r="AB86" s="12" t="str">
        <f ca="1">IF(AND(AA86&gt;0,Planning!$F29=0),AJ86&amp;Language!$E$90&amp;AK86,"")</f>
        <v/>
      </c>
      <c r="AC86" s="2" t="str">
        <f ca="1">IF(Planning!$F29=1,V86&amp;W86,"")</f>
        <v>Inter MailandEintracht Frankfurt</v>
      </c>
      <c r="AD86" s="120" t="str">
        <f ca="1">IF(AND(AA86&gt;0,Planning!$F29=1),AJ86&amp;Language!$E$90&amp;AK86,"")</f>
        <v>40 - 50</v>
      </c>
      <c r="AE86" s="332" t="str">
        <f ca="1">IF(AA86&gt;0,AL86&amp;Language!$E$90&amp;AM86,"")</f>
        <v>0 - 2</v>
      </c>
      <c r="AF86" s="125">
        <f ca="1">IF(AND(Results!$K32&lt;&gt;"",Results!$M32&lt;&gt;"",ABS(Results!$K32-Results!$M32)&gt;1,Results!$E32&lt;&gt;Results!$G32,$V86&lt;&gt;"",$W86&lt;&gt;""),Results!$K32,"")</f>
        <v>23</v>
      </c>
      <c r="AG86" s="12">
        <f ca="1">IF(AND(Results!$K32&lt;&gt;"",Results!$M32&lt;&gt;"",ABS(Results!$K32-Results!$M32)&gt;1,Results!$E32&lt;&gt;Results!$G32,$V86&lt;&gt;"",$W86&lt;&gt;""),Results!$M32,"")</f>
        <v>25</v>
      </c>
      <c r="AH86" s="125" t="str">
        <f ca="1">IF(AND(Results!$N32&lt;&gt;"",Results!$P32&lt;&gt;"",ABS(Results!$N32-Results!$P32)&gt;1,Results!$E32&lt;&gt;Results!$G32,$V86&lt;&gt;"",$W86&lt;&gt;""),Results!$N32,"")</f>
        <v/>
      </c>
      <c r="AI86" s="12" t="str">
        <f ca="1">IF(AND(Results!$N32&lt;&gt;"",Results!$P32&lt;&gt;"",ABS(Results!$N32-Results!$P32)&gt;1,Results!$E32&lt;&gt;Results!$G32,$V86&lt;&gt;"",$W86&lt;&gt;""),Results!$P32,"")</f>
        <v/>
      </c>
      <c r="AJ86" s="125">
        <f t="shared" ca="1" si="73"/>
        <v>40</v>
      </c>
      <c r="AK86" s="120">
        <f t="shared" ca="1" si="74"/>
        <v>50</v>
      </c>
      <c r="AL86" s="125">
        <f ca="1">IF(Results!$Q32="",0,Results!$Q32)</f>
        <v>0</v>
      </c>
      <c r="AM86" s="120">
        <f ca="1">IF(Results!$S32="",0,Results!$S32)</f>
        <v>2</v>
      </c>
      <c r="AN86" s="125">
        <f ca="1">IF($AA86=0,"",IF($AL86&gt;$AM86,Settings!$C$4,IF($AL86=$AM86,1,0)))</f>
        <v>0</v>
      </c>
      <c r="AO86" s="120">
        <f ca="1">IF($AA86=0,"",IF($AL86&lt;$AM86,Settings!$C$4,IF($AL86=$AM86,1,0)))</f>
        <v>2</v>
      </c>
    </row>
    <row r="87" spans="2:41" s="2" customFormat="1" x14ac:dyDescent="0.2">
      <c r="B87" s="3"/>
      <c r="C87" s="3"/>
      <c r="D87" s="3"/>
      <c r="E87" s="3"/>
      <c r="F87" s="12"/>
      <c r="G87" s="12"/>
      <c r="H87" s="12"/>
      <c r="I87" s="12"/>
      <c r="J87" s="12"/>
      <c r="K87" s="12"/>
      <c r="L87" s="12"/>
      <c r="M87" s="12"/>
      <c r="U87" s="67" t="s">
        <v>38</v>
      </c>
      <c r="V87" s="37" t="str">
        <f ca="1">Planning!$N30</f>
        <v>Maibach 1822 eV</v>
      </c>
      <c r="W87" s="12" t="str">
        <f ca="1">Planning!$P30</f>
        <v>VFB Essenheim</v>
      </c>
      <c r="X87" s="12">
        <f ca="1">IF(AND(Results!$H33&lt;&gt;"",Results!$J33&lt;&gt;"",ABS(Results!$H33-Results!$J33)&gt;1,Results!$E33&lt;&gt;Results!$G33,$V87&lt;&gt;"",$W87&lt;&gt;""),Results!$H33,"")</f>
        <v>14</v>
      </c>
      <c r="Y87" s="32">
        <f ca="1">IF(AND(Results!$H33&lt;&gt;"",Results!$J33&lt;&gt;"",ABS(Results!$H33-Results!$J33)&gt;1,Results!$E33&lt;&gt;Results!$G33,$V87&lt;&gt;"",$W87&lt;&gt;""),Results!$J33,"")</f>
        <v>25</v>
      </c>
      <c r="Z87" s="31" t="str">
        <f ca="1">IF(Planning!$F30=0,V87&amp;W87,"")</f>
        <v/>
      </c>
      <c r="AA87" s="12">
        <f ca="1">IF(AND(V87&lt;&gt;"",W87&lt;&gt;"",V87&lt;&gt;W87,Results!$Q33&lt;&gt;"",Results!$S33&lt;&gt;""),1,0)</f>
        <v>1</v>
      </c>
      <c r="AB87" s="12" t="str">
        <f ca="1">IF(AND(AA87&gt;0,Planning!$F30=0),AJ87&amp;Language!$E$90&amp;AK87,"")</f>
        <v/>
      </c>
      <c r="AC87" s="2" t="str">
        <f ca="1">IF(Planning!$F30=1,V87&amp;W87,"")</f>
        <v>Maibach 1822 eVVFB Essenheim</v>
      </c>
      <c r="AD87" s="120" t="str">
        <f ca="1">IF(AND(AA87&gt;0,Planning!$F30=1),AJ87&amp;Language!$E$90&amp;AK87,"")</f>
        <v>39 - 44</v>
      </c>
      <c r="AE87" s="332" t="str">
        <f ca="1">IF(AA87&gt;0,AL87&amp;Language!$E$90&amp;AM87,"")</f>
        <v>1 - 1</v>
      </c>
      <c r="AF87" s="125">
        <f ca="1">IF(AND(Results!$K33&lt;&gt;"",Results!$M33&lt;&gt;"",ABS(Results!$K33-Results!$M33)&gt;1,Results!$E33&lt;&gt;Results!$G33,$V87&lt;&gt;"",$W87&lt;&gt;""),Results!$K33,"")</f>
        <v>25</v>
      </c>
      <c r="AG87" s="12">
        <f ca="1">IF(AND(Results!$K33&lt;&gt;"",Results!$M33&lt;&gt;"",ABS(Results!$K33-Results!$M33)&gt;1,Results!$E33&lt;&gt;Results!$G33,$V87&lt;&gt;"",$W87&lt;&gt;""),Results!$M33,"")</f>
        <v>19</v>
      </c>
      <c r="AH87" s="125" t="str">
        <f ca="1">IF(AND(Results!$N33&lt;&gt;"",Results!$P33&lt;&gt;"",ABS(Results!$N33-Results!$P33)&gt;1,Results!$E33&lt;&gt;Results!$G33,$V87&lt;&gt;"",$W87&lt;&gt;""),Results!$N33,"")</f>
        <v/>
      </c>
      <c r="AI87" s="12" t="str">
        <f ca="1">IF(AND(Results!$N33&lt;&gt;"",Results!$P33&lt;&gt;"",ABS(Results!$N33-Results!$P33)&gt;1,Results!$E33&lt;&gt;Results!$G33,$V87&lt;&gt;"",$W87&lt;&gt;""),Results!$P33,"")</f>
        <v/>
      </c>
      <c r="AJ87" s="125">
        <f t="shared" ca="1" si="73"/>
        <v>39</v>
      </c>
      <c r="AK87" s="120">
        <f t="shared" ca="1" si="74"/>
        <v>44</v>
      </c>
      <c r="AL87" s="125">
        <f ca="1">IF(Results!$Q33="",0,Results!$Q33)</f>
        <v>1</v>
      </c>
      <c r="AM87" s="120">
        <f ca="1">IF(Results!$S33="",0,Results!$S33)</f>
        <v>1</v>
      </c>
      <c r="AN87" s="125">
        <f ca="1">IF($AA87=0,"",IF($AL87&gt;$AM87,Settings!$C$4,IF($AL87=$AM87,1,0)))</f>
        <v>1</v>
      </c>
      <c r="AO87" s="120">
        <f ca="1">IF($AA87=0,"",IF($AL87&lt;$AM87,Settings!$C$4,IF($AL87=$AM87,1,0)))</f>
        <v>1</v>
      </c>
    </row>
    <row r="88" spans="2:41" s="2" customFormat="1" x14ac:dyDescent="0.2">
      <c r="B88" s="3"/>
      <c r="C88" s="3"/>
      <c r="D88" s="3"/>
      <c r="E88" s="3"/>
      <c r="F88" s="12"/>
      <c r="G88" s="12"/>
      <c r="H88" s="12"/>
      <c r="I88" s="12"/>
      <c r="J88" s="12"/>
      <c r="K88" s="12"/>
      <c r="L88" s="12"/>
      <c r="M88" s="12"/>
      <c r="U88" s="67" t="s">
        <v>39</v>
      </c>
      <c r="V88" s="37" t="str">
        <f ca="1">Planning!$N31</f>
        <v>1. FC Riedwald</v>
      </c>
      <c r="W88" s="12" t="str">
        <f ca="1">Planning!$P31</f>
        <v>SSV Wildbach</v>
      </c>
      <c r="X88" s="12">
        <f ca="1">IF(AND(Results!$H34&lt;&gt;"",Results!$J34&lt;&gt;"",ABS(Results!$H34-Results!$J34)&gt;1,Results!$E34&lt;&gt;Results!$G34,$V88&lt;&gt;"",$W88&lt;&gt;""),Results!$H34,"")</f>
        <v>20</v>
      </c>
      <c r="Y88" s="32">
        <f ca="1">IF(AND(Results!$H34&lt;&gt;"",Results!$J34&lt;&gt;"",ABS(Results!$H34-Results!$J34)&gt;1,Results!$E34&lt;&gt;Results!$G34,$V88&lt;&gt;"",$W88&lt;&gt;""),Results!$J34,"")</f>
        <v>25</v>
      </c>
      <c r="Z88" s="31" t="str">
        <f ca="1">IF(Planning!$F31=0,V88&amp;W88,"")</f>
        <v/>
      </c>
      <c r="AA88" s="12">
        <f ca="1">IF(AND(V88&lt;&gt;"",W88&lt;&gt;"",V88&lt;&gt;W88,Results!$Q34&lt;&gt;"",Results!$S34&lt;&gt;""),1,0)</f>
        <v>1</v>
      </c>
      <c r="AB88" s="12" t="str">
        <f ca="1">IF(AND(AA88&gt;0,Planning!$F31=0),AJ88&amp;Language!$E$90&amp;AK88,"")</f>
        <v/>
      </c>
      <c r="AC88" s="2" t="str">
        <f ca="1">IF(Planning!$F31=1,V88&amp;W88,"")</f>
        <v>1. FC RiedwaldSSV Wildbach</v>
      </c>
      <c r="AD88" s="120" t="str">
        <f ca="1">IF(AND(AA88&gt;0,Planning!$F31=1),AJ88&amp;Language!$E$90&amp;AK88,"")</f>
        <v>45 - 45</v>
      </c>
      <c r="AE88" s="332" t="str">
        <f ca="1">IF(AA88&gt;0,AL88&amp;Language!$E$90&amp;AM88,"")</f>
        <v>1 - 1</v>
      </c>
      <c r="AF88" s="125">
        <f ca="1">IF(AND(Results!$K34&lt;&gt;"",Results!$M34&lt;&gt;"",ABS(Results!$K34-Results!$M34)&gt;1,Results!$E34&lt;&gt;Results!$G34,$V88&lt;&gt;"",$W88&lt;&gt;""),Results!$K34,"")</f>
        <v>25</v>
      </c>
      <c r="AG88" s="12">
        <f ca="1">IF(AND(Results!$K34&lt;&gt;"",Results!$M34&lt;&gt;"",ABS(Results!$K34-Results!$M34)&gt;1,Results!$E34&lt;&gt;Results!$G34,$V88&lt;&gt;"",$W88&lt;&gt;""),Results!$M34,"")</f>
        <v>20</v>
      </c>
      <c r="AH88" s="125" t="str">
        <f ca="1">IF(AND(Results!$N34&lt;&gt;"",Results!$P34&lt;&gt;"",ABS(Results!$N34-Results!$P34)&gt;1,Results!$E34&lt;&gt;Results!$G34,$V88&lt;&gt;"",$W88&lt;&gt;""),Results!$N34,"")</f>
        <v/>
      </c>
      <c r="AI88" s="12" t="str">
        <f ca="1">IF(AND(Results!$N34&lt;&gt;"",Results!$P34&lt;&gt;"",ABS(Results!$N34-Results!$P34)&gt;1,Results!$E34&lt;&gt;Results!$G34,$V88&lt;&gt;"",$W88&lt;&gt;""),Results!$P34,"")</f>
        <v/>
      </c>
      <c r="AJ88" s="125">
        <f t="shared" ca="1" si="73"/>
        <v>45</v>
      </c>
      <c r="AK88" s="120">
        <f t="shared" ca="1" si="74"/>
        <v>45</v>
      </c>
      <c r="AL88" s="125">
        <f ca="1">IF(Results!$Q34="",0,Results!$Q34)</f>
        <v>1</v>
      </c>
      <c r="AM88" s="120">
        <f ca="1">IF(Results!$S34="",0,Results!$S34)</f>
        <v>1</v>
      </c>
      <c r="AN88" s="125">
        <f ca="1">IF($AA88=0,"",IF($AL88&gt;$AM88,Settings!$C$4,IF($AL88=$AM88,1,0)))</f>
        <v>1</v>
      </c>
      <c r="AO88" s="120">
        <f ca="1">IF($AA88=0,"",IF($AL88&lt;$AM88,Settings!$C$4,IF($AL88=$AM88,1,0)))</f>
        <v>1</v>
      </c>
    </row>
    <row r="89" spans="2:41" s="2" customFormat="1" x14ac:dyDescent="0.2">
      <c r="B89" s="3"/>
      <c r="C89" s="3"/>
      <c r="D89" s="3"/>
      <c r="E89" s="3"/>
      <c r="F89" s="12"/>
      <c r="G89" s="12"/>
      <c r="H89" s="12"/>
      <c r="I89" s="12"/>
      <c r="J89" s="12"/>
      <c r="K89" s="12"/>
      <c r="L89" s="12"/>
      <c r="M89" s="12"/>
      <c r="U89" s="67" t="s">
        <v>40</v>
      </c>
      <c r="V89" s="37" t="str">
        <f ca="1">Planning!$N32</f>
        <v>VFB Essenheim</v>
      </c>
      <c r="W89" s="12" t="str">
        <f ca="1">Planning!$P32</f>
        <v>FC Barcelona</v>
      </c>
      <c r="X89" s="12">
        <f ca="1">IF(AND(Results!$H35&lt;&gt;"",Results!$J35&lt;&gt;"",ABS(Results!$H35-Results!$J35)&gt;1,Results!$E35&lt;&gt;Results!$G35,$V89&lt;&gt;"",$W89&lt;&gt;""),Results!$H35,"")</f>
        <v>19</v>
      </c>
      <c r="Y89" s="32">
        <f ca="1">IF(AND(Results!$H35&lt;&gt;"",Results!$J35&lt;&gt;"",ABS(Results!$H35-Results!$J35)&gt;1,Results!$E35&lt;&gt;Results!$G35,$V89&lt;&gt;"",$W89&lt;&gt;""),Results!$J35,"")</f>
        <v>25</v>
      </c>
      <c r="Z89" s="31" t="str">
        <f ca="1">IF(Planning!$F32=0,V89&amp;W89,"")</f>
        <v/>
      </c>
      <c r="AA89" s="12">
        <f ca="1">IF(AND(V89&lt;&gt;"",W89&lt;&gt;"",V89&lt;&gt;W89,Results!$Q35&lt;&gt;"",Results!$S35&lt;&gt;""),1,0)</f>
        <v>1</v>
      </c>
      <c r="AB89" s="12" t="str">
        <f ca="1">IF(AND(AA89&gt;0,Planning!$F32=0),AJ89&amp;Language!$E$90&amp;AK89,"")</f>
        <v/>
      </c>
      <c r="AC89" s="2" t="str">
        <f ca="1">IF(Planning!$F32=1,V89&amp;W89,"")</f>
        <v>VFB EssenheimFC Barcelona</v>
      </c>
      <c r="AD89" s="120" t="str">
        <f ca="1">IF(AND(AA89&gt;0,Planning!$F32=1),AJ89&amp;Language!$E$90&amp;AK89,"")</f>
        <v>44 - 46</v>
      </c>
      <c r="AE89" s="332" t="str">
        <f ca="1">IF(AA89&gt;0,AL89&amp;Language!$E$90&amp;AM89,"")</f>
        <v>1 - 1</v>
      </c>
      <c r="AF89" s="125">
        <f ca="1">IF(AND(Results!$K35&lt;&gt;"",Results!$M35&lt;&gt;"",ABS(Results!$K35-Results!$M35)&gt;1,Results!$E35&lt;&gt;Results!$G35,$V89&lt;&gt;"",$W89&lt;&gt;""),Results!$K35,"")</f>
        <v>25</v>
      </c>
      <c r="AG89" s="12">
        <f ca="1">IF(AND(Results!$K35&lt;&gt;"",Results!$M35&lt;&gt;"",ABS(Results!$K35-Results!$M35)&gt;1,Results!$E35&lt;&gt;Results!$G35,$V89&lt;&gt;"",$W89&lt;&gt;""),Results!$M35,"")</f>
        <v>21</v>
      </c>
      <c r="AH89" s="125" t="str">
        <f ca="1">IF(AND(Results!$N35&lt;&gt;"",Results!$P35&lt;&gt;"",ABS(Results!$N35-Results!$P35)&gt;1,Results!$E35&lt;&gt;Results!$G35,$V89&lt;&gt;"",$W89&lt;&gt;""),Results!$N35,"")</f>
        <v/>
      </c>
      <c r="AI89" s="12" t="str">
        <f ca="1">IF(AND(Results!$N35&lt;&gt;"",Results!$P35&lt;&gt;"",ABS(Results!$N35-Results!$P35)&gt;1,Results!$E35&lt;&gt;Results!$G35,$V89&lt;&gt;"",$W89&lt;&gt;""),Results!$P35,"")</f>
        <v/>
      </c>
      <c r="AJ89" s="125">
        <f t="shared" ca="1" si="73"/>
        <v>44</v>
      </c>
      <c r="AK89" s="120">
        <f t="shared" ca="1" si="74"/>
        <v>46</v>
      </c>
      <c r="AL89" s="125">
        <f ca="1">IF(Results!$Q35="",0,Results!$Q35)</f>
        <v>1</v>
      </c>
      <c r="AM89" s="120">
        <f ca="1">IF(Results!$S35="",0,Results!$S35)</f>
        <v>1</v>
      </c>
      <c r="AN89" s="125">
        <f ca="1">IF($AA89=0,"",IF($AL89&gt;$AM89,Settings!$C$4,IF($AL89=$AM89,1,0)))</f>
        <v>1</v>
      </c>
      <c r="AO89" s="120">
        <f ca="1">IF($AA89=0,"",IF($AL89&lt;$AM89,Settings!$C$4,IF($AL89=$AM89,1,0)))</f>
        <v>1</v>
      </c>
    </row>
    <row r="90" spans="2:41" s="2" customFormat="1" x14ac:dyDescent="0.2">
      <c r="B90" s="3"/>
      <c r="C90" s="3"/>
      <c r="D90" s="3"/>
      <c r="E90" s="3"/>
      <c r="F90" s="12"/>
      <c r="G90" s="12"/>
      <c r="H90" s="12"/>
      <c r="I90" s="12"/>
      <c r="J90" s="12"/>
      <c r="K90" s="12"/>
      <c r="L90" s="12"/>
      <c r="M90" s="12"/>
      <c r="U90" s="67" t="s">
        <v>41</v>
      </c>
      <c r="V90" s="37" t="str">
        <f ca="1">Planning!$N33</f>
        <v>Eintracht Frankfurt</v>
      </c>
      <c r="W90" s="12" t="str">
        <f ca="1">Planning!$P33</f>
        <v>Maibach 1822 eV</v>
      </c>
      <c r="X90" s="12">
        <f ca="1">IF(AND(Results!$H36&lt;&gt;"",Results!$J36&lt;&gt;"",ABS(Results!$H36-Results!$J36)&gt;1,Results!$E36&lt;&gt;Results!$G36,$V90&lt;&gt;"",$W90&lt;&gt;""),Results!$H36,"")</f>
        <v>17</v>
      </c>
      <c r="Y90" s="32">
        <f ca="1">IF(AND(Results!$H36&lt;&gt;"",Results!$J36&lt;&gt;"",ABS(Results!$H36-Results!$J36)&gt;1,Results!$E36&lt;&gt;Results!$G36,$V90&lt;&gt;"",$W90&lt;&gt;""),Results!$J36,"")</f>
        <v>25</v>
      </c>
      <c r="Z90" s="31" t="str">
        <f ca="1">IF(Planning!$F33=0,V90&amp;W90,"")</f>
        <v/>
      </c>
      <c r="AA90" s="12">
        <f ca="1">IF(AND(V90&lt;&gt;"",W90&lt;&gt;"",V90&lt;&gt;W90,Results!$Q36&lt;&gt;"",Results!$S36&lt;&gt;""),1,0)</f>
        <v>1</v>
      </c>
      <c r="AB90" s="12" t="str">
        <f ca="1">IF(AND(AA90&gt;0,Planning!$F33=0),AJ90&amp;Language!$E$90&amp;AK90,"")</f>
        <v/>
      </c>
      <c r="AC90" s="2" t="str">
        <f ca="1">IF(Planning!$F33=1,V90&amp;W90,"")</f>
        <v>Eintracht FrankfurtMaibach 1822 eV</v>
      </c>
      <c r="AD90" s="120" t="str">
        <f ca="1">IF(AND(AA90&gt;0,Planning!$F33=1),AJ90&amp;Language!$E$90&amp;AK90,"")</f>
        <v>42 - 47</v>
      </c>
      <c r="AE90" s="332" t="str">
        <f ca="1">IF(AA90&gt;0,AL90&amp;Language!$E$90&amp;AM90,"")</f>
        <v>1 - 1</v>
      </c>
      <c r="AF90" s="125">
        <f ca="1">IF(AND(Results!$K36&lt;&gt;"",Results!$M36&lt;&gt;"",ABS(Results!$K36-Results!$M36)&gt;1,Results!$E36&lt;&gt;Results!$G36,$V90&lt;&gt;"",$W90&lt;&gt;""),Results!$K36,"")</f>
        <v>25</v>
      </c>
      <c r="AG90" s="12">
        <f ca="1">IF(AND(Results!$K36&lt;&gt;"",Results!$M36&lt;&gt;"",ABS(Results!$K36-Results!$M36)&gt;1,Results!$E36&lt;&gt;Results!$G36,$V90&lt;&gt;"",$W90&lt;&gt;""),Results!$M36,"")</f>
        <v>22</v>
      </c>
      <c r="AH90" s="125" t="str">
        <f ca="1">IF(AND(Results!$N36&lt;&gt;"",Results!$P36&lt;&gt;"",ABS(Results!$N36-Results!$P36)&gt;1,Results!$E36&lt;&gt;Results!$G36,$V90&lt;&gt;"",$W90&lt;&gt;""),Results!$N36,"")</f>
        <v/>
      </c>
      <c r="AI90" s="12" t="str">
        <f ca="1">IF(AND(Results!$N36&lt;&gt;"",Results!$P36&lt;&gt;"",ABS(Results!$N36-Results!$P36)&gt;1,Results!$E36&lt;&gt;Results!$G36,$V90&lt;&gt;"",$W90&lt;&gt;""),Results!$P36,"")</f>
        <v/>
      </c>
      <c r="AJ90" s="125">
        <f t="shared" ca="1" si="73"/>
        <v>42</v>
      </c>
      <c r="AK90" s="120">
        <f t="shared" ca="1" si="74"/>
        <v>47</v>
      </c>
      <c r="AL90" s="125">
        <f ca="1">IF(Results!$Q36="",0,Results!$Q36)</f>
        <v>1</v>
      </c>
      <c r="AM90" s="120">
        <f ca="1">IF(Results!$S36="",0,Results!$S36)</f>
        <v>1</v>
      </c>
      <c r="AN90" s="125">
        <f ca="1">IF($AA90=0,"",IF($AL90&gt;$AM90,Settings!$C$4,IF($AL90=$AM90,1,0)))</f>
        <v>1</v>
      </c>
      <c r="AO90" s="120">
        <f ca="1">IF($AA90=0,"",IF($AL90&lt;$AM90,Settings!$C$4,IF($AL90=$AM90,1,0)))</f>
        <v>1</v>
      </c>
    </row>
    <row r="91" spans="2:41" s="2" customFormat="1" x14ac:dyDescent="0.2">
      <c r="B91" s="3"/>
      <c r="C91" s="3"/>
      <c r="D91" s="3"/>
      <c r="E91" s="3"/>
      <c r="F91" s="12"/>
      <c r="G91" s="12"/>
      <c r="H91" s="12"/>
      <c r="I91" s="12"/>
      <c r="J91" s="12"/>
      <c r="K91" s="12"/>
      <c r="L91" s="12"/>
      <c r="M91" s="12"/>
      <c r="U91" s="67" t="s">
        <v>42</v>
      </c>
      <c r="V91" s="37" t="str">
        <f ca="1">Planning!$N34</f>
        <v>Inter Mailand</v>
      </c>
      <c r="W91" s="12" t="str">
        <f ca="1">Planning!$P34</f>
        <v>1. FC Riedwald</v>
      </c>
      <c r="X91" s="12">
        <f ca="1">IF(AND(Results!$H37&lt;&gt;"",Results!$J37&lt;&gt;"",ABS(Results!$H37-Results!$J37)&gt;1,Results!$E37&lt;&gt;Results!$G37,$V91&lt;&gt;"",$W91&lt;&gt;""),Results!$H37,"")</f>
        <v>19</v>
      </c>
      <c r="Y91" s="32">
        <f ca="1">IF(AND(Results!$H37&lt;&gt;"",Results!$J37&lt;&gt;"",ABS(Results!$H37-Results!$J37)&gt;1,Results!$E37&lt;&gt;Results!$G37,$V91&lt;&gt;"",$W91&lt;&gt;""),Results!$J37,"")</f>
        <v>25</v>
      </c>
      <c r="Z91" s="31" t="str">
        <f ca="1">IF(Planning!$F34=0,V91&amp;W91,"")</f>
        <v/>
      </c>
      <c r="AA91" s="12">
        <f ca="1">IF(AND(V91&lt;&gt;"",W91&lt;&gt;"",V91&lt;&gt;W91,Results!$Q37&lt;&gt;"",Results!$S37&lt;&gt;""),1,0)</f>
        <v>1</v>
      </c>
      <c r="AB91" s="12" t="str">
        <f ca="1">IF(AND(AA91&gt;0,Planning!$F34=0),AJ91&amp;Language!$E$90&amp;AK91,"")</f>
        <v/>
      </c>
      <c r="AC91" s="2" t="str">
        <f ca="1">IF(Planning!$F34=1,V91&amp;W91,"")</f>
        <v>Inter Mailand1. FC Riedwald</v>
      </c>
      <c r="AD91" s="120" t="str">
        <f ca="1">IF(AND(AA91&gt;0,Planning!$F34=1),AJ91&amp;Language!$E$90&amp;AK91,"")</f>
        <v>44 - 48</v>
      </c>
      <c r="AE91" s="332" t="str">
        <f ca="1">IF(AA91&gt;0,AL91&amp;Language!$E$90&amp;AM91,"")</f>
        <v>1 - 1</v>
      </c>
      <c r="AF91" s="125">
        <f ca="1">IF(AND(Results!$K37&lt;&gt;"",Results!$M37&lt;&gt;"",ABS(Results!$K37-Results!$M37)&gt;1,Results!$E37&lt;&gt;Results!$G37,$V91&lt;&gt;"",$W91&lt;&gt;""),Results!$K37,"")</f>
        <v>25</v>
      </c>
      <c r="AG91" s="12">
        <f ca="1">IF(AND(Results!$K37&lt;&gt;"",Results!$M37&lt;&gt;"",ABS(Results!$K37-Results!$M37)&gt;1,Results!$E37&lt;&gt;Results!$G37,$V91&lt;&gt;"",$W91&lt;&gt;""),Results!$M37,"")</f>
        <v>23</v>
      </c>
      <c r="AH91" s="125" t="str">
        <f ca="1">IF(AND(Results!$N37&lt;&gt;"",Results!$P37&lt;&gt;"",ABS(Results!$N37-Results!$P37)&gt;1,Results!$E37&lt;&gt;Results!$G37,$V91&lt;&gt;"",$W91&lt;&gt;""),Results!$N37,"")</f>
        <v/>
      </c>
      <c r="AI91" s="12" t="str">
        <f ca="1">IF(AND(Results!$N37&lt;&gt;"",Results!$P37&lt;&gt;"",ABS(Results!$N37-Results!$P37)&gt;1,Results!$E37&lt;&gt;Results!$G37,$V91&lt;&gt;"",$W91&lt;&gt;""),Results!$P37,"")</f>
        <v/>
      </c>
      <c r="AJ91" s="125">
        <f t="shared" ca="1" si="73"/>
        <v>44</v>
      </c>
      <c r="AK91" s="120">
        <f t="shared" ca="1" si="74"/>
        <v>48</v>
      </c>
      <c r="AL91" s="125">
        <f ca="1">IF(Results!$Q37="",0,Results!$Q37)</f>
        <v>1</v>
      </c>
      <c r="AM91" s="120">
        <f ca="1">IF(Results!$S37="",0,Results!$S37)</f>
        <v>1</v>
      </c>
      <c r="AN91" s="125">
        <f ca="1">IF($AA91=0,"",IF($AL91&gt;$AM91,Settings!$C$4,IF($AL91=$AM91,1,0)))</f>
        <v>1</v>
      </c>
      <c r="AO91" s="120">
        <f ca="1">IF($AA91=0,"",IF($AL91&lt;$AM91,Settings!$C$4,IF($AL91=$AM91,1,0)))</f>
        <v>1</v>
      </c>
    </row>
    <row r="92" spans="2:41" s="2" customFormat="1" x14ac:dyDescent="0.2">
      <c r="B92" s="3"/>
      <c r="C92" s="3"/>
      <c r="D92" s="3"/>
      <c r="E92" s="3"/>
      <c r="F92" s="12"/>
      <c r="G92" s="12"/>
      <c r="H92" s="12"/>
      <c r="I92" s="12"/>
      <c r="J92" s="12"/>
      <c r="K92" s="12"/>
      <c r="L92" s="12"/>
      <c r="M92" s="12"/>
      <c r="U92" s="67" t="s">
        <v>43</v>
      </c>
      <c r="V92" s="37" t="str">
        <f ca="1">Planning!$N35</f>
        <v>SSV Wildbach</v>
      </c>
      <c r="W92" s="12" t="str">
        <f ca="1">Planning!$P35</f>
        <v>VFB Essenheim</v>
      </c>
      <c r="X92" s="12">
        <f ca="1">IF(AND(Results!$H38&lt;&gt;"",Results!$J38&lt;&gt;"",ABS(Results!$H38-Results!$J38)&gt;1,Results!$E38&lt;&gt;Results!$G38,$V92&lt;&gt;"",$W92&lt;&gt;""),Results!$H38,"")</f>
        <v>17</v>
      </c>
      <c r="Y92" s="32">
        <f ca="1">IF(AND(Results!$H38&lt;&gt;"",Results!$J38&lt;&gt;"",ABS(Results!$H38-Results!$J38)&gt;1,Results!$E38&lt;&gt;Results!$G38,$V92&lt;&gt;"",$W92&lt;&gt;""),Results!$J38,"")</f>
        <v>25</v>
      </c>
      <c r="Z92" s="31" t="str">
        <f ca="1">IF(Planning!$F35=0,V92&amp;W92,"")</f>
        <v/>
      </c>
      <c r="AA92" s="12">
        <f ca="1">IF(AND(V92&lt;&gt;"",W92&lt;&gt;"",V92&lt;&gt;W92,Results!$Q38&lt;&gt;"",Results!$S38&lt;&gt;""),1,0)</f>
        <v>1</v>
      </c>
      <c r="AB92" s="12" t="str">
        <f ca="1">IF(AND(AA92&gt;0,Planning!$F35=0),AJ92&amp;Language!$E$90&amp;AK92,"")</f>
        <v/>
      </c>
      <c r="AC92" s="2" t="str">
        <f ca="1">IF(Planning!$F35=1,V92&amp;W92,"")</f>
        <v>SSV WildbachVFB Essenheim</v>
      </c>
      <c r="AD92" s="120" t="str">
        <f ca="1">IF(AND(AA92&gt;0,Planning!$F35=1),AJ92&amp;Language!$E$90&amp;AK92,"")</f>
        <v>34 - 50</v>
      </c>
      <c r="AE92" s="332" t="str">
        <f ca="1">IF(AA92&gt;0,AL92&amp;Language!$E$90&amp;AM92,"")</f>
        <v>0 - 2</v>
      </c>
      <c r="AF92" s="125">
        <f ca="1">IF(AND(Results!$K38&lt;&gt;"",Results!$M38&lt;&gt;"",ABS(Results!$K38-Results!$M38)&gt;1,Results!$E38&lt;&gt;Results!$G38,$V92&lt;&gt;"",$W92&lt;&gt;""),Results!$K38,"")</f>
        <v>17</v>
      </c>
      <c r="AG92" s="12">
        <f ca="1">IF(AND(Results!$K38&lt;&gt;"",Results!$M38&lt;&gt;"",ABS(Results!$K38-Results!$M38)&gt;1,Results!$E38&lt;&gt;Results!$G38,$V92&lt;&gt;"",$W92&lt;&gt;""),Results!$M38,"")</f>
        <v>25</v>
      </c>
      <c r="AH92" s="125" t="str">
        <f ca="1">IF(AND(Results!$N38&lt;&gt;"",Results!$P38&lt;&gt;"",ABS(Results!$N38-Results!$P38)&gt;1,Results!$E38&lt;&gt;Results!$G38,$V92&lt;&gt;"",$W92&lt;&gt;""),Results!$N38,"")</f>
        <v/>
      </c>
      <c r="AI92" s="12" t="str">
        <f ca="1">IF(AND(Results!$N38&lt;&gt;"",Results!$P38&lt;&gt;"",ABS(Results!$N38-Results!$P38)&gt;1,Results!$E38&lt;&gt;Results!$G38,$V92&lt;&gt;"",$W92&lt;&gt;""),Results!$P38,"")</f>
        <v/>
      </c>
      <c r="AJ92" s="125">
        <f t="shared" ca="1" si="73"/>
        <v>34</v>
      </c>
      <c r="AK92" s="120">
        <f t="shared" ca="1" si="74"/>
        <v>50</v>
      </c>
      <c r="AL92" s="125">
        <f ca="1">IF(Results!$Q38="",0,Results!$Q38)</f>
        <v>0</v>
      </c>
      <c r="AM92" s="120">
        <f ca="1">IF(Results!$S38="",0,Results!$S38)</f>
        <v>2</v>
      </c>
      <c r="AN92" s="125">
        <f ca="1">IF($AA92=0,"",IF($AL92&gt;$AM92,Settings!$C$4,IF($AL92=$AM92,1,0)))</f>
        <v>0</v>
      </c>
      <c r="AO92" s="120">
        <f ca="1">IF($AA92=0,"",IF($AL92&lt;$AM92,Settings!$C$4,IF($AL92=$AM92,1,0)))</f>
        <v>2</v>
      </c>
    </row>
    <row r="93" spans="2:41" s="2" customFormat="1" x14ac:dyDescent="0.2">
      <c r="B93" s="3"/>
      <c r="C93" s="3"/>
      <c r="D93" s="3"/>
      <c r="E93" s="3"/>
      <c r="F93" s="12"/>
      <c r="G93" s="12"/>
      <c r="H93" s="12"/>
      <c r="I93" s="12"/>
      <c r="J93" s="12"/>
      <c r="K93" s="12"/>
      <c r="L93" s="12"/>
      <c r="M93" s="12"/>
      <c r="U93" s="67" t="s">
        <v>44</v>
      </c>
      <c r="V93" s="37" t="str">
        <f ca="1">Planning!$N36</f>
        <v>FC Barcelona</v>
      </c>
      <c r="W93" s="12" t="str">
        <f ca="1">Planning!$P36</f>
        <v>Eintracht Frankfurt</v>
      </c>
      <c r="X93" s="12">
        <f ca="1">IF(AND(Results!$H39&lt;&gt;"",Results!$J39&lt;&gt;"",ABS(Results!$H39-Results!$J39)&gt;1,Results!$E39&lt;&gt;Results!$G39,$V93&lt;&gt;"",$W93&lt;&gt;""),Results!$H39,"")</f>
        <v>14</v>
      </c>
      <c r="Y93" s="32">
        <f ca="1">IF(AND(Results!$H39&lt;&gt;"",Results!$J39&lt;&gt;"",ABS(Results!$H39-Results!$J39)&gt;1,Results!$E39&lt;&gt;Results!$G39,$V93&lt;&gt;"",$W93&lt;&gt;""),Results!$J39,"")</f>
        <v>25</v>
      </c>
      <c r="Z93" s="31" t="str">
        <f ca="1">IF(Planning!$F36=0,V93&amp;W93,"")</f>
        <v/>
      </c>
      <c r="AA93" s="12">
        <f ca="1">IF(AND(V93&lt;&gt;"",W93&lt;&gt;"",V93&lt;&gt;W93,Results!$Q39&lt;&gt;"",Results!$S39&lt;&gt;""),1,0)</f>
        <v>1</v>
      </c>
      <c r="AB93" s="12" t="str">
        <f ca="1">IF(AND(AA93&gt;0,Planning!$F36=0),AJ93&amp;Language!$E$90&amp;AK93,"")</f>
        <v/>
      </c>
      <c r="AC93" s="2" t="str">
        <f ca="1">IF(Planning!$F36=1,V93&amp;W93,"")</f>
        <v>FC BarcelonaEintracht Frankfurt</v>
      </c>
      <c r="AD93" s="120" t="str">
        <f ca="1">IF(AND(AA93&gt;0,Planning!$F36=1),AJ93&amp;Language!$E$90&amp;AK93,"")</f>
        <v>36 - 50</v>
      </c>
      <c r="AE93" s="332" t="str">
        <f ca="1">IF(AA93&gt;0,AL93&amp;Language!$E$90&amp;AM93,"")</f>
        <v>0 - 2</v>
      </c>
      <c r="AF93" s="125">
        <f ca="1">IF(AND(Results!$K39&lt;&gt;"",Results!$M39&lt;&gt;"",ABS(Results!$K39-Results!$M39)&gt;1,Results!$E39&lt;&gt;Results!$G39,$V93&lt;&gt;"",$W93&lt;&gt;""),Results!$K39,"")</f>
        <v>22</v>
      </c>
      <c r="AG93" s="12">
        <f ca="1">IF(AND(Results!$K39&lt;&gt;"",Results!$M39&lt;&gt;"",ABS(Results!$K39-Results!$M39)&gt;1,Results!$E39&lt;&gt;Results!$G39,$V93&lt;&gt;"",$W93&lt;&gt;""),Results!$M39,"")</f>
        <v>25</v>
      </c>
      <c r="AH93" s="125" t="str">
        <f ca="1">IF(AND(Results!$N39&lt;&gt;"",Results!$P39&lt;&gt;"",ABS(Results!$N39-Results!$P39)&gt;1,Results!$E39&lt;&gt;Results!$G39,$V93&lt;&gt;"",$W93&lt;&gt;""),Results!$N39,"")</f>
        <v/>
      </c>
      <c r="AI93" s="12" t="str">
        <f ca="1">IF(AND(Results!$N39&lt;&gt;"",Results!$P39&lt;&gt;"",ABS(Results!$N39-Results!$P39)&gt;1,Results!$E39&lt;&gt;Results!$G39,$V93&lt;&gt;"",$W93&lt;&gt;""),Results!$P39,"")</f>
        <v/>
      </c>
      <c r="AJ93" s="125">
        <f t="shared" ca="1" si="73"/>
        <v>36</v>
      </c>
      <c r="AK93" s="120">
        <f t="shared" ca="1" si="74"/>
        <v>50</v>
      </c>
      <c r="AL93" s="125">
        <f ca="1">IF(Results!$Q39="",0,Results!$Q39)</f>
        <v>0</v>
      </c>
      <c r="AM93" s="120">
        <f ca="1">IF(Results!$S39="",0,Results!$S39)</f>
        <v>2</v>
      </c>
      <c r="AN93" s="125">
        <f ca="1">IF($AA93=0,"",IF($AL93&gt;$AM93,Settings!$C$4,IF($AL93=$AM93,1,0)))</f>
        <v>0</v>
      </c>
      <c r="AO93" s="120">
        <f ca="1">IF($AA93=0,"",IF($AL93&lt;$AM93,Settings!$C$4,IF($AL93=$AM93,1,0)))</f>
        <v>2</v>
      </c>
    </row>
    <row r="94" spans="2:41" s="2" customFormat="1" x14ac:dyDescent="0.2">
      <c r="B94" s="3"/>
      <c r="C94" s="3"/>
      <c r="D94" s="3"/>
      <c r="E94" s="3"/>
      <c r="F94" s="12"/>
      <c r="G94" s="12"/>
      <c r="H94" s="12"/>
      <c r="I94" s="12"/>
      <c r="J94" s="12"/>
      <c r="K94" s="12"/>
      <c r="L94" s="12"/>
      <c r="M94" s="12"/>
      <c r="U94" s="67" t="s">
        <v>45</v>
      </c>
      <c r="V94" s="37" t="str">
        <f ca="1">Planning!$N37</f>
        <v>1. FC Riedwald</v>
      </c>
      <c r="W94" s="12" t="str">
        <f ca="1">Planning!$P37</f>
        <v>VFB Essenheim</v>
      </c>
      <c r="X94" s="12">
        <f ca="1">IF(AND(Results!$H40&lt;&gt;"",Results!$J40&lt;&gt;"",ABS(Results!$H40-Results!$J40)&gt;1,Results!$E40&lt;&gt;Results!$G40,$V94&lt;&gt;"",$W94&lt;&gt;""),Results!$H40,"")</f>
        <v>19</v>
      </c>
      <c r="Y94" s="32">
        <f ca="1">IF(AND(Results!$H40&lt;&gt;"",Results!$J40&lt;&gt;"",ABS(Results!$H40-Results!$J40)&gt;1,Results!$E40&lt;&gt;Results!$G40,$V94&lt;&gt;"",$W94&lt;&gt;""),Results!$J40,"")</f>
        <v>25</v>
      </c>
      <c r="Z94" s="31" t="str">
        <f ca="1">IF(Planning!$F37=0,V94&amp;W94,"")</f>
        <v/>
      </c>
      <c r="AA94" s="12">
        <f ca="1">IF(AND(V94&lt;&gt;"",W94&lt;&gt;"",V94&lt;&gt;W94,Results!$Q40&lt;&gt;"",Results!$S40&lt;&gt;""),1,0)</f>
        <v>1</v>
      </c>
      <c r="AB94" s="12" t="str">
        <f ca="1">IF(AND(AA94&gt;0,Planning!$F37=0),AJ94&amp;Language!$E$90&amp;AK94,"")</f>
        <v/>
      </c>
      <c r="AC94" s="2" t="str">
        <f ca="1">IF(Planning!$F37=1,V94&amp;W94,"")</f>
        <v>1. FC RiedwaldVFB Essenheim</v>
      </c>
      <c r="AD94" s="120" t="str">
        <f ca="1">IF(AND(AA94&gt;0,Planning!$F37=1),AJ94&amp;Language!$E$90&amp;AK94,"")</f>
        <v>44 - 46</v>
      </c>
      <c r="AE94" s="332" t="str">
        <f ca="1">IF(AA94&gt;0,AL94&amp;Language!$E$90&amp;AM94,"")</f>
        <v>1 - 1</v>
      </c>
      <c r="AF94" s="125">
        <f ca="1">IF(AND(Results!$K40&lt;&gt;"",Results!$M40&lt;&gt;"",ABS(Results!$K40-Results!$M40)&gt;1,Results!$E40&lt;&gt;Results!$G40,$V94&lt;&gt;"",$W94&lt;&gt;""),Results!$K40,"")</f>
        <v>25</v>
      </c>
      <c r="AG94" s="12">
        <f ca="1">IF(AND(Results!$K40&lt;&gt;"",Results!$M40&lt;&gt;"",ABS(Results!$K40-Results!$M40)&gt;1,Results!$E40&lt;&gt;Results!$G40,$V94&lt;&gt;"",$W94&lt;&gt;""),Results!$M40,"")</f>
        <v>21</v>
      </c>
      <c r="AH94" s="125" t="str">
        <f ca="1">IF(AND(Results!$N40&lt;&gt;"",Results!$P40&lt;&gt;"",ABS(Results!$N40-Results!$P40)&gt;1,Results!$E40&lt;&gt;Results!$G40,$V94&lt;&gt;"",$W94&lt;&gt;""),Results!$N40,"")</f>
        <v/>
      </c>
      <c r="AI94" s="12" t="str">
        <f ca="1">IF(AND(Results!$N40&lt;&gt;"",Results!$P40&lt;&gt;"",ABS(Results!$N40-Results!$P40)&gt;1,Results!$E40&lt;&gt;Results!$G40,$V94&lt;&gt;"",$W94&lt;&gt;""),Results!$P40,"")</f>
        <v/>
      </c>
      <c r="AJ94" s="125">
        <f t="shared" ca="1" si="73"/>
        <v>44</v>
      </c>
      <c r="AK94" s="120">
        <f t="shared" ca="1" si="74"/>
        <v>46</v>
      </c>
      <c r="AL94" s="125">
        <f ca="1">IF(Results!$Q40="",0,Results!$Q40)</f>
        <v>1</v>
      </c>
      <c r="AM94" s="120">
        <f ca="1">IF(Results!$S40="",0,Results!$S40)</f>
        <v>1</v>
      </c>
      <c r="AN94" s="125">
        <f ca="1">IF($AA94=0,"",IF($AL94&gt;$AM94,Settings!$C$4,IF($AL94=$AM94,1,0)))</f>
        <v>1</v>
      </c>
      <c r="AO94" s="120">
        <f ca="1">IF($AA94=0,"",IF($AL94&lt;$AM94,Settings!$C$4,IF($AL94=$AM94,1,0)))</f>
        <v>1</v>
      </c>
    </row>
    <row r="95" spans="2:41" s="2" customFormat="1" x14ac:dyDescent="0.2">
      <c r="B95" s="3"/>
      <c r="C95" s="3"/>
      <c r="D95" s="3"/>
      <c r="E95" s="3"/>
      <c r="F95" s="12"/>
      <c r="G95" s="12"/>
      <c r="H95" s="12"/>
      <c r="I95" s="12"/>
      <c r="J95" s="12"/>
      <c r="K95" s="12"/>
      <c r="L95" s="12"/>
      <c r="M95" s="12"/>
      <c r="U95" s="67" t="s">
        <v>46</v>
      </c>
      <c r="V95" s="37" t="str">
        <f ca="1">Planning!$N38</f>
        <v>Inter Mailand</v>
      </c>
      <c r="W95" s="12" t="str">
        <f ca="1">Planning!$P38</f>
        <v>Maibach 1822 eV</v>
      </c>
      <c r="X95" s="12">
        <f ca="1">IF(AND(Results!$H41&lt;&gt;"",Results!$J41&lt;&gt;"",ABS(Results!$H41-Results!$J41)&gt;1,Results!$E41&lt;&gt;Results!$G41,$V95&lt;&gt;"",$W95&lt;&gt;""),Results!$H41,"")</f>
        <v>17</v>
      </c>
      <c r="Y95" s="32">
        <f ca="1">IF(AND(Results!$H41&lt;&gt;"",Results!$J41&lt;&gt;"",ABS(Results!$H41-Results!$J41)&gt;1,Results!$E41&lt;&gt;Results!$G41,$V95&lt;&gt;"",$W95&lt;&gt;""),Results!$J41,"")</f>
        <v>25</v>
      </c>
      <c r="Z95" s="31" t="str">
        <f ca="1">IF(Planning!$F38=0,V95&amp;W95,"")</f>
        <v/>
      </c>
      <c r="AA95" s="12">
        <f ca="1">IF(AND(V95&lt;&gt;"",W95&lt;&gt;"",V95&lt;&gt;W95,Results!$Q41&lt;&gt;"",Results!$S41&lt;&gt;""),1,0)</f>
        <v>1</v>
      </c>
      <c r="AB95" s="12" t="str">
        <f ca="1">IF(AND(AA95&gt;0,Planning!$F38=0),AJ95&amp;Language!$E$90&amp;AK95,"")</f>
        <v/>
      </c>
      <c r="AC95" s="2" t="str">
        <f ca="1">IF(Planning!$F38=1,V95&amp;W95,"")</f>
        <v>Inter MailandMaibach 1822 eV</v>
      </c>
      <c r="AD95" s="120" t="str">
        <f ca="1">IF(AND(AA95&gt;0,Planning!$F38=1),AJ95&amp;Language!$E$90&amp;AK95,"")</f>
        <v>29 - 50</v>
      </c>
      <c r="AE95" s="332" t="str">
        <f ca="1">IF(AA95&gt;0,AL95&amp;Language!$E$90&amp;AM95,"")</f>
        <v>0 - 2</v>
      </c>
      <c r="AF95" s="125">
        <f ca="1">IF(AND(Results!$K41&lt;&gt;"",Results!$M41&lt;&gt;"",ABS(Results!$K41-Results!$M41)&gt;1,Results!$E41&lt;&gt;Results!$G41,$V95&lt;&gt;"",$W95&lt;&gt;""),Results!$K41,"")</f>
        <v>12</v>
      </c>
      <c r="AG95" s="12">
        <f ca="1">IF(AND(Results!$K41&lt;&gt;"",Results!$M41&lt;&gt;"",ABS(Results!$K41-Results!$M41)&gt;1,Results!$E41&lt;&gt;Results!$G41,$V95&lt;&gt;"",$W95&lt;&gt;""),Results!$M41,"")</f>
        <v>25</v>
      </c>
      <c r="AH95" s="125" t="str">
        <f ca="1">IF(AND(Results!$N41&lt;&gt;"",Results!$P41&lt;&gt;"",ABS(Results!$N41-Results!$P41)&gt;1,Results!$E41&lt;&gt;Results!$G41,$V95&lt;&gt;"",$W95&lt;&gt;""),Results!$N41,"")</f>
        <v/>
      </c>
      <c r="AI95" s="12" t="str">
        <f ca="1">IF(AND(Results!$N41&lt;&gt;"",Results!$P41&lt;&gt;"",ABS(Results!$N41-Results!$P41)&gt;1,Results!$E41&lt;&gt;Results!$G41,$V95&lt;&gt;"",$W95&lt;&gt;""),Results!$P41,"")</f>
        <v/>
      </c>
      <c r="AJ95" s="125">
        <f t="shared" ca="1" si="73"/>
        <v>29</v>
      </c>
      <c r="AK95" s="120">
        <f t="shared" ca="1" si="74"/>
        <v>50</v>
      </c>
      <c r="AL95" s="125">
        <f ca="1">IF(Results!$Q41="",0,Results!$Q41)</f>
        <v>0</v>
      </c>
      <c r="AM95" s="120">
        <f ca="1">IF(Results!$S41="",0,Results!$S41)</f>
        <v>2</v>
      </c>
      <c r="AN95" s="125">
        <f ca="1">IF($AA95=0,"",IF($AL95&gt;$AM95,Settings!$C$4,IF($AL95=$AM95,1,0)))</f>
        <v>0</v>
      </c>
      <c r="AO95" s="120">
        <f ca="1">IF($AA95=0,"",IF($AL95&lt;$AM95,Settings!$C$4,IF($AL95=$AM95,1,0)))</f>
        <v>2</v>
      </c>
    </row>
    <row r="96" spans="2:41" s="2" customFormat="1" x14ac:dyDescent="0.2">
      <c r="B96" s="3"/>
      <c r="C96" s="3"/>
      <c r="D96" s="3"/>
      <c r="E96" s="3"/>
      <c r="F96" s="12"/>
      <c r="G96" s="12"/>
      <c r="H96" s="12"/>
      <c r="I96" s="12"/>
      <c r="J96" s="12"/>
      <c r="K96" s="12"/>
      <c r="L96" s="12"/>
      <c r="M96" s="12"/>
      <c r="U96" s="67" t="s">
        <v>47</v>
      </c>
      <c r="V96" s="37" t="str">
        <f ca="1">Planning!$N39</f>
        <v>Eintracht Frankfurt</v>
      </c>
      <c r="W96" s="12" t="str">
        <f ca="1">Planning!$P39</f>
        <v>SSV Wildbach</v>
      </c>
      <c r="X96" s="12">
        <f ca="1">IF(AND(Results!$H42&lt;&gt;"",Results!$J42&lt;&gt;"",ABS(Results!$H42-Results!$J42)&gt;1,Results!$E42&lt;&gt;Results!$G42,$V96&lt;&gt;"",$W96&lt;&gt;""),Results!$H42,"")</f>
        <v>14</v>
      </c>
      <c r="Y96" s="32">
        <f ca="1">IF(AND(Results!$H42&lt;&gt;"",Results!$J42&lt;&gt;"",ABS(Results!$H42-Results!$J42)&gt;1,Results!$E42&lt;&gt;Results!$G42,$V96&lt;&gt;"",$W96&lt;&gt;""),Results!$J42,"")</f>
        <v>25</v>
      </c>
      <c r="Z96" s="31" t="str">
        <f ca="1">IF(Planning!$F39=0,V96&amp;W96,"")</f>
        <v/>
      </c>
      <c r="AA96" s="12">
        <f ca="1">IF(AND(V96&lt;&gt;"",W96&lt;&gt;"",V96&lt;&gt;W96,Results!$Q42&lt;&gt;"",Results!$S42&lt;&gt;""),1,0)</f>
        <v>1</v>
      </c>
      <c r="AB96" s="12" t="str">
        <f ca="1">IF(AND(AA96&gt;0,Planning!$F39=0),AJ96&amp;Language!$E$90&amp;AK96,"")</f>
        <v/>
      </c>
      <c r="AC96" s="2" t="str">
        <f ca="1">IF(Planning!$F39=1,V96&amp;W96,"")</f>
        <v>Eintracht FrankfurtSSV Wildbach</v>
      </c>
      <c r="AD96" s="120" t="str">
        <f ca="1">IF(AND(AA96&gt;0,Planning!$F39=1),AJ96&amp;Language!$E$90&amp;AK96,"")</f>
        <v>39 - 48</v>
      </c>
      <c r="AE96" s="332" t="str">
        <f ca="1">IF(AA96&gt;0,AL96&amp;Language!$E$90&amp;AM96,"")</f>
        <v>1 - 1</v>
      </c>
      <c r="AF96" s="125">
        <f ca="1">IF(AND(Results!$K42&lt;&gt;"",Results!$M42&lt;&gt;"",ABS(Results!$K42-Results!$M42)&gt;1,Results!$E42&lt;&gt;Results!$G42,$V96&lt;&gt;"",$W96&lt;&gt;""),Results!$K42,"")</f>
        <v>25</v>
      </c>
      <c r="AG96" s="12">
        <f ca="1">IF(AND(Results!$K42&lt;&gt;"",Results!$M42&lt;&gt;"",ABS(Results!$K42-Results!$M42)&gt;1,Results!$E42&lt;&gt;Results!$G42,$V96&lt;&gt;"",$W96&lt;&gt;""),Results!$M42,"")</f>
        <v>23</v>
      </c>
      <c r="AH96" s="125" t="str">
        <f ca="1">IF(AND(Results!$N42&lt;&gt;"",Results!$P42&lt;&gt;"",ABS(Results!$N42-Results!$P42)&gt;1,Results!$E42&lt;&gt;Results!$G42,$V96&lt;&gt;"",$W96&lt;&gt;""),Results!$N42,"")</f>
        <v/>
      </c>
      <c r="AI96" s="12" t="str">
        <f ca="1">IF(AND(Results!$N42&lt;&gt;"",Results!$P42&lt;&gt;"",ABS(Results!$N42-Results!$P42)&gt;1,Results!$E42&lt;&gt;Results!$G42,$V96&lt;&gt;"",$W96&lt;&gt;""),Results!$P42,"")</f>
        <v/>
      </c>
      <c r="AJ96" s="125">
        <f t="shared" ca="1" si="73"/>
        <v>39</v>
      </c>
      <c r="AK96" s="120">
        <f t="shared" ca="1" si="74"/>
        <v>48</v>
      </c>
      <c r="AL96" s="125">
        <f ca="1">IF(Results!$Q42="",0,Results!$Q42)</f>
        <v>1</v>
      </c>
      <c r="AM96" s="120">
        <f ca="1">IF(Results!$S42="",0,Results!$S42)</f>
        <v>1</v>
      </c>
      <c r="AN96" s="125">
        <f ca="1">IF($AA96=0,"",IF($AL96&gt;$AM96,Settings!$C$4,IF($AL96=$AM96,1,0)))</f>
        <v>1</v>
      </c>
      <c r="AO96" s="120">
        <f ca="1">IF($AA96=0,"",IF($AL96&lt;$AM96,Settings!$C$4,IF($AL96=$AM96,1,0)))</f>
        <v>1</v>
      </c>
    </row>
    <row r="97" spans="2:41" s="2" customFormat="1" x14ac:dyDescent="0.2">
      <c r="B97" s="3"/>
      <c r="C97" s="3"/>
      <c r="D97" s="3"/>
      <c r="E97" s="3"/>
      <c r="F97" s="12"/>
      <c r="G97" s="12"/>
      <c r="H97" s="12"/>
      <c r="I97" s="12"/>
      <c r="J97" s="12"/>
      <c r="K97" s="12"/>
      <c r="L97" s="12"/>
      <c r="M97" s="12"/>
      <c r="U97" s="67" t="s">
        <v>48</v>
      </c>
      <c r="V97" s="37" t="str">
        <f ca="1">Planning!$N40</f>
        <v>Maibach 1822 eV</v>
      </c>
      <c r="W97" s="12" t="str">
        <f ca="1">Planning!$P40</f>
        <v>1. FC Riedwald</v>
      </c>
      <c r="X97" s="12">
        <f ca="1">IF(AND(Results!$H43&lt;&gt;"",Results!$J43&lt;&gt;"",ABS(Results!$H43-Results!$J43)&gt;1,Results!$E43&lt;&gt;Results!$G43,$V97&lt;&gt;"",$W97&lt;&gt;""),Results!$H43,"")</f>
        <v>23</v>
      </c>
      <c r="Y97" s="32">
        <f ca="1">IF(AND(Results!$H43&lt;&gt;"",Results!$J43&lt;&gt;"",ABS(Results!$H43-Results!$J43)&gt;1,Results!$E43&lt;&gt;Results!$G43,$V97&lt;&gt;"",$W97&lt;&gt;""),Results!$J43,"")</f>
        <v>25</v>
      </c>
      <c r="Z97" s="31" t="str">
        <f ca="1">IF(Planning!$F40=0,V97&amp;W97,"")</f>
        <v/>
      </c>
      <c r="AA97" s="12">
        <f ca="1">IF(AND(V97&lt;&gt;"",W97&lt;&gt;"",V97&lt;&gt;W97,Results!$Q43&lt;&gt;"",Results!$S43&lt;&gt;""),1,0)</f>
        <v>1</v>
      </c>
      <c r="AB97" s="12" t="str">
        <f ca="1">IF(AND(AA97&gt;0,Planning!$F40=0),AJ97&amp;Language!$E$90&amp;AK97,"")</f>
        <v/>
      </c>
      <c r="AC97" s="2" t="str">
        <f ca="1">IF(Planning!$F40=1,V97&amp;W97,"")</f>
        <v>Maibach 1822 eV1. FC Riedwald</v>
      </c>
      <c r="AD97" s="120" t="str">
        <f ca="1">IF(AND(AA97&gt;0,Planning!$F40=1),AJ97&amp;Language!$E$90&amp;AK97,"")</f>
        <v>48 - 42</v>
      </c>
      <c r="AE97" s="332" t="str">
        <f ca="1">IF(AA97&gt;0,AL97&amp;Language!$E$90&amp;AM97,"")</f>
        <v>1 - 1</v>
      </c>
      <c r="AF97" s="125">
        <f ca="1">IF(AND(Results!$K43&lt;&gt;"",Results!$M43&lt;&gt;"",ABS(Results!$K43-Results!$M43)&gt;1,Results!$E43&lt;&gt;Results!$G43,$V97&lt;&gt;"",$W97&lt;&gt;""),Results!$K43,"")</f>
        <v>25</v>
      </c>
      <c r="AG97" s="12">
        <f ca="1">IF(AND(Results!$K43&lt;&gt;"",Results!$M43&lt;&gt;"",ABS(Results!$K43-Results!$M43)&gt;1,Results!$E43&lt;&gt;Results!$G43,$V97&lt;&gt;"",$W97&lt;&gt;""),Results!$M43,"")</f>
        <v>17</v>
      </c>
      <c r="AH97" s="125" t="str">
        <f ca="1">IF(AND(Results!$N43&lt;&gt;"",Results!$P43&lt;&gt;"",ABS(Results!$N43-Results!$P43)&gt;1,Results!$E43&lt;&gt;Results!$G43,$V97&lt;&gt;"",$W97&lt;&gt;""),Results!$N43,"")</f>
        <v/>
      </c>
      <c r="AI97" s="12" t="str">
        <f ca="1">IF(AND(Results!$N43&lt;&gt;"",Results!$P43&lt;&gt;"",ABS(Results!$N43-Results!$P43)&gt;1,Results!$E43&lt;&gt;Results!$G43,$V97&lt;&gt;"",$W97&lt;&gt;""),Results!$P43,"")</f>
        <v/>
      </c>
      <c r="AJ97" s="125">
        <f t="shared" ca="1" si="73"/>
        <v>48</v>
      </c>
      <c r="AK97" s="120">
        <f t="shared" ca="1" si="74"/>
        <v>42</v>
      </c>
      <c r="AL97" s="125">
        <f ca="1">IF(Results!$Q43="",0,Results!$Q43)</f>
        <v>1</v>
      </c>
      <c r="AM97" s="120">
        <f ca="1">IF(Results!$S43="",0,Results!$S43)</f>
        <v>1</v>
      </c>
      <c r="AN97" s="125">
        <f ca="1">IF($AA97=0,"",IF($AL97&gt;$AM97,Settings!$C$4,IF($AL97=$AM97,1,0)))</f>
        <v>1</v>
      </c>
      <c r="AO97" s="120">
        <f ca="1">IF($AA97=0,"",IF($AL97&lt;$AM97,Settings!$C$4,IF($AL97=$AM97,1,0)))</f>
        <v>1</v>
      </c>
    </row>
    <row r="98" spans="2:41" s="2" customFormat="1" x14ac:dyDescent="0.2">
      <c r="B98" s="3"/>
      <c r="C98" s="3"/>
      <c r="D98" s="3"/>
      <c r="E98" s="3"/>
      <c r="F98" s="12"/>
      <c r="G98" s="12"/>
      <c r="H98" s="12"/>
      <c r="I98" s="12"/>
      <c r="J98" s="12"/>
      <c r="K98" s="12"/>
      <c r="L98" s="12"/>
      <c r="M98" s="12"/>
      <c r="U98" s="67" t="s">
        <v>49</v>
      </c>
      <c r="V98" s="37" t="str">
        <f ca="1">Planning!$N41</f>
        <v>VFB Essenheim</v>
      </c>
      <c r="W98" s="12" t="str">
        <f ca="1">Planning!$P41</f>
        <v>Eintracht Frankfurt</v>
      </c>
      <c r="X98" s="12">
        <f ca="1">IF(AND(Results!$H44&lt;&gt;"",Results!$J44&lt;&gt;"",ABS(Results!$H44-Results!$J44)&gt;1,Results!$E44&lt;&gt;Results!$G44,$V98&lt;&gt;"",$W98&lt;&gt;""),Results!$H44,"")</f>
        <v>21</v>
      </c>
      <c r="Y98" s="32">
        <f ca="1">IF(AND(Results!$H44&lt;&gt;"",Results!$J44&lt;&gt;"",ABS(Results!$H44-Results!$J44)&gt;1,Results!$E44&lt;&gt;Results!$G44,$V98&lt;&gt;"",$W98&lt;&gt;""),Results!$J44,"")</f>
        <v>25</v>
      </c>
      <c r="Z98" s="31" t="str">
        <f ca="1">IF(Planning!$F41=0,V98&amp;W98,"")</f>
        <v/>
      </c>
      <c r="AA98" s="12">
        <f ca="1">IF(AND(V98&lt;&gt;"",W98&lt;&gt;"",V98&lt;&gt;W98,Results!$Q44&lt;&gt;"",Results!$S44&lt;&gt;""),1,0)</f>
        <v>1</v>
      </c>
      <c r="AB98" s="12" t="str">
        <f ca="1">IF(AND(AA98&gt;0,Planning!$F41=0),AJ98&amp;Language!$E$90&amp;AK98,"")</f>
        <v/>
      </c>
      <c r="AC98" s="2" t="str">
        <f ca="1">IF(Planning!$F41=1,V98&amp;W98,"")</f>
        <v>VFB EssenheimEintracht Frankfurt</v>
      </c>
      <c r="AD98" s="120" t="str">
        <f ca="1">IF(AND(AA98&gt;0,Planning!$F41=1),AJ98&amp;Language!$E$90&amp;AK98,"")</f>
        <v>46 - 46</v>
      </c>
      <c r="AE98" s="332" t="str">
        <f ca="1">IF(AA98&gt;0,AL98&amp;Language!$E$90&amp;AM98,"")</f>
        <v>1 - 1</v>
      </c>
      <c r="AF98" s="125">
        <f ca="1">IF(AND(Results!$K44&lt;&gt;"",Results!$M44&lt;&gt;"",ABS(Results!$K44-Results!$M44)&gt;1,Results!$E44&lt;&gt;Results!$G44,$V98&lt;&gt;"",$W98&lt;&gt;""),Results!$K44,"")</f>
        <v>25</v>
      </c>
      <c r="AG98" s="12">
        <f ca="1">IF(AND(Results!$K44&lt;&gt;"",Results!$M44&lt;&gt;"",ABS(Results!$K44-Results!$M44)&gt;1,Results!$E44&lt;&gt;Results!$G44,$V98&lt;&gt;"",$W98&lt;&gt;""),Results!$M44,"")</f>
        <v>21</v>
      </c>
      <c r="AH98" s="125" t="str">
        <f ca="1">IF(AND(Results!$N44&lt;&gt;"",Results!$P44&lt;&gt;"",ABS(Results!$N44-Results!$P44)&gt;1,Results!$E44&lt;&gt;Results!$G44,$V98&lt;&gt;"",$W98&lt;&gt;""),Results!$N44,"")</f>
        <v/>
      </c>
      <c r="AI98" s="12" t="str">
        <f ca="1">IF(AND(Results!$N44&lt;&gt;"",Results!$P44&lt;&gt;"",ABS(Results!$N44-Results!$P44)&gt;1,Results!$E44&lt;&gt;Results!$G44,$V98&lt;&gt;"",$W98&lt;&gt;""),Results!$P44,"")</f>
        <v/>
      </c>
      <c r="AJ98" s="125">
        <f t="shared" ca="1" si="73"/>
        <v>46</v>
      </c>
      <c r="AK98" s="120">
        <f t="shared" ca="1" si="74"/>
        <v>46</v>
      </c>
      <c r="AL98" s="125">
        <f ca="1">IF(Results!$Q44="",0,Results!$Q44)</f>
        <v>1</v>
      </c>
      <c r="AM98" s="120">
        <f ca="1">IF(Results!$S44="",0,Results!$S44)</f>
        <v>1</v>
      </c>
      <c r="AN98" s="125">
        <f ca="1">IF($AA98=0,"",IF($AL98&gt;$AM98,Settings!$C$4,IF($AL98=$AM98,1,0)))</f>
        <v>1</v>
      </c>
      <c r="AO98" s="120">
        <f ca="1">IF($AA98=0,"",IF($AL98&lt;$AM98,Settings!$C$4,IF($AL98=$AM98,1,0)))</f>
        <v>1</v>
      </c>
    </row>
    <row r="99" spans="2:41" s="2" customFormat="1" x14ac:dyDescent="0.2">
      <c r="B99" s="3"/>
      <c r="C99" s="3"/>
      <c r="D99" s="3"/>
      <c r="E99" s="3"/>
      <c r="F99" s="12"/>
      <c r="G99" s="12"/>
      <c r="H99" s="12"/>
      <c r="I99" s="12"/>
      <c r="J99" s="12"/>
      <c r="K99" s="12"/>
      <c r="L99" s="12"/>
      <c r="M99" s="12"/>
      <c r="U99" s="67" t="s">
        <v>50</v>
      </c>
      <c r="V99" s="37" t="str">
        <f ca="1">Planning!$N42</f>
        <v>FC Barcelona</v>
      </c>
      <c r="W99" s="12" t="str">
        <f ca="1">Planning!$P42</f>
        <v>Inter Mailand</v>
      </c>
      <c r="X99" s="12">
        <f ca="1">IF(AND(Results!$H45&lt;&gt;"",Results!$J45&lt;&gt;"",ABS(Results!$H45-Results!$J45)&gt;1,Results!$E45&lt;&gt;Results!$G45,$V99&lt;&gt;"",$W99&lt;&gt;""),Results!$H45,"")</f>
        <v>25</v>
      </c>
      <c r="Y99" s="32">
        <f ca="1">IF(AND(Results!$H45&lt;&gt;"",Results!$J45&lt;&gt;"",ABS(Results!$H45-Results!$J45)&gt;1,Results!$E45&lt;&gt;Results!$G45,$V99&lt;&gt;"",$W99&lt;&gt;""),Results!$J45,"")</f>
        <v>20</v>
      </c>
      <c r="Z99" s="31" t="str">
        <f ca="1">IF(Planning!$F42=0,V99&amp;W99,"")</f>
        <v/>
      </c>
      <c r="AA99" s="12">
        <f ca="1">IF(AND(V99&lt;&gt;"",W99&lt;&gt;"",V99&lt;&gt;W99,Results!$Q45&lt;&gt;"",Results!$S45&lt;&gt;""),1,0)</f>
        <v>1</v>
      </c>
      <c r="AB99" s="12" t="str">
        <f ca="1">IF(AND(AA99&gt;0,Planning!$F42=0),AJ99&amp;Language!$E$90&amp;AK99,"")</f>
        <v/>
      </c>
      <c r="AC99" s="2" t="str">
        <f ca="1">IF(Planning!$F42=1,V99&amp;W99,"")</f>
        <v>FC BarcelonaInter Mailand</v>
      </c>
      <c r="AD99" s="120" t="str">
        <f ca="1">IF(AND(AA99&gt;0,Planning!$F42=1),AJ99&amp;Language!$E$90&amp;AK99,"")</f>
        <v>50 - 39</v>
      </c>
      <c r="AE99" s="332" t="str">
        <f ca="1">IF(AA99&gt;0,AL99&amp;Language!$E$90&amp;AM99,"")</f>
        <v>2 - 0</v>
      </c>
      <c r="AF99" s="125">
        <f ca="1">IF(AND(Results!$K45&lt;&gt;"",Results!$M45&lt;&gt;"",ABS(Results!$K45-Results!$M45)&gt;1,Results!$E45&lt;&gt;Results!$G45,$V99&lt;&gt;"",$W99&lt;&gt;""),Results!$K45,"")</f>
        <v>25</v>
      </c>
      <c r="AG99" s="12">
        <f ca="1">IF(AND(Results!$K45&lt;&gt;"",Results!$M45&lt;&gt;"",ABS(Results!$K45-Results!$M45)&gt;1,Results!$E45&lt;&gt;Results!$G45,$V99&lt;&gt;"",$W99&lt;&gt;""),Results!$M45,"")</f>
        <v>19</v>
      </c>
      <c r="AH99" s="125" t="str">
        <f ca="1">IF(AND(Results!$N45&lt;&gt;"",Results!$P45&lt;&gt;"",ABS(Results!$N45-Results!$P45)&gt;1,Results!$E45&lt;&gt;Results!$G45,$V99&lt;&gt;"",$W99&lt;&gt;""),Results!$N45,"")</f>
        <v/>
      </c>
      <c r="AI99" s="12" t="str">
        <f ca="1">IF(AND(Results!$N45&lt;&gt;"",Results!$P45&lt;&gt;"",ABS(Results!$N45-Results!$P45)&gt;1,Results!$E45&lt;&gt;Results!$G45,$V99&lt;&gt;"",$W99&lt;&gt;""),Results!$P45,"")</f>
        <v/>
      </c>
      <c r="AJ99" s="125">
        <f t="shared" ca="1" si="73"/>
        <v>50</v>
      </c>
      <c r="AK99" s="120">
        <f t="shared" ca="1" si="74"/>
        <v>39</v>
      </c>
      <c r="AL99" s="125">
        <f ca="1">IF(Results!$Q45="",0,Results!$Q45)</f>
        <v>2</v>
      </c>
      <c r="AM99" s="120">
        <f ca="1">IF(Results!$S45="",0,Results!$S45)</f>
        <v>0</v>
      </c>
      <c r="AN99" s="125">
        <f ca="1">IF($AA99=0,"",IF($AL99&gt;$AM99,Settings!$C$4,IF($AL99=$AM99,1,0)))</f>
        <v>2</v>
      </c>
      <c r="AO99" s="120">
        <f ca="1">IF($AA99=0,"",IF($AL99&lt;$AM99,Settings!$C$4,IF($AL99=$AM99,1,0)))</f>
        <v>0</v>
      </c>
    </row>
    <row r="100" spans="2:41" s="2" customFormat="1" x14ac:dyDescent="0.2">
      <c r="B100" s="3"/>
      <c r="C100" s="3"/>
      <c r="D100" s="3"/>
      <c r="E100" s="3"/>
      <c r="F100" s="12"/>
      <c r="G100" s="12"/>
      <c r="H100" s="12"/>
      <c r="I100" s="12"/>
      <c r="J100" s="12"/>
      <c r="K100" s="12"/>
      <c r="L100" s="12"/>
      <c r="M100" s="12"/>
      <c r="U100" s="67" t="s">
        <v>61</v>
      </c>
      <c r="V100" s="37" t="str">
        <f ca="1">Planning!$N43</f>
        <v>1. FC Riedwald</v>
      </c>
      <c r="W100" s="12" t="str">
        <f ca="1">Planning!$P43</f>
        <v>Eintracht Frankfurt</v>
      </c>
      <c r="X100" s="12">
        <f ca="1">IF(AND(Results!$H46&lt;&gt;"",Results!$J46&lt;&gt;"",ABS(Results!$H46-Results!$J46)&gt;1,Results!$E46&lt;&gt;Results!$G46,$V100&lt;&gt;"",$W100&lt;&gt;""),Results!$H46,"")</f>
        <v>25</v>
      </c>
      <c r="Y100" s="32">
        <f ca="1">IF(AND(Results!$H46&lt;&gt;"",Results!$J46&lt;&gt;"",ABS(Results!$H46-Results!$J46)&gt;1,Results!$E46&lt;&gt;Results!$G46,$V100&lt;&gt;"",$W100&lt;&gt;""),Results!$J46,"")</f>
        <v>23</v>
      </c>
      <c r="Z100" s="31" t="str">
        <f ca="1">IF(Planning!$F43=0,V100&amp;W100,"")</f>
        <v/>
      </c>
      <c r="AA100" s="12">
        <f ca="1">IF(AND(V100&lt;&gt;"",W100&lt;&gt;"",V100&lt;&gt;W100,Results!$Q46&lt;&gt;"",Results!$S46&lt;&gt;""),1,0)</f>
        <v>1</v>
      </c>
      <c r="AB100" s="12" t="str">
        <f ca="1">IF(AND(AA100&gt;0,Planning!$F43=0),AJ100&amp;Language!$E$90&amp;AK100,"")</f>
        <v/>
      </c>
      <c r="AC100" s="2" t="str">
        <f ca="1">IF(Planning!$F43=1,V100&amp;W100,"")</f>
        <v>1. FC RiedwaldEintracht Frankfurt</v>
      </c>
      <c r="AD100" s="120" t="str">
        <f ca="1">IF(AND(AA100&gt;0,Planning!$F43=1),AJ100&amp;Language!$E$90&amp;AK100,"")</f>
        <v>50 - 46</v>
      </c>
      <c r="AE100" s="332" t="str">
        <f ca="1">IF(AA100&gt;0,AL100&amp;Language!$E$90&amp;AM100,"")</f>
        <v>2 - 0</v>
      </c>
      <c r="AF100" s="125">
        <f ca="1">IF(AND(Results!$K46&lt;&gt;"",Results!$M46&lt;&gt;"",ABS(Results!$K46-Results!$M46)&gt;1,Results!$E46&lt;&gt;Results!$G46,$V100&lt;&gt;"",$W100&lt;&gt;""),Results!$K46,"")</f>
        <v>25</v>
      </c>
      <c r="AG100" s="12">
        <f ca="1">IF(AND(Results!$K46&lt;&gt;"",Results!$M46&lt;&gt;"",ABS(Results!$K46-Results!$M46)&gt;1,Results!$E46&lt;&gt;Results!$G46,$V100&lt;&gt;"",$W100&lt;&gt;""),Results!$M46,"")</f>
        <v>23</v>
      </c>
      <c r="AH100" s="125" t="str">
        <f ca="1">IF(AND(Results!$N46&lt;&gt;"",Results!$P46&lt;&gt;"",ABS(Results!$N46-Results!$P46)&gt;1,Results!$E46&lt;&gt;Results!$G46,$V100&lt;&gt;"",$W100&lt;&gt;""),Results!$N46,"")</f>
        <v/>
      </c>
      <c r="AI100" s="12" t="str">
        <f ca="1">IF(AND(Results!$N46&lt;&gt;"",Results!$P46&lt;&gt;"",ABS(Results!$N46-Results!$P46)&gt;1,Results!$E46&lt;&gt;Results!$G46,$V100&lt;&gt;"",$W100&lt;&gt;""),Results!$P46,"")</f>
        <v/>
      </c>
      <c r="AJ100" s="125">
        <f t="shared" ca="1" si="73"/>
        <v>50</v>
      </c>
      <c r="AK100" s="120">
        <f t="shared" ca="1" si="74"/>
        <v>46</v>
      </c>
      <c r="AL100" s="125">
        <f ca="1">IF(Results!$Q46="",0,Results!$Q46)</f>
        <v>2</v>
      </c>
      <c r="AM100" s="120">
        <f ca="1">IF(Results!$S46="",0,Results!$S46)</f>
        <v>0</v>
      </c>
      <c r="AN100" s="125">
        <f ca="1">IF($AA100=0,"",IF($AL100&gt;$AM100,Settings!$C$4,IF($AL100=$AM100,1,0)))</f>
        <v>2</v>
      </c>
      <c r="AO100" s="120">
        <f ca="1">IF($AA100=0,"",IF($AL100&lt;$AM100,Settings!$C$4,IF($AL100=$AM100,1,0)))</f>
        <v>0</v>
      </c>
    </row>
    <row r="101" spans="2:41" s="2" customFormat="1" x14ac:dyDescent="0.2">
      <c r="B101" s="3"/>
      <c r="C101" s="3"/>
      <c r="D101" s="3"/>
      <c r="E101" s="3"/>
      <c r="F101" s="12"/>
      <c r="G101" s="12"/>
      <c r="H101" s="12"/>
      <c r="I101" s="12"/>
      <c r="J101" s="12"/>
      <c r="K101" s="12"/>
      <c r="L101" s="12"/>
      <c r="M101" s="12"/>
      <c r="U101" s="67" t="s">
        <v>62</v>
      </c>
      <c r="V101" s="37" t="str">
        <f ca="1">Planning!$N44</f>
        <v>Maibach 1822 eV</v>
      </c>
      <c r="W101" s="12" t="str">
        <f ca="1">Planning!$P44</f>
        <v>FC Barcelona</v>
      </c>
      <c r="X101" s="12">
        <f ca="1">IF(AND(Results!$H47&lt;&gt;"",Results!$J47&lt;&gt;"",ABS(Results!$H47-Results!$J47)&gt;1,Results!$E47&lt;&gt;Results!$G47,$V101&lt;&gt;"",$W101&lt;&gt;""),Results!$H47,"")</f>
        <v>25</v>
      </c>
      <c r="Y101" s="32">
        <f ca="1">IF(AND(Results!$H47&lt;&gt;"",Results!$J47&lt;&gt;"",ABS(Results!$H47-Results!$J47)&gt;1,Results!$E47&lt;&gt;Results!$G47,$V101&lt;&gt;"",$W101&lt;&gt;""),Results!$J47,"")</f>
        <v>16</v>
      </c>
      <c r="Z101" s="31" t="str">
        <f ca="1">IF(Planning!$F44=0,V101&amp;W101,"")</f>
        <v/>
      </c>
      <c r="AA101" s="12">
        <f ca="1">IF(AND(V101&lt;&gt;"",W101&lt;&gt;"",V101&lt;&gt;W101,Results!$Q47&lt;&gt;"",Results!$S47&lt;&gt;""),1,0)</f>
        <v>1</v>
      </c>
      <c r="AB101" s="12" t="str">
        <f ca="1">IF(AND(AA101&gt;0,Planning!$F44=0),AJ101&amp;Language!$E$90&amp;AK101,"")</f>
        <v/>
      </c>
      <c r="AC101" s="2" t="str">
        <f ca="1">IF(Planning!$F44=1,V101&amp;W101,"")</f>
        <v>Maibach 1822 eVFC Barcelona</v>
      </c>
      <c r="AD101" s="120" t="str">
        <f ca="1">IF(AND(AA101&gt;0,Planning!$F44=1),AJ101&amp;Language!$E$90&amp;AK101,"")</f>
        <v>50 - 37</v>
      </c>
      <c r="AE101" s="332" t="str">
        <f ca="1">IF(AA101&gt;0,AL101&amp;Language!$E$90&amp;AM101,"")</f>
        <v>2 - 0</v>
      </c>
      <c r="AF101" s="125">
        <f ca="1">IF(AND(Results!$K47&lt;&gt;"",Results!$M47&lt;&gt;"",ABS(Results!$K47-Results!$M47)&gt;1,Results!$E47&lt;&gt;Results!$G47,$V101&lt;&gt;"",$W101&lt;&gt;""),Results!$K47,"")</f>
        <v>25</v>
      </c>
      <c r="AG101" s="12">
        <f ca="1">IF(AND(Results!$K47&lt;&gt;"",Results!$M47&lt;&gt;"",ABS(Results!$K47-Results!$M47)&gt;1,Results!$E47&lt;&gt;Results!$G47,$V101&lt;&gt;"",$W101&lt;&gt;""),Results!$M47,"")</f>
        <v>21</v>
      </c>
      <c r="AH101" s="125" t="str">
        <f ca="1">IF(AND(Results!$N47&lt;&gt;"",Results!$P47&lt;&gt;"",ABS(Results!$N47-Results!$P47)&gt;1,Results!$E47&lt;&gt;Results!$G47,$V101&lt;&gt;"",$W101&lt;&gt;""),Results!$N47,"")</f>
        <v/>
      </c>
      <c r="AI101" s="12" t="str">
        <f ca="1">IF(AND(Results!$N47&lt;&gt;"",Results!$P47&lt;&gt;"",ABS(Results!$N47-Results!$P47)&gt;1,Results!$E47&lt;&gt;Results!$G47,$V101&lt;&gt;"",$W101&lt;&gt;""),Results!$P47,"")</f>
        <v/>
      </c>
      <c r="AJ101" s="125">
        <f t="shared" ca="1" si="73"/>
        <v>50</v>
      </c>
      <c r="AK101" s="120">
        <f t="shared" ca="1" si="74"/>
        <v>37</v>
      </c>
      <c r="AL101" s="125">
        <f ca="1">IF(Results!$Q47="",0,Results!$Q47)</f>
        <v>2</v>
      </c>
      <c r="AM101" s="120">
        <f ca="1">IF(Results!$S47="",0,Results!$S47)</f>
        <v>0</v>
      </c>
      <c r="AN101" s="125">
        <f ca="1">IF($AA101=0,"",IF($AL101&gt;$AM101,Settings!$C$4,IF($AL101=$AM101,1,0)))</f>
        <v>2</v>
      </c>
      <c r="AO101" s="120">
        <f ca="1">IF($AA101=0,"",IF($AL101&lt;$AM101,Settings!$C$4,IF($AL101=$AM101,1,0)))</f>
        <v>0</v>
      </c>
    </row>
    <row r="102" spans="2:41" s="2" customFormat="1" x14ac:dyDescent="0.2">
      <c r="B102" s="3"/>
      <c r="C102" s="3"/>
      <c r="D102" s="3"/>
      <c r="E102" s="3"/>
      <c r="F102" s="12"/>
      <c r="G102" s="12"/>
      <c r="H102" s="12"/>
      <c r="I102" s="12"/>
      <c r="J102" s="12"/>
      <c r="K102" s="12"/>
      <c r="L102" s="12"/>
      <c r="M102" s="12"/>
      <c r="U102" s="67" t="s">
        <v>63</v>
      </c>
      <c r="V102" s="37" t="str">
        <f ca="1">Planning!$N45</f>
        <v>Inter Mailand</v>
      </c>
      <c r="W102" s="12" t="str">
        <f ca="1">Planning!$P45</f>
        <v>SSV Wildbach</v>
      </c>
      <c r="X102" s="12">
        <f ca="1">IF(AND(Results!$H48&lt;&gt;"",Results!$J48&lt;&gt;"",ABS(Results!$H48-Results!$J48)&gt;1,Results!$E48&lt;&gt;Results!$G48,$V102&lt;&gt;"",$W102&lt;&gt;""),Results!$H48,"")</f>
        <v>25</v>
      </c>
      <c r="Y102" s="32">
        <f ca="1">IF(AND(Results!$H48&lt;&gt;"",Results!$J48&lt;&gt;"",ABS(Results!$H48-Results!$J48)&gt;1,Results!$E48&lt;&gt;Results!$G48,$V102&lt;&gt;"",$W102&lt;&gt;""),Results!$J48,"")</f>
        <v>19</v>
      </c>
      <c r="Z102" s="31" t="str">
        <f ca="1">IF(Planning!$F45=0,V102&amp;W102,"")</f>
        <v/>
      </c>
      <c r="AA102" s="12">
        <f ca="1">IF(AND(V102&lt;&gt;"",W102&lt;&gt;"",V102&lt;&gt;W102,Results!$Q48&lt;&gt;"",Results!$S48&lt;&gt;""),1,0)</f>
        <v>1</v>
      </c>
      <c r="AB102" s="12" t="str">
        <f ca="1">IF(AND(AA102&gt;0,Planning!$F45=0),AJ102&amp;Language!$E$90&amp;AK102,"")</f>
        <v/>
      </c>
      <c r="AC102" s="2" t="str">
        <f ca="1">IF(Planning!$F45=1,V102&amp;W102,"")</f>
        <v>Inter MailandSSV Wildbach</v>
      </c>
      <c r="AD102" s="120" t="str">
        <f ca="1">IF(AND(AA102&gt;0,Planning!$F45=1),AJ102&amp;Language!$E$90&amp;AK102,"")</f>
        <v>50 - 41</v>
      </c>
      <c r="AE102" s="332" t="str">
        <f ca="1">IF(AA102&gt;0,AL102&amp;Language!$E$90&amp;AM102,"")</f>
        <v>2 - 0</v>
      </c>
      <c r="AF102" s="125">
        <f ca="1">IF(AND(Results!$K48&lt;&gt;"",Results!$M48&lt;&gt;"",ABS(Results!$K48-Results!$M48)&gt;1,Results!$E48&lt;&gt;Results!$G48,$V102&lt;&gt;"",$W102&lt;&gt;""),Results!$K48,"")</f>
        <v>25</v>
      </c>
      <c r="AG102" s="12">
        <f ca="1">IF(AND(Results!$K48&lt;&gt;"",Results!$M48&lt;&gt;"",ABS(Results!$K48-Results!$M48)&gt;1,Results!$E48&lt;&gt;Results!$G48,$V102&lt;&gt;"",$W102&lt;&gt;""),Results!$M48,"")</f>
        <v>22</v>
      </c>
      <c r="AH102" s="125" t="str">
        <f ca="1">IF(AND(Results!$N48&lt;&gt;"",Results!$P48&lt;&gt;"",ABS(Results!$N48-Results!$P48)&gt;1,Results!$E48&lt;&gt;Results!$G48,$V102&lt;&gt;"",$W102&lt;&gt;""),Results!$N48,"")</f>
        <v/>
      </c>
      <c r="AI102" s="12" t="str">
        <f ca="1">IF(AND(Results!$N48&lt;&gt;"",Results!$P48&lt;&gt;"",ABS(Results!$N48-Results!$P48)&gt;1,Results!$E48&lt;&gt;Results!$G48,$V102&lt;&gt;"",$W102&lt;&gt;""),Results!$P48,"")</f>
        <v/>
      </c>
      <c r="AJ102" s="125">
        <f t="shared" ca="1" si="73"/>
        <v>50</v>
      </c>
      <c r="AK102" s="120">
        <f t="shared" ca="1" si="74"/>
        <v>41</v>
      </c>
      <c r="AL102" s="125">
        <f ca="1">IF(Results!$Q48="",0,Results!$Q48)</f>
        <v>2</v>
      </c>
      <c r="AM102" s="120">
        <f ca="1">IF(Results!$S48="",0,Results!$S48)</f>
        <v>0</v>
      </c>
      <c r="AN102" s="125">
        <f ca="1">IF($AA102=0,"",IF($AL102&gt;$AM102,Settings!$C$4,IF($AL102=$AM102,1,0)))</f>
        <v>2</v>
      </c>
      <c r="AO102" s="120">
        <f ca="1">IF($AA102=0,"",IF($AL102&lt;$AM102,Settings!$C$4,IF($AL102=$AM102,1,0)))</f>
        <v>0</v>
      </c>
    </row>
    <row r="103" spans="2:41" s="2" customFormat="1" x14ac:dyDescent="0.2">
      <c r="B103" s="3"/>
      <c r="C103" s="3"/>
      <c r="D103" s="3"/>
      <c r="E103" s="3"/>
      <c r="F103" s="12"/>
      <c r="G103" s="12"/>
      <c r="H103" s="12"/>
      <c r="I103" s="12"/>
      <c r="J103" s="12"/>
      <c r="K103" s="12"/>
      <c r="L103" s="12"/>
      <c r="M103" s="12"/>
      <c r="U103" s="67" t="s">
        <v>64</v>
      </c>
      <c r="V103" s="37" t="str">
        <f ca="1">Planning!$N46</f>
        <v>FC Barcelona</v>
      </c>
      <c r="W103" s="12" t="str">
        <f ca="1">Planning!$P46</f>
        <v>1. FC Riedwald</v>
      </c>
      <c r="X103" s="12">
        <f ca="1">IF(AND(Results!$H49&lt;&gt;"",Results!$J49&lt;&gt;"",ABS(Results!$H49-Results!$J49)&gt;1,Results!$E49&lt;&gt;Results!$G49,$V103&lt;&gt;"",$W103&lt;&gt;""),Results!$H49,"")</f>
        <v>25</v>
      </c>
      <c r="Y103" s="32">
        <f ca="1">IF(AND(Results!$H49&lt;&gt;"",Results!$J49&lt;&gt;"",ABS(Results!$H49-Results!$J49)&gt;1,Results!$E49&lt;&gt;Results!$G49,$V103&lt;&gt;"",$W103&lt;&gt;""),Results!$J49,"")</f>
        <v>20</v>
      </c>
      <c r="Z103" s="31" t="str">
        <f ca="1">IF(Planning!$F46=0,V103&amp;W103,"")</f>
        <v/>
      </c>
      <c r="AA103" s="12">
        <f ca="1">IF(AND(V103&lt;&gt;"",W103&lt;&gt;"",V103&lt;&gt;W103,Results!$Q49&lt;&gt;"",Results!$S49&lt;&gt;""),1,0)</f>
        <v>1</v>
      </c>
      <c r="AB103" s="12" t="str">
        <f ca="1">IF(AND(AA103&gt;0,Planning!$F46=0),AJ103&amp;Language!$E$90&amp;AK103,"")</f>
        <v/>
      </c>
      <c r="AC103" s="2" t="str">
        <f ca="1">IF(Planning!$F46=1,V103&amp;W103,"")</f>
        <v>FC Barcelona1. FC Riedwald</v>
      </c>
      <c r="AD103" s="120" t="str">
        <f ca="1">IF(AND(AA103&gt;0,Planning!$F46=1),AJ103&amp;Language!$E$90&amp;AK103,"")</f>
        <v>50 - 39</v>
      </c>
      <c r="AE103" s="332" t="str">
        <f ca="1">IF(AA103&gt;0,AL103&amp;Language!$E$90&amp;AM103,"")</f>
        <v>2 - 0</v>
      </c>
      <c r="AF103" s="125">
        <f ca="1">IF(AND(Results!$K49&lt;&gt;"",Results!$M49&lt;&gt;"",ABS(Results!$K49-Results!$M49)&gt;1,Results!$E49&lt;&gt;Results!$G49,$V103&lt;&gt;"",$W103&lt;&gt;""),Results!$K49,"")</f>
        <v>25</v>
      </c>
      <c r="AG103" s="12">
        <f ca="1">IF(AND(Results!$K49&lt;&gt;"",Results!$M49&lt;&gt;"",ABS(Results!$K49-Results!$M49)&gt;1,Results!$E49&lt;&gt;Results!$G49,$V103&lt;&gt;"",$W103&lt;&gt;""),Results!$M49,"")</f>
        <v>19</v>
      </c>
      <c r="AH103" s="125" t="str">
        <f ca="1">IF(AND(Results!$N49&lt;&gt;"",Results!$P49&lt;&gt;"",ABS(Results!$N49-Results!$P49)&gt;1,Results!$E49&lt;&gt;Results!$G49,$V103&lt;&gt;"",$W103&lt;&gt;""),Results!$N49,"")</f>
        <v/>
      </c>
      <c r="AI103" s="12" t="str">
        <f ca="1">IF(AND(Results!$N49&lt;&gt;"",Results!$P49&lt;&gt;"",ABS(Results!$N49-Results!$P49)&gt;1,Results!$E49&lt;&gt;Results!$G49,$V103&lt;&gt;"",$W103&lt;&gt;""),Results!$P49,"")</f>
        <v/>
      </c>
      <c r="AJ103" s="125">
        <f t="shared" ca="1" si="73"/>
        <v>50</v>
      </c>
      <c r="AK103" s="120">
        <f t="shared" ca="1" si="74"/>
        <v>39</v>
      </c>
      <c r="AL103" s="125">
        <f ca="1">IF(Results!$Q49="",0,Results!$Q49)</f>
        <v>2</v>
      </c>
      <c r="AM103" s="120">
        <f ca="1">IF(Results!$S49="",0,Results!$S49)</f>
        <v>0</v>
      </c>
      <c r="AN103" s="125">
        <f ca="1">IF($AA103=0,"",IF($AL103&gt;$AM103,Settings!$C$4,IF($AL103=$AM103,1,0)))</f>
        <v>2</v>
      </c>
      <c r="AO103" s="120">
        <f ca="1">IF($AA103=0,"",IF($AL103&lt;$AM103,Settings!$C$4,IF($AL103=$AM103,1,0)))</f>
        <v>0</v>
      </c>
    </row>
    <row r="104" spans="2:41" s="2" customFormat="1" x14ac:dyDescent="0.2">
      <c r="B104" s="3"/>
      <c r="C104" s="3"/>
      <c r="D104" s="3"/>
      <c r="E104" s="3"/>
      <c r="F104" s="12"/>
      <c r="G104" s="12"/>
      <c r="H104" s="12"/>
      <c r="I104" s="12"/>
      <c r="J104" s="12"/>
      <c r="K104" s="12"/>
      <c r="L104" s="12"/>
      <c r="M104" s="12"/>
      <c r="U104" s="67" t="s">
        <v>65</v>
      </c>
      <c r="V104" s="37" t="str">
        <f ca="1">Planning!$N47</f>
        <v>SSV Wildbach</v>
      </c>
      <c r="W104" s="12" t="str">
        <f ca="1">Planning!$P47</f>
        <v>Maibach 1822 eV</v>
      </c>
      <c r="X104" s="12">
        <f ca="1">IF(AND(Results!$H50&lt;&gt;"",Results!$J50&lt;&gt;"",ABS(Results!$H50-Results!$J50)&gt;1,Results!$E50&lt;&gt;Results!$G50,$V104&lt;&gt;"",$W104&lt;&gt;""),Results!$H50,"")</f>
        <v>19</v>
      </c>
      <c r="Y104" s="32">
        <f ca="1">IF(AND(Results!$H50&lt;&gt;"",Results!$J50&lt;&gt;"",ABS(Results!$H50-Results!$J50)&gt;1,Results!$E50&lt;&gt;Results!$G50,$V104&lt;&gt;"",$W104&lt;&gt;""),Results!$J50,"")</f>
        <v>25</v>
      </c>
      <c r="Z104" s="31" t="str">
        <f ca="1">IF(Planning!$F47=0,V104&amp;W104,"")</f>
        <v/>
      </c>
      <c r="AA104" s="12">
        <f ca="1">IF(AND(V104&lt;&gt;"",W104&lt;&gt;"",V104&lt;&gt;W104,Results!$Q50&lt;&gt;"",Results!$S50&lt;&gt;""),1,0)</f>
        <v>1</v>
      </c>
      <c r="AB104" s="12" t="str">
        <f ca="1">IF(AND(AA104&gt;0,Planning!$F47=0),AJ104&amp;Language!$E$90&amp;AK104,"")</f>
        <v/>
      </c>
      <c r="AC104" s="2" t="str">
        <f ca="1">IF(Planning!$F47=1,V104&amp;W104,"")</f>
        <v>SSV WildbachMaibach 1822 eV</v>
      </c>
      <c r="AD104" s="120" t="str">
        <f ca="1">IF(AND(AA104&gt;0,Planning!$F47=1),AJ104&amp;Language!$E$90&amp;AK104,"")</f>
        <v>44 - 42</v>
      </c>
      <c r="AE104" s="332" t="str">
        <f ca="1">IF(AA104&gt;0,AL104&amp;Language!$E$90&amp;AM104,"")</f>
        <v>1 - 1</v>
      </c>
      <c r="AF104" s="125">
        <f ca="1">IF(AND(Results!$K50&lt;&gt;"",Results!$M50&lt;&gt;"",ABS(Results!$K50-Results!$M50)&gt;1,Results!$E50&lt;&gt;Results!$G50,$V104&lt;&gt;"",$W104&lt;&gt;""),Results!$K50,"")</f>
        <v>25</v>
      </c>
      <c r="AG104" s="12">
        <f ca="1">IF(AND(Results!$K50&lt;&gt;"",Results!$M50&lt;&gt;"",ABS(Results!$K50-Results!$M50)&gt;1,Results!$E50&lt;&gt;Results!$G50,$V104&lt;&gt;"",$W104&lt;&gt;""),Results!$M50,"")</f>
        <v>17</v>
      </c>
      <c r="AH104" s="125" t="str">
        <f ca="1">IF(AND(Results!$N50&lt;&gt;"",Results!$P50&lt;&gt;"",ABS(Results!$N50-Results!$P50)&gt;1,Results!$E50&lt;&gt;Results!$G50,$V104&lt;&gt;"",$W104&lt;&gt;""),Results!$N50,"")</f>
        <v/>
      </c>
      <c r="AI104" s="12" t="str">
        <f ca="1">IF(AND(Results!$N50&lt;&gt;"",Results!$P50&lt;&gt;"",ABS(Results!$N50-Results!$P50)&gt;1,Results!$E50&lt;&gt;Results!$G50,$V104&lt;&gt;"",$W104&lt;&gt;""),Results!$P50,"")</f>
        <v/>
      </c>
      <c r="AJ104" s="125">
        <f t="shared" ca="1" si="73"/>
        <v>44</v>
      </c>
      <c r="AK104" s="120">
        <f t="shared" ca="1" si="74"/>
        <v>42</v>
      </c>
      <c r="AL104" s="125">
        <f ca="1">IF(Results!$Q50="",0,Results!$Q50)</f>
        <v>1</v>
      </c>
      <c r="AM104" s="120">
        <f ca="1">IF(Results!$S50="",0,Results!$S50)</f>
        <v>1</v>
      </c>
      <c r="AN104" s="125">
        <f ca="1">IF($AA104=0,"",IF($AL104&gt;$AM104,Settings!$C$4,IF($AL104=$AM104,1,0)))</f>
        <v>1</v>
      </c>
      <c r="AO104" s="120">
        <f ca="1">IF($AA104=0,"",IF($AL104&lt;$AM104,Settings!$C$4,IF($AL104=$AM104,1,0)))</f>
        <v>1</v>
      </c>
    </row>
    <row r="105" spans="2:41" s="2" customFormat="1" x14ac:dyDescent="0.2">
      <c r="B105" s="3"/>
      <c r="C105" s="3"/>
      <c r="D105" s="3"/>
      <c r="E105" s="3"/>
      <c r="F105" s="12"/>
      <c r="G105" s="12"/>
      <c r="H105" s="12"/>
      <c r="I105" s="12"/>
      <c r="J105" s="12"/>
      <c r="K105" s="12"/>
      <c r="L105" s="12"/>
      <c r="M105" s="12"/>
      <c r="U105" s="67" t="s">
        <v>66</v>
      </c>
      <c r="V105" s="37" t="str">
        <f ca="1">Planning!$N48</f>
        <v>VFB Essenheim</v>
      </c>
      <c r="W105" s="12" t="str">
        <f ca="1">Planning!$P48</f>
        <v>Inter Mailand</v>
      </c>
      <c r="X105" s="12">
        <f ca="1">IF(AND(Results!$H51&lt;&gt;"",Results!$J51&lt;&gt;"",ABS(Results!$H51-Results!$J51)&gt;1,Results!$E51&lt;&gt;Results!$G51,$V105&lt;&gt;"",$W105&lt;&gt;""),Results!$H51,"")</f>
        <v>17</v>
      </c>
      <c r="Y105" s="32">
        <f ca="1">IF(AND(Results!$H51&lt;&gt;"",Results!$J51&lt;&gt;"",ABS(Results!$H51-Results!$J51)&gt;1,Results!$E51&lt;&gt;Results!$G51,$V105&lt;&gt;"",$W105&lt;&gt;""),Results!$J51,"")</f>
        <v>25</v>
      </c>
      <c r="Z105" s="31" t="str">
        <f ca="1">IF(Planning!$F48=0,V105&amp;W105,"")</f>
        <v/>
      </c>
      <c r="AA105" s="12">
        <f ca="1">IF(AND(V105&lt;&gt;"",W105&lt;&gt;"",V105&lt;&gt;W105,Results!$Q51&lt;&gt;"",Results!$S51&lt;&gt;""),1,0)</f>
        <v>1</v>
      </c>
      <c r="AB105" s="12" t="str">
        <f ca="1">IF(AND(AA105&gt;0,Planning!$F48=0),AJ105&amp;Language!$E$90&amp;AK105,"")</f>
        <v/>
      </c>
      <c r="AC105" s="2" t="str">
        <f ca="1">IF(Planning!$F48=1,V105&amp;W105,"")</f>
        <v>VFB EssenheimInter Mailand</v>
      </c>
      <c r="AD105" s="120" t="str">
        <f ca="1">IF(AND(AA105&gt;0,Planning!$F48=1),AJ105&amp;Language!$E$90&amp;AK105,"")</f>
        <v>42 - 41</v>
      </c>
      <c r="AE105" s="332" t="str">
        <f ca="1">IF(AA105&gt;0,AL105&amp;Language!$E$90&amp;AM105,"")</f>
        <v>1 - 1</v>
      </c>
      <c r="AF105" s="125">
        <f ca="1">IF(AND(Results!$K51&lt;&gt;"",Results!$M51&lt;&gt;"",ABS(Results!$K51-Results!$M51)&gt;1,Results!$E51&lt;&gt;Results!$G51,$V105&lt;&gt;"",$W105&lt;&gt;""),Results!$K51,"")</f>
        <v>25</v>
      </c>
      <c r="AG105" s="12">
        <f ca="1">IF(AND(Results!$K51&lt;&gt;"",Results!$M51&lt;&gt;"",ABS(Results!$K51-Results!$M51)&gt;1,Results!$E51&lt;&gt;Results!$G51,$V105&lt;&gt;"",$W105&lt;&gt;""),Results!$M51,"")</f>
        <v>16</v>
      </c>
      <c r="AH105" s="125" t="str">
        <f ca="1">IF(AND(Results!$N51&lt;&gt;"",Results!$P51&lt;&gt;"",ABS(Results!$N51-Results!$P51)&gt;1,Results!$E51&lt;&gt;Results!$G51,$V105&lt;&gt;"",$W105&lt;&gt;""),Results!$N51,"")</f>
        <v/>
      </c>
      <c r="AI105" s="12" t="str">
        <f ca="1">IF(AND(Results!$N51&lt;&gt;"",Results!$P51&lt;&gt;"",ABS(Results!$N51-Results!$P51)&gt;1,Results!$E51&lt;&gt;Results!$G51,$V105&lt;&gt;"",$W105&lt;&gt;""),Results!$P51,"")</f>
        <v/>
      </c>
      <c r="AJ105" s="125">
        <f t="shared" ca="1" si="73"/>
        <v>42</v>
      </c>
      <c r="AK105" s="120">
        <f t="shared" ca="1" si="74"/>
        <v>41</v>
      </c>
      <c r="AL105" s="125">
        <f ca="1">IF(Results!$Q51="",0,Results!$Q51)</f>
        <v>1</v>
      </c>
      <c r="AM105" s="120">
        <f ca="1">IF(Results!$S51="",0,Results!$S51)</f>
        <v>1</v>
      </c>
      <c r="AN105" s="125">
        <f ca="1">IF($AA105=0,"",IF($AL105&gt;$AM105,Settings!$C$4,IF($AL105=$AM105,1,0)))</f>
        <v>1</v>
      </c>
      <c r="AO105" s="120">
        <f ca="1">IF($AA105=0,"",IF($AL105&lt;$AM105,Settings!$C$4,IF($AL105=$AM105,1,0)))</f>
        <v>1</v>
      </c>
    </row>
    <row r="106" spans="2:41" s="2" customFormat="1" x14ac:dyDescent="0.2">
      <c r="B106" s="3"/>
      <c r="C106" s="3"/>
      <c r="D106" s="3"/>
      <c r="E106" s="3"/>
      <c r="F106" s="12"/>
      <c r="G106" s="12"/>
      <c r="H106" s="12"/>
      <c r="I106" s="12"/>
      <c r="J106" s="12"/>
      <c r="K106" s="12"/>
      <c r="L106" s="12"/>
      <c r="M106" s="12"/>
      <c r="U106" s="67" t="s">
        <v>67</v>
      </c>
      <c r="V106" s="37" t="str">
        <f ca="1">Planning!$N49</f>
        <v/>
      </c>
      <c r="W106" s="12" t="str">
        <f ca="1">Planning!$P49</f>
        <v/>
      </c>
      <c r="X106" s="12" t="str">
        <f ca="1">IF(AND(Results!$H52&lt;&gt;"",Results!$J52&lt;&gt;"",ABS(Results!$H52-Results!$J52)&gt;1,Results!$E52&lt;&gt;Results!$G52,$V106&lt;&gt;"",$W106&lt;&gt;""),Results!$H52,"")</f>
        <v/>
      </c>
      <c r="Y106" s="32" t="str">
        <f ca="1">IF(AND(Results!$H52&lt;&gt;"",Results!$J52&lt;&gt;"",ABS(Results!$H52-Results!$J52)&gt;1,Results!$E52&lt;&gt;Results!$G52,$V106&lt;&gt;"",$W106&lt;&gt;""),Results!$J52,"")</f>
        <v/>
      </c>
      <c r="Z106" s="31" t="str">
        <f ca="1">IF(Planning!$F49=0,V106&amp;W106,"")</f>
        <v/>
      </c>
      <c r="AA106" s="12">
        <f ca="1">IF(AND(V106&lt;&gt;"",W106&lt;&gt;"",V106&lt;&gt;W106,Results!$Q52&lt;&gt;"",Results!$S52&lt;&gt;""),1,0)</f>
        <v>0</v>
      </c>
      <c r="AB106" s="12" t="str">
        <f ca="1">IF(AND(AA106&gt;0,Planning!$F49=0),AJ106&amp;Language!$E$90&amp;AK106,"")</f>
        <v/>
      </c>
      <c r="AC106" s="2" t="str">
        <f ca="1">IF(Planning!$F49=1,V106&amp;W106,"")</f>
        <v/>
      </c>
      <c r="AD106" s="120" t="str">
        <f ca="1">IF(AND(AA106&gt;0,Planning!$F49=1),AJ106&amp;Language!$E$90&amp;AK106,"")</f>
        <v/>
      </c>
      <c r="AE106" s="332" t="str">
        <f ca="1">IF(AA106&gt;0,AL106&amp;Language!$E$90&amp;AM106,"")</f>
        <v/>
      </c>
      <c r="AF106" s="125" t="str">
        <f ca="1">IF(AND(Results!$K52&lt;&gt;"",Results!$M52&lt;&gt;"",ABS(Results!$K52-Results!$M52)&gt;1,Results!$E52&lt;&gt;Results!$G52,$V106&lt;&gt;"",$W106&lt;&gt;""),Results!$K52,"")</f>
        <v/>
      </c>
      <c r="AG106" s="12" t="str">
        <f ca="1">IF(AND(Results!$K52&lt;&gt;"",Results!$M52&lt;&gt;"",ABS(Results!$K52-Results!$M52)&gt;1,Results!$E52&lt;&gt;Results!$G52,$V106&lt;&gt;"",$W106&lt;&gt;""),Results!$M52,"")</f>
        <v/>
      </c>
      <c r="AH106" s="125" t="str">
        <f ca="1">IF(AND(Results!$N52&lt;&gt;"",Results!$P52&lt;&gt;"",ABS(Results!$N52-Results!$P52)&gt;1,Results!$E52&lt;&gt;Results!$G52,$V106&lt;&gt;"",$W106&lt;&gt;""),Results!$N52,"")</f>
        <v/>
      </c>
      <c r="AI106" s="12" t="str">
        <f ca="1">IF(AND(Results!$N52&lt;&gt;"",Results!$P52&lt;&gt;"",ABS(Results!$N52-Results!$P52)&gt;1,Results!$E52&lt;&gt;Results!$G52,$V106&lt;&gt;"",$W106&lt;&gt;""),Results!$P52,"")</f>
        <v/>
      </c>
      <c r="AJ106" s="125" t="str">
        <f t="shared" ca="1" si="73"/>
        <v/>
      </c>
      <c r="AK106" s="120" t="str">
        <f t="shared" ca="1" si="74"/>
        <v/>
      </c>
      <c r="AL106" s="125">
        <f ca="1">IF(Results!$Q52="",0,Results!$Q52)</f>
        <v>0</v>
      </c>
      <c r="AM106" s="120">
        <f ca="1">IF(Results!$S52="",0,Results!$S52)</f>
        <v>0</v>
      </c>
      <c r="AN106" s="125" t="str">
        <f ca="1">IF($AA106=0,"",IF($AL106&gt;$AM106,Settings!$C$4,IF($AL106=$AM106,1,0)))</f>
        <v/>
      </c>
      <c r="AO106" s="120" t="str">
        <f ca="1">IF($AA106=0,"",IF($AL106&lt;$AM106,Settings!$C$4,IF($AL106=$AM106,1,0)))</f>
        <v/>
      </c>
    </row>
    <row r="107" spans="2:41" s="2" customFormat="1" x14ac:dyDescent="0.2">
      <c r="B107" s="3"/>
      <c r="C107" s="3"/>
      <c r="D107" s="3"/>
      <c r="E107" s="3"/>
      <c r="F107" s="12"/>
      <c r="G107" s="12"/>
      <c r="H107" s="12"/>
      <c r="I107" s="12"/>
      <c r="J107" s="12"/>
      <c r="K107" s="12"/>
      <c r="L107" s="12"/>
      <c r="M107" s="12"/>
      <c r="U107" s="67" t="s">
        <v>68</v>
      </c>
      <c r="V107" s="37" t="str">
        <f ca="1">Planning!$N50</f>
        <v/>
      </c>
      <c r="W107" s="12" t="str">
        <f ca="1">Planning!$P50</f>
        <v/>
      </c>
      <c r="X107" s="12" t="str">
        <f ca="1">IF(AND(Results!$H53&lt;&gt;"",Results!$J53&lt;&gt;"",ABS(Results!$H53-Results!$J53)&gt;1,Results!$E53&lt;&gt;Results!$G53,$V107&lt;&gt;"",$W107&lt;&gt;""),Results!$H53,"")</f>
        <v/>
      </c>
      <c r="Y107" s="32" t="str">
        <f ca="1">IF(AND(Results!$H53&lt;&gt;"",Results!$J53&lt;&gt;"",ABS(Results!$H53-Results!$J53)&gt;1,Results!$E53&lt;&gt;Results!$G53,$V107&lt;&gt;"",$W107&lt;&gt;""),Results!$J53,"")</f>
        <v/>
      </c>
      <c r="Z107" s="31" t="str">
        <f ca="1">IF(Planning!$F50=0,V107&amp;W107,"")</f>
        <v/>
      </c>
      <c r="AA107" s="12">
        <f ca="1">IF(AND(V107&lt;&gt;"",W107&lt;&gt;"",V107&lt;&gt;W107,Results!$Q53&lt;&gt;"",Results!$S53&lt;&gt;""),1,0)</f>
        <v>0</v>
      </c>
      <c r="AB107" s="12" t="str">
        <f ca="1">IF(AND(AA107&gt;0,Planning!$F50=0),AJ107&amp;Language!$E$90&amp;AK107,"")</f>
        <v/>
      </c>
      <c r="AC107" s="2" t="str">
        <f ca="1">IF(Planning!$F50=1,V107&amp;W107,"")</f>
        <v/>
      </c>
      <c r="AD107" s="120" t="str">
        <f ca="1">IF(AND(AA107&gt;0,Planning!$F50=1),AJ107&amp;Language!$E$90&amp;AK107,"")</f>
        <v/>
      </c>
      <c r="AE107" s="332" t="str">
        <f ca="1">IF(AA107&gt;0,AL107&amp;Language!$E$90&amp;AM107,"")</f>
        <v/>
      </c>
      <c r="AF107" s="125" t="str">
        <f ca="1">IF(AND(Results!$K53&lt;&gt;"",Results!$M53&lt;&gt;"",ABS(Results!$K53-Results!$M53)&gt;1,Results!$E53&lt;&gt;Results!$G53,$V107&lt;&gt;"",$W107&lt;&gt;""),Results!$K53,"")</f>
        <v/>
      </c>
      <c r="AG107" s="12" t="str">
        <f ca="1">IF(AND(Results!$K53&lt;&gt;"",Results!$M53&lt;&gt;"",ABS(Results!$K53-Results!$M53)&gt;1,Results!$E53&lt;&gt;Results!$G53,$V107&lt;&gt;"",$W107&lt;&gt;""),Results!$M53,"")</f>
        <v/>
      </c>
      <c r="AH107" s="125" t="str">
        <f ca="1">IF(AND(Results!$N53&lt;&gt;"",Results!$P53&lt;&gt;"",ABS(Results!$N53-Results!$P53)&gt;1,Results!$E53&lt;&gt;Results!$G53,$V107&lt;&gt;"",$W107&lt;&gt;""),Results!$N53,"")</f>
        <v/>
      </c>
      <c r="AI107" s="12" t="str">
        <f ca="1">IF(AND(Results!$N53&lt;&gt;"",Results!$P53&lt;&gt;"",ABS(Results!$N53-Results!$P53)&gt;1,Results!$E53&lt;&gt;Results!$G53,$V107&lt;&gt;"",$W107&lt;&gt;""),Results!$P53,"")</f>
        <v/>
      </c>
      <c r="AJ107" s="125" t="str">
        <f t="shared" ca="1" si="73"/>
        <v/>
      </c>
      <c r="AK107" s="120" t="str">
        <f t="shared" ca="1" si="74"/>
        <v/>
      </c>
      <c r="AL107" s="125">
        <f ca="1">IF(Results!$Q53="",0,Results!$Q53)</f>
        <v>0</v>
      </c>
      <c r="AM107" s="120">
        <f ca="1">IF(Results!$S53="",0,Results!$S53)</f>
        <v>0</v>
      </c>
      <c r="AN107" s="125" t="str">
        <f ca="1">IF($AA107=0,"",IF($AL107&gt;$AM107,Settings!$C$4,IF($AL107=$AM107,1,0)))</f>
        <v/>
      </c>
      <c r="AO107" s="120" t="str">
        <f ca="1">IF($AA107=0,"",IF($AL107&lt;$AM107,Settings!$C$4,IF($AL107=$AM107,1,0)))</f>
        <v/>
      </c>
    </row>
    <row r="108" spans="2:41" s="2" customFormat="1" x14ac:dyDescent="0.2">
      <c r="B108" s="3"/>
      <c r="C108" s="3"/>
      <c r="D108" s="3"/>
      <c r="E108" s="3"/>
      <c r="F108" s="12"/>
      <c r="G108" s="12"/>
      <c r="H108" s="12"/>
      <c r="I108" s="12"/>
      <c r="J108" s="12"/>
      <c r="K108" s="12"/>
      <c r="L108" s="12"/>
      <c r="M108" s="12"/>
      <c r="U108" s="67" t="s">
        <v>69</v>
      </c>
      <c r="V108" s="37" t="str">
        <f ca="1">Planning!$N51</f>
        <v/>
      </c>
      <c r="W108" s="12" t="str">
        <f ca="1">Planning!$P51</f>
        <v/>
      </c>
      <c r="X108" s="12" t="str">
        <f ca="1">IF(AND(Results!$H54&lt;&gt;"",Results!$J54&lt;&gt;"",ABS(Results!$H54-Results!$J54)&gt;1,Results!$E54&lt;&gt;Results!$G54,$V108&lt;&gt;"",$W108&lt;&gt;""),Results!$H54,"")</f>
        <v/>
      </c>
      <c r="Y108" s="32" t="str">
        <f ca="1">IF(AND(Results!$H54&lt;&gt;"",Results!$J54&lt;&gt;"",ABS(Results!$H54-Results!$J54)&gt;1,Results!$E54&lt;&gt;Results!$G54,$V108&lt;&gt;"",$W108&lt;&gt;""),Results!$J54,"")</f>
        <v/>
      </c>
      <c r="Z108" s="31" t="str">
        <f ca="1">IF(Planning!$F51=0,V108&amp;W108,"")</f>
        <v/>
      </c>
      <c r="AA108" s="12">
        <f ca="1">IF(AND(V108&lt;&gt;"",W108&lt;&gt;"",V108&lt;&gt;W108,Results!$Q54&lt;&gt;"",Results!$S54&lt;&gt;""),1,0)</f>
        <v>0</v>
      </c>
      <c r="AB108" s="12" t="str">
        <f ca="1">IF(AND(AA108&gt;0,Planning!$F51=0),AJ108&amp;Language!$E$90&amp;AK108,"")</f>
        <v/>
      </c>
      <c r="AC108" s="2" t="str">
        <f ca="1">IF(Planning!$F51=1,V108&amp;W108,"")</f>
        <v/>
      </c>
      <c r="AD108" s="120" t="str">
        <f ca="1">IF(AND(AA108&gt;0,Planning!$F51=1),AJ108&amp;Language!$E$90&amp;AK108,"")</f>
        <v/>
      </c>
      <c r="AE108" s="332" t="str">
        <f ca="1">IF(AA108&gt;0,AL108&amp;Language!$E$90&amp;AM108,"")</f>
        <v/>
      </c>
      <c r="AF108" s="125" t="str">
        <f ca="1">IF(AND(Results!$K54&lt;&gt;"",Results!$M54&lt;&gt;"",ABS(Results!$K54-Results!$M54)&gt;1,Results!$E54&lt;&gt;Results!$G54,$V108&lt;&gt;"",$W108&lt;&gt;""),Results!$K54,"")</f>
        <v/>
      </c>
      <c r="AG108" s="12" t="str">
        <f ca="1">IF(AND(Results!$K54&lt;&gt;"",Results!$M54&lt;&gt;"",ABS(Results!$K54-Results!$M54)&gt;1,Results!$E54&lt;&gt;Results!$G54,$V108&lt;&gt;"",$W108&lt;&gt;""),Results!$M54,"")</f>
        <v/>
      </c>
      <c r="AH108" s="125" t="str">
        <f ca="1">IF(AND(Results!$N54&lt;&gt;"",Results!$P54&lt;&gt;"",ABS(Results!$N54-Results!$P54)&gt;1,Results!$E54&lt;&gt;Results!$G54,$V108&lt;&gt;"",$W108&lt;&gt;""),Results!$N54,"")</f>
        <v/>
      </c>
      <c r="AI108" s="12" t="str">
        <f ca="1">IF(AND(Results!$N54&lt;&gt;"",Results!$P54&lt;&gt;"",ABS(Results!$N54-Results!$P54)&gt;1,Results!$E54&lt;&gt;Results!$G54,$V108&lt;&gt;"",$W108&lt;&gt;""),Results!$P54,"")</f>
        <v/>
      </c>
      <c r="AJ108" s="125" t="str">
        <f t="shared" ca="1" si="73"/>
        <v/>
      </c>
      <c r="AK108" s="120" t="str">
        <f t="shared" ca="1" si="74"/>
        <v/>
      </c>
      <c r="AL108" s="125">
        <f ca="1">IF(Results!$Q54="",0,Results!$Q54)</f>
        <v>0</v>
      </c>
      <c r="AM108" s="120">
        <f ca="1">IF(Results!$S54="",0,Results!$S54)</f>
        <v>0</v>
      </c>
      <c r="AN108" s="125" t="str">
        <f ca="1">IF($AA108=0,"",IF($AL108&gt;$AM108,Settings!$C$4,IF($AL108=$AM108,1,0)))</f>
        <v/>
      </c>
      <c r="AO108" s="120" t="str">
        <f ca="1">IF($AA108=0,"",IF($AL108&lt;$AM108,Settings!$C$4,IF($AL108=$AM108,1,0)))</f>
        <v/>
      </c>
    </row>
    <row r="109" spans="2:41" s="2" customFormat="1" x14ac:dyDescent="0.2">
      <c r="B109" s="3"/>
      <c r="C109" s="3"/>
      <c r="D109" s="3"/>
      <c r="E109" s="3"/>
      <c r="F109" s="12"/>
      <c r="G109" s="12"/>
      <c r="H109" s="12"/>
      <c r="I109" s="12"/>
      <c r="J109" s="12"/>
      <c r="K109" s="12"/>
      <c r="L109" s="12"/>
      <c r="M109" s="12"/>
      <c r="U109" s="67" t="s">
        <v>70</v>
      </c>
      <c r="V109" s="37" t="str">
        <f ca="1">Planning!$N52</f>
        <v/>
      </c>
      <c r="W109" s="12" t="str">
        <f ca="1">Planning!$P52</f>
        <v/>
      </c>
      <c r="X109" s="12" t="str">
        <f ca="1">IF(AND(Results!$H55&lt;&gt;"",Results!$J55&lt;&gt;"",ABS(Results!$H55-Results!$J55)&gt;1,Results!$E55&lt;&gt;Results!$G55,$V109&lt;&gt;"",$W109&lt;&gt;""),Results!$H55,"")</f>
        <v/>
      </c>
      <c r="Y109" s="32" t="str">
        <f ca="1">IF(AND(Results!$H55&lt;&gt;"",Results!$J55&lt;&gt;"",ABS(Results!$H55-Results!$J55)&gt;1,Results!$E55&lt;&gt;Results!$G55,$V109&lt;&gt;"",$W109&lt;&gt;""),Results!$J55,"")</f>
        <v/>
      </c>
      <c r="Z109" s="31" t="str">
        <f ca="1">IF(Planning!$F52=0,V109&amp;W109,"")</f>
        <v/>
      </c>
      <c r="AA109" s="12">
        <f ca="1">IF(AND(V109&lt;&gt;"",W109&lt;&gt;"",V109&lt;&gt;W109,Results!$Q55&lt;&gt;"",Results!$S55&lt;&gt;""),1,0)</f>
        <v>0</v>
      </c>
      <c r="AB109" s="12" t="str">
        <f ca="1">IF(AND(AA109&gt;0,Planning!$F52=0),AJ109&amp;Language!$E$90&amp;AK109,"")</f>
        <v/>
      </c>
      <c r="AC109" s="2" t="str">
        <f ca="1">IF(Planning!$F52=1,V109&amp;W109,"")</f>
        <v/>
      </c>
      <c r="AD109" s="120" t="str">
        <f ca="1">IF(AND(AA109&gt;0,Planning!$F52=1),AJ109&amp;Language!$E$90&amp;AK109,"")</f>
        <v/>
      </c>
      <c r="AE109" s="332" t="str">
        <f ca="1">IF(AA109&gt;0,AL109&amp;Language!$E$90&amp;AM109,"")</f>
        <v/>
      </c>
      <c r="AF109" s="125" t="str">
        <f ca="1">IF(AND(Results!$K55&lt;&gt;"",Results!$M55&lt;&gt;"",ABS(Results!$K55-Results!$M55)&gt;1,Results!$E55&lt;&gt;Results!$G55,$V109&lt;&gt;"",$W109&lt;&gt;""),Results!$K55,"")</f>
        <v/>
      </c>
      <c r="AG109" s="12" t="str">
        <f ca="1">IF(AND(Results!$K55&lt;&gt;"",Results!$M55&lt;&gt;"",ABS(Results!$K55-Results!$M55)&gt;1,Results!$E55&lt;&gt;Results!$G55,$V109&lt;&gt;"",$W109&lt;&gt;""),Results!$M55,"")</f>
        <v/>
      </c>
      <c r="AH109" s="125" t="str">
        <f ca="1">IF(AND(Results!$N55&lt;&gt;"",Results!$P55&lt;&gt;"",ABS(Results!$N55-Results!$P55)&gt;1,Results!$E55&lt;&gt;Results!$G55,$V109&lt;&gt;"",$W109&lt;&gt;""),Results!$N55,"")</f>
        <v/>
      </c>
      <c r="AI109" s="12" t="str">
        <f ca="1">IF(AND(Results!$N55&lt;&gt;"",Results!$P55&lt;&gt;"",ABS(Results!$N55-Results!$P55)&gt;1,Results!$E55&lt;&gt;Results!$G55,$V109&lt;&gt;"",$W109&lt;&gt;""),Results!$P55,"")</f>
        <v/>
      </c>
      <c r="AJ109" s="125" t="str">
        <f t="shared" ca="1" si="73"/>
        <v/>
      </c>
      <c r="AK109" s="120" t="str">
        <f t="shared" ca="1" si="74"/>
        <v/>
      </c>
      <c r="AL109" s="125">
        <f ca="1">IF(Results!$Q55="",0,Results!$Q55)</f>
        <v>0</v>
      </c>
      <c r="AM109" s="120">
        <f ca="1">IF(Results!$S55="",0,Results!$S55)</f>
        <v>0</v>
      </c>
      <c r="AN109" s="125" t="str">
        <f ca="1">IF($AA109=0,"",IF($AL109&gt;$AM109,Settings!$C$4,IF($AL109=$AM109,1,0)))</f>
        <v/>
      </c>
      <c r="AO109" s="120" t="str">
        <f ca="1">IF($AA109=0,"",IF($AL109&lt;$AM109,Settings!$C$4,IF($AL109=$AM109,1,0)))</f>
        <v/>
      </c>
    </row>
    <row r="110" spans="2:41" s="2" customFormat="1" x14ac:dyDescent="0.2">
      <c r="B110" s="3"/>
      <c r="C110" s="3"/>
      <c r="D110" s="3"/>
      <c r="E110" s="3"/>
      <c r="F110" s="12"/>
      <c r="G110" s="12"/>
      <c r="H110" s="12"/>
      <c r="I110" s="12"/>
      <c r="J110" s="12"/>
      <c r="K110" s="12"/>
      <c r="L110" s="12"/>
      <c r="M110" s="12"/>
      <c r="U110" s="67" t="s">
        <v>71</v>
      </c>
      <c r="V110" s="37" t="str">
        <f ca="1">Planning!$N53</f>
        <v/>
      </c>
      <c r="W110" s="12" t="str">
        <f ca="1">Planning!$P53</f>
        <v/>
      </c>
      <c r="X110" s="12" t="str">
        <f ca="1">IF(AND(Results!$H56&lt;&gt;"",Results!$J56&lt;&gt;"",ABS(Results!$H56-Results!$J56)&gt;1,Results!$E56&lt;&gt;Results!$G56,$V110&lt;&gt;"",$W110&lt;&gt;""),Results!$H56,"")</f>
        <v/>
      </c>
      <c r="Y110" s="32" t="str">
        <f ca="1">IF(AND(Results!$H56&lt;&gt;"",Results!$J56&lt;&gt;"",ABS(Results!$H56-Results!$J56)&gt;1,Results!$E56&lt;&gt;Results!$G56,$V110&lt;&gt;"",$W110&lt;&gt;""),Results!$J56,"")</f>
        <v/>
      </c>
      <c r="Z110" s="31" t="str">
        <f ca="1">IF(Planning!$F53=0,V110&amp;W110,"")</f>
        <v/>
      </c>
      <c r="AA110" s="12">
        <f ca="1">IF(AND(V110&lt;&gt;"",W110&lt;&gt;"",V110&lt;&gt;W110,Results!$Q56&lt;&gt;"",Results!$S56&lt;&gt;""),1,0)</f>
        <v>0</v>
      </c>
      <c r="AB110" s="12" t="str">
        <f ca="1">IF(AND(AA110&gt;0,Planning!$F53=0),AJ110&amp;Language!$E$90&amp;AK110,"")</f>
        <v/>
      </c>
      <c r="AC110" s="2" t="str">
        <f ca="1">IF(Planning!$F53=1,V110&amp;W110,"")</f>
        <v/>
      </c>
      <c r="AD110" s="120" t="str">
        <f ca="1">IF(AND(AA110&gt;0,Planning!$F53=1),AJ110&amp;Language!$E$90&amp;AK110,"")</f>
        <v/>
      </c>
      <c r="AE110" s="332" t="str">
        <f ca="1">IF(AA110&gt;0,AL110&amp;Language!$E$90&amp;AM110,"")</f>
        <v/>
      </c>
      <c r="AF110" s="125" t="str">
        <f ca="1">IF(AND(Results!$K56&lt;&gt;"",Results!$M56&lt;&gt;"",ABS(Results!$K56-Results!$M56)&gt;1,Results!$E56&lt;&gt;Results!$G56,$V110&lt;&gt;"",$W110&lt;&gt;""),Results!$K56,"")</f>
        <v/>
      </c>
      <c r="AG110" s="12" t="str">
        <f ca="1">IF(AND(Results!$K56&lt;&gt;"",Results!$M56&lt;&gt;"",ABS(Results!$K56-Results!$M56)&gt;1,Results!$E56&lt;&gt;Results!$G56,$V110&lt;&gt;"",$W110&lt;&gt;""),Results!$M56,"")</f>
        <v/>
      </c>
      <c r="AH110" s="125" t="str">
        <f ca="1">IF(AND(Results!$N56&lt;&gt;"",Results!$P56&lt;&gt;"",ABS(Results!$N56-Results!$P56)&gt;1,Results!$E56&lt;&gt;Results!$G56,$V110&lt;&gt;"",$W110&lt;&gt;""),Results!$N56,"")</f>
        <v/>
      </c>
      <c r="AI110" s="12" t="str">
        <f ca="1">IF(AND(Results!$N56&lt;&gt;"",Results!$P56&lt;&gt;"",ABS(Results!$N56-Results!$P56)&gt;1,Results!$E56&lt;&gt;Results!$G56,$V110&lt;&gt;"",$W110&lt;&gt;""),Results!$P56,"")</f>
        <v/>
      </c>
      <c r="AJ110" s="125" t="str">
        <f t="shared" ca="1" si="73"/>
        <v/>
      </c>
      <c r="AK110" s="120" t="str">
        <f t="shared" ca="1" si="74"/>
        <v/>
      </c>
      <c r="AL110" s="125">
        <f ca="1">IF(Results!$Q56="",0,Results!$Q56)</f>
        <v>0</v>
      </c>
      <c r="AM110" s="120">
        <f ca="1">IF(Results!$S56="",0,Results!$S56)</f>
        <v>0</v>
      </c>
      <c r="AN110" s="125" t="str">
        <f ca="1">IF($AA110=0,"",IF($AL110&gt;$AM110,Settings!$C$4,IF($AL110=$AM110,1,0)))</f>
        <v/>
      </c>
      <c r="AO110" s="120" t="str">
        <f ca="1">IF($AA110=0,"",IF($AL110&lt;$AM110,Settings!$C$4,IF($AL110=$AM110,1,0)))</f>
        <v/>
      </c>
    </row>
    <row r="111" spans="2:41" s="2" customFormat="1" x14ac:dyDescent="0.2">
      <c r="B111" s="3"/>
      <c r="C111" s="3"/>
      <c r="D111" s="3"/>
      <c r="E111" s="3"/>
      <c r="F111" s="12"/>
      <c r="G111" s="12"/>
      <c r="H111" s="12"/>
      <c r="I111" s="12"/>
      <c r="J111" s="12"/>
      <c r="K111" s="12"/>
      <c r="L111" s="12"/>
      <c r="M111" s="12"/>
      <c r="U111" s="67" t="s">
        <v>72</v>
      </c>
      <c r="V111" s="37" t="str">
        <f ca="1">Planning!$N54</f>
        <v/>
      </c>
      <c r="W111" s="12" t="str">
        <f ca="1">Planning!$P54</f>
        <v/>
      </c>
      <c r="X111" s="12" t="str">
        <f ca="1">IF(AND(Results!$H57&lt;&gt;"",Results!$J57&lt;&gt;"",ABS(Results!$H57-Results!$J57)&gt;1,Results!$E57&lt;&gt;Results!$G57,$V111&lt;&gt;"",$W111&lt;&gt;""),Results!$H57,"")</f>
        <v/>
      </c>
      <c r="Y111" s="32" t="str">
        <f ca="1">IF(AND(Results!$H57&lt;&gt;"",Results!$J57&lt;&gt;"",ABS(Results!$H57-Results!$J57)&gt;1,Results!$E57&lt;&gt;Results!$G57,$V111&lt;&gt;"",$W111&lt;&gt;""),Results!$J57,"")</f>
        <v/>
      </c>
      <c r="Z111" s="31" t="str">
        <f ca="1">IF(Planning!$F54=0,V111&amp;W111,"")</f>
        <v/>
      </c>
      <c r="AA111" s="12">
        <f ca="1">IF(AND(V111&lt;&gt;"",W111&lt;&gt;"",V111&lt;&gt;W111,Results!$Q57&lt;&gt;"",Results!$S57&lt;&gt;""),1,0)</f>
        <v>0</v>
      </c>
      <c r="AB111" s="12" t="str">
        <f ca="1">IF(AND(AA111&gt;0,Planning!$F54=0),AJ111&amp;Language!$E$90&amp;AK111,"")</f>
        <v/>
      </c>
      <c r="AC111" s="2" t="str">
        <f ca="1">IF(Planning!$F54=1,V111&amp;W111,"")</f>
        <v/>
      </c>
      <c r="AD111" s="120" t="str">
        <f ca="1">IF(AND(AA111&gt;0,Planning!$F54=1),AJ111&amp;Language!$E$90&amp;AK111,"")</f>
        <v/>
      </c>
      <c r="AE111" s="332" t="str">
        <f ca="1">IF(AA111&gt;0,AL111&amp;Language!$E$90&amp;AM111,"")</f>
        <v/>
      </c>
      <c r="AF111" s="125" t="str">
        <f ca="1">IF(AND(Results!$K57&lt;&gt;"",Results!$M57&lt;&gt;"",ABS(Results!$K57-Results!$M57)&gt;1,Results!$E57&lt;&gt;Results!$G57,$V111&lt;&gt;"",$W111&lt;&gt;""),Results!$K57,"")</f>
        <v/>
      </c>
      <c r="AG111" s="12" t="str">
        <f ca="1">IF(AND(Results!$K57&lt;&gt;"",Results!$M57&lt;&gt;"",ABS(Results!$K57-Results!$M57)&gt;1,Results!$E57&lt;&gt;Results!$G57,$V111&lt;&gt;"",$W111&lt;&gt;""),Results!$M57,"")</f>
        <v/>
      </c>
      <c r="AH111" s="125" t="str">
        <f ca="1">IF(AND(Results!$N57&lt;&gt;"",Results!$P57&lt;&gt;"",ABS(Results!$N57-Results!$P57)&gt;1,Results!$E57&lt;&gt;Results!$G57,$V111&lt;&gt;"",$W111&lt;&gt;""),Results!$N57,"")</f>
        <v/>
      </c>
      <c r="AI111" s="12" t="str">
        <f ca="1">IF(AND(Results!$N57&lt;&gt;"",Results!$P57&lt;&gt;"",ABS(Results!$N57-Results!$P57)&gt;1,Results!$E57&lt;&gt;Results!$G57,$V111&lt;&gt;"",$W111&lt;&gt;""),Results!$P57,"")</f>
        <v/>
      </c>
      <c r="AJ111" s="125" t="str">
        <f t="shared" ca="1" si="73"/>
        <v/>
      </c>
      <c r="AK111" s="120" t="str">
        <f t="shared" ca="1" si="74"/>
        <v/>
      </c>
      <c r="AL111" s="125">
        <f ca="1">IF(Results!$Q57="",0,Results!$Q57)</f>
        <v>0</v>
      </c>
      <c r="AM111" s="120">
        <f ca="1">IF(Results!$S57="",0,Results!$S57)</f>
        <v>0</v>
      </c>
      <c r="AN111" s="125" t="str">
        <f ca="1">IF($AA111=0,"",IF($AL111&gt;$AM111,Settings!$C$4,IF($AL111=$AM111,1,0)))</f>
        <v/>
      </c>
      <c r="AO111" s="120" t="str">
        <f ca="1">IF($AA111=0,"",IF($AL111&lt;$AM111,Settings!$C$4,IF($AL111=$AM111,1,0)))</f>
        <v/>
      </c>
    </row>
    <row r="112" spans="2:41" s="2" customFormat="1" x14ac:dyDescent="0.2">
      <c r="B112" s="3"/>
      <c r="C112" s="3"/>
      <c r="D112" s="3"/>
      <c r="E112" s="3"/>
      <c r="F112" s="12"/>
      <c r="G112" s="12"/>
      <c r="H112" s="12"/>
      <c r="I112" s="12"/>
      <c r="J112" s="12"/>
      <c r="K112" s="12"/>
      <c r="L112" s="12"/>
      <c r="M112" s="12"/>
      <c r="U112" s="67" t="s">
        <v>73</v>
      </c>
      <c r="V112" s="37" t="str">
        <f ca="1">Planning!$N55</f>
        <v/>
      </c>
      <c r="W112" s="12" t="str">
        <f ca="1">Planning!$P55</f>
        <v/>
      </c>
      <c r="X112" s="12" t="str">
        <f ca="1">IF(AND(Results!$H58&lt;&gt;"",Results!$J58&lt;&gt;"",ABS(Results!$H58-Results!$J58)&gt;1,Results!$E58&lt;&gt;Results!$G58,$V112&lt;&gt;"",$W112&lt;&gt;""),Results!$H58,"")</f>
        <v/>
      </c>
      <c r="Y112" s="32" t="str">
        <f ca="1">IF(AND(Results!$H58&lt;&gt;"",Results!$J58&lt;&gt;"",ABS(Results!$H58-Results!$J58)&gt;1,Results!$E58&lt;&gt;Results!$G58,$V112&lt;&gt;"",$W112&lt;&gt;""),Results!$J58,"")</f>
        <v/>
      </c>
      <c r="Z112" s="31" t="str">
        <f ca="1">IF(Planning!$F55=0,V112&amp;W112,"")</f>
        <v/>
      </c>
      <c r="AA112" s="12">
        <f ca="1">IF(AND(V112&lt;&gt;"",W112&lt;&gt;"",V112&lt;&gt;W112,Results!$Q58&lt;&gt;"",Results!$S58&lt;&gt;""),1,0)</f>
        <v>0</v>
      </c>
      <c r="AB112" s="12" t="str">
        <f ca="1">IF(AND(AA112&gt;0,Planning!$F55=0),AJ112&amp;Language!$E$90&amp;AK112,"")</f>
        <v/>
      </c>
      <c r="AC112" s="2" t="str">
        <f ca="1">IF(Planning!$F55=1,V112&amp;W112,"")</f>
        <v/>
      </c>
      <c r="AD112" s="120" t="str">
        <f ca="1">IF(AND(AA112&gt;0,Planning!$F55=1),AJ112&amp;Language!$E$90&amp;AK112,"")</f>
        <v/>
      </c>
      <c r="AE112" s="332" t="str">
        <f ca="1">IF(AA112&gt;0,AL112&amp;Language!$E$90&amp;AM112,"")</f>
        <v/>
      </c>
      <c r="AF112" s="125" t="str">
        <f ca="1">IF(AND(Results!$K58&lt;&gt;"",Results!$M58&lt;&gt;"",ABS(Results!$K58-Results!$M58)&gt;1,Results!$E58&lt;&gt;Results!$G58,$V112&lt;&gt;"",$W112&lt;&gt;""),Results!$K58,"")</f>
        <v/>
      </c>
      <c r="AG112" s="12" t="str">
        <f ca="1">IF(AND(Results!$K58&lt;&gt;"",Results!$M58&lt;&gt;"",ABS(Results!$K58-Results!$M58)&gt;1,Results!$E58&lt;&gt;Results!$G58,$V112&lt;&gt;"",$W112&lt;&gt;""),Results!$M58,"")</f>
        <v/>
      </c>
      <c r="AH112" s="125" t="str">
        <f ca="1">IF(AND(Results!$N58&lt;&gt;"",Results!$P58&lt;&gt;"",ABS(Results!$N58-Results!$P58)&gt;1,Results!$E58&lt;&gt;Results!$G58,$V112&lt;&gt;"",$W112&lt;&gt;""),Results!$N58,"")</f>
        <v/>
      </c>
      <c r="AI112" s="12" t="str">
        <f ca="1">IF(AND(Results!$N58&lt;&gt;"",Results!$P58&lt;&gt;"",ABS(Results!$N58-Results!$P58)&gt;1,Results!$E58&lt;&gt;Results!$G58,$V112&lt;&gt;"",$W112&lt;&gt;""),Results!$P58,"")</f>
        <v/>
      </c>
      <c r="AJ112" s="125" t="str">
        <f t="shared" ca="1" si="73"/>
        <v/>
      </c>
      <c r="AK112" s="120" t="str">
        <f t="shared" ca="1" si="74"/>
        <v/>
      </c>
      <c r="AL112" s="125">
        <f ca="1">IF(Results!$Q58="",0,Results!$Q58)</f>
        <v>0</v>
      </c>
      <c r="AM112" s="120">
        <f ca="1">IF(Results!$S58="",0,Results!$S58)</f>
        <v>0</v>
      </c>
      <c r="AN112" s="125" t="str">
        <f ca="1">IF($AA112=0,"",IF($AL112&gt;$AM112,Settings!$C$4,IF($AL112=$AM112,1,0)))</f>
        <v/>
      </c>
      <c r="AO112" s="120" t="str">
        <f ca="1">IF($AA112=0,"",IF($AL112&lt;$AM112,Settings!$C$4,IF($AL112=$AM112,1,0)))</f>
        <v/>
      </c>
    </row>
    <row r="113" spans="2:41" s="2" customFormat="1" x14ac:dyDescent="0.2">
      <c r="B113" s="3"/>
      <c r="C113" s="3"/>
      <c r="D113" s="3"/>
      <c r="E113" s="3"/>
      <c r="F113" s="12"/>
      <c r="G113" s="12"/>
      <c r="H113" s="12"/>
      <c r="I113" s="12"/>
      <c r="J113" s="12"/>
      <c r="K113" s="12"/>
      <c r="L113" s="12"/>
      <c r="M113" s="12"/>
      <c r="U113" s="67" t="s">
        <v>74</v>
      </c>
      <c r="V113" s="37" t="str">
        <f ca="1">Planning!$N56</f>
        <v/>
      </c>
      <c r="W113" s="12" t="str">
        <f ca="1">Planning!$P56</f>
        <v/>
      </c>
      <c r="X113" s="12" t="str">
        <f ca="1">IF(AND(Results!$H59&lt;&gt;"",Results!$J59&lt;&gt;"",ABS(Results!$H59-Results!$J59)&gt;1,Results!$E59&lt;&gt;Results!$G59,$V113&lt;&gt;"",$W113&lt;&gt;""),Results!$H59,"")</f>
        <v/>
      </c>
      <c r="Y113" s="32" t="str">
        <f ca="1">IF(AND(Results!$H59&lt;&gt;"",Results!$J59&lt;&gt;"",ABS(Results!$H59-Results!$J59)&gt;1,Results!$E59&lt;&gt;Results!$G59,$V113&lt;&gt;"",$W113&lt;&gt;""),Results!$J59,"")</f>
        <v/>
      </c>
      <c r="Z113" s="31" t="str">
        <f ca="1">IF(Planning!$F56=0,V113&amp;W113,"")</f>
        <v/>
      </c>
      <c r="AA113" s="12">
        <f ca="1">IF(AND(V113&lt;&gt;"",W113&lt;&gt;"",V113&lt;&gt;W113,Results!$Q59&lt;&gt;"",Results!$S59&lt;&gt;""),1,0)</f>
        <v>0</v>
      </c>
      <c r="AB113" s="12" t="str">
        <f ca="1">IF(AND(AA113&gt;0,Planning!$F56=0),AJ113&amp;Language!$E$90&amp;AK113,"")</f>
        <v/>
      </c>
      <c r="AC113" s="2" t="str">
        <f ca="1">IF(Planning!$F56=1,V113&amp;W113,"")</f>
        <v/>
      </c>
      <c r="AD113" s="120" t="str">
        <f ca="1">IF(AND(AA113&gt;0,Planning!$F56=1),AJ113&amp;Language!$E$90&amp;AK113,"")</f>
        <v/>
      </c>
      <c r="AE113" s="332" t="str">
        <f ca="1">IF(AA113&gt;0,AL113&amp;Language!$E$90&amp;AM113,"")</f>
        <v/>
      </c>
      <c r="AF113" s="125" t="str">
        <f ca="1">IF(AND(Results!$K59&lt;&gt;"",Results!$M59&lt;&gt;"",ABS(Results!$K59-Results!$M59)&gt;1,Results!$E59&lt;&gt;Results!$G59,$V113&lt;&gt;"",$W113&lt;&gt;""),Results!$K59,"")</f>
        <v/>
      </c>
      <c r="AG113" s="12" t="str">
        <f ca="1">IF(AND(Results!$K59&lt;&gt;"",Results!$M59&lt;&gt;"",ABS(Results!$K59-Results!$M59)&gt;1,Results!$E59&lt;&gt;Results!$G59,$V113&lt;&gt;"",$W113&lt;&gt;""),Results!$M59,"")</f>
        <v/>
      </c>
      <c r="AH113" s="125" t="str">
        <f ca="1">IF(AND(Results!$N59&lt;&gt;"",Results!$P59&lt;&gt;"",ABS(Results!$N59-Results!$P59)&gt;1,Results!$E59&lt;&gt;Results!$G59,$V113&lt;&gt;"",$W113&lt;&gt;""),Results!$N59,"")</f>
        <v/>
      </c>
      <c r="AI113" s="12" t="str">
        <f ca="1">IF(AND(Results!$N59&lt;&gt;"",Results!$P59&lt;&gt;"",ABS(Results!$N59-Results!$P59)&gt;1,Results!$E59&lt;&gt;Results!$G59,$V113&lt;&gt;"",$W113&lt;&gt;""),Results!$P59,"")</f>
        <v/>
      </c>
      <c r="AJ113" s="125" t="str">
        <f t="shared" ca="1" si="73"/>
        <v/>
      </c>
      <c r="AK113" s="120" t="str">
        <f t="shared" ca="1" si="74"/>
        <v/>
      </c>
      <c r="AL113" s="125">
        <f ca="1">IF(Results!$Q59="",0,Results!$Q59)</f>
        <v>0</v>
      </c>
      <c r="AM113" s="120">
        <f ca="1">IF(Results!$S59="",0,Results!$S59)</f>
        <v>0</v>
      </c>
      <c r="AN113" s="125" t="str">
        <f ca="1">IF($AA113=0,"",IF($AL113&gt;$AM113,Settings!$C$4,IF($AL113=$AM113,1,0)))</f>
        <v/>
      </c>
      <c r="AO113" s="120" t="str">
        <f ca="1">IF($AA113=0,"",IF($AL113&lt;$AM113,Settings!$C$4,IF($AL113=$AM113,1,0)))</f>
        <v/>
      </c>
    </row>
    <row r="114" spans="2:41" s="2" customFormat="1" x14ac:dyDescent="0.2">
      <c r="B114" s="3"/>
      <c r="C114" s="3"/>
      <c r="D114" s="3"/>
      <c r="E114" s="3"/>
      <c r="F114" s="12"/>
      <c r="G114" s="12"/>
      <c r="H114" s="12"/>
      <c r="I114" s="12"/>
      <c r="J114" s="12"/>
      <c r="K114" s="12"/>
      <c r="L114" s="12"/>
      <c r="M114" s="12"/>
      <c r="U114" s="67" t="s">
        <v>75</v>
      </c>
      <c r="V114" s="37" t="str">
        <f ca="1">Planning!$N57</f>
        <v/>
      </c>
      <c r="W114" s="12" t="str">
        <f ca="1">Planning!$P57</f>
        <v/>
      </c>
      <c r="X114" s="12" t="str">
        <f ca="1">IF(AND(Results!$H60&lt;&gt;"",Results!$J60&lt;&gt;"",ABS(Results!$H60-Results!$J60)&gt;1,Results!$E60&lt;&gt;Results!$G60,$V114&lt;&gt;"",$W114&lt;&gt;""),Results!$H60,"")</f>
        <v/>
      </c>
      <c r="Y114" s="32" t="str">
        <f ca="1">IF(AND(Results!$H60&lt;&gt;"",Results!$J60&lt;&gt;"",ABS(Results!$H60-Results!$J60)&gt;1,Results!$E60&lt;&gt;Results!$G60,$V114&lt;&gt;"",$W114&lt;&gt;""),Results!$J60,"")</f>
        <v/>
      </c>
      <c r="Z114" s="31" t="str">
        <f ca="1">IF(Planning!$F57=0,V114&amp;W114,"")</f>
        <v/>
      </c>
      <c r="AA114" s="12">
        <f ca="1">IF(AND(V114&lt;&gt;"",W114&lt;&gt;"",V114&lt;&gt;W114,Results!$Q60&lt;&gt;"",Results!$S60&lt;&gt;""),1,0)</f>
        <v>0</v>
      </c>
      <c r="AB114" s="12" t="str">
        <f ca="1">IF(AND(AA114&gt;0,Planning!$F57=0),AJ114&amp;Language!$E$90&amp;AK114,"")</f>
        <v/>
      </c>
      <c r="AC114" s="2" t="str">
        <f ca="1">IF(Planning!$F57=1,V114&amp;W114,"")</f>
        <v/>
      </c>
      <c r="AD114" s="120" t="str">
        <f ca="1">IF(AND(AA114&gt;0,Planning!$F57=1),AJ114&amp;Language!$E$90&amp;AK114,"")</f>
        <v/>
      </c>
      <c r="AE114" s="332" t="str">
        <f ca="1">IF(AA114&gt;0,AL114&amp;Language!$E$90&amp;AM114,"")</f>
        <v/>
      </c>
      <c r="AF114" s="125" t="str">
        <f ca="1">IF(AND(Results!$K60&lt;&gt;"",Results!$M60&lt;&gt;"",ABS(Results!$K60-Results!$M60)&gt;1,Results!$E60&lt;&gt;Results!$G60,$V114&lt;&gt;"",$W114&lt;&gt;""),Results!$K60,"")</f>
        <v/>
      </c>
      <c r="AG114" s="12" t="str">
        <f ca="1">IF(AND(Results!$K60&lt;&gt;"",Results!$M60&lt;&gt;"",ABS(Results!$K60-Results!$M60)&gt;1,Results!$E60&lt;&gt;Results!$G60,$V114&lt;&gt;"",$W114&lt;&gt;""),Results!$M60,"")</f>
        <v/>
      </c>
      <c r="AH114" s="125" t="str">
        <f ca="1">IF(AND(Results!$N60&lt;&gt;"",Results!$P60&lt;&gt;"",ABS(Results!$N60-Results!$P60)&gt;1,Results!$E60&lt;&gt;Results!$G60,$V114&lt;&gt;"",$W114&lt;&gt;""),Results!$N60,"")</f>
        <v/>
      </c>
      <c r="AI114" s="12" t="str">
        <f ca="1">IF(AND(Results!$N60&lt;&gt;"",Results!$P60&lt;&gt;"",ABS(Results!$N60-Results!$P60)&gt;1,Results!$E60&lt;&gt;Results!$G60,$V114&lt;&gt;"",$W114&lt;&gt;""),Results!$P60,"")</f>
        <v/>
      </c>
      <c r="AJ114" s="125" t="str">
        <f t="shared" ca="1" si="73"/>
        <v/>
      </c>
      <c r="AK114" s="120" t="str">
        <f t="shared" ca="1" si="74"/>
        <v/>
      </c>
      <c r="AL114" s="125">
        <f ca="1">IF(Results!$Q60="",0,Results!$Q60)</f>
        <v>0</v>
      </c>
      <c r="AM114" s="120">
        <f ca="1">IF(Results!$S60="",0,Results!$S60)</f>
        <v>0</v>
      </c>
      <c r="AN114" s="125" t="str">
        <f ca="1">IF($AA114=0,"",IF($AL114&gt;$AM114,Settings!$C$4,IF($AL114=$AM114,1,0)))</f>
        <v/>
      </c>
      <c r="AO114" s="120" t="str">
        <f ca="1">IF($AA114=0,"",IF($AL114&lt;$AM114,Settings!$C$4,IF($AL114=$AM114,1,0)))</f>
        <v/>
      </c>
    </row>
    <row r="115" spans="2:41" s="2" customFormat="1" x14ac:dyDescent="0.2">
      <c r="B115" s="3"/>
      <c r="C115" s="3"/>
      <c r="D115" s="3"/>
      <c r="E115" s="3"/>
      <c r="F115" s="12"/>
      <c r="G115" s="12"/>
      <c r="H115" s="12"/>
      <c r="I115" s="12"/>
      <c r="J115" s="12"/>
      <c r="K115" s="12"/>
      <c r="L115" s="12"/>
      <c r="M115" s="12"/>
      <c r="U115" s="67" t="s">
        <v>76</v>
      </c>
      <c r="V115" s="37" t="str">
        <f ca="1">Planning!$N58</f>
        <v/>
      </c>
      <c r="W115" s="12" t="str">
        <f ca="1">Planning!$P58</f>
        <v/>
      </c>
      <c r="X115" s="12" t="str">
        <f ca="1">IF(AND(Results!$H61&lt;&gt;"",Results!$J61&lt;&gt;"",ABS(Results!$H61-Results!$J61)&gt;1,Results!$E61&lt;&gt;Results!$G61,$V115&lt;&gt;"",$W115&lt;&gt;""),Results!$H61,"")</f>
        <v/>
      </c>
      <c r="Y115" s="32" t="str">
        <f ca="1">IF(AND(Results!$H61&lt;&gt;"",Results!$J61&lt;&gt;"",ABS(Results!$H61-Results!$J61)&gt;1,Results!$E61&lt;&gt;Results!$G61,$V115&lt;&gt;"",$W115&lt;&gt;""),Results!$J61,"")</f>
        <v/>
      </c>
      <c r="Z115" s="31" t="str">
        <f ca="1">IF(Planning!$F58=0,V115&amp;W115,"")</f>
        <v/>
      </c>
      <c r="AA115" s="12">
        <f ca="1">IF(AND(V115&lt;&gt;"",W115&lt;&gt;"",V115&lt;&gt;W115,Results!$Q61&lt;&gt;"",Results!$S61&lt;&gt;""),1,0)</f>
        <v>0</v>
      </c>
      <c r="AB115" s="12" t="str">
        <f ca="1">IF(AND(AA115&gt;0,Planning!$F58=0),AJ115&amp;Language!$E$90&amp;AK115,"")</f>
        <v/>
      </c>
      <c r="AC115" s="2" t="str">
        <f ca="1">IF(Planning!$F58=1,V115&amp;W115,"")</f>
        <v/>
      </c>
      <c r="AD115" s="120" t="str">
        <f ca="1">IF(AND(AA115&gt;0,Planning!$F58=1),AJ115&amp;Language!$E$90&amp;AK115,"")</f>
        <v/>
      </c>
      <c r="AE115" s="332" t="str">
        <f ca="1">IF(AA115&gt;0,AL115&amp;Language!$E$90&amp;AM115,"")</f>
        <v/>
      </c>
      <c r="AF115" s="125" t="str">
        <f ca="1">IF(AND(Results!$K61&lt;&gt;"",Results!$M61&lt;&gt;"",ABS(Results!$K61-Results!$M61)&gt;1,Results!$E61&lt;&gt;Results!$G61,$V115&lt;&gt;"",$W115&lt;&gt;""),Results!$K61,"")</f>
        <v/>
      </c>
      <c r="AG115" s="12" t="str">
        <f ca="1">IF(AND(Results!$K61&lt;&gt;"",Results!$M61&lt;&gt;"",ABS(Results!$K61-Results!$M61)&gt;1,Results!$E61&lt;&gt;Results!$G61,$V115&lt;&gt;"",$W115&lt;&gt;""),Results!$M61,"")</f>
        <v/>
      </c>
      <c r="AH115" s="125" t="str">
        <f ca="1">IF(AND(Results!$N61&lt;&gt;"",Results!$P61&lt;&gt;"",ABS(Results!$N61-Results!$P61)&gt;1,Results!$E61&lt;&gt;Results!$G61,$V115&lt;&gt;"",$W115&lt;&gt;""),Results!$N61,"")</f>
        <v/>
      </c>
      <c r="AI115" s="12" t="str">
        <f ca="1">IF(AND(Results!$N61&lt;&gt;"",Results!$P61&lt;&gt;"",ABS(Results!$N61-Results!$P61)&gt;1,Results!$E61&lt;&gt;Results!$G61,$V115&lt;&gt;"",$W115&lt;&gt;""),Results!$P61,"")</f>
        <v/>
      </c>
      <c r="AJ115" s="125" t="str">
        <f t="shared" ca="1" si="73"/>
        <v/>
      </c>
      <c r="AK115" s="120" t="str">
        <f t="shared" ca="1" si="74"/>
        <v/>
      </c>
      <c r="AL115" s="125">
        <f ca="1">IF(Results!$Q61="",0,Results!$Q61)</f>
        <v>0</v>
      </c>
      <c r="AM115" s="120">
        <f ca="1">IF(Results!$S61="",0,Results!$S61)</f>
        <v>0</v>
      </c>
      <c r="AN115" s="125" t="str">
        <f ca="1">IF($AA115=0,"",IF($AL115&gt;$AM115,Settings!$C$4,IF($AL115=$AM115,1,0)))</f>
        <v/>
      </c>
      <c r="AO115" s="120" t="str">
        <f ca="1">IF($AA115=0,"",IF($AL115&lt;$AM115,Settings!$C$4,IF($AL115=$AM115,1,0)))</f>
        <v/>
      </c>
    </row>
    <row r="116" spans="2:41" s="2" customFormat="1" x14ac:dyDescent="0.2">
      <c r="B116" s="3"/>
      <c r="C116" s="3"/>
      <c r="D116" s="3"/>
      <c r="E116" s="3"/>
      <c r="F116" s="12"/>
      <c r="G116" s="12"/>
      <c r="H116" s="12"/>
      <c r="I116" s="12"/>
      <c r="J116" s="12"/>
      <c r="K116" s="12"/>
      <c r="L116" s="12"/>
      <c r="M116" s="12"/>
      <c r="U116" s="67" t="s">
        <v>77</v>
      </c>
      <c r="V116" s="37" t="str">
        <f ca="1">Planning!$N59</f>
        <v/>
      </c>
      <c r="W116" s="12" t="str">
        <f ca="1">Planning!$P59</f>
        <v/>
      </c>
      <c r="X116" s="12" t="str">
        <f ca="1">IF(AND(Results!$H62&lt;&gt;"",Results!$J62&lt;&gt;"",ABS(Results!$H62-Results!$J62)&gt;1,Results!$E62&lt;&gt;Results!$G62,$V116&lt;&gt;"",$W116&lt;&gt;""),Results!$H62,"")</f>
        <v/>
      </c>
      <c r="Y116" s="32" t="str">
        <f ca="1">IF(AND(Results!$H62&lt;&gt;"",Results!$J62&lt;&gt;"",ABS(Results!$H62-Results!$J62)&gt;1,Results!$E62&lt;&gt;Results!$G62,$V116&lt;&gt;"",$W116&lt;&gt;""),Results!$J62,"")</f>
        <v/>
      </c>
      <c r="Z116" s="31" t="str">
        <f ca="1">IF(Planning!$F59=0,V116&amp;W116,"")</f>
        <v/>
      </c>
      <c r="AA116" s="12">
        <f ca="1">IF(AND(V116&lt;&gt;"",W116&lt;&gt;"",V116&lt;&gt;W116,Results!$Q62&lt;&gt;"",Results!$S62&lt;&gt;""),1,0)</f>
        <v>0</v>
      </c>
      <c r="AB116" s="12" t="str">
        <f ca="1">IF(AND(AA116&gt;0,Planning!$F59=0),AJ116&amp;Language!$E$90&amp;AK116,"")</f>
        <v/>
      </c>
      <c r="AC116" s="2" t="str">
        <f ca="1">IF(Planning!$F59=1,V116&amp;W116,"")</f>
        <v/>
      </c>
      <c r="AD116" s="120" t="str">
        <f ca="1">IF(AND(AA116&gt;0,Planning!$F59=1),AJ116&amp;Language!$E$90&amp;AK116,"")</f>
        <v/>
      </c>
      <c r="AE116" s="332" t="str">
        <f ca="1">IF(AA116&gt;0,AL116&amp;Language!$E$90&amp;AM116,"")</f>
        <v/>
      </c>
      <c r="AF116" s="125" t="str">
        <f ca="1">IF(AND(Results!$K62&lt;&gt;"",Results!$M62&lt;&gt;"",ABS(Results!$K62-Results!$M62)&gt;1,Results!$E62&lt;&gt;Results!$G62,$V116&lt;&gt;"",$W116&lt;&gt;""),Results!$K62,"")</f>
        <v/>
      </c>
      <c r="AG116" s="12" t="str">
        <f ca="1">IF(AND(Results!$K62&lt;&gt;"",Results!$M62&lt;&gt;"",ABS(Results!$K62-Results!$M62)&gt;1,Results!$E62&lt;&gt;Results!$G62,$V116&lt;&gt;"",$W116&lt;&gt;""),Results!$M62,"")</f>
        <v/>
      </c>
      <c r="AH116" s="125" t="str">
        <f ca="1">IF(AND(Results!$N62&lt;&gt;"",Results!$P62&lt;&gt;"",ABS(Results!$N62-Results!$P62)&gt;1,Results!$E62&lt;&gt;Results!$G62,$V116&lt;&gt;"",$W116&lt;&gt;""),Results!$N62,"")</f>
        <v/>
      </c>
      <c r="AI116" s="12" t="str">
        <f ca="1">IF(AND(Results!$N62&lt;&gt;"",Results!$P62&lt;&gt;"",ABS(Results!$N62-Results!$P62)&gt;1,Results!$E62&lt;&gt;Results!$G62,$V116&lt;&gt;"",$W116&lt;&gt;""),Results!$P62,"")</f>
        <v/>
      </c>
      <c r="AJ116" s="125" t="str">
        <f t="shared" ca="1" si="73"/>
        <v/>
      </c>
      <c r="AK116" s="120" t="str">
        <f t="shared" ca="1" si="74"/>
        <v/>
      </c>
      <c r="AL116" s="125">
        <f ca="1">IF(Results!$Q62="",0,Results!$Q62)</f>
        <v>0</v>
      </c>
      <c r="AM116" s="120">
        <f ca="1">IF(Results!$S62="",0,Results!$S62)</f>
        <v>0</v>
      </c>
      <c r="AN116" s="125" t="str">
        <f ca="1">IF($AA116=0,"",IF($AL116&gt;$AM116,Settings!$C$4,IF($AL116=$AM116,1,0)))</f>
        <v/>
      </c>
      <c r="AO116" s="120" t="str">
        <f ca="1">IF($AA116=0,"",IF($AL116&lt;$AM116,Settings!$C$4,IF($AL116=$AM116,1,0)))</f>
        <v/>
      </c>
    </row>
    <row r="117" spans="2:41" s="2" customFormat="1" x14ac:dyDescent="0.2">
      <c r="B117" s="3"/>
      <c r="C117" s="3"/>
      <c r="D117" s="3"/>
      <c r="E117" s="3"/>
      <c r="F117" s="12"/>
      <c r="G117" s="12"/>
      <c r="H117" s="12"/>
      <c r="I117" s="12"/>
      <c r="J117" s="12"/>
      <c r="K117" s="12"/>
      <c r="L117" s="12"/>
      <c r="M117" s="12"/>
      <c r="U117" s="67" t="s">
        <v>78</v>
      </c>
      <c r="V117" s="37" t="str">
        <f ca="1">Planning!$N60</f>
        <v/>
      </c>
      <c r="W117" s="12" t="str">
        <f ca="1">Planning!$P60</f>
        <v/>
      </c>
      <c r="X117" s="12" t="str">
        <f ca="1">IF(AND(Results!$H63&lt;&gt;"",Results!$J63&lt;&gt;"",ABS(Results!$H63-Results!$J63)&gt;1,Results!$E63&lt;&gt;Results!$G63,$V117&lt;&gt;"",$W117&lt;&gt;""),Results!$H63,"")</f>
        <v/>
      </c>
      <c r="Y117" s="32" t="str">
        <f ca="1">IF(AND(Results!$H63&lt;&gt;"",Results!$J63&lt;&gt;"",ABS(Results!$H63-Results!$J63)&gt;1,Results!$E63&lt;&gt;Results!$G63,$V117&lt;&gt;"",$W117&lt;&gt;""),Results!$J63,"")</f>
        <v/>
      </c>
      <c r="Z117" s="31" t="str">
        <f ca="1">IF(Planning!$F60=0,V117&amp;W117,"")</f>
        <v/>
      </c>
      <c r="AA117" s="12">
        <f ca="1">IF(AND(V117&lt;&gt;"",W117&lt;&gt;"",V117&lt;&gt;W117,Results!$Q63&lt;&gt;"",Results!$S63&lt;&gt;""),1,0)</f>
        <v>0</v>
      </c>
      <c r="AB117" s="12" t="str">
        <f ca="1">IF(AND(AA117&gt;0,Planning!$F60=0),AJ117&amp;Language!$E$90&amp;AK117,"")</f>
        <v/>
      </c>
      <c r="AC117" s="2" t="str">
        <f ca="1">IF(Planning!$F60=1,V117&amp;W117,"")</f>
        <v/>
      </c>
      <c r="AD117" s="120" t="str">
        <f ca="1">IF(AND(AA117&gt;0,Planning!$F60=1),AJ117&amp;Language!$E$90&amp;AK117,"")</f>
        <v/>
      </c>
      <c r="AE117" s="332" t="str">
        <f ca="1">IF(AA117&gt;0,AL117&amp;Language!$E$90&amp;AM117,"")</f>
        <v/>
      </c>
      <c r="AF117" s="125" t="str">
        <f ca="1">IF(AND(Results!$K63&lt;&gt;"",Results!$M63&lt;&gt;"",ABS(Results!$K63-Results!$M63)&gt;1,Results!$E63&lt;&gt;Results!$G63,$V117&lt;&gt;"",$W117&lt;&gt;""),Results!$K63,"")</f>
        <v/>
      </c>
      <c r="AG117" s="12" t="str">
        <f ca="1">IF(AND(Results!$K63&lt;&gt;"",Results!$M63&lt;&gt;"",ABS(Results!$K63-Results!$M63)&gt;1,Results!$E63&lt;&gt;Results!$G63,$V117&lt;&gt;"",$W117&lt;&gt;""),Results!$M63,"")</f>
        <v/>
      </c>
      <c r="AH117" s="125" t="str">
        <f ca="1">IF(AND(Results!$N63&lt;&gt;"",Results!$P63&lt;&gt;"",ABS(Results!$N63-Results!$P63)&gt;1,Results!$E63&lt;&gt;Results!$G63,$V117&lt;&gt;"",$W117&lt;&gt;""),Results!$N63,"")</f>
        <v/>
      </c>
      <c r="AI117" s="12" t="str">
        <f ca="1">IF(AND(Results!$N63&lt;&gt;"",Results!$P63&lt;&gt;"",ABS(Results!$N63-Results!$P63)&gt;1,Results!$E63&lt;&gt;Results!$G63,$V117&lt;&gt;"",$W117&lt;&gt;""),Results!$P63,"")</f>
        <v/>
      </c>
      <c r="AJ117" s="125" t="str">
        <f t="shared" ca="1" si="73"/>
        <v/>
      </c>
      <c r="AK117" s="120" t="str">
        <f t="shared" ca="1" si="74"/>
        <v/>
      </c>
      <c r="AL117" s="125">
        <f ca="1">IF(Results!$Q63="",0,Results!$Q63)</f>
        <v>0</v>
      </c>
      <c r="AM117" s="120">
        <f ca="1">IF(Results!$S63="",0,Results!$S63)</f>
        <v>0</v>
      </c>
      <c r="AN117" s="125" t="str">
        <f ca="1">IF($AA117=0,"",IF($AL117&gt;$AM117,Settings!$C$4,IF($AL117=$AM117,1,0)))</f>
        <v/>
      </c>
      <c r="AO117" s="120" t="str">
        <f ca="1">IF($AA117=0,"",IF($AL117&lt;$AM117,Settings!$C$4,IF($AL117=$AM117,1,0)))</f>
        <v/>
      </c>
    </row>
    <row r="118" spans="2:41" s="2" customFormat="1" x14ac:dyDescent="0.2">
      <c r="B118" s="3"/>
      <c r="C118" s="3"/>
      <c r="D118" s="3"/>
      <c r="E118" s="3"/>
      <c r="F118" s="12"/>
      <c r="G118" s="12"/>
      <c r="H118" s="12"/>
      <c r="I118" s="12"/>
      <c r="J118" s="12"/>
      <c r="K118" s="12"/>
      <c r="L118" s="12"/>
      <c r="M118" s="12"/>
      <c r="U118" s="67" t="s">
        <v>79</v>
      </c>
      <c r="V118" s="37" t="str">
        <f ca="1">Planning!$N61</f>
        <v/>
      </c>
      <c r="W118" s="12" t="str">
        <f ca="1">Planning!$P61</f>
        <v/>
      </c>
      <c r="X118" s="12" t="str">
        <f ca="1">IF(AND(Results!$H64&lt;&gt;"",Results!$J64&lt;&gt;"",ABS(Results!$H64-Results!$J64)&gt;1,Results!$E64&lt;&gt;Results!$G64,$V118&lt;&gt;"",$W118&lt;&gt;""),Results!$H64,"")</f>
        <v/>
      </c>
      <c r="Y118" s="32" t="str">
        <f ca="1">IF(AND(Results!$H64&lt;&gt;"",Results!$J64&lt;&gt;"",ABS(Results!$H64-Results!$J64)&gt;1,Results!$E64&lt;&gt;Results!$G64,$V118&lt;&gt;"",$W118&lt;&gt;""),Results!$J64,"")</f>
        <v/>
      </c>
      <c r="Z118" s="31" t="str">
        <f ca="1">IF(Planning!$F61=0,V118&amp;W118,"")</f>
        <v/>
      </c>
      <c r="AA118" s="12">
        <f ca="1">IF(AND(V118&lt;&gt;"",W118&lt;&gt;"",V118&lt;&gt;W118,Results!$Q64&lt;&gt;"",Results!$S64&lt;&gt;""),1,0)</f>
        <v>0</v>
      </c>
      <c r="AB118" s="12" t="str">
        <f ca="1">IF(AND(AA118&gt;0,Planning!$F61=0),AJ118&amp;Language!$E$90&amp;AK118,"")</f>
        <v/>
      </c>
      <c r="AC118" s="2" t="str">
        <f ca="1">IF(Planning!$F61=1,V118&amp;W118,"")</f>
        <v/>
      </c>
      <c r="AD118" s="120" t="str">
        <f ca="1">IF(AND(AA118&gt;0,Planning!$F61=1),AJ118&amp;Language!$E$90&amp;AK118,"")</f>
        <v/>
      </c>
      <c r="AE118" s="332" t="str">
        <f ca="1">IF(AA118&gt;0,AL118&amp;Language!$E$90&amp;AM118,"")</f>
        <v/>
      </c>
      <c r="AF118" s="125" t="str">
        <f ca="1">IF(AND(Results!$K64&lt;&gt;"",Results!$M64&lt;&gt;"",ABS(Results!$K64-Results!$M64)&gt;1,Results!$E64&lt;&gt;Results!$G64,$V118&lt;&gt;"",$W118&lt;&gt;""),Results!$K64,"")</f>
        <v/>
      </c>
      <c r="AG118" s="12" t="str">
        <f ca="1">IF(AND(Results!$K64&lt;&gt;"",Results!$M64&lt;&gt;"",ABS(Results!$K64-Results!$M64)&gt;1,Results!$E64&lt;&gt;Results!$G64,$V118&lt;&gt;"",$W118&lt;&gt;""),Results!$M64,"")</f>
        <v/>
      </c>
      <c r="AH118" s="125" t="str">
        <f ca="1">IF(AND(Results!$N64&lt;&gt;"",Results!$P64&lt;&gt;"",ABS(Results!$N64-Results!$P64)&gt;1,Results!$E64&lt;&gt;Results!$G64,$V118&lt;&gt;"",$W118&lt;&gt;""),Results!$N64,"")</f>
        <v/>
      </c>
      <c r="AI118" s="12" t="str">
        <f ca="1">IF(AND(Results!$N64&lt;&gt;"",Results!$P64&lt;&gt;"",ABS(Results!$N64-Results!$P64)&gt;1,Results!$E64&lt;&gt;Results!$G64,$V118&lt;&gt;"",$W118&lt;&gt;""),Results!$P64,"")</f>
        <v/>
      </c>
      <c r="AJ118" s="125" t="str">
        <f t="shared" ca="1" si="73"/>
        <v/>
      </c>
      <c r="AK118" s="120" t="str">
        <f t="shared" ca="1" si="74"/>
        <v/>
      </c>
      <c r="AL118" s="125">
        <f ca="1">IF(Results!$Q64="",0,Results!$Q64)</f>
        <v>0</v>
      </c>
      <c r="AM118" s="120">
        <f ca="1">IF(Results!$S64="",0,Results!$S64)</f>
        <v>0</v>
      </c>
      <c r="AN118" s="125" t="str">
        <f ca="1">IF($AA118=0,"",IF($AL118&gt;$AM118,Settings!$C$4,IF($AL118=$AM118,1,0)))</f>
        <v/>
      </c>
      <c r="AO118" s="120" t="str">
        <f ca="1">IF($AA118=0,"",IF($AL118&lt;$AM118,Settings!$C$4,IF($AL118=$AM118,1,0)))</f>
        <v/>
      </c>
    </row>
    <row r="119" spans="2:41" s="2" customFormat="1" x14ac:dyDescent="0.2">
      <c r="B119" s="3"/>
      <c r="C119" s="3"/>
      <c r="D119" s="3"/>
      <c r="E119" s="3"/>
      <c r="F119" s="12"/>
      <c r="G119" s="12"/>
      <c r="H119" s="12"/>
      <c r="I119" s="12"/>
      <c r="J119" s="12"/>
      <c r="K119" s="12"/>
      <c r="L119" s="12"/>
      <c r="M119" s="12"/>
      <c r="U119" s="67" t="s">
        <v>80</v>
      </c>
      <c r="V119" s="37" t="str">
        <f ca="1">Planning!$N62</f>
        <v/>
      </c>
      <c r="W119" s="12" t="str">
        <f ca="1">Planning!$P62</f>
        <v/>
      </c>
      <c r="X119" s="12" t="str">
        <f ca="1">IF(AND(Results!$H65&lt;&gt;"",Results!$J65&lt;&gt;"",ABS(Results!$H65-Results!$J65)&gt;1,Results!$E65&lt;&gt;Results!$G65,$V119&lt;&gt;"",$W119&lt;&gt;""),Results!$H65,"")</f>
        <v/>
      </c>
      <c r="Y119" s="32" t="str">
        <f ca="1">IF(AND(Results!$H65&lt;&gt;"",Results!$J65&lt;&gt;"",ABS(Results!$H65-Results!$J65)&gt;1,Results!$E65&lt;&gt;Results!$G65,$V119&lt;&gt;"",$W119&lt;&gt;""),Results!$J65,"")</f>
        <v/>
      </c>
      <c r="Z119" s="31" t="str">
        <f ca="1">IF(Planning!$F62=0,V119&amp;W119,"")</f>
        <v/>
      </c>
      <c r="AA119" s="12">
        <f ca="1">IF(AND(V119&lt;&gt;"",W119&lt;&gt;"",V119&lt;&gt;W119,Results!$Q65&lt;&gt;"",Results!$S65&lt;&gt;""),1,0)</f>
        <v>0</v>
      </c>
      <c r="AB119" s="12" t="str">
        <f ca="1">IF(AND(AA119&gt;0,Planning!$F62=0),AJ119&amp;Language!$E$90&amp;AK119,"")</f>
        <v/>
      </c>
      <c r="AC119" s="2" t="str">
        <f ca="1">IF(Planning!$F62=1,V119&amp;W119,"")</f>
        <v/>
      </c>
      <c r="AD119" s="120" t="str">
        <f ca="1">IF(AND(AA119&gt;0,Planning!$F62=1),AJ119&amp;Language!$E$90&amp;AK119,"")</f>
        <v/>
      </c>
      <c r="AE119" s="332" t="str">
        <f ca="1">IF(AA119&gt;0,AL119&amp;Language!$E$90&amp;AM119,"")</f>
        <v/>
      </c>
      <c r="AF119" s="125" t="str">
        <f ca="1">IF(AND(Results!$K65&lt;&gt;"",Results!$M65&lt;&gt;"",ABS(Results!$K65-Results!$M65)&gt;1,Results!$E65&lt;&gt;Results!$G65,$V119&lt;&gt;"",$W119&lt;&gt;""),Results!$K65,"")</f>
        <v/>
      </c>
      <c r="AG119" s="12" t="str">
        <f ca="1">IF(AND(Results!$K65&lt;&gt;"",Results!$M65&lt;&gt;"",ABS(Results!$K65-Results!$M65)&gt;1,Results!$E65&lt;&gt;Results!$G65,$V119&lt;&gt;"",$W119&lt;&gt;""),Results!$M65,"")</f>
        <v/>
      </c>
      <c r="AH119" s="125" t="str">
        <f ca="1">IF(AND(Results!$N65&lt;&gt;"",Results!$P65&lt;&gt;"",ABS(Results!$N65-Results!$P65)&gt;1,Results!$E65&lt;&gt;Results!$G65,$V119&lt;&gt;"",$W119&lt;&gt;""),Results!$N65,"")</f>
        <v/>
      </c>
      <c r="AI119" s="12" t="str">
        <f ca="1">IF(AND(Results!$N65&lt;&gt;"",Results!$P65&lt;&gt;"",ABS(Results!$N65-Results!$P65)&gt;1,Results!$E65&lt;&gt;Results!$G65,$V119&lt;&gt;"",$W119&lt;&gt;""),Results!$P65,"")</f>
        <v/>
      </c>
      <c r="AJ119" s="125" t="str">
        <f t="shared" ca="1" si="73"/>
        <v/>
      </c>
      <c r="AK119" s="120" t="str">
        <f t="shared" ca="1" si="74"/>
        <v/>
      </c>
      <c r="AL119" s="125">
        <f ca="1">IF(Results!$Q65="",0,Results!$Q65)</f>
        <v>0</v>
      </c>
      <c r="AM119" s="120">
        <f ca="1">IF(Results!$S65="",0,Results!$S65)</f>
        <v>0</v>
      </c>
      <c r="AN119" s="125" t="str">
        <f ca="1">IF($AA119=0,"",IF($AL119&gt;$AM119,Settings!$C$4,IF($AL119=$AM119,1,0)))</f>
        <v/>
      </c>
      <c r="AO119" s="120" t="str">
        <f ca="1">IF($AA119=0,"",IF($AL119&lt;$AM119,Settings!$C$4,IF($AL119=$AM119,1,0)))</f>
        <v/>
      </c>
    </row>
    <row r="120" spans="2:41" s="2" customFormat="1" x14ac:dyDescent="0.2">
      <c r="B120" s="3"/>
      <c r="C120" s="3"/>
      <c r="D120" s="3"/>
      <c r="E120" s="3"/>
      <c r="F120" s="12"/>
      <c r="G120" s="12"/>
      <c r="H120" s="12"/>
      <c r="I120" s="12"/>
      <c r="J120" s="12"/>
      <c r="K120" s="12"/>
      <c r="L120" s="12"/>
      <c r="M120" s="12"/>
      <c r="U120" s="67" t="s">
        <v>81</v>
      </c>
      <c r="V120" s="37" t="str">
        <f ca="1">Planning!$N63</f>
        <v/>
      </c>
      <c r="W120" s="12" t="str">
        <f ca="1">Planning!$P63</f>
        <v/>
      </c>
      <c r="X120" s="12" t="str">
        <f ca="1">IF(AND(Results!$H66&lt;&gt;"",Results!$J66&lt;&gt;"",ABS(Results!$H66-Results!$J66)&gt;1,Results!$E66&lt;&gt;Results!$G66,$V120&lt;&gt;"",$W120&lt;&gt;""),Results!$H66,"")</f>
        <v/>
      </c>
      <c r="Y120" s="32" t="str">
        <f ca="1">IF(AND(Results!$H66&lt;&gt;"",Results!$J66&lt;&gt;"",ABS(Results!$H66-Results!$J66)&gt;1,Results!$E66&lt;&gt;Results!$G66,$V120&lt;&gt;"",$W120&lt;&gt;""),Results!$J66,"")</f>
        <v/>
      </c>
      <c r="Z120" s="31" t="str">
        <f ca="1">IF(Planning!$F63=0,V120&amp;W120,"")</f>
        <v/>
      </c>
      <c r="AA120" s="12">
        <f ca="1">IF(AND(V120&lt;&gt;"",W120&lt;&gt;"",V120&lt;&gt;W120,Results!$Q66&lt;&gt;"",Results!$S66&lt;&gt;""),1,0)</f>
        <v>0</v>
      </c>
      <c r="AB120" s="12" t="str">
        <f ca="1">IF(AND(AA120&gt;0,Planning!$F63=0),AJ120&amp;Language!$E$90&amp;AK120,"")</f>
        <v/>
      </c>
      <c r="AC120" s="2" t="str">
        <f ca="1">IF(Planning!$F63=1,V120&amp;W120,"")</f>
        <v/>
      </c>
      <c r="AD120" s="120" t="str">
        <f ca="1">IF(AND(AA120&gt;0,Planning!$F63=1),AJ120&amp;Language!$E$90&amp;AK120,"")</f>
        <v/>
      </c>
      <c r="AE120" s="332" t="str">
        <f ca="1">IF(AA120&gt;0,AL120&amp;Language!$E$90&amp;AM120,"")</f>
        <v/>
      </c>
      <c r="AF120" s="125" t="str">
        <f ca="1">IF(AND(Results!$K66&lt;&gt;"",Results!$M66&lt;&gt;"",ABS(Results!$K66-Results!$M66)&gt;1,Results!$E66&lt;&gt;Results!$G66,$V120&lt;&gt;"",$W120&lt;&gt;""),Results!$K66,"")</f>
        <v/>
      </c>
      <c r="AG120" s="12" t="str">
        <f ca="1">IF(AND(Results!$K66&lt;&gt;"",Results!$M66&lt;&gt;"",ABS(Results!$K66-Results!$M66)&gt;1,Results!$E66&lt;&gt;Results!$G66,$V120&lt;&gt;"",$W120&lt;&gt;""),Results!$M66,"")</f>
        <v/>
      </c>
      <c r="AH120" s="125" t="str">
        <f ca="1">IF(AND(Results!$N66&lt;&gt;"",Results!$P66&lt;&gt;"",ABS(Results!$N66-Results!$P66)&gt;1,Results!$E66&lt;&gt;Results!$G66,$V120&lt;&gt;"",$W120&lt;&gt;""),Results!$N66,"")</f>
        <v/>
      </c>
      <c r="AI120" s="12" t="str">
        <f ca="1">IF(AND(Results!$N66&lt;&gt;"",Results!$P66&lt;&gt;"",ABS(Results!$N66-Results!$P66)&gt;1,Results!$E66&lt;&gt;Results!$G66,$V120&lt;&gt;"",$W120&lt;&gt;""),Results!$P66,"")</f>
        <v/>
      </c>
      <c r="AJ120" s="125" t="str">
        <f t="shared" ca="1" si="73"/>
        <v/>
      </c>
      <c r="AK120" s="120" t="str">
        <f t="shared" ca="1" si="74"/>
        <v/>
      </c>
      <c r="AL120" s="125">
        <f ca="1">IF(Results!$Q66="",0,Results!$Q66)</f>
        <v>0</v>
      </c>
      <c r="AM120" s="120">
        <f ca="1">IF(Results!$S66="",0,Results!$S66)</f>
        <v>0</v>
      </c>
      <c r="AN120" s="125" t="str">
        <f ca="1">IF($AA120=0,"",IF($AL120&gt;$AM120,Settings!$C$4,IF($AL120=$AM120,1,0)))</f>
        <v/>
      </c>
      <c r="AO120" s="120" t="str">
        <f ca="1">IF($AA120=0,"",IF($AL120&lt;$AM120,Settings!$C$4,IF($AL120=$AM120,1,0)))</f>
        <v/>
      </c>
    </row>
    <row r="121" spans="2:41" s="2" customFormat="1" x14ac:dyDescent="0.2">
      <c r="B121" s="3"/>
      <c r="C121" s="3"/>
      <c r="D121" s="3"/>
      <c r="E121" s="3"/>
      <c r="F121" s="12"/>
      <c r="G121" s="12"/>
      <c r="H121" s="12"/>
      <c r="I121" s="12"/>
      <c r="J121" s="12"/>
      <c r="K121" s="12"/>
      <c r="L121" s="12"/>
      <c r="M121" s="12"/>
      <c r="U121" s="67" t="s">
        <v>82</v>
      </c>
      <c r="V121" s="37" t="str">
        <f ca="1">Planning!$N64</f>
        <v/>
      </c>
      <c r="W121" s="12" t="str">
        <f ca="1">Planning!$P64</f>
        <v/>
      </c>
      <c r="X121" s="12" t="str">
        <f ca="1">IF(AND(Results!$H67&lt;&gt;"",Results!$J67&lt;&gt;"",ABS(Results!$H67-Results!$J67)&gt;1,Results!$E67&lt;&gt;Results!$G67,$V121&lt;&gt;"",$W121&lt;&gt;""),Results!$H67,"")</f>
        <v/>
      </c>
      <c r="Y121" s="32" t="str">
        <f ca="1">IF(AND(Results!$H67&lt;&gt;"",Results!$J67&lt;&gt;"",ABS(Results!$H67-Results!$J67)&gt;1,Results!$E67&lt;&gt;Results!$G67,$V121&lt;&gt;"",$W121&lt;&gt;""),Results!$J67,"")</f>
        <v/>
      </c>
      <c r="Z121" s="31" t="str">
        <f ca="1">IF(Planning!$F64=0,V121&amp;W121,"")</f>
        <v/>
      </c>
      <c r="AA121" s="12">
        <f ca="1">IF(AND(V121&lt;&gt;"",W121&lt;&gt;"",V121&lt;&gt;W121,Results!$Q67&lt;&gt;"",Results!$S67&lt;&gt;""),1,0)</f>
        <v>0</v>
      </c>
      <c r="AB121" s="12" t="str">
        <f ca="1">IF(AND(AA121&gt;0,Planning!$F64=0),AJ121&amp;Language!$E$90&amp;AK121,"")</f>
        <v/>
      </c>
      <c r="AC121" s="2" t="str">
        <f ca="1">IF(Planning!$F64=1,V121&amp;W121,"")</f>
        <v/>
      </c>
      <c r="AD121" s="120" t="str">
        <f ca="1">IF(AND(AA121&gt;0,Planning!$F64=1),AJ121&amp;Language!$E$90&amp;AK121,"")</f>
        <v/>
      </c>
      <c r="AE121" s="332" t="str">
        <f ca="1">IF(AA121&gt;0,AL121&amp;Language!$E$90&amp;AM121,"")</f>
        <v/>
      </c>
      <c r="AF121" s="125" t="str">
        <f ca="1">IF(AND(Results!$K67&lt;&gt;"",Results!$M67&lt;&gt;"",ABS(Results!$K67-Results!$M67)&gt;1,Results!$E67&lt;&gt;Results!$G67,$V121&lt;&gt;"",$W121&lt;&gt;""),Results!$K67,"")</f>
        <v/>
      </c>
      <c r="AG121" s="12" t="str">
        <f ca="1">IF(AND(Results!$K67&lt;&gt;"",Results!$M67&lt;&gt;"",ABS(Results!$K67-Results!$M67)&gt;1,Results!$E67&lt;&gt;Results!$G67,$V121&lt;&gt;"",$W121&lt;&gt;""),Results!$M67,"")</f>
        <v/>
      </c>
      <c r="AH121" s="125" t="str">
        <f ca="1">IF(AND(Results!$N67&lt;&gt;"",Results!$P67&lt;&gt;"",ABS(Results!$N67-Results!$P67)&gt;1,Results!$E67&lt;&gt;Results!$G67,$V121&lt;&gt;"",$W121&lt;&gt;""),Results!$N67,"")</f>
        <v/>
      </c>
      <c r="AI121" s="12" t="str">
        <f ca="1">IF(AND(Results!$N67&lt;&gt;"",Results!$P67&lt;&gt;"",ABS(Results!$N67-Results!$P67)&gt;1,Results!$E67&lt;&gt;Results!$G67,$V121&lt;&gt;"",$W121&lt;&gt;""),Results!$P67,"")</f>
        <v/>
      </c>
      <c r="AJ121" s="125" t="str">
        <f t="shared" ca="1" si="73"/>
        <v/>
      </c>
      <c r="AK121" s="120" t="str">
        <f t="shared" ca="1" si="74"/>
        <v/>
      </c>
      <c r="AL121" s="125">
        <f ca="1">IF(Results!$Q67="",0,Results!$Q67)</f>
        <v>0</v>
      </c>
      <c r="AM121" s="120">
        <f ca="1">IF(Results!$S67="",0,Results!$S67)</f>
        <v>0</v>
      </c>
      <c r="AN121" s="125" t="str">
        <f ca="1">IF($AA121=0,"",IF($AL121&gt;$AM121,Settings!$C$4,IF($AL121=$AM121,1,0)))</f>
        <v/>
      </c>
      <c r="AO121" s="120" t="str">
        <f ca="1">IF($AA121=0,"",IF($AL121&lt;$AM121,Settings!$C$4,IF($AL121=$AM121,1,0)))</f>
        <v/>
      </c>
    </row>
    <row r="122" spans="2:41" s="2" customFormat="1" x14ac:dyDescent="0.2">
      <c r="B122" s="3"/>
      <c r="C122" s="3"/>
      <c r="D122" s="3"/>
      <c r="E122" s="3"/>
      <c r="F122" s="12"/>
      <c r="G122" s="12"/>
      <c r="H122" s="12"/>
      <c r="I122" s="12"/>
      <c r="J122" s="12"/>
      <c r="K122" s="12"/>
      <c r="L122" s="12"/>
      <c r="M122" s="12"/>
      <c r="U122" s="67" t="s">
        <v>83</v>
      </c>
      <c r="V122" s="37" t="str">
        <f ca="1">Planning!$N65</f>
        <v/>
      </c>
      <c r="W122" s="12" t="str">
        <f ca="1">Planning!$P65</f>
        <v/>
      </c>
      <c r="X122" s="12" t="str">
        <f ca="1">IF(AND(Results!$H68&lt;&gt;"",Results!$J68&lt;&gt;"",ABS(Results!$H68-Results!$J68)&gt;1,Results!$E68&lt;&gt;Results!$G68,$V122&lt;&gt;"",$W122&lt;&gt;""),Results!$H68,"")</f>
        <v/>
      </c>
      <c r="Y122" s="32" t="str">
        <f ca="1">IF(AND(Results!$H68&lt;&gt;"",Results!$J68&lt;&gt;"",ABS(Results!$H68-Results!$J68)&gt;1,Results!$E68&lt;&gt;Results!$G68,$V122&lt;&gt;"",$W122&lt;&gt;""),Results!$J68,"")</f>
        <v/>
      </c>
      <c r="Z122" s="31" t="str">
        <f ca="1">IF(Planning!$F65=0,V122&amp;W122,"")</f>
        <v/>
      </c>
      <c r="AA122" s="12">
        <f ca="1">IF(AND(V122&lt;&gt;"",W122&lt;&gt;"",V122&lt;&gt;W122,Results!$Q68&lt;&gt;"",Results!$S68&lt;&gt;""),1,0)</f>
        <v>0</v>
      </c>
      <c r="AB122" s="12" t="str">
        <f ca="1">IF(AND(AA122&gt;0,Planning!$F65=0),AJ122&amp;Language!$E$90&amp;AK122,"")</f>
        <v/>
      </c>
      <c r="AC122" s="2" t="str">
        <f ca="1">IF(Planning!$F65=1,V122&amp;W122,"")</f>
        <v/>
      </c>
      <c r="AD122" s="120" t="str">
        <f ca="1">IF(AND(AA122&gt;0,Planning!$F65=1),AJ122&amp;Language!$E$90&amp;AK122,"")</f>
        <v/>
      </c>
      <c r="AE122" s="332" t="str">
        <f ca="1">IF(AA122&gt;0,AL122&amp;Language!$E$90&amp;AM122,"")</f>
        <v/>
      </c>
      <c r="AF122" s="125" t="str">
        <f ca="1">IF(AND(Results!$K68&lt;&gt;"",Results!$M68&lt;&gt;"",ABS(Results!$K68-Results!$M68)&gt;1,Results!$E68&lt;&gt;Results!$G68,$V122&lt;&gt;"",$W122&lt;&gt;""),Results!$K68,"")</f>
        <v/>
      </c>
      <c r="AG122" s="12" t="str">
        <f ca="1">IF(AND(Results!$K68&lt;&gt;"",Results!$M68&lt;&gt;"",ABS(Results!$K68-Results!$M68)&gt;1,Results!$E68&lt;&gt;Results!$G68,$V122&lt;&gt;"",$W122&lt;&gt;""),Results!$M68,"")</f>
        <v/>
      </c>
      <c r="AH122" s="125" t="str">
        <f ca="1">IF(AND(Results!$N68&lt;&gt;"",Results!$P68&lt;&gt;"",ABS(Results!$N68-Results!$P68)&gt;1,Results!$E68&lt;&gt;Results!$G68,$V122&lt;&gt;"",$W122&lt;&gt;""),Results!$N68,"")</f>
        <v/>
      </c>
      <c r="AI122" s="12" t="str">
        <f ca="1">IF(AND(Results!$N68&lt;&gt;"",Results!$P68&lt;&gt;"",ABS(Results!$N68-Results!$P68)&gt;1,Results!$E68&lt;&gt;Results!$G68,$V122&lt;&gt;"",$W122&lt;&gt;""),Results!$P68,"")</f>
        <v/>
      </c>
      <c r="AJ122" s="125" t="str">
        <f t="shared" ca="1" si="73"/>
        <v/>
      </c>
      <c r="AK122" s="120" t="str">
        <f t="shared" ca="1" si="74"/>
        <v/>
      </c>
      <c r="AL122" s="125">
        <f ca="1">IF(Results!$Q68="",0,Results!$Q68)</f>
        <v>0</v>
      </c>
      <c r="AM122" s="120">
        <f ca="1">IF(Results!$S68="",0,Results!$S68)</f>
        <v>0</v>
      </c>
      <c r="AN122" s="125" t="str">
        <f ca="1">IF($AA122=0,"",IF($AL122&gt;$AM122,Settings!$C$4,IF($AL122=$AM122,1,0)))</f>
        <v/>
      </c>
      <c r="AO122" s="120" t="str">
        <f ca="1">IF($AA122=0,"",IF($AL122&lt;$AM122,Settings!$C$4,IF($AL122=$AM122,1,0)))</f>
        <v/>
      </c>
    </row>
    <row r="123" spans="2:41" s="2" customFormat="1" x14ac:dyDescent="0.2">
      <c r="B123" s="3"/>
      <c r="C123" s="3"/>
      <c r="D123" s="3"/>
      <c r="E123" s="3"/>
      <c r="F123" s="12"/>
      <c r="G123" s="12"/>
      <c r="H123" s="12"/>
      <c r="I123" s="12"/>
      <c r="J123" s="12"/>
      <c r="K123" s="12"/>
      <c r="L123" s="12"/>
      <c r="M123" s="12"/>
      <c r="U123" s="67" t="s">
        <v>84</v>
      </c>
      <c r="V123" s="37" t="str">
        <f ca="1">Planning!$N66</f>
        <v/>
      </c>
      <c r="W123" s="12" t="str">
        <f ca="1">Planning!$P66</f>
        <v/>
      </c>
      <c r="X123" s="12" t="str">
        <f ca="1">IF(AND(Results!$H69&lt;&gt;"",Results!$J69&lt;&gt;"",ABS(Results!$H69-Results!$J69)&gt;1,Results!$E69&lt;&gt;Results!$G69,$V123&lt;&gt;"",$W123&lt;&gt;""),Results!$H69,"")</f>
        <v/>
      </c>
      <c r="Y123" s="32" t="str">
        <f ca="1">IF(AND(Results!$H69&lt;&gt;"",Results!$J69&lt;&gt;"",ABS(Results!$H69-Results!$J69)&gt;1,Results!$E69&lt;&gt;Results!$G69,$V123&lt;&gt;"",$W123&lt;&gt;""),Results!$J69,"")</f>
        <v/>
      </c>
      <c r="Z123" s="31" t="str">
        <f ca="1">IF(Planning!$F66=0,V123&amp;W123,"")</f>
        <v/>
      </c>
      <c r="AA123" s="12">
        <f ca="1">IF(AND(V123&lt;&gt;"",W123&lt;&gt;"",V123&lt;&gt;W123,Results!$Q69&lt;&gt;"",Results!$S69&lt;&gt;""),1,0)</f>
        <v>0</v>
      </c>
      <c r="AB123" s="12" t="str">
        <f ca="1">IF(AND(AA123&gt;0,Planning!$F66=0),AJ123&amp;Language!$E$90&amp;AK123,"")</f>
        <v/>
      </c>
      <c r="AC123" s="2" t="str">
        <f ca="1">IF(Planning!$F66=1,V123&amp;W123,"")</f>
        <v/>
      </c>
      <c r="AD123" s="120" t="str">
        <f ca="1">IF(AND(AA123&gt;0,Planning!$F66=1),AJ123&amp;Language!$E$90&amp;AK123,"")</f>
        <v/>
      </c>
      <c r="AE123" s="332" t="str">
        <f ca="1">IF(AA123&gt;0,AL123&amp;Language!$E$90&amp;AM123,"")</f>
        <v/>
      </c>
      <c r="AF123" s="125" t="str">
        <f ca="1">IF(AND(Results!$K69&lt;&gt;"",Results!$M69&lt;&gt;"",ABS(Results!$K69-Results!$M69)&gt;1,Results!$E69&lt;&gt;Results!$G69,$V123&lt;&gt;"",$W123&lt;&gt;""),Results!$K69,"")</f>
        <v/>
      </c>
      <c r="AG123" s="12" t="str">
        <f ca="1">IF(AND(Results!$K69&lt;&gt;"",Results!$M69&lt;&gt;"",ABS(Results!$K69-Results!$M69)&gt;1,Results!$E69&lt;&gt;Results!$G69,$V123&lt;&gt;"",$W123&lt;&gt;""),Results!$M69,"")</f>
        <v/>
      </c>
      <c r="AH123" s="125" t="str">
        <f ca="1">IF(AND(Results!$N69&lt;&gt;"",Results!$P69&lt;&gt;"",ABS(Results!$N69-Results!$P69)&gt;1,Results!$E69&lt;&gt;Results!$G69,$V123&lt;&gt;"",$W123&lt;&gt;""),Results!$N69,"")</f>
        <v/>
      </c>
      <c r="AI123" s="12" t="str">
        <f ca="1">IF(AND(Results!$N69&lt;&gt;"",Results!$P69&lt;&gt;"",ABS(Results!$N69-Results!$P69)&gt;1,Results!$E69&lt;&gt;Results!$G69,$V123&lt;&gt;"",$W123&lt;&gt;""),Results!$P69,"")</f>
        <v/>
      </c>
      <c r="AJ123" s="125" t="str">
        <f t="shared" ca="1" si="73"/>
        <v/>
      </c>
      <c r="AK123" s="120" t="str">
        <f t="shared" ca="1" si="74"/>
        <v/>
      </c>
      <c r="AL123" s="125">
        <f ca="1">IF(Results!$Q69="",0,Results!$Q69)</f>
        <v>0</v>
      </c>
      <c r="AM123" s="120">
        <f ca="1">IF(Results!$S69="",0,Results!$S69)</f>
        <v>0</v>
      </c>
      <c r="AN123" s="125" t="str">
        <f ca="1">IF($AA123=0,"",IF($AL123&gt;$AM123,Settings!$C$4,IF($AL123=$AM123,1,0)))</f>
        <v/>
      </c>
      <c r="AO123" s="120" t="str">
        <f ca="1">IF($AA123=0,"",IF($AL123&lt;$AM123,Settings!$C$4,IF($AL123=$AM123,1,0)))</f>
        <v/>
      </c>
    </row>
    <row r="124" spans="2:41" s="2" customFormat="1" x14ac:dyDescent="0.2">
      <c r="B124" s="3"/>
      <c r="C124" s="3"/>
      <c r="D124" s="3"/>
      <c r="E124" s="3"/>
      <c r="F124" s="12"/>
      <c r="G124" s="12"/>
      <c r="H124" s="12"/>
      <c r="I124" s="12"/>
      <c r="J124" s="12"/>
      <c r="K124" s="12"/>
      <c r="L124" s="12"/>
      <c r="M124" s="12"/>
      <c r="U124" s="67" t="s">
        <v>85</v>
      </c>
      <c r="V124" s="37" t="str">
        <f ca="1">Planning!$N67</f>
        <v/>
      </c>
      <c r="W124" s="12" t="str">
        <f ca="1">Planning!$P67</f>
        <v/>
      </c>
      <c r="X124" s="12" t="str">
        <f ca="1">IF(AND(Results!$H70&lt;&gt;"",Results!$J70&lt;&gt;"",ABS(Results!$H70-Results!$J70)&gt;1,Results!$E70&lt;&gt;Results!$G70,$V124&lt;&gt;"",$W124&lt;&gt;""),Results!$H70,"")</f>
        <v/>
      </c>
      <c r="Y124" s="32" t="str">
        <f ca="1">IF(AND(Results!$H70&lt;&gt;"",Results!$J70&lt;&gt;"",ABS(Results!$H70-Results!$J70)&gt;1,Results!$E70&lt;&gt;Results!$G70,$V124&lt;&gt;"",$W124&lt;&gt;""),Results!$J70,"")</f>
        <v/>
      </c>
      <c r="Z124" s="31" t="str">
        <f ca="1">IF(Planning!$F67=0,V124&amp;W124,"")</f>
        <v/>
      </c>
      <c r="AA124" s="12">
        <f ca="1">IF(AND(V124&lt;&gt;"",W124&lt;&gt;"",V124&lt;&gt;W124,Results!$Q70&lt;&gt;"",Results!$S70&lt;&gt;""),1,0)</f>
        <v>0</v>
      </c>
      <c r="AB124" s="12" t="str">
        <f ca="1">IF(AND(AA124&gt;0,Planning!$F67=0),AJ124&amp;Language!$E$90&amp;AK124,"")</f>
        <v/>
      </c>
      <c r="AC124" s="2" t="str">
        <f ca="1">IF(Planning!$F67=1,V124&amp;W124,"")</f>
        <v/>
      </c>
      <c r="AD124" s="120" t="str">
        <f ca="1">IF(AND(AA124&gt;0,Planning!$F67=1),AJ124&amp;Language!$E$90&amp;AK124,"")</f>
        <v/>
      </c>
      <c r="AE124" s="332" t="str">
        <f ca="1">IF(AA124&gt;0,AL124&amp;Language!$E$90&amp;AM124,"")</f>
        <v/>
      </c>
      <c r="AF124" s="125" t="str">
        <f ca="1">IF(AND(Results!$K70&lt;&gt;"",Results!$M70&lt;&gt;"",ABS(Results!$K70-Results!$M70)&gt;1,Results!$E70&lt;&gt;Results!$G70,$V124&lt;&gt;"",$W124&lt;&gt;""),Results!$K70,"")</f>
        <v/>
      </c>
      <c r="AG124" s="12" t="str">
        <f ca="1">IF(AND(Results!$K70&lt;&gt;"",Results!$M70&lt;&gt;"",ABS(Results!$K70-Results!$M70)&gt;1,Results!$E70&lt;&gt;Results!$G70,$V124&lt;&gt;"",$W124&lt;&gt;""),Results!$M70,"")</f>
        <v/>
      </c>
      <c r="AH124" s="125" t="str">
        <f ca="1">IF(AND(Results!$N70&lt;&gt;"",Results!$P70&lt;&gt;"",ABS(Results!$N70-Results!$P70)&gt;1,Results!$E70&lt;&gt;Results!$G70,$V124&lt;&gt;"",$W124&lt;&gt;""),Results!$N70,"")</f>
        <v/>
      </c>
      <c r="AI124" s="12" t="str">
        <f ca="1">IF(AND(Results!$N70&lt;&gt;"",Results!$P70&lt;&gt;"",ABS(Results!$N70-Results!$P70)&gt;1,Results!$E70&lt;&gt;Results!$G70,$V124&lt;&gt;"",$W124&lt;&gt;""),Results!$P70,"")</f>
        <v/>
      </c>
      <c r="AJ124" s="125" t="str">
        <f t="shared" ca="1" si="73"/>
        <v/>
      </c>
      <c r="AK124" s="120" t="str">
        <f t="shared" ca="1" si="74"/>
        <v/>
      </c>
      <c r="AL124" s="125">
        <f ca="1">IF(Results!$Q70="",0,Results!$Q70)</f>
        <v>0</v>
      </c>
      <c r="AM124" s="120">
        <f ca="1">IF(Results!$S70="",0,Results!$S70)</f>
        <v>0</v>
      </c>
      <c r="AN124" s="125" t="str">
        <f ca="1">IF($AA124=0,"",IF($AL124&gt;$AM124,Settings!$C$4,IF($AL124=$AM124,1,0)))</f>
        <v/>
      </c>
      <c r="AO124" s="120" t="str">
        <f ca="1">IF($AA124=0,"",IF($AL124&lt;$AM124,Settings!$C$4,IF($AL124=$AM124,1,0)))</f>
        <v/>
      </c>
    </row>
    <row r="125" spans="2:41" s="2" customFormat="1" x14ac:dyDescent="0.2">
      <c r="B125" s="3"/>
      <c r="C125" s="3"/>
      <c r="D125" s="3"/>
      <c r="E125" s="3"/>
      <c r="F125" s="12"/>
      <c r="G125" s="12"/>
      <c r="H125" s="12"/>
      <c r="I125" s="12"/>
      <c r="J125" s="12"/>
      <c r="K125" s="12"/>
      <c r="L125" s="12"/>
      <c r="M125" s="12"/>
      <c r="U125" s="67" t="s">
        <v>86</v>
      </c>
      <c r="V125" s="37" t="str">
        <f ca="1">Planning!$N68</f>
        <v/>
      </c>
      <c r="W125" s="12" t="str">
        <f ca="1">Planning!$P68</f>
        <v/>
      </c>
      <c r="X125" s="12" t="str">
        <f ca="1">IF(AND(Results!$H71&lt;&gt;"",Results!$J71&lt;&gt;"",ABS(Results!$H71-Results!$J71)&gt;1,Results!$E71&lt;&gt;Results!$G71,$V125&lt;&gt;"",$W125&lt;&gt;""),Results!$H71,"")</f>
        <v/>
      </c>
      <c r="Y125" s="32" t="str">
        <f ca="1">IF(AND(Results!$H71&lt;&gt;"",Results!$J71&lt;&gt;"",ABS(Results!$H71-Results!$J71)&gt;1,Results!$E71&lt;&gt;Results!$G71,$V125&lt;&gt;"",$W125&lt;&gt;""),Results!$J71,"")</f>
        <v/>
      </c>
      <c r="Z125" s="31" t="str">
        <f ca="1">IF(Planning!$F68=0,V125&amp;W125,"")</f>
        <v/>
      </c>
      <c r="AA125" s="12">
        <f ca="1">IF(AND(V125&lt;&gt;"",W125&lt;&gt;"",V125&lt;&gt;W125,Results!$Q71&lt;&gt;"",Results!$S71&lt;&gt;""),1,0)</f>
        <v>0</v>
      </c>
      <c r="AB125" s="12" t="str">
        <f ca="1">IF(AND(AA125&gt;0,Planning!$F68=0),AJ125&amp;Language!$E$90&amp;AK125,"")</f>
        <v/>
      </c>
      <c r="AC125" s="2" t="str">
        <f ca="1">IF(Planning!$F68=1,V125&amp;W125,"")</f>
        <v/>
      </c>
      <c r="AD125" s="120" t="str">
        <f ca="1">IF(AND(AA125&gt;0,Planning!$F68=1),AJ125&amp;Language!$E$90&amp;AK125,"")</f>
        <v/>
      </c>
      <c r="AE125" s="332" t="str">
        <f ca="1">IF(AA125&gt;0,AL125&amp;Language!$E$90&amp;AM125,"")</f>
        <v/>
      </c>
      <c r="AF125" s="125" t="str">
        <f ca="1">IF(AND(Results!$K71&lt;&gt;"",Results!$M71&lt;&gt;"",ABS(Results!$K71-Results!$M71)&gt;1,Results!$E71&lt;&gt;Results!$G71,$V125&lt;&gt;"",$W125&lt;&gt;""),Results!$K71,"")</f>
        <v/>
      </c>
      <c r="AG125" s="12" t="str">
        <f ca="1">IF(AND(Results!$K71&lt;&gt;"",Results!$M71&lt;&gt;"",ABS(Results!$K71-Results!$M71)&gt;1,Results!$E71&lt;&gt;Results!$G71,$V125&lt;&gt;"",$W125&lt;&gt;""),Results!$M71,"")</f>
        <v/>
      </c>
      <c r="AH125" s="125" t="str">
        <f ca="1">IF(AND(Results!$N71&lt;&gt;"",Results!$P71&lt;&gt;"",ABS(Results!$N71-Results!$P71)&gt;1,Results!$E71&lt;&gt;Results!$G71,$V125&lt;&gt;"",$W125&lt;&gt;""),Results!$N71,"")</f>
        <v/>
      </c>
      <c r="AI125" s="12" t="str">
        <f ca="1">IF(AND(Results!$N71&lt;&gt;"",Results!$P71&lt;&gt;"",ABS(Results!$N71-Results!$P71)&gt;1,Results!$E71&lt;&gt;Results!$G71,$V125&lt;&gt;"",$W125&lt;&gt;""),Results!$P71,"")</f>
        <v/>
      </c>
      <c r="AJ125" s="125" t="str">
        <f t="shared" ca="1" si="73"/>
        <v/>
      </c>
      <c r="AK125" s="120" t="str">
        <f t="shared" ca="1" si="74"/>
        <v/>
      </c>
      <c r="AL125" s="125">
        <f ca="1">IF(Results!$Q71="",0,Results!$Q71)</f>
        <v>0</v>
      </c>
      <c r="AM125" s="120">
        <f ca="1">IF(Results!$S71="",0,Results!$S71)</f>
        <v>0</v>
      </c>
      <c r="AN125" s="125" t="str">
        <f ca="1">IF($AA125=0,"",IF($AL125&gt;$AM125,Settings!$C$4,IF($AL125=$AM125,1,0)))</f>
        <v/>
      </c>
      <c r="AO125" s="120" t="str">
        <f ca="1">IF($AA125=0,"",IF($AL125&lt;$AM125,Settings!$C$4,IF($AL125=$AM125,1,0)))</f>
        <v/>
      </c>
    </row>
    <row r="126" spans="2:41" s="2" customFormat="1" x14ac:dyDescent="0.2">
      <c r="B126" s="3"/>
      <c r="C126" s="3"/>
      <c r="D126" s="3"/>
      <c r="E126" s="3"/>
      <c r="F126" s="12"/>
      <c r="G126" s="12"/>
      <c r="H126" s="12"/>
      <c r="I126" s="12"/>
      <c r="J126" s="12"/>
      <c r="K126" s="12"/>
      <c r="L126" s="12"/>
      <c r="M126" s="12"/>
      <c r="U126" s="67" t="s">
        <v>87</v>
      </c>
      <c r="V126" s="37" t="str">
        <f ca="1">Planning!$N69</f>
        <v/>
      </c>
      <c r="W126" s="12" t="str">
        <f ca="1">Planning!$P69</f>
        <v/>
      </c>
      <c r="X126" s="12" t="str">
        <f ca="1">IF(AND(Results!$H72&lt;&gt;"",Results!$J72&lt;&gt;"",ABS(Results!$H72-Results!$J72)&gt;1,Results!$E72&lt;&gt;Results!$G72,$V126&lt;&gt;"",$W126&lt;&gt;""),Results!$H72,"")</f>
        <v/>
      </c>
      <c r="Y126" s="32" t="str">
        <f ca="1">IF(AND(Results!$H72&lt;&gt;"",Results!$J72&lt;&gt;"",ABS(Results!$H72-Results!$J72)&gt;1,Results!$E72&lt;&gt;Results!$G72,$V126&lt;&gt;"",$W126&lt;&gt;""),Results!$J72,"")</f>
        <v/>
      </c>
      <c r="Z126" s="31" t="str">
        <f ca="1">IF(Planning!$F69=0,V126&amp;W126,"")</f>
        <v/>
      </c>
      <c r="AA126" s="12">
        <f ca="1">IF(AND(V126&lt;&gt;"",W126&lt;&gt;"",V126&lt;&gt;W126,Results!$Q72&lt;&gt;"",Results!$S72&lt;&gt;""),1,0)</f>
        <v>0</v>
      </c>
      <c r="AB126" s="12" t="str">
        <f ca="1">IF(AND(AA126&gt;0,Planning!$F69=0),AJ126&amp;Language!$E$90&amp;AK126,"")</f>
        <v/>
      </c>
      <c r="AC126" s="2" t="str">
        <f ca="1">IF(Planning!$F69=1,V126&amp;W126,"")</f>
        <v/>
      </c>
      <c r="AD126" s="120" t="str">
        <f ca="1">IF(AND(AA126&gt;0,Planning!$F69=1),AJ126&amp;Language!$E$90&amp;AK126,"")</f>
        <v/>
      </c>
      <c r="AE126" s="332" t="str">
        <f ca="1">IF(AA126&gt;0,AL126&amp;Language!$E$90&amp;AM126,"")</f>
        <v/>
      </c>
      <c r="AF126" s="125" t="str">
        <f ca="1">IF(AND(Results!$K72&lt;&gt;"",Results!$M72&lt;&gt;"",ABS(Results!$K72-Results!$M72)&gt;1,Results!$E72&lt;&gt;Results!$G72,$V126&lt;&gt;"",$W126&lt;&gt;""),Results!$K72,"")</f>
        <v/>
      </c>
      <c r="AG126" s="12" t="str">
        <f ca="1">IF(AND(Results!$K72&lt;&gt;"",Results!$M72&lt;&gt;"",ABS(Results!$K72-Results!$M72)&gt;1,Results!$E72&lt;&gt;Results!$G72,$V126&lt;&gt;"",$W126&lt;&gt;""),Results!$M72,"")</f>
        <v/>
      </c>
      <c r="AH126" s="125" t="str">
        <f ca="1">IF(AND(Results!$N72&lt;&gt;"",Results!$P72&lt;&gt;"",ABS(Results!$N72-Results!$P72)&gt;1,Results!$E72&lt;&gt;Results!$G72,$V126&lt;&gt;"",$W126&lt;&gt;""),Results!$N72,"")</f>
        <v/>
      </c>
      <c r="AI126" s="12" t="str">
        <f ca="1">IF(AND(Results!$N72&lt;&gt;"",Results!$P72&lt;&gt;"",ABS(Results!$N72-Results!$P72)&gt;1,Results!$E72&lt;&gt;Results!$G72,$V126&lt;&gt;"",$W126&lt;&gt;""),Results!$P72,"")</f>
        <v/>
      </c>
      <c r="AJ126" s="125" t="str">
        <f t="shared" ca="1" si="73"/>
        <v/>
      </c>
      <c r="AK126" s="120" t="str">
        <f t="shared" ca="1" si="74"/>
        <v/>
      </c>
      <c r="AL126" s="125">
        <f ca="1">IF(Results!$Q72="",0,Results!$Q72)</f>
        <v>0</v>
      </c>
      <c r="AM126" s="120">
        <f ca="1">IF(Results!$S72="",0,Results!$S72)</f>
        <v>0</v>
      </c>
      <c r="AN126" s="125" t="str">
        <f ca="1">IF($AA126=0,"",IF($AL126&gt;$AM126,Settings!$C$4,IF($AL126=$AM126,1,0)))</f>
        <v/>
      </c>
      <c r="AO126" s="120" t="str">
        <f ca="1">IF($AA126=0,"",IF($AL126&lt;$AM126,Settings!$C$4,IF($AL126=$AM126,1,0)))</f>
        <v/>
      </c>
    </row>
    <row r="127" spans="2:41" s="2" customFormat="1" x14ac:dyDescent="0.2">
      <c r="B127" s="3"/>
      <c r="C127" s="3"/>
      <c r="D127" s="3"/>
      <c r="E127" s="3"/>
      <c r="F127" s="12"/>
      <c r="G127" s="12"/>
      <c r="H127" s="12"/>
      <c r="I127" s="12"/>
      <c r="J127" s="12"/>
      <c r="K127" s="12"/>
      <c r="L127" s="12"/>
      <c r="M127" s="12"/>
      <c r="U127" s="67" t="s">
        <v>88</v>
      </c>
      <c r="V127" s="37" t="str">
        <f ca="1">Planning!$N70</f>
        <v/>
      </c>
      <c r="W127" s="12" t="str">
        <f ca="1">Planning!$P70</f>
        <v/>
      </c>
      <c r="X127" s="12" t="str">
        <f ca="1">IF(AND(Results!$H73&lt;&gt;"",Results!$J73&lt;&gt;"",ABS(Results!$H73-Results!$J73)&gt;1,Results!$E73&lt;&gt;Results!$G73,$V127&lt;&gt;"",$W127&lt;&gt;""),Results!$H73,"")</f>
        <v/>
      </c>
      <c r="Y127" s="32" t="str">
        <f ca="1">IF(AND(Results!$H73&lt;&gt;"",Results!$J73&lt;&gt;"",ABS(Results!$H73-Results!$J73)&gt;1,Results!$E73&lt;&gt;Results!$G73,$V127&lt;&gt;"",$W127&lt;&gt;""),Results!$J73,"")</f>
        <v/>
      </c>
      <c r="Z127" s="31" t="str">
        <f ca="1">IF(Planning!$F70=0,V127&amp;W127,"")</f>
        <v/>
      </c>
      <c r="AA127" s="12">
        <f ca="1">IF(AND(V127&lt;&gt;"",W127&lt;&gt;"",V127&lt;&gt;W127,Results!$Q73&lt;&gt;"",Results!$S73&lt;&gt;""),1,0)</f>
        <v>0</v>
      </c>
      <c r="AB127" s="12" t="str">
        <f ca="1">IF(AND(AA127&gt;0,Planning!$F70=0),AJ127&amp;Language!$E$90&amp;AK127,"")</f>
        <v/>
      </c>
      <c r="AC127" s="2" t="str">
        <f ca="1">IF(Planning!$F70=1,V127&amp;W127,"")</f>
        <v/>
      </c>
      <c r="AD127" s="120" t="str">
        <f ca="1">IF(AND(AA127&gt;0,Planning!$F70=1),AJ127&amp;Language!$E$90&amp;AK127,"")</f>
        <v/>
      </c>
      <c r="AE127" s="332" t="str">
        <f ca="1">IF(AA127&gt;0,AL127&amp;Language!$E$90&amp;AM127,"")</f>
        <v/>
      </c>
      <c r="AF127" s="125" t="str">
        <f ca="1">IF(AND(Results!$K73&lt;&gt;"",Results!$M73&lt;&gt;"",ABS(Results!$K73-Results!$M73)&gt;1,Results!$E73&lt;&gt;Results!$G73,$V127&lt;&gt;"",$W127&lt;&gt;""),Results!$K73,"")</f>
        <v/>
      </c>
      <c r="AG127" s="12" t="str">
        <f ca="1">IF(AND(Results!$K73&lt;&gt;"",Results!$M73&lt;&gt;"",ABS(Results!$K73-Results!$M73)&gt;1,Results!$E73&lt;&gt;Results!$G73,$V127&lt;&gt;"",$W127&lt;&gt;""),Results!$M73,"")</f>
        <v/>
      </c>
      <c r="AH127" s="125" t="str">
        <f ca="1">IF(AND(Results!$N73&lt;&gt;"",Results!$P73&lt;&gt;"",ABS(Results!$N73-Results!$P73)&gt;1,Results!$E73&lt;&gt;Results!$G73,$V127&lt;&gt;"",$W127&lt;&gt;""),Results!$N73,"")</f>
        <v/>
      </c>
      <c r="AI127" s="12" t="str">
        <f ca="1">IF(AND(Results!$N73&lt;&gt;"",Results!$P73&lt;&gt;"",ABS(Results!$N73-Results!$P73)&gt;1,Results!$E73&lt;&gt;Results!$G73,$V127&lt;&gt;"",$W127&lt;&gt;""),Results!$P73,"")</f>
        <v/>
      </c>
      <c r="AJ127" s="125" t="str">
        <f t="shared" ca="1" si="73"/>
        <v/>
      </c>
      <c r="AK127" s="120" t="str">
        <f t="shared" ca="1" si="74"/>
        <v/>
      </c>
      <c r="AL127" s="125">
        <f ca="1">IF(Results!$Q73="",0,Results!$Q73)</f>
        <v>0</v>
      </c>
      <c r="AM127" s="120">
        <f ca="1">IF(Results!$S73="",0,Results!$S73)</f>
        <v>0</v>
      </c>
      <c r="AN127" s="125" t="str">
        <f ca="1">IF($AA127=0,"",IF($AL127&gt;$AM127,Settings!$C$4,IF($AL127=$AM127,1,0)))</f>
        <v/>
      </c>
      <c r="AO127" s="120" t="str">
        <f ca="1">IF($AA127=0,"",IF($AL127&lt;$AM127,Settings!$C$4,IF($AL127=$AM127,1,0)))</f>
        <v/>
      </c>
    </row>
    <row r="128" spans="2:41" s="2" customFormat="1" x14ac:dyDescent="0.2">
      <c r="B128" s="3"/>
      <c r="C128" s="3"/>
      <c r="D128" s="3"/>
      <c r="E128" s="3"/>
      <c r="F128" s="12"/>
      <c r="G128" s="12"/>
      <c r="H128" s="12"/>
      <c r="I128" s="12"/>
      <c r="J128" s="12"/>
      <c r="K128" s="12"/>
      <c r="L128" s="12"/>
      <c r="M128" s="12"/>
      <c r="U128" s="67" t="s">
        <v>89</v>
      </c>
      <c r="V128" s="37" t="str">
        <f ca="1">Planning!$N71</f>
        <v/>
      </c>
      <c r="W128" s="12" t="str">
        <f ca="1">Planning!$P71</f>
        <v/>
      </c>
      <c r="X128" s="12" t="str">
        <f ca="1">IF(AND(Results!$H74&lt;&gt;"",Results!$J74&lt;&gt;"",ABS(Results!$H74-Results!$J74)&gt;1,Results!$E74&lt;&gt;Results!$G74,$V128&lt;&gt;"",$W128&lt;&gt;""),Results!$H74,"")</f>
        <v/>
      </c>
      <c r="Y128" s="32" t="str">
        <f ca="1">IF(AND(Results!$H74&lt;&gt;"",Results!$J74&lt;&gt;"",ABS(Results!$H74-Results!$J74)&gt;1,Results!$E74&lt;&gt;Results!$G74,$V128&lt;&gt;"",$W128&lt;&gt;""),Results!$J74,"")</f>
        <v/>
      </c>
      <c r="Z128" s="31" t="str">
        <f ca="1">IF(Planning!$F71=0,V128&amp;W128,"")</f>
        <v/>
      </c>
      <c r="AA128" s="12">
        <f ca="1">IF(AND(V128&lt;&gt;"",W128&lt;&gt;"",V128&lt;&gt;W128,Results!$Q74&lt;&gt;"",Results!$S74&lt;&gt;""),1,0)</f>
        <v>0</v>
      </c>
      <c r="AB128" s="12" t="str">
        <f ca="1">IF(AND(AA128&gt;0,Planning!$F71=0),AJ128&amp;Language!$E$90&amp;AK128,"")</f>
        <v/>
      </c>
      <c r="AC128" s="2" t="str">
        <f ca="1">IF(Planning!$F71=1,V128&amp;W128,"")</f>
        <v/>
      </c>
      <c r="AD128" s="120" t="str">
        <f ca="1">IF(AND(AA128&gt;0,Planning!$F71=1),AJ128&amp;Language!$E$90&amp;AK128,"")</f>
        <v/>
      </c>
      <c r="AE128" s="332" t="str">
        <f ca="1">IF(AA128&gt;0,AL128&amp;Language!$E$90&amp;AM128,"")</f>
        <v/>
      </c>
      <c r="AF128" s="125" t="str">
        <f ca="1">IF(AND(Results!$K74&lt;&gt;"",Results!$M74&lt;&gt;"",ABS(Results!$K74-Results!$M74)&gt;1,Results!$E74&lt;&gt;Results!$G74,$V128&lt;&gt;"",$W128&lt;&gt;""),Results!$K74,"")</f>
        <v/>
      </c>
      <c r="AG128" s="12" t="str">
        <f ca="1">IF(AND(Results!$K74&lt;&gt;"",Results!$M74&lt;&gt;"",ABS(Results!$K74-Results!$M74)&gt;1,Results!$E74&lt;&gt;Results!$G74,$V128&lt;&gt;"",$W128&lt;&gt;""),Results!$M74,"")</f>
        <v/>
      </c>
      <c r="AH128" s="125" t="str">
        <f ca="1">IF(AND(Results!$N74&lt;&gt;"",Results!$P74&lt;&gt;"",ABS(Results!$N74-Results!$P74)&gt;1,Results!$E74&lt;&gt;Results!$G74,$V128&lt;&gt;"",$W128&lt;&gt;""),Results!$N74,"")</f>
        <v/>
      </c>
      <c r="AI128" s="12" t="str">
        <f ca="1">IF(AND(Results!$N74&lt;&gt;"",Results!$P74&lt;&gt;"",ABS(Results!$N74-Results!$P74)&gt;1,Results!$E74&lt;&gt;Results!$G74,$V128&lt;&gt;"",$W128&lt;&gt;""),Results!$P74,"")</f>
        <v/>
      </c>
      <c r="AJ128" s="125" t="str">
        <f t="shared" ca="1" si="73"/>
        <v/>
      </c>
      <c r="AK128" s="120" t="str">
        <f t="shared" ca="1" si="74"/>
        <v/>
      </c>
      <c r="AL128" s="125">
        <f ca="1">IF(Results!$Q74="",0,Results!$Q74)</f>
        <v>0</v>
      </c>
      <c r="AM128" s="120">
        <f ca="1">IF(Results!$S74="",0,Results!$S74)</f>
        <v>0</v>
      </c>
      <c r="AN128" s="125" t="str">
        <f ca="1">IF($AA128=0,"",IF($AL128&gt;$AM128,Settings!$C$4,IF($AL128=$AM128,1,0)))</f>
        <v/>
      </c>
      <c r="AO128" s="120" t="str">
        <f ca="1">IF($AA128=0,"",IF($AL128&lt;$AM128,Settings!$C$4,IF($AL128=$AM128,1,0)))</f>
        <v/>
      </c>
    </row>
    <row r="129" spans="2:41" s="2" customFormat="1" x14ac:dyDescent="0.2">
      <c r="B129" s="3"/>
      <c r="C129" s="3"/>
      <c r="D129" s="3"/>
      <c r="E129" s="3"/>
      <c r="F129" s="12"/>
      <c r="G129" s="12"/>
      <c r="H129" s="12"/>
      <c r="I129" s="12"/>
      <c r="J129" s="12"/>
      <c r="K129" s="12"/>
      <c r="L129" s="12"/>
      <c r="M129" s="12"/>
      <c r="U129" s="67" t="s">
        <v>90</v>
      </c>
      <c r="V129" s="37" t="str">
        <f ca="1">Planning!$N72</f>
        <v/>
      </c>
      <c r="W129" s="12" t="str">
        <f ca="1">Planning!$P72</f>
        <v/>
      </c>
      <c r="X129" s="12" t="str">
        <f ca="1">IF(AND(Results!$H75&lt;&gt;"",Results!$J75&lt;&gt;"",ABS(Results!$H75-Results!$J75)&gt;1,Results!$E75&lt;&gt;Results!$G75,$V129&lt;&gt;"",$W129&lt;&gt;""),Results!$H75,"")</f>
        <v/>
      </c>
      <c r="Y129" s="32" t="str">
        <f ca="1">IF(AND(Results!$H75&lt;&gt;"",Results!$J75&lt;&gt;"",ABS(Results!$H75-Results!$J75)&gt;1,Results!$E75&lt;&gt;Results!$G75,$V129&lt;&gt;"",$W129&lt;&gt;""),Results!$J75,"")</f>
        <v/>
      </c>
      <c r="Z129" s="31" t="str">
        <f ca="1">IF(Planning!$F72=0,V129&amp;W129,"")</f>
        <v/>
      </c>
      <c r="AA129" s="12">
        <f ca="1">IF(AND(V129&lt;&gt;"",W129&lt;&gt;"",V129&lt;&gt;W129,Results!$Q75&lt;&gt;"",Results!$S75&lt;&gt;""),1,0)</f>
        <v>0</v>
      </c>
      <c r="AB129" s="12" t="str">
        <f ca="1">IF(AND(AA129&gt;0,Planning!$F72=0),AJ129&amp;Language!$E$90&amp;AK129,"")</f>
        <v/>
      </c>
      <c r="AC129" s="2" t="str">
        <f ca="1">IF(Planning!$F72=1,V129&amp;W129,"")</f>
        <v/>
      </c>
      <c r="AD129" s="120" t="str">
        <f ca="1">IF(AND(AA129&gt;0,Planning!$F72=1),AJ129&amp;Language!$E$90&amp;AK129,"")</f>
        <v/>
      </c>
      <c r="AE129" s="332" t="str">
        <f ca="1">IF(AA129&gt;0,AL129&amp;Language!$E$90&amp;AM129,"")</f>
        <v/>
      </c>
      <c r="AF129" s="125" t="str">
        <f ca="1">IF(AND(Results!$K75&lt;&gt;"",Results!$M75&lt;&gt;"",ABS(Results!$K75-Results!$M75)&gt;1,Results!$E75&lt;&gt;Results!$G75,$V129&lt;&gt;"",$W129&lt;&gt;""),Results!$K75,"")</f>
        <v/>
      </c>
      <c r="AG129" s="12" t="str">
        <f ca="1">IF(AND(Results!$K75&lt;&gt;"",Results!$M75&lt;&gt;"",ABS(Results!$K75-Results!$M75)&gt;1,Results!$E75&lt;&gt;Results!$G75,$V129&lt;&gt;"",$W129&lt;&gt;""),Results!$M75,"")</f>
        <v/>
      </c>
      <c r="AH129" s="125" t="str">
        <f ca="1">IF(AND(Results!$N75&lt;&gt;"",Results!$P75&lt;&gt;"",ABS(Results!$N75-Results!$P75)&gt;1,Results!$E75&lt;&gt;Results!$G75,$V129&lt;&gt;"",$W129&lt;&gt;""),Results!$N75,"")</f>
        <v/>
      </c>
      <c r="AI129" s="12" t="str">
        <f ca="1">IF(AND(Results!$N75&lt;&gt;"",Results!$P75&lt;&gt;"",ABS(Results!$N75-Results!$P75)&gt;1,Results!$E75&lt;&gt;Results!$G75,$V129&lt;&gt;"",$W129&lt;&gt;""),Results!$P75,"")</f>
        <v/>
      </c>
      <c r="AJ129" s="125" t="str">
        <f t="shared" ref="AJ129:AJ135" ca="1" si="75">IF(AA129&gt;0,SUM(X129,AF129,AH129),"")</f>
        <v/>
      </c>
      <c r="AK129" s="120" t="str">
        <f t="shared" ref="AK129:AK135" ca="1" si="76">IF(AA129&gt;0,SUM(Y129,AG129,AI129),"")</f>
        <v/>
      </c>
      <c r="AL129" s="125">
        <f ca="1">IF(Results!$Q75="",0,Results!$Q75)</f>
        <v>0</v>
      </c>
      <c r="AM129" s="120">
        <f ca="1">IF(Results!$S75="",0,Results!$S75)</f>
        <v>0</v>
      </c>
      <c r="AN129" s="125" t="str">
        <f ca="1">IF($AA129=0,"",IF($AL129&gt;$AM129,Settings!$C$4,IF($AL129=$AM129,1,0)))</f>
        <v/>
      </c>
      <c r="AO129" s="120" t="str">
        <f ca="1">IF($AA129=0,"",IF($AL129&lt;$AM129,Settings!$C$4,IF($AL129=$AM129,1,0)))</f>
        <v/>
      </c>
    </row>
    <row r="130" spans="2:41" s="2" customFormat="1" x14ac:dyDescent="0.2">
      <c r="B130" s="3"/>
      <c r="C130" s="3"/>
      <c r="D130" s="3"/>
      <c r="E130" s="3"/>
      <c r="F130" s="12"/>
      <c r="G130" s="12"/>
      <c r="H130" s="12"/>
      <c r="I130" s="12"/>
      <c r="J130" s="12"/>
      <c r="K130" s="12"/>
      <c r="L130" s="12"/>
      <c r="M130" s="12"/>
      <c r="U130" s="67" t="s">
        <v>91</v>
      </c>
      <c r="V130" s="37" t="str">
        <f ca="1">Planning!$N73</f>
        <v/>
      </c>
      <c r="W130" s="12" t="str">
        <f ca="1">Planning!$P73</f>
        <v/>
      </c>
      <c r="X130" s="12" t="str">
        <f ca="1">IF(AND(Results!$H76&lt;&gt;"",Results!$J76&lt;&gt;"",ABS(Results!$H76-Results!$J76)&gt;1,Results!$E76&lt;&gt;Results!$G76,$V130&lt;&gt;"",$W130&lt;&gt;""),Results!$H76,"")</f>
        <v/>
      </c>
      <c r="Y130" s="32" t="str">
        <f ca="1">IF(AND(Results!$H76&lt;&gt;"",Results!$J76&lt;&gt;"",ABS(Results!$H76-Results!$J76)&gt;1,Results!$E76&lt;&gt;Results!$G76,$V130&lt;&gt;"",$W130&lt;&gt;""),Results!$J76,"")</f>
        <v/>
      </c>
      <c r="Z130" s="31" t="str">
        <f ca="1">IF(Planning!$F73=0,V130&amp;W130,"")</f>
        <v/>
      </c>
      <c r="AA130" s="12">
        <f ca="1">IF(AND(V130&lt;&gt;"",W130&lt;&gt;"",V130&lt;&gt;W130,Results!$Q76&lt;&gt;"",Results!$S76&lt;&gt;""),1,0)</f>
        <v>0</v>
      </c>
      <c r="AB130" s="12" t="str">
        <f ca="1">IF(AND(AA130&gt;0,Planning!$F73=0),AJ130&amp;Language!$E$90&amp;AK130,"")</f>
        <v/>
      </c>
      <c r="AC130" s="2" t="str">
        <f ca="1">IF(Planning!$F73=1,V130&amp;W130,"")</f>
        <v/>
      </c>
      <c r="AD130" s="120" t="str">
        <f ca="1">IF(AND(AA130&gt;0,Planning!$F73=1),AJ130&amp;Language!$E$90&amp;AK130,"")</f>
        <v/>
      </c>
      <c r="AE130" s="332" t="str">
        <f ca="1">IF(AA130&gt;0,AL130&amp;Language!$E$90&amp;AM130,"")</f>
        <v/>
      </c>
      <c r="AF130" s="125" t="str">
        <f ca="1">IF(AND(Results!$K76&lt;&gt;"",Results!$M76&lt;&gt;"",ABS(Results!$K76-Results!$M76)&gt;1,Results!$E76&lt;&gt;Results!$G76,$V130&lt;&gt;"",$W130&lt;&gt;""),Results!$K76,"")</f>
        <v/>
      </c>
      <c r="AG130" s="12" t="str">
        <f ca="1">IF(AND(Results!$K76&lt;&gt;"",Results!$M76&lt;&gt;"",ABS(Results!$K76-Results!$M76)&gt;1,Results!$E76&lt;&gt;Results!$G76,$V130&lt;&gt;"",$W130&lt;&gt;""),Results!$M76,"")</f>
        <v/>
      </c>
      <c r="AH130" s="125" t="str">
        <f ca="1">IF(AND(Results!$N76&lt;&gt;"",Results!$P76&lt;&gt;"",ABS(Results!$N76-Results!$P76)&gt;1,Results!$E76&lt;&gt;Results!$G76,$V130&lt;&gt;"",$W130&lt;&gt;""),Results!$N76,"")</f>
        <v/>
      </c>
      <c r="AI130" s="12" t="str">
        <f ca="1">IF(AND(Results!$N76&lt;&gt;"",Results!$P76&lt;&gt;"",ABS(Results!$N76-Results!$P76)&gt;1,Results!$E76&lt;&gt;Results!$G76,$V130&lt;&gt;"",$W130&lt;&gt;""),Results!$P76,"")</f>
        <v/>
      </c>
      <c r="AJ130" s="125" t="str">
        <f t="shared" ca="1" si="75"/>
        <v/>
      </c>
      <c r="AK130" s="120" t="str">
        <f t="shared" ca="1" si="76"/>
        <v/>
      </c>
      <c r="AL130" s="125">
        <f ca="1">IF(Results!$Q76="",0,Results!$Q76)</f>
        <v>0</v>
      </c>
      <c r="AM130" s="120">
        <f ca="1">IF(Results!$S76="",0,Results!$S76)</f>
        <v>0</v>
      </c>
      <c r="AN130" s="125" t="str">
        <f ca="1">IF($AA130=0,"",IF($AL130&gt;$AM130,Settings!$C$4,IF($AL130=$AM130,1,0)))</f>
        <v/>
      </c>
      <c r="AO130" s="120" t="str">
        <f ca="1">IF($AA130=0,"",IF($AL130&lt;$AM130,Settings!$C$4,IF($AL130=$AM130,1,0)))</f>
        <v/>
      </c>
    </row>
    <row r="131" spans="2:41" s="2" customFormat="1" x14ac:dyDescent="0.2">
      <c r="B131" s="3"/>
      <c r="C131" s="3"/>
      <c r="D131" s="3"/>
      <c r="E131" s="3"/>
      <c r="F131" s="12"/>
      <c r="G131" s="12"/>
      <c r="H131" s="12"/>
      <c r="I131" s="12"/>
      <c r="J131" s="12"/>
      <c r="K131" s="12"/>
      <c r="L131" s="12"/>
      <c r="M131" s="12"/>
      <c r="U131" s="67" t="s">
        <v>92</v>
      </c>
      <c r="V131" s="37" t="str">
        <f ca="1">Planning!$N74</f>
        <v/>
      </c>
      <c r="W131" s="12" t="str">
        <f ca="1">Planning!$P74</f>
        <v/>
      </c>
      <c r="X131" s="12" t="str">
        <f ca="1">IF(AND(Results!$H77&lt;&gt;"",Results!$J77&lt;&gt;"",ABS(Results!$H77-Results!$J77)&gt;1,Results!$E77&lt;&gt;Results!$G77,$V131&lt;&gt;"",$W131&lt;&gt;""),Results!$H77,"")</f>
        <v/>
      </c>
      <c r="Y131" s="32" t="str">
        <f ca="1">IF(AND(Results!$H77&lt;&gt;"",Results!$J77&lt;&gt;"",ABS(Results!$H77-Results!$J77)&gt;1,Results!$E77&lt;&gt;Results!$G77,$V131&lt;&gt;"",$W131&lt;&gt;""),Results!$J77,"")</f>
        <v/>
      </c>
      <c r="Z131" s="31" t="str">
        <f ca="1">IF(Planning!$F74=0,V131&amp;W131,"")</f>
        <v/>
      </c>
      <c r="AA131" s="12">
        <f ca="1">IF(AND(V131&lt;&gt;"",W131&lt;&gt;"",V131&lt;&gt;W131,Results!$Q77&lt;&gt;"",Results!$S77&lt;&gt;""),1,0)</f>
        <v>0</v>
      </c>
      <c r="AB131" s="12" t="str">
        <f ca="1">IF(AND(AA131&gt;0,Planning!$F74=0),AJ131&amp;Language!$E$90&amp;AK131,"")</f>
        <v/>
      </c>
      <c r="AC131" s="2" t="str">
        <f ca="1">IF(Planning!$F74=1,V131&amp;W131,"")</f>
        <v/>
      </c>
      <c r="AD131" s="120" t="str">
        <f ca="1">IF(AND(AA131&gt;0,Planning!$F74=1),AJ131&amp;Language!$E$90&amp;AK131,"")</f>
        <v/>
      </c>
      <c r="AE131" s="332" t="str">
        <f ca="1">IF(AA131&gt;0,AL131&amp;Language!$E$90&amp;AM131,"")</f>
        <v/>
      </c>
      <c r="AF131" s="125" t="str">
        <f ca="1">IF(AND(Results!$K77&lt;&gt;"",Results!$M77&lt;&gt;"",ABS(Results!$K77-Results!$M77)&gt;1,Results!$E77&lt;&gt;Results!$G77,$V131&lt;&gt;"",$W131&lt;&gt;""),Results!$K77,"")</f>
        <v/>
      </c>
      <c r="AG131" s="12" t="str">
        <f ca="1">IF(AND(Results!$K77&lt;&gt;"",Results!$M77&lt;&gt;"",ABS(Results!$K77-Results!$M77)&gt;1,Results!$E77&lt;&gt;Results!$G77,$V131&lt;&gt;"",$W131&lt;&gt;""),Results!$M77,"")</f>
        <v/>
      </c>
      <c r="AH131" s="125" t="str">
        <f ca="1">IF(AND(Results!$N77&lt;&gt;"",Results!$P77&lt;&gt;"",ABS(Results!$N77-Results!$P77)&gt;1,Results!$E77&lt;&gt;Results!$G77,$V131&lt;&gt;"",$W131&lt;&gt;""),Results!$N77,"")</f>
        <v/>
      </c>
      <c r="AI131" s="12" t="str">
        <f ca="1">IF(AND(Results!$N77&lt;&gt;"",Results!$P77&lt;&gt;"",ABS(Results!$N77-Results!$P77)&gt;1,Results!$E77&lt;&gt;Results!$G77,$V131&lt;&gt;"",$W131&lt;&gt;""),Results!$P77,"")</f>
        <v/>
      </c>
      <c r="AJ131" s="125" t="str">
        <f t="shared" ca="1" si="75"/>
        <v/>
      </c>
      <c r="AK131" s="120" t="str">
        <f t="shared" ca="1" si="76"/>
        <v/>
      </c>
      <c r="AL131" s="125">
        <f ca="1">IF(Results!$Q77="",0,Results!$Q77)</f>
        <v>0</v>
      </c>
      <c r="AM131" s="120">
        <f ca="1">IF(Results!$S77="",0,Results!$S77)</f>
        <v>0</v>
      </c>
      <c r="AN131" s="125" t="str">
        <f ca="1">IF($AA131=0,"",IF($AL131&gt;$AM131,Settings!$C$4,IF($AL131=$AM131,1,0)))</f>
        <v/>
      </c>
      <c r="AO131" s="120" t="str">
        <f ca="1">IF($AA131=0,"",IF($AL131&lt;$AM131,Settings!$C$4,IF($AL131=$AM131,1,0)))</f>
        <v/>
      </c>
    </row>
    <row r="132" spans="2:41" s="2" customFormat="1" x14ac:dyDescent="0.2">
      <c r="B132" s="3"/>
      <c r="C132" s="3"/>
      <c r="D132" s="3"/>
      <c r="E132" s="3"/>
      <c r="F132" s="12"/>
      <c r="G132" s="12"/>
      <c r="H132" s="12"/>
      <c r="I132" s="12"/>
      <c r="J132" s="12"/>
      <c r="K132" s="12"/>
      <c r="L132" s="12"/>
      <c r="M132" s="12"/>
      <c r="U132" s="67" t="s">
        <v>93</v>
      </c>
      <c r="V132" s="37" t="str">
        <f ca="1">Planning!$N75</f>
        <v/>
      </c>
      <c r="W132" s="12" t="str">
        <f ca="1">Planning!$P75</f>
        <v/>
      </c>
      <c r="X132" s="12" t="str">
        <f ca="1">IF(AND(Results!$H78&lt;&gt;"",Results!$J78&lt;&gt;"",ABS(Results!$H78-Results!$J78)&gt;1,Results!$E78&lt;&gt;Results!$G78,$V132&lt;&gt;"",$W132&lt;&gt;""),Results!$H78,"")</f>
        <v/>
      </c>
      <c r="Y132" s="32" t="str">
        <f ca="1">IF(AND(Results!$H78&lt;&gt;"",Results!$J78&lt;&gt;"",ABS(Results!$H78-Results!$J78)&gt;1,Results!$E78&lt;&gt;Results!$G78,$V132&lt;&gt;"",$W132&lt;&gt;""),Results!$J78,"")</f>
        <v/>
      </c>
      <c r="Z132" s="31" t="str">
        <f ca="1">IF(Planning!$F75=0,V132&amp;W132,"")</f>
        <v/>
      </c>
      <c r="AA132" s="12">
        <f ca="1">IF(AND(V132&lt;&gt;"",W132&lt;&gt;"",V132&lt;&gt;W132,Results!$Q78&lt;&gt;"",Results!$S78&lt;&gt;""),1,0)</f>
        <v>0</v>
      </c>
      <c r="AB132" s="12" t="str">
        <f ca="1">IF(AND(AA132&gt;0,Planning!$F75=0),AJ132&amp;Language!$E$90&amp;AK132,"")</f>
        <v/>
      </c>
      <c r="AC132" s="2" t="str">
        <f ca="1">IF(Planning!$F75=1,V132&amp;W132,"")</f>
        <v/>
      </c>
      <c r="AD132" s="120" t="str">
        <f ca="1">IF(AND(AA132&gt;0,Planning!$F75=1),AJ132&amp;Language!$E$90&amp;AK132,"")</f>
        <v/>
      </c>
      <c r="AE132" s="332" t="str">
        <f ca="1">IF(AA132&gt;0,AL132&amp;Language!$E$90&amp;AM132,"")</f>
        <v/>
      </c>
      <c r="AF132" s="125" t="str">
        <f ca="1">IF(AND(Results!$K78&lt;&gt;"",Results!$M78&lt;&gt;"",ABS(Results!$K78-Results!$M78)&gt;1,Results!$E78&lt;&gt;Results!$G78,$V132&lt;&gt;"",$W132&lt;&gt;""),Results!$K78,"")</f>
        <v/>
      </c>
      <c r="AG132" s="12" t="str">
        <f ca="1">IF(AND(Results!$K78&lt;&gt;"",Results!$M78&lt;&gt;"",ABS(Results!$K78-Results!$M78)&gt;1,Results!$E78&lt;&gt;Results!$G78,$V132&lt;&gt;"",$W132&lt;&gt;""),Results!$M78,"")</f>
        <v/>
      </c>
      <c r="AH132" s="125" t="str">
        <f ca="1">IF(AND(Results!$N78&lt;&gt;"",Results!$P78&lt;&gt;"",ABS(Results!$N78-Results!$P78)&gt;1,Results!$E78&lt;&gt;Results!$G78,$V132&lt;&gt;"",$W132&lt;&gt;""),Results!$N78,"")</f>
        <v/>
      </c>
      <c r="AI132" s="12" t="str">
        <f ca="1">IF(AND(Results!$N78&lt;&gt;"",Results!$P78&lt;&gt;"",ABS(Results!$N78-Results!$P78)&gt;1,Results!$E78&lt;&gt;Results!$G78,$V132&lt;&gt;"",$W132&lt;&gt;""),Results!$P78,"")</f>
        <v/>
      </c>
      <c r="AJ132" s="125" t="str">
        <f t="shared" ca="1" si="75"/>
        <v/>
      </c>
      <c r="AK132" s="120" t="str">
        <f t="shared" ca="1" si="76"/>
        <v/>
      </c>
      <c r="AL132" s="125">
        <f ca="1">IF(Results!$Q78="",0,Results!$Q78)</f>
        <v>0</v>
      </c>
      <c r="AM132" s="120">
        <f ca="1">IF(Results!$S78="",0,Results!$S78)</f>
        <v>0</v>
      </c>
      <c r="AN132" s="125" t="str">
        <f ca="1">IF($AA132=0,"",IF($AL132&gt;$AM132,Settings!$C$4,IF($AL132=$AM132,1,0)))</f>
        <v/>
      </c>
      <c r="AO132" s="120" t="str">
        <f ca="1">IF($AA132=0,"",IF($AL132&lt;$AM132,Settings!$C$4,IF($AL132=$AM132,1,0)))</f>
        <v/>
      </c>
    </row>
    <row r="133" spans="2:41" s="2" customFormat="1" x14ac:dyDescent="0.2">
      <c r="B133" s="3"/>
      <c r="C133" s="3"/>
      <c r="D133" s="3"/>
      <c r="E133" s="3"/>
      <c r="F133" s="12"/>
      <c r="G133" s="12"/>
      <c r="H133" s="12"/>
      <c r="I133" s="12"/>
      <c r="J133" s="12"/>
      <c r="K133" s="12"/>
      <c r="L133" s="12"/>
      <c r="M133" s="12"/>
      <c r="U133" s="67" t="s">
        <v>94</v>
      </c>
      <c r="V133" s="37" t="str">
        <f ca="1">Planning!$N76</f>
        <v/>
      </c>
      <c r="W133" s="12" t="str">
        <f ca="1">Planning!$P76</f>
        <v/>
      </c>
      <c r="X133" s="12" t="str">
        <f ca="1">IF(AND(Results!$H79&lt;&gt;"",Results!$J79&lt;&gt;"",ABS(Results!$H79-Results!$J79)&gt;1,Results!$E79&lt;&gt;Results!$G79,$V133&lt;&gt;"",$W133&lt;&gt;""),Results!$H79,"")</f>
        <v/>
      </c>
      <c r="Y133" s="32" t="str">
        <f ca="1">IF(AND(Results!$H79&lt;&gt;"",Results!$J79&lt;&gt;"",ABS(Results!$H79-Results!$J79)&gt;1,Results!$E79&lt;&gt;Results!$G79,$V133&lt;&gt;"",$W133&lt;&gt;""),Results!$J79,"")</f>
        <v/>
      </c>
      <c r="Z133" s="31" t="str">
        <f ca="1">IF(Planning!$F76=0,V133&amp;W133,"")</f>
        <v/>
      </c>
      <c r="AA133" s="12">
        <f ca="1">IF(AND(V133&lt;&gt;"",W133&lt;&gt;"",V133&lt;&gt;W133,Results!$Q79&lt;&gt;"",Results!$S79&lt;&gt;""),1,0)</f>
        <v>0</v>
      </c>
      <c r="AB133" s="12" t="str">
        <f ca="1">IF(AND(AA133&gt;0,Planning!$F76=0),AJ133&amp;Language!$E$90&amp;AK133,"")</f>
        <v/>
      </c>
      <c r="AC133" s="2" t="str">
        <f ca="1">IF(Planning!$F76=1,V133&amp;W133,"")</f>
        <v/>
      </c>
      <c r="AD133" s="120" t="str">
        <f ca="1">IF(AND(AA133&gt;0,Planning!$F76=1),AJ133&amp;Language!$E$90&amp;AK133,"")</f>
        <v/>
      </c>
      <c r="AE133" s="332" t="str">
        <f ca="1">IF(AA133&gt;0,AL133&amp;Language!$E$90&amp;AM133,"")</f>
        <v/>
      </c>
      <c r="AF133" s="125" t="str">
        <f ca="1">IF(AND(Results!$K79&lt;&gt;"",Results!$M79&lt;&gt;"",ABS(Results!$K79-Results!$M79)&gt;1,Results!$E79&lt;&gt;Results!$G79,$V133&lt;&gt;"",$W133&lt;&gt;""),Results!$K79,"")</f>
        <v/>
      </c>
      <c r="AG133" s="12" t="str">
        <f ca="1">IF(AND(Results!$K79&lt;&gt;"",Results!$M79&lt;&gt;"",ABS(Results!$K79-Results!$M79)&gt;1,Results!$E79&lt;&gt;Results!$G79,$V133&lt;&gt;"",$W133&lt;&gt;""),Results!$M79,"")</f>
        <v/>
      </c>
      <c r="AH133" s="125" t="str">
        <f ca="1">IF(AND(Results!$N79&lt;&gt;"",Results!$P79&lt;&gt;"",ABS(Results!$N79-Results!$P79)&gt;1,Results!$E79&lt;&gt;Results!$G79,$V133&lt;&gt;"",$W133&lt;&gt;""),Results!$N79,"")</f>
        <v/>
      </c>
      <c r="AI133" s="12" t="str">
        <f ca="1">IF(AND(Results!$N79&lt;&gt;"",Results!$P79&lt;&gt;"",ABS(Results!$N79-Results!$P79)&gt;1,Results!$E79&lt;&gt;Results!$G79,$V133&lt;&gt;"",$W133&lt;&gt;""),Results!$P79,"")</f>
        <v/>
      </c>
      <c r="AJ133" s="125" t="str">
        <f t="shared" ca="1" si="75"/>
        <v/>
      </c>
      <c r="AK133" s="120" t="str">
        <f t="shared" ca="1" si="76"/>
        <v/>
      </c>
      <c r="AL133" s="125">
        <f ca="1">IF(Results!$Q79="",0,Results!$Q79)</f>
        <v>0</v>
      </c>
      <c r="AM133" s="120">
        <f ca="1">IF(Results!$S79="",0,Results!$S79)</f>
        <v>0</v>
      </c>
      <c r="AN133" s="125" t="str">
        <f ca="1">IF($AA133=0,"",IF($AL133&gt;$AM133,Settings!$C$4,IF($AL133=$AM133,1,0)))</f>
        <v/>
      </c>
      <c r="AO133" s="120" t="str">
        <f ca="1">IF($AA133=0,"",IF($AL133&lt;$AM133,Settings!$C$4,IF($AL133=$AM133,1,0)))</f>
        <v/>
      </c>
    </row>
    <row r="134" spans="2:41" s="2" customFormat="1" x14ac:dyDescent="0.2">
      <c r="B134" s="3"/>
      <c r="C134" s="3"/>
      <c r="D134" s="3"/>
      <c r="E134" s="3"/>
      <c r="F134" s="12"/>
      <c r="G134" s="12"/>
      <c r="H134" s="12"/>
      <c r="I134" s="12"/>
      <c r="J134" s="12"/>
      <c r="K134" s="12"/>
      <c r="L134" s="12"/>
      <c r="M134" s="12"/>
      <c r="U134" s="67" t="s">
        <v>95</v>
      </c>
      <c r="V134" s="37" t="str">
        <f ca="1">Planning!$N77</f>
        <v/>
      </c>
      <c r="W134" s="12" t="str">
        <f ca="1">Planning!$P77</f>
        <v/>
      </c>
      <c r="X134" s="12" t="str">
        <f ca="1">IF(AND(Results!$H80&lt;&gt;"",Results!$J80&lt;&gt;"",ABS(Results!$H80-Results!$J80)&gt;1,Results!$E80&lt;&gt;Results!$G80,$V134&lt;&gt;"",$W134&lt;&gt;""),Results!$H80,"")</f>
        <v/>
      </c>
      <c r="Y134" s="32" t="str">
        <f ca="1">IF(AND(Results!$H80&lt;&gt;"",Results!$J80&lt;&gt;"",ABS(Results!$H80-Results!$J80)&gt;1,Results!$E80&lt;&gt;Results!$G80,$V134&lt;&gt;"",$W134&lt;&gt;""),Results!$J80,"")</f>
        <v/>
      </c>
      <c r="Z134" s="31" t="str">
        <f ca="1">IF(Planning!$F77=0,V134&amp;W134,"")</f>
        <v/>
      </c>
      <c r="AA134" s="12">
        <f ca="1">IF(AND(V134&lt;&gt;"",W134&lt;&gt;"",V134&lt;&gt;W134,Results!$Q80&lt;&gt;"",Results!$S80&lt;&gt;""),1,0)</f>
        <v>0</v>
      </c>
      <c r="AB134" s="12" t="str">
        <f ca="1">IF(AND(AA134&gt;0,Planning!$F77=0),AJ134&amp;Language!$E$90&amp;AK134,"")</f>
        <v/>
      </c>
      <c r="AC134" s="2" t="str">
        <f ca="1">IF(Planning!$F77=1,V134&amp;W134,"")</f>
        <v/>
      </c>
      <c r="AD134" s="120" t="str">
        <f ca="1">IF(AND(AA134&gt;0,Planning!$F77=1),AJ134&amp;Language!$E$90&amp;AK134,"")</f>
        <v/>
      </c>
      <c r="AE134" s="332" t="str">
        <f ca="1">IF(AA134&gt;0,AL134&amp;Language!$E$90&amp;AM134,"")</f>
        <v/>
      </c>
      <c r="AF134" s="125" t="str">
        <f ca="1">IF(AND(Results!$K80&lt;&gt;"",Results!$M80&lt;&gt;"",ABS(Results!$K80-Results!$M80)&gt;1,Results!$E80&lt;&gt;Results!$G80,$V134&lt;&gt;"",$W134&lt;&gt;""),Results!$K80,"")</f>
        <v/>
      </c>
      <c r="AG134" s="12" t="str">
        <f ca="1">IF(AND(Results!$K80&lt;&gt;"",Results!$M80&lt;&gt;"",ABS(Results!$K80-Results!$M80)&gt;1,Results!$E80&lt;&gt;Results!$G80,$V134&lt;&gt;"",$W134&lt;&gt;""),Results!$M80,"")</f>
        <v/>
      </c>
      <c r="AH134" s="125" t="str">
        <f ca="1">IF(AND(Results!$N80&lt;&gt;"",Results!$P80&lt;&gt;"",ABS(Results!$N80-Results!$P80)&gt;1,Results!$E80&lt;&gt;Results!$G80,$V134&lt;&gt;"",$W134&lt;&gt;""),Results!$N80,"")</f>
        <v/>
      </c>
      <c r="AI134" s="12" t="str">
        <f ca="1">IF(AND(Results!$N80&lt;&gt;"",Results!$P80&lt;&gt;"",ABS(Results!$N80-Results!$P80)&gt;1,Results!$E80&lt;&gt;Results!$G80,$V134&lt;&gt;"",$W134&lt;&gt;""),Results!$P80,"")</f>
        <v/>
      </c>
      <c r="AJ134" s="125" t="str">
        <f t="shared" ca="1" si="75"/>
        <v/>
      </c>
      <c r="AK134" s="120" t="str">
        <f t="shared" ca="1" si="76"/>
        <v/>
      </c>
      <c r="AL134" s="125">
        <f ca="1">IF(Results!$Q80="",0,Results!$Q80)</f>
        <v>0</v>
      </c>
      <c r="AM134" s="120">
        <f ca="1">IF(Results!$S80="",0,Results!$S80)</f>
        <v>0</v>
      </c>
      <c r="AN134" s="125" t="str">
        <f ca="1">IF($AA134=0,"",IF($AL134&gt;$AM134,Settings!$C$4,IF($AL134=$AM134,1,0)))</f>
        <v/>
      </c>
      <c r="AO134" s="120" t="str">
        <f ca="1">IF($AA134=0,"",IF($AL134&lt;$AM134,Settings!$C$4,IF($AL134=$AM134,1,0)))</f>
        <v/>
      </c>
    </row>
    <row r="135" spans="2:41" s="2" customFormat="1" ht="12.75" thickBot="1" x14ac:dyDescent="0.25">
      <c r="B135" s="3"/>
      <c r="C135" s="3"/>
      <c r="D135" s="3"/>
      <c r="E135" s="3"/>
      <c r="F135" s="12"/>
      <c r="G135" s="12"/>
      <c r="H135" s="12"/>
      <c r="I135" s="12"/>
      <c r="J135" s="12"/>
      <c r="K135" s="12"/>
      <c r="L135" s="12"/>
      <c r="M135" s="12"/>
      <c r="U135" s="68" t="s">
        <v>96</v>
      </c>
      <c r="V135" s="38" t="str">
        <f ca="1">Planning!$N78</f>
        <v/>
      </c>
      <c r="W135" s="34" t="str">
        <f ca="1">Planning!$P78</f>
        <v/>
      </c>
      <c r="X135" s="34" t="str">
        <f ca="1">IF(AND(Results!$H81&lt;&gt;"",Results!$J81&lt;&gt;"",ABS(Results!$H81-Results!$J81)&gt;1,Results!$E81&lt;&gt;Results!$G81,$V135&lt;&gt;"",$W135&lt;&gt;""),Results!$H81,"")</f>
        <v/>
      </c>
      <c r="Y135" s="35" t="str">
        <f ca="1">IF(AND(Results!$H81&lt;&gt;"",Results!$J81&lt;&gt;"",ABS(Results!$H81-Results!$J81)&gt;1,Results!$E81&lt;&gt;Results!$G81,$V135&lt;&gt;"",$W135&lt;&gt;""),Results!$J81,"")</f>
        <v/>
      </c>
      <c r="Z135" s="33" t="str">
        <f ca="1">IF(Planning!$F78=0,V135&amp;W135,"")</f>
        <v/>
      </c>
      <c r="AA135" s="34">
        <f ca="1">IF(AND(V135&lt;&gt;"",W135&lt;&gt;"",V135&lt;&gt;W135,Results!$Q81&lt;&gt;"",Results!$S81&lt;&gt;""),1,0)</f>
        <v>0</v>
      </c>
      <c r="AB135" s="121" t="str">
        <f ca="1">IF(AND(AA135&gt;0,Planning!$F78=0),AJ135&amp;Language!$E$90&amp;AK135,"")</f>
        <v/>
      </c>
      <c r="AC135" s="123" t="str">
        <f ca="1">IF(Planning!$F78=1,V135&amp;W135,"")</f>
        <v/>
      </c>
      <c r="AD135" s="122" t="str">
        <f ca="1">IF(AND(AA135&gt;0,Planning!$F78=1),AJ135&amp;Language!$E$90&amp;AK135,"")</f>
        <v/>
      </c>
      <c r="AE135" s="333" t="str">
        <f ca="1">IF(AA135&gt;0,AL135&amp;Language!$E$90&amp;AM135,"")</f>
        <v/>
      </c>
      <c r="AF135" s="126" t="str">
        <f ca="1">IF(AND(Results!$K81&lt;&gt;"",Results!$M81&lt;&gt;"",ABS(Results!$K81-Results!$M81)&gt;1,Results!$E81&lt;&gt;Results!$G81,$V135&lt;&gt;"",$W135&lt;&gt;""),Results!$K81,"")</f>
        <v/>
      </c>
      <c r="AG135" s="121" t="str">
        <f ca="1">IF(AND(Results!$K81&lt;&gt;"",Results!$M81&lt;&gt;"",ABS(Results!$K81-Results!$M81)&gt;1,Results!$E81&lt;&gt;Results!$G81,$V135&lt;&gt;"",$W135&lt;&gt;""),Results!$M81,"")</f>
        <v/>
      </c>
      <c r="AH135" s="126" t="str">
        <f ca="1">IF(AND(Results!$N81&lt;&gt;"",Results!$P81&lt;&gt;"",ABS(Results!$N81-Results!$P81)&gt;1,Results!$E81&lt;&gt;Results!$G81,$V135&lt;&gt;"",$W135&lt;&gt;""),Results!$N81,"")</f>
        <v/>
      </c>
      <c r="AI135" s="121" t="str">
        <f ca="1">IF(AND(Results!$N81&lt;&gt;"",Results!$P81&lt;&gt;"",ABS(Results!$N81-Results!$P81)&gt;1,Results!$E81&lt;&gt;Results!$G81,$V135&lt;&gt;"",$W135&lt;&gt;""),Results!$P81,"")</f>
        <v/>
      </c>
      <c r="AJ135" s="126" t="str">
        <f t="shared" ca="1" si="75"/>
        <v/>
      </c>
      <c r="AK135" s="122" t="str">
        <f t="shared" ca="1" si="76"/>
        <v/>
      </c>
      <c r="AL135" s="126">
        <f ca="1">IF(Results!$Q81="",0,Results!$Q81)</f>
        <v>0</v>
      </c>
      <c r="AM135" s="122">
        <f ca="1">IF(Results!$S81="",0,Results!$S81)</f>
        <v>0</v>
      </c>
      <c r="AN135" s="126" t="str">
        <f ca="1">IF($AA135=0,"",IF($AL135&gt;$AM135,Settings!$C$4,IF($AL135=$AM135,1,0)))</f>
        <v/>
      </c>
      <c r="AO135" s="122" t="str">
        <f ca="1">IF($AA135=0,"",IF($AL135&lt;$AM135,Settings!$C$4,IF($AL135=$AM135,1,0)))</f>
        <v/>
      </c>
    </row>
    <row r="136" spans="2:41" s="2" customFormat="1" ht="12.75" thickTop="1" x14ac:dyDescent="0.2">
      <c r="B136" s="3"/>
      <c r="C136" s="3"/>
      <c r="D136" s="3"/>
      <c r="E136" s="3"/>
      <c r="F136" s="12"/>
      <c r="G136" s="12"/>
      <c r="H136" s="12"/>
      <c r="I136" s="12"/>
      <c r="J136" s="12"/>
      <c r="K136" s="12"/>
      <c r="L136" s="12"/>
      <c r="M136" s="12"/>
      <c r="Y136" s="66" t="s">
        <v>6</v>
      </c>
      <c r="Z136" s="28" t="str">
        <f ca="1">IF(Planning!$F7=0,W64&amp;V64,"")</f>
        <v>FC BarcelonaSSV Wildbach</v>
      </c>
      <c r="AA136" s="29"/>
      <c r="AB136" s="12" t="str">
        <f ca="1">IF(AND(AA64&gt;0,Planning!$F7=0),AK64&amp;Language!$E$90&amp;AJ64,"")</f>
        <v>54 - 55</v>
      </c>
      <c r="AC136" s="2" t="str">
        <f ca="1">IF(Planning!$F7=1,W64&amp;V64,"")</f>
        <v/>
      </c>
      <c r="AD136" s="120" t="str">
        <f ca="1">IF(AND(AA64&gt;0,Planning!$F7=1),AK64&amp;Language!$E$90&amp;AJ64,"")</f>
        <v/>
      </c>
      <c r="AE136" s="119" t="str">
        <f ca="1">IF(AA64&gt;0,AM64&amp;Language!$E$90&amp;AL64,"")</f>
        <v>1 - 2</v>
      </c>
      <c r="AF136" s="334"/>
      <c r="AG136" s="334"/>
      <c r="AH136" s="3"/>
    </row>
    <row r="137" spans="2:41" x14ac:dyDescent="0.2">
      <c r="Y137" s="67" t="s">
        <v>7</v>
      </c>
      <c r="Z137" s="31" t="str">
        <f ca="1">IF(Planning!$F8=0,W65&amp;V65,"")</f>
        <v>Inter MailandEintracht Frankfurt</v>
      </c>
      <c r="AA137" s="12"/>
      <c r="AB137" s="12" t="str">
        <f ca="1">IF(AND(AA65&gt;0,Planning!$F8=0),AK65&amp;Language!$E$90&amp;AJ65,"")</f>
        <v>42 - 50</v>
      </c>
      <c r="AC137" s="2" t="str">
        <f ca="1">IF(Planning!$F8=1,W65&amp;V65,"")</f>
        <v/>
      </c>
      <c r="AD137" s="120" t="str">
        <f ca="1">IF(AND(AA65&gt;0,Planning!$F8=1),AK65&amp;Language!$E$90&amp;AJ65,"")</f>
        <v/>
      </c>
      <c r="AE137" s="337" t="str">
        <f ca="1">IF(AA65&gt;0,AM65&amp;Language!$E$90&amp;AL65,"")</f>
        <v>0 - 2</v>
      </c>
      <c r="AF137" s="335"/>
      <c r="AG137" s="335"/>
      <c r="AH137" s="335"/>
    </row>
    <row r="138" spans="2:41" x14ac:dyDescent="0.2">
      <c r="Y138" s="67" t="s">
        <v>8</v>
      </c>
      <c r="Z138" s="31" t="str">
        <f ca="1">IF(Planning!$F9=0,W66&amp;V66,"")</f>
        <v>Maibach 1822 eVVFB Essenheim</v>
      </c>
      <c r="AA138" s="12"/>
      <c r="AB138" s="12" t="str">
        <f ca="1">IF(AND(AA66&gt;0,Planning!$F9=0),AK66&amp;Language!$E$90&amp;AJ66,"")</f>
        <v>40 - 50</v>
      </c>
      <c r="AC138" s="2" t="str">
        <f ca="1">IF(Planning!$F9=1,W66&amp;V66,"")</f>
        <v/>
      </c>
      <c r="AD138" s="120" t="str">
        <f ca="1">IF(AND(AA66&gt;0,Planning!$F9=1),AK66&amp;Language!$E$90&amp;AJ66,"")</f>
        <v/>
      </c>
      <c r="AE138" s="337" t="str">
        <f ca="1">IF(AA66&gt;0,AM66&amp;Language!$E$90&amp;AL66,"")</f>
        <v>0 - 2</v>
      </c>
      <c r="AF138" s="335"/>
      <c r="AG138" s="335"/>
      <c r="AH138" s="335"/>
    </row>
    <row r="139" spans="2:41" x14ac:dyDescent="0.2">
      <c r="Y139" s="67" t="s">
        <v>9</v>
      </c>
      <c r="Z139" s="31" t="str">
        <f ca="1">IF(Planning!$F10=0,W67&amp;V67,"")</f>
        <v>1. FC RiedwaldSSV Wildbach</v>
      </c>
      <c r="AA139" s="12"/>
      <c r="AB139" s="12" t="str">
        <f ca="1">IF(AND(AA67&gt;0,Planning!$F10=0),AK67&amp;Language!$E$90&amp;AJ67,"")</f>
        <v>50 - 31</v>
      </c>
      <c r="AC139" s="2" t="str">
        <f ca="1">IF(Planning!$F10=1,W67&amp;V67,"")</f>
        <v/>
      </c>
      <c r="AD139" s="120" t="str">
        <f ca="1">IF(AND(AA67&gt;0,Planning!$F10=1),AK67&amp;Language!$E$90&amp;AJ67,"")</f>
        <v/>
      </c>
      <c r="AE139" s="337" t="str">
        <f ca="1">IF(AA67&gt;0,AM67&amp;Language!$E$90&amp;AL67,"")</f>
        <v>2 - 0</v>
      </c>
      <c r="AF139" s="335"/>
      <c r="AG139" s="335"/>
      <c r="AH139" s="335"/>
    </row>
    <row r="140" spans="2:41" x14ac:dyDescent="0.2">
      <c r="Y140" s="67" t="s">
        <v>10</v>
      </c>
      <c r="Z140" s="31" t="str">
        <f ca="1">IF(Planning!$F11=0,W68&amp;V68,"")</f>
        <v>VFB EssenheimFC Barcelona</v>
      </c>
      <c r="AA140" s="12"/>
      <c r="AB140" s="12" t="str">
        <f ca="1">IF(AND(AA68&gt;0,Planning!$F11=0),AK68&amp;Language!$E$90&amp;AJ68,"")</f>
        <v>46 - 50</v>
      </c>
      <c r="AC140" s="2" t="str">
        <f ca="1">IF(Planning!$F11=1,W68&amp;V68,"")</f>
        <v/>
      </c>
      <c r="AD140" s="120" t="str">
        <f ca="1">IF(AND(AA68&gt;0,Planning!$F11=1),AK68&amp;Language!$E$90&amp;AJ68,"")</f>
        <v/>
      </c>
      <c r="AE140" s="337" t="str">
        <f ca="1">IF(AA68&gt;0,AM68&amp;Language!$E$90&amp;AL68,"")</f>
        <v>0 - 2</v>
      </c>
      <c r="AF140" s="335"/>
      <c r="AG140" s="335"/>
      <c r="AH140" s="335"/>
    </row>
    <row r="141" spans="2:41" x14ac:dyDescent="0.2">
      <c r="Y141" s="67" t="s">
        <v>11</v>
      </c>
      <c r="Z141" s="31" t="str">
        <f ca="1">IF(Planning!$F12=0,W69&amp;V69,"")</f>
        <v>Eintracht FrankfurtMaibach 1822 eV</v>
      </c>
      <c r="AA141" s="12"/>
      <c r="AB141" s="12" t="str">
        <f ca="1">IF(AND(AA69&gt;0,Planning!$F12=0),AK69&amp;Language!$E$90&amp;AJ69,"")</f>
        <v>39 - 50</v>
      </c>
      <c r="AC141" s="2" t="str">
        <f ca="1">IF(Planning!$F12=1,W69&amp;V69,"")</f>
        <v/>
      </c>
      <c r="AD141" s="120" t="str">
        <f ca="1">IF(AND(AA69&gt;0,Planning!$F12=1),AK69&amp;Language!$E$90&amp;AJ69,"")</f>
        <v/>
      </c>
      <c r="AE141" s="337" t="str">
        <f ca="1">IF(AA69&gt;0,AM69&amp;Language!$E$90&amp;AL69,"")</f>
        <v>0 - 2</v>
      </c>
      <c r="AF141" s="335"/>
      <c r="AG141" s="335"/>
      <c r="AH141" s="335"/>
    </row>
    <row r="142" spans="2:41" x14ac:dyDescent="0.2">
      <c r="Y142" s="67" t="s">
        <v>16</v>
      </c>
      <c r="Z142" s="31" t="str">
        <f ca="1">IF(Planning!$F13=0,W70&amp;V70,"")</f>
        <v>Inter Mailand1. FC Riedwald</v>
      </c>
      <c r="AA142" s="12"/>
      <c r="AB142" s="12" t="str">
        <f ca="1">IF(AND(AA70&gt;0,Planning!$F13=0),AK70&amp;Language!$E$90&amp;AJ70,"")</f>
        <v>64 - 62</v>
      </c>
      <c r="AC142" s="2" t="str">
        <f ca="1">IF(Planning!$F13=1,W70&amp;V70,"")</f>
        <v/>
      </c>
      <c r="AD142" s="120" t="str">
        <f ca="1">IF(AND(AA70&gt;0,Planning!$F13=1),AK70&amp;Language!$E$90&amp;AJ70,"")</f>
        <v/>
      </c>
      <c r="AE142" s="337" t="str">
        <f ca="1">IF(AA70&gt;0,AM70&amp;Language!$E$90&amp;AL70,"")</f>
        <v>2 - 1</v>
      </c>
      <c r="AF142" s="335"/>
      <c r="AG142" s="335"/>
      <c r="AH142" s="335"/>
    </row>
    <row r="143" spans="2:41" x14ac:dyDescent="0.2">
      <c r="Y143" s="67" t="s">
        <v>17</v>
      </c>
      <c r="Z143" s="31" t="str">
        <f ca="1">IF(Planning!$F14=0,W71&amp;V71,"")</f>
        <v>SSV WildbachVFB Essenheim</v>
      </c>
      <c r="AA143" s="12"/>
      <c r="AB143" s="12" t="str">
        <f ca="1">IF(AND(AA71&gt;0,Planning!$F14=0),AK71&amp;Language!$E$90&amp;AJ71,"")</f>
        <v>42 - 44</v>
      </c>
      <c r="AC143" s="2" t="str">
        <f ca="1">IF(Planning!$F14=1,W71&amp;V71,"")</f>
        <v/>
      </c>
      <c r="AD143" s="120" t="str">
        <f ca="1">IF(AND(AA71&gt;0,Planning!$F14=1),AK71&amp;Language!$E$90&amp;AJ71,"")</f>
        <v/>
      </c>
      <c r="AE143" s="337" t="str">
        <f ca="1">IF(AA71&gt;0,AM71&amp;Language!$E$90&amp;AL71,"")</f>
        <v>1 - 1</v>
      </c>
      <c r="AF143" s="335"/>
      <c r="AG143" s="335"/>
      <c r="AH143" s="335"/>
    </row>
    <row r="144" spans="2:41" x14ac:dyDescent="0.2">
      <c r="Y144" s="67" t="s">
        <v>18</v>
      </c>
      <c r="Z144" s="31" t="str">
        <f ca="1">IF(Planning!$F15=0,W72&amp;V72,"")</f>
        <v>FC BarcelonaEintracht Frankfurt</v>
      </c>
      <c r="AA144" s="12"/>
      <c r="AB144" s="12" t="str">
        <f ca="1">IF(AND(AA72&gt;0,Planning!$F15=0),AK72&amp;Language!$E$90&amp;AJ72,"")</f>
        <v>39 - 41</v>
      </c>
      <c r="AC144" s="2" t="str">
        <f ca="1">IF(Planning!$F15=1,W72&amp;V72,"")</f>
        <v/>
      </c>
      <c r="AD144" s="120" t="str">
        <f ca="1">IF(AND(AA72&gt;0,Planning!$F15=1),AK72&amp;Language!$E$90&amp;AJ72,"")</f>
        <v/>
      </c>
      <c r="AE144" s="337" t="str">
        <f ca="1">IF(AA72&gt;0,AM72&amp;Language!$E$90&amp;AL72,"")</f>
        <v>1 - 1</v>
      </c>
      <c r="AF144" s="335"/>
      <c r="AG144" s="335"/>
      <c r="AH144" s="335"/>
    </row>
    <row r="145" spans="25:34" x14ac:dyDescent="0.2">
      <c r="Y145" s="67" t="s">
        <v>24</v>
      </c>
      <c r="Z145" s="31" t="str">
        <f ca="1">IF(Planning!$F16=0,W73&amp;V73,"")</f>
        <v>1. FC RiedwaldVFB Essenheim</v>
      </c>
      <c r="AA145" s="12"/>
      <c r="AB145" s="12" t="str">
        <f ca="1">IF(AND(AA73&gt;0,Planning!$F16=0),AK73&amp;Language!$E$90&amp;AJ73,"")</f>
        <v>44 - 39</v>
      </c>
      <c r="AC145" s="2" t="str">
        <f ca="1">IF(Planning!$F16=1,W73&amp;V73,"")</f>
        <v/>
      </c>
      <c r="AD145" s="120" t="str">
        <f ca="1">IF(AND(AA73&gt;0,Planning!$F16=1),AK73&amp;Language!$E$90&amp;AJ73,"")</f>
        <v/>
      </c>
      <c r="AE145" s="337" t="str">
        <f ca="1">IF(AA73&gt;0,AM73&amp;Language!$E$90&amp;AL73,"")</f>
        <v>1 - 1</v>
      </c>
      <c r="AF145" s="335"/>
      <c r="AG145" s="335"/>
      <c r="AH145" s="335"/>
    </row>
    <row r="146" spans="25:34" x14ac:dyDescent="0.2">
      <c r="Y146" s="67" t="s">
        <v>25</v>
      </c>
      <c r="Z146" s="31" t="str">
        <f ca="1">IF(Planning!$F17=0,W74&amp;V74,"")</f>
        <v>Inter MailandMaibach 1822 eV</v>
      </c>
      <c r="AA146" s="12"/>
      <c r="AB146" s="12" t="str">
        <f ca="1">IF(AND(AA74&gt;0,Planning!$F17=0),AK74&amp;Language!$E$90&amp;AJ74,"")</f>
        <v>45 - 47</v>
      </c>
      <c r="AC146" s="2" t="str">
        <f ca="1">IF(Planning!$F17=1,W74&amp;V74,"")</f>
        <v/>
      </c>
      <c r="AD146" s="120" t="str">
        <f ca="1">IF(AND(AA74&gt;0,Planning!$F17=1),AK74&amp;Language!$E$90&amp;AJ74,"")</f>
        <v/>
      </c>
      <c r="AE146" s="337" t="str">
        <f ca="1">IF(AA74&gt;0,AM74&amp;Language!$E$90&amp;AL74,"")</f>
        <v>1 - 1</v>
      </c>
      <c r="AF146" s="335"/>
      <c r="AG146" s="335"/>
      <c r="AH146" s="335"/>
    </row>
    <row r="147" spans="25:34" x14ac:dyDescent="0.2">
      <c r="Y147" s="67" t="s">
        <v>26</v>
      </c>
      <c r="Z147" s="31" t="str">
        <f ca="1">IF(Planning!$F18=0,W75&amp;V75,"")</f>
        <v>Eintracht FrankfurtSSV Wildbach</v>
      </c>
      <c r="AA147" s="12"/>
      <c r="AB147" s="12" t="str">
        <f ca="1">IF(AND(AA75&gt;0,Planning!$F18=0),AK75&amp;Language!$E$90&amp;AJ75,"")</f>
        <v>46 - 40</v>
      </c>
      <c r="AC147" s="2" t="str">
        <f ca="1">IF(Planning!$F18=1,W75&amp;V75,"")</f>
        <v/>
      </c>
      <c r="AD147" s="120" t="str">
        <f ca="1">IF(AND(AA75&gt;0,Planning!$F18=1),AK75&amp;Language!$E$90&amp;AJ75,"")</f>
        <v/>
      </c>
      <c r="AE147" s="337" t="str">
        <f ca="1">IF(AA75&gt;0,AM75&amp;Language!$E$90&amp;AL75,"")</f>
        <v>1 - 1</v>
      </c>
      <c r="AF147" s="335"/>
      <c r="AG147" s="335"/>
      <c r="AH147" s="335"/>
    </row>
    <row r="148" spans="25:34" x14ac:dyDescent="0.2">
      <c r="Y148" s="67" t="s">
        <v>27</v>
      </c>
      <c r="Z148" s="31" t="str">
        <f ca="1">IF(Planning!$F19=0,W76&amp;V76,"")</f>
        <v>Maibach 1822 eV1. FC Riedwald</v>
      </c>
      <c r="AA148" s="12"/>
      <c r="AB148" s="12" t="str">
        <f ca="1">IF(AND(AA76&gt;0,Planning!$F19=0),AK76&amp;Language!$E$90&amp;AJ76,"")</f>
        <v>50 - 29</v>
      </c>
      <c r="AC148" s="2" t="str">
        <f ca="1">IF(Planning!$F19=1,W76&amp;V76,"")</f>
        <v/>
      </c>
      <c r="AD148" s="120" t="str">
        <f ca="1">IF(AND(AA76&gt;0,Planning!$F19=1),AK76&amp;Language!$E$90&amp;AJ76,"")</f>
        <v/>
      </c>
      <c r="AE148" s="337" t="str">
        <f ca="1">IF(AA76&gt;0,AM76&amp;Language!$E$90&amp;AL76,"")</f>
        <v>2 - 0</v>
      </c>
      <c r="AF148" s="335"/>
      <c r="AG148" s="335"/>
      <c r="AH148" s="335"/>
    </row>
    <row r="149" spans="25:34" x14ac:dyDescent="0.2">
      <c r="Y149" s="67" t="s">
        <v>28</v>
      </c>
      <c r="Z149" s="31" t="str">
        <f ca="1">IF(Planning!$F20=0,W77&amp;V77,"")</f>
        <v>VFB EssenheimEintracht Frankfurt</v>
      </c>
      <c r="AA149" s="12"/>
      <c r="AB149" s="12" t="str">
        <f ca="1">IF(AND(AA77&gt;0,Planning!$F20=0),AK77&amp;Language!$E$90&amp;AJ77,"")</f>
        <v>44 - 45</v>
      </c>
      <c r="AC149" s="2" t="str">
        <f ca="1">IF(Planning!$F20=1,W77&amp;V77,"")</f>
        <v/>
      </c>
      <c r="AD149" s="120" t="str">
        <f ca="1">IF(AND(AA77&gt;0,Planning!$F20=1),AK77&amp;Language!$E$90&amp;AJ77,"")</f>
        <v/>
      </c>
      <c r="AE149" s="337" t="str">
        <f ca="1">IF(AA77&gt;0,AM77&amp;Language!$E$90&amp;AL77,"")</f>
        <v>1 - 1</v>
      </c>
      <c r="AF149" s="335"/>
      <c r="AG149" s="335"/>
      <c r="AH149" s="335"/>
    </row>
    <row r="150" spans="25:34" x14ac:dyDescent="0.2">
      <c r="Y150" s="67" t="s">
        <v>29</v>
      </c>
      <c r="Z150" s="31" t="str">
        <f ca="1">IF(Planning!$F21=0,W78&amp;V78,"")</f>
        <v>FC BarcelonaInter Mailand</v>
      </c>
      <c r="AA150" s="12"/>
      <c r="AB150" s="12" t="str">
        <f ca="1">IF(AND(AA78&gt;0,Planning!$F21=0),AK78&amp;Language!$E$90&amp;AJ78,"")</f>
        <v>40 - 48</v>
      </c>
      <c r="AC150" s="2" t="str">
        <f ca="1">IF(Planning!$F21=1,W78&amp;V78,"")</f>
        <v/>
      </c>
      <c r="AD150" s="120" t="str">
        <f ca="1">IF(AND(AA78&gt;0,Planning!$F21=1),AK78&amp;Language!$E$90&amp;AJ78,"")</f>
        <v/>
      </c>
      <c r="AE150" s="337" t="str">
        <f ca="1">IF(AA78&gt;0,AM78&amp;Language!$E$90&amp;AL78,"")</f>
        <v>1 - 1</v>
      </c>
      <c r="AF150" s="335"/>
      <c r="AG150" s="335"/>
      <c r="AH150" s="335"/>
    </row>
    <row r="151" spans="25:34" x14ac:dyDescent="0.2">
      <c r="Y151" s="67" t="s">
        <v>30</v>
      </c>
      <c r="Z151" s="31" t="str">
        <f ca="1">IF(Planning!$F22=0,W79&amp;V79,"")</f>
        <v>1. FC RiedwaldEintracht Frankfurt</v>
      </c>
      <c r="AA151" s="12"/>
      <c r="AB151" s="12" t="str">
        <f ca="1">IF(AND(AA79&gt;0,Planning!$F22=0),AK79&amp;Language!$E$90&amp;AJ79,"")</f>
        <v>50 - 41</v>
      </c>
      <c r="AC151" s="2" t="str">
        <f ca="1">IF(Planning!$F22=1,W79&amp;V79,"")</f>
        <v/>
      </c>
      <c r="AD151" s="120" t="str">
        <f ca="1">IF(AND(AA79&gt;0,Planning!$F22=1),AK79&amp;Language!$E$90&amp;AJ79,"")</f>
        <v/>
      </c>
      <c r="AE151" s="337" t="str">
        <f ca="1">IF(AA79&gt;0,AM79&amp;Language!$E$90&amp;AL79,"")</f>
        <v>2 - 0</v>
      </c>
      <c r="AF151" s="335"/>
      <c r="AG151" s="335"/>
      <c r="AH151" s="335"/>
    </row>
    <row r="152" spans="25:34" x14ac:dyDescent="0.2">
      <c r="Y152" s="67" t="s">
        <v>31</v>
      </c>
      <c r="Z152" s="31" t="str">
        <f ca="1">IF(Planning!$F23=0,W80&amp;V80,"")</f>
        <v>Maibach 1822 eVFC Barcelona</v>
      </c>
      <c r="AA152" s="12"/>
      <c r="AB152" s="12" t="str">
        <f ca="1">IF(AND(AA80&gt;0,Planning!$F23=0),AK80&amp;Language!$E$90&amp;AJ80,"")</f>
        <v>39 - 50</v>
      </c>
      <c r="AC152" s="2" t="str">
        <f ca="1">IF(Planning!$F23=1,W80&amp;V80,"")</f>
        <v/>
      </c>
      <c r="AD152" s="120" t="str">
        <f ca="1">IF(AND(AA80&gt;0,Planning!$F23=1),AK80&amp;Language!$E$90&amp;AJ80,"")</f>
        <v/>
      </c>
      <c r="AE152" s="337" t="str">
        <f ca="1">IF(AA80&gt;0,AM80&amp;Language!$E$90&amp;AL80,"")</f>
        <v>0 - 2</v>
      </c>
      <c r="AF152" s="335"/>
      <c r="AG152" s="335"/>
      <c r="AH152" s="335"/>
    </row>
    <row r="153" spans="25:34" x14ac:dyDescent="0.2">
      <c r="Y153" s="67" t="s">
        <v>32</v>
      </c>
      <c r="Z153" s="31" t="str">
        <f ca="1">IF(Planning!$F24=0,W81&amp;V81,"")</f>
        <v>Inter MailandSSV Wildbach</v>
      </c>
      <c r="AA153" s="12"/>
      <c r="AB153" s="12" t="str">
        <f ca="1">IF(AND(AA81&gt;0,Planning!$F24=0),AK81&amp;Language!$E$90&amp;AJ81,"")</f>
        <v>32 - 50</v>
      </c>
      <c r="AC153" s="2" t="str">
        <f ca="1">IF(Planning!$F24=1,W81&amp;V81,"")</f>
        <v/>
      </c>
      <c r="AD153" s="120" t="str">
        <f ca="1">IF(AND(AA81&gt;0,Planning!$F24=1),AK81&amp;Language!$E$90&amp;AJ81,"")</f>
        <v/>
      </c>
      <c r="AE153" s="337" t="str">
        <f ca="1">IF(AA81&gt;0,AM81&amp;Language!$E$90&amp;AL81,"")</f>
        <v>0 - 2</v>
      </c>
      <c r="AF153" s="335"/>
      <c r="AG153" s="335"/>
      <c r="AH153" s="335"/>
    </row>
    <row r="154" spans="25:34" x14ac:dyDescent="0.2">
      <c r="Y154" s="67" t="s">
        <v>33</v>
      </c>
      <c r="Z154" s="31" t="str">
        <f ca="1">IF(Planning!$F25=0,W82&amp;V82,"")</f>
        <v>FC Barcelona1. FC Riedwald</v>
      </c>
      <c r="AA154" s="12"/>
      <c r="AB154" s="12" t="str">
        <f ca="1">IF(AND(AA82&gt;0,Planning!$F25=0),AK82&amp;Language!$E$90&amp;AJ82,"")</f>
        <v>41 - 50</v>
      </c>
      <c r="AC154" s="2" t="str">
        <f ca="1">IF(Planning!$F25=1,W82&amp;V82,"")</f>
        <v/>
      </c>
      <c r="AD154" s="120" t="str">
        <f ca="1">IF(AND(AA82&gt;0,Planning!$F25=1),AK82&amp;Language!$E$90&amp;AJ82,"")</f>
        <v/>
      </c>
      <c r="AE154" s="337" t="str">
        <f ca="1">IF(AA82&gt;0,AM82&amp;Language!$E$90&amp;AL82,"")</f>
        <v>0 - 2</v>
      </c>
      <c r="AF154" s="335"/>
      <c r="AG154" s="335"/>
      <c r="AH154" s="335"/>
    </row>
    <row r="155" spans="25:34" x14ac:dyDescent="0.2">
      <c r="Y155" s="67" t="s">
        <v>34</v>
      </c>
      <c r="Z155" s="31" t="str">
        <f ca="1">IF(Planning!$F26=0,W83&amp;V83,"")</f>
        <v>SSV WildbachMaibach 1822 eV</v>
      </c>
      <c r="AA155" s="12"/>
      <c r="AB155" s="12" t="str">
        <f ca="1">IF(AND(AA83&gt;0,Planning!$F26=0),AK83&amp;Language!$E$90&amp;AJ83,"")</f>
        <v>45 - 50</v>
      </c>
      <c r="AC155" s="2" t="str">
        <f ca="1">IF(Planning!$F26=1,W83&amp;V83,"")</f>
        <v/>
      </c>
      <c r="AD155" s="120" t="str">
        <f ca="1">IF(AND(AA83&gt;0,Planning!$F26=1),AK83&amp;Language!$E$90&amp;AJ83,"")</f>
        <v/>
      </c>
      <c r="AE155" s="337" t="str">
        <f ca="1">IF(AA83&gt;0,AM83&amp;Language!$E$90&amp;AL83,"")</f>
        <v>0 - 2</v>
      </c>
      <c r="AF155" s="335"/>
      <c r="AG155" s="335"/>
      <c r="AH155" s="335"/>
    </row>
    <row r="156" spans="25:34" x14ac:dyDescent="0.2">
      <c r="Y156" s="67" t="s">
        <v>35</v>
      </c>
      <c r="Z156" s="31" t="str">
        <f ca="1">IF(Planning!$F27=0,W84&amp;V84,"")</f>
        <v>VFB EssenheimInter Mailand</v>
      </c>
      <c r="AA156" s="12"/>
      <c r="AB156" s="12" t="str">
        <f ca="1">IF(AND(AA84&gt;0,Planning!$F27=0),AK84&amp;Language!$E$90&amp;AJ84,"")</f>
        <v>29 - 50</v>
      </c>
      <c r="AC156" s="2" t="str">
        <f ca="1">IF(Planning!$F27=1,W84&amp;V84,"")</f>
        <v/>
      </c>
      <c r="AD156" s="120" t="str">
        <f ca="1">IF(AND(AA84&gt;0,Planning!$F27=1),AK84&amp;Language!$E$90&amp;AJ84,"")</f>
        <v/>
      </c>
      <c r="AE156" s="337" t="str">
        <f ca="1">IF(AA84&gt;0,AM84&amp;Language!$E$90&amp;AL84,"")</f>
        <v>0 - 2</v>
      </c>
      <c r="AF156" s="335"/>
      <c r="AG156" s="335"/>
      <c r="AH156" s="335"/>
    </row>
    <row r="157" spans="25:34" x14ac:dyDescent="0.2">
      <c r="Y157" s="67" t="s">
        <v>36</v>
      </c>
      <c r="Z157" s="31" t="str">
        <f ca="1">IF(Planning!$F28=0,W85&amp;V85,"")</f>
        <v/>
      </c>
      <c r="AA157" s="12"/>
      <c r="AB157" s="12" t="str">
        <f ca="1">IF(AND(AA85&gt;0,Planning!$F28=0),AK85&amp;Language!$E$90&amp;AJ85,"")</f>
        <v/>
      </c>
      <c r="AC157" s="2" t="str">
        <f ca="1">IF(Planning!$F28=1,W85&amp;V85,"")</f>
        <v>SSV WildbachFC Barcelona</v>
      </c>
      <c r="AD157" s="120" t="str">
        <f ca="1">IF(AND(AA85&gt;0,Planning!$F28=1),AK85&amp;Language!$E$90&amp;AJ85,"")</f>
        <v>44 - 44</v>
      </c>
      <c r="AE157" s="337" t="str">
        <f ca="1">IF(AA85&gt;0,AM85&amp;Language!$E$90&amp;AL85,"")</f>
        <v>1 - 1</v>
      </c>
      <c r="AF157" s="335"/>
      <c r="AG157" s="335"/>
      <c r="AH157" s="335"/>
    </row>
    <row r="158" spans="25:34" x14ac:dyDescent="0.2">
      <c r="Y158" s="67" t="s">
        <v>37</v>
      </c>
      <c r="Z158" s="31" t="str">
        <f ca="1">IF(Planning!$F29=0,W86&amp;V86,"")</f>
        <v/>
      </c>
      <c r="AA158" s="12"/>
      <c r="AB158" s="12" t="str">
        <f ca="1">IF(AND(AA86&gt;0,Planning!$F29=0),AK86&amp;Language!$E$90&amp;AJ86,"")</f>
        <v/>
      </c>
      <c r="AC158" s="2" t="str">
        <f ca="1">IF(Planning!$F29=1,W86&amp;V86,"")</f>
        <v>Eintracht FrankfurtInter Mailand</v>
      </c>
      <c r="AD158" s="120" t="str">
        <f ca="1">IF(AND(AA86&gt;0,Planning!$F29=1),AK86&amp;Language!$E$90&amp;AJ86,"")</f>
        <v>50 - 40</v>
      </c>
      <c r="AE158" s="337" t="str">
        <f ca="1">IF(AA86&gt;0,AM86&amp;Language!$E$90&amp;AL86,"")</f>
        <v>2 - 0</v>
      </c>
      <c r="AF158" s="335"/>
      <c r="AG158" s="335"/>
      <c r="AH158" s="335"/>
    </row>
    <row r="159" spans="25:34" x14ac:dyDescent="0.2">
      <c r="Y159" s="67" t="s">
        <v>38</v>
      </c>
      <c r="Z159" s="31" t="str">
        <f ca="1">IF(Planning!$F30=0,W87&amp;V87,"")</f>
        <v/>
      </c>
      <c r="AA159" s="12"/>
      <c r="AB159" s="12" t="str">
        <f ca="1">IF(AND(AA87&gt;0,Planning!$F30=0),AK87&amp;Language!$E$90&amp;AJ87,"")</f>
        <v/>
      </c>
      <c r="AC159" s="2" t="str">
        <f ca="1">IF(Planning!$F30=1,W87&amp;V87,"")</f>
        <v>VFB EssenheimMaibach 1822 eV</v>
      </c>
      <c r="AD159" s="120" t="str">
        <f ca="1">IF(AND(AA87&gt;0,Planning!$F30=1),AK87&amp;Language!$E$90&amp;AJ87,"")</f>
        <v>44 - 39</v>
      </c>
      <c r="AE159" s="337" t="str">
        <f ca="1">IF(AA87&gt;0,AM87&amp;Language!$E$90&amp;AL87,"")</f>
        <v>1 - 1</v>
      </c>
      <c r="AF159" s="335"/>
      <c r="AG159" s="335"/>
      <c r="AH159" s="335"/>
    </row>
    <row r="160" spans="25:34" x14ac:dyDescent="0.2">
      <c r="Y160" s="67" t="s">
        <v>39</v>
      </c>
      <c r="Z160" s="31" t="str">
        <f ca="1">IF(Planning!$F31=0,W88&amp;V88,"")</f>
        <v/>
      </c>
      <c r="AA160" s="12"/>
      <c r="AB160" s="12" t="str">
        <f ca="1">IF(AND(AA88&gt;0,Planning!$F31=0),AK88&amp;Language!$E$90&amp;AJ88,"")</f>
        <v/>
      </c>
      <c r="AC160" s="2" t="str">
        <f ca="1">IF(Planning!$F31=1,W88&amp;V88,"")</f>
        <v>SSV Wildbach1. FC Riedwald</v>
      </c>
      <c r="AD160" s="120" t="str">
        <f ca="1">IF(AND(AA88&gt;0,Planning!$F31=1),AK88&amp;Language!$E$90&amp;AJ88,"")</f>
        <v>45 - 45</v>
      </c>
      <c r="AE160" s="337" t="str">
        <f ca="1">IF(AA88&gt;0,AM88&amp;Language!$E$90&amp;AL88,"")</f>
        <v>1 - 1</v>
      </c>
      <c r="AF160" s="335"/>
      <c r="AG160" s="335"/>
      <c r="AH160" s="335"/>
    </row>
    <row r="161" spans="25:34" x14ac:dyDescent="0.2">
      <c r="Y161" s="67" t="s">
        <v>40</v>
      </c>
      <c r="Z161" s="31" t="str">
        <f ca="1">IF(Planning!$F32=0,W89&amp;V89,"")</f>
        <v/>
      </c>
      <c r="AA161" s="12"/>
      <c r="AB161" s="12" t="str">
        <f ca="1">IF(AND(AA89&gt;0,Planning!$F32=0),AK89&amp;Language!$E$90&amp;AJ89,"")</f>
        <v/>
      </c>
      <c r="AC161" s="2" t="str">
        <f ca="1">IF(Planning!$F32=1,W89&amp;V89,"")</f>
        <v>FC BarcelonaVFB Essenheim</v>
      </c>
      <c r="AD161" s="120" t="str">
        <f ca="1">IF(AND(AA89&gt;0,Planning!$F32=1),AK89&amp;Language!$E$90&amp;AJ89,"")</f>
        <v>46 - 44</v>
      </c>
      <c r="AE161" s="337" t="str">
        <f ca="1">IF(AA89&gt;0,AM89&amp;Language!$E$90&amp;AL89,"")</f>
        <v>1 - 1</v>
      </c>
      <c r="AF161" s="335"/>
      <c r="AG161" s="335"/>
      <c r="AH161" s="335"/>
    </row>
    <row r="162" spans="25:34" x14ac:dyDescent="0.2">
      <c r="Y162" s="67" t="s">
        <v>41</v>
      </c>
      <c r="Z162" s="31" t="str">
        <f ca="1">IF(Planning!$F33=0,W90&amp;V90,"")</f>
        <v/>
      </c>
      <c r="AA162" s="12"/>
      <c r="AB162" s="12" t="str">
        <f ca="1">IF(AND(AA90&gt;0,Planning!$F33=0),AK90&amp;Language!$E$90&amp;AJ90,"")</f>
        <v/>
      </c>
      <c r="AC162" s="2" t="str">
        <f ca="1">IF(Planning!$F33=1,W90&amp;V90,"")</f>
        <v>Maibach 1822 eVEintracht Frankfurt</v>
      </c>
      <c r="AD162" s="120" t="str">
        <f ca="1">IF(AND(AA90&gt;0,Planning!$F33=1),AK90&amp;Language!$E$90&amp;AJ90,"")</f>
        <v>47 - 42</v>
      </c>
      <c r="AE162" s="337" t="str">
        <f ca="1">IF(AA90&gt;0,AM90&amp;Language!$E$90&amp;AL90,"")</f>
        <v>1 - 1</v>
      </c>
      <c r="AF162" s="335"/>
      <c r="AG162" s="335"/>
      <c r="AH162" s="335"/>
    </row>
    <row r="163" spans="25:34" x14ac:dyDescent="0.2">
      <c r="Y163" s="67" t="s">
        <v>42</v>
      </c>
      <c r="Z163" s="31" t="str">
        <f ca="1">IF(Planning!$F34=0,W91&amp;V91,"")</f>
        <v/>
      </c>
      <c r="AA163" s="12"/>
      <c r="AB163" s="12" t="str">
        <f ca="1">IF(AND(AA91&gt;0,Planning!$F34=0),AK91&amp;Language!$E$90&amp;AJ91,"")</f>
        <v/>
      </c>
      <c r="AC163" s="2" t="str">
        <f ca="1">IF(Planning!$F34=1,W91&amp;V91,"")</f>
        <v>1. FC RiedwaldInter Mailand</v>
      </c>
      <c r="AD163" s="120" t="str">
        <f ca="1">IF(AND(AA91&gt;0,Planning!$F34=1),AK91&amp;Language!$E$90&amp;AJ91,"")</f>
        <v>48 - 44</v>
      </c>
      <c r="AE163" s="337" t="str">
        <f ca="1">IF(AA91&gt;0,AM91&amp;Language!$E$90&amp;AL91,"")</f>
        <v>1 - 1</v>
      </c>
      <c r="AF163" s="335"/>
      <c r="AG163" s="335"/>
      <c r="AH163" s="335"/>
    </row>
    <row r="164" spans="25:34" x14ac:dyDescent="0.2">
      <c r="Y164" s="67" t="s">
        <v>43</v>
      </c>
      <c r="Z164" s="31" t="str">
        <f ca="1">IF(Planning!$F35=0,W92&amp;V92,"")</f>
        <v/>
      </c>
      <c r="AA164" s="12"/>
      <c r="AB164" s="12" t="str">
        <f ca="1">IF(AND(AA92&gt;0,Planning!$F35=0),AK92&amp;Language!$E$90&amp;AJ92,"")</f>
        <v/>
      </c>
      <c r="AC164" s="2" t="str">
        <f ca="1">IF(Planning!$F35=1,W92&amp;V92,"")</f>
        <v>VFB EssenheimSSV Wildbach</v>
      </c>
      <c r="AD164" s="120" t="str">
        <f ca="1">IF(AND(AA92&gt;0,Planning!$F35=1),AK92&amp;Language!$E$90&amp;AJ92,"")</f>
        <v>50 - 34</v>
      </c>
      <c r="AE164" s="337" t="str">
        <f ca="1">IF(AA92&gt;0,AM92&amp;Language!$E$90&amp;AL92,"")</f>
        <v>2 - 0</v>
      </c>
      <c r="AF164" s="335"/>
      <c r="AG164" s="335"/>
      <c r="AH164" s="335"/>
    </row>
    <row r="165" spans="25:34" x14ac:dyDescent="0.2">
      <c r="Y165" s="67" t="s">
        <v>44</v>
      </c>
      <c r="Z165" s="31" t="str">
        <f ca="1">IF(Planning!$F36=0,W93&amp;V93,"")</f>
        <v/>
      </c>
      <c r="AA165" s="12"/>
      <c r="AB165" s="12" t="str">
        <f ca="1">IF(AND(AA93&gt;0,Planning!$F36=0),AK93&amp;Language!$E$90&amp;AJ93,"")</f>
        <v/>
      </c>
      <c r="AC165" s="2" t="str">
        <f ca="1">IF(Planning!$F36=1,W93&amp;V93,"")</f>
        <v>Eintracht FrankfurtFC Barcelona</v>
      </c>
      <c r="AD165" s="120" t="str">
        <f ca="1">IF(AND(AA93&gt;0,Planning!$F36=1),AK93&amp;Language!$E$90&amp;AJ93,"")</f>
        <v>50 - 36</v>
      </c>
      <c r="AE165" s="337" t="str">
        <f ca="1">IF(AA93&gt;0,AM93&amp;Language!$E$90&amp;AL93,"")</f>
        <v>2 - 0</v>
      </c>
      <c r="AF165" s="335"/>
      <c r="AG165" s="335"/>
      <c r="AH165" s="335"/>
    </row>
    <row r="166" spans="25:34" x14ac:dyDescent="0.2">
      <c r="Y166" s="67" t="s">
        <v>45</v>
      </c>
      <c r="Z166" s="31" t="str">
        <f ca="1">IF(Planning!$F37=0,W94&amp;V94,"")</f>
        <v/>
      </c>
      <c r="AA166" s="12"/>
      <c r="AB166" s="12" t="str">
        <f ca="1">IF(AND(AA94&gt;0,Planning!$F37=0),AK94&amp;Language!$E$90&amp;AJ94,"")</f>
        <v/>
      </c>
      <c r="AC166" s="2" t="str">
        <f ca="1">IF(Planning!$F37=1,W94&amp;V94,"")</f>
        <v>VFB Essenheim1. FC Riedwald</v>
      </c>
      <c r="AD166" s="120" t="str">
        <f ca="1">IF(AND(AA94&gt;0,Planning!$F37=1),AK94&amp;Language!$E$90&amp;AJ94,"")</f>
        <v>46 - 44</v>
      </c>
      <c r="AE166" s="337" t="str">
        <f ca="1">IF(AA94&gt;0,AM94&amp;Language!$E$90&amp;AL94,"")</f>
        <v>1 - 1</v>
      </c>
      <c r="AF166" s="335"/>
      <c r="AG166" s="335"/>
      <c r="AH166" s="335"/>
    </row>
    <row r="167" spans="25:34" x14ac:dyDescent="0.2">
      <c r="Y167" s="67" t="s">
        <v>46</v>
      </c>
      <c r="Z167" s="31" t="str">
        <f ca="1">IF(Planning!$F38=0,W95&amp;V95,"")</f>
        <v/>
      </c>
      <c r="AA167" s="12"/>
      <c r="AB167" s="12" t="str">
        <f ca="1">IF(AND(AA95&gt;0,Planning!$F38=0),AK95&amp;Language!$E$90&amp;AJ95,"")</f>
        <v/>
      </c>
      <c r="AC167" s="2" t="str">
        <f ca="1">IF(Planning!$F38=1,W95&amp;V95,"")</f>
        <v>Maibach 1822 eVInter Mailand</v>
      </c>
      <c r="AD167" s="120" t="str">
        <f ca="1">IF(AND(AA95&gt;0,Planning!$F38=1),AK95&amp;Language!$E$90&amp;AJ95,"")</f>
        <v>50 - 29</v>
      </c>
      <c r="AE167" s="337" t="str">
        <f ca="1">IF(AA95&gt;0,AM95&amp;Language!$E$90&amp;AL95,"")</f>
        <v>2 - 0</v>
      </c>
      <c r="AF167" s="335"/>
      <c r="AG167" s="335"/>
      <c r="AH167" s="335"/>
    </row>
    <row r="168" spans="25:34" x14ac:dyDescent="0.2">
      <c r="Y168" s="67" t="s">
        <v>47</v>
      </c>
      <c r="Z168" s="31" t="str">
        <f ca="1">IF(Planning!$F39=0,W96&amp;V96,"")</f>
        <v/>
      </c>
      <c r="AA168" s="12"/>
      <c r="AB168" s="12" t="str">
        <f ca="1">IF(AND(AA96&gt;0,Planning!$F39=0),AK96&amp;Language!$E$90&amp;AJ96,"")</f>
        <v/>
      </c>
      <c r="AC168" s="2" t="str">
        <f ca="1">IF(Planning!$F39=1,W96&amp;V96,"")</f>
        <v>SSV WildbachEintracht Frankfurt</v>
      </c>
      <c r="AD168" s="120" t="str">
        <f ca="1">IF(AND(AA96&gt;0,Planning!$F39=1),AK96&amp;Language!$E$90&amp;AJ96,"")</f>
        <v>48 - 39</v>
      </c>
      <c r="AE168" s="337" t="str">
        <f ca="1">IF(AA96&gt;0,AM96&amp;Language!$E$90&amp;AL96,"")</f>
        <v>1 - 1</v>
      </c>
      <c r="AF168" s="335"/>
      <c r="AG168" s="335"/>
      <c r="AH168" s="335"/>
    </row>
    <row r="169" spans="25:34" x14ac:dyDescent="0.2">
      <c r="Y169" s="67" t="s">
        <v>48</v>
      </c>
      <c r="Z169" s="31" t="str">
        <f ca="1">IF(Planning!$F40=0,W97&amp;V97,"")</f>
        <v/>
      </c>
      <c r="AA169" s="12"/>
      <c r="AB169" s="12" t="str">
        <f ca="1">IF(AND(AA97&gt;0,Planning!$F40=0),AK97&amp;Language!$E$90&amp;AJ97,"")</f>
        <v/>
      </c>
      <c r="AC169" s="2" t="str">
        <f ca="1">IF(Planning!$F40=1,W97&amp;V97,"")</f>
        <v>1. FC RiedwaldMaibach 1822 eV</v>
      </c>
      <c r="AD169" s="120" t="str">
        <f ca="1">IF(AND(AA97&gt;0,Planning!$F40=1),AK97&amp;Language!$E$90&amp;AJ97,"")</f>
        <v>42 - 48</v>
      </c>
      <c r="AE169" s="337" t="str">
        <f ca="1">IF(AA97&gt;0,AM97&amp;Language!$E$90&amp;AL97,"")</f>
        <v>1 - 1</v>
      </c>
      <c r="AF169" s="335"/>
      <c r="AG169" s="335"/>
      <c r="AH169" s="335"/>
    </row>
    <row r="170" spans="25:34" x14ac:dyDescent="0.2">
      <c r="Y170" s="67" t="s">
        <v>49</v>
      </c>
      <c r="Z170" s="31" t="str">
        <f ca="1">IF(Planning!$F41=0,W98&amp;V98,"")</f>
        <v/>
      </c>
      <c r="AA170" s="12"/>
      <c r="AB170" s="12" t="str">
        <f ca="1">IF(AND(AA98&gt;0,Planning!$F41=0),AK98&amp;Language!$E$90&amp;AJ98,"")</f>
        <v/>
      </c>
      <c r="AC170" s="2" t="str">
        <f ca="1">IF(Planning!$F41=1,W98&amp;V98,"")</f>
        <v>Eintracht FrankfurtVFB Essenheim</v>
      </c>
      <c r="AD170" s="120" t="str">
        <f ca="1">IF(AND(AA98&gt;0,Planning!$F41=1),AK98&amp;Language!$E$90&amp;AJ98,"")</f>
        <v>46 - 46</v>
      </c>
      <c r="AE170" s="337" t="str">
        <f ca="1">IF(AA98&gt;0,AM98&amp;Language!$E$90&amp;AL98,"")</f>
        <v>1 - 1</v>
      </c>
      <c r="AF170" s="335"/>
      <c r="AG170" s="335"/>
      <c r="AH170" s="335"/>
    </row>
    <row r="171" spans="25:34" x14ac:dyDescent="0.2">
      <c r="Y171" s="67" t="s">
        <v>50</v>
      </c>
      <c r="Z171" s="31" t="str">
        <f ca="1">IF(Planning!$F42=0,W99&amp;V99,"")</f>
        <v/>
      </c>
      <c r="AA171" s="12"/>
      <c r="AB171" s="12" t="str">
        <f ca="1">IF(AND(AA99&gt;0,Planning!$F42=0),AK99&amp;Language!$E$90&amp;AJ99,"")</f>
        <v/>
      </c>
      <c r="AC171" s="2" t="str">
        <f ca="1">IF(Planning!$F42=1,W99&amp;V99,"")</f>
        <v>Inter MailandFC Barcelona</v>
      </c>
      <c r="AD171" s="120" t="str">
        <f ca="1">IF(AND(AA99&gt;0,Planning!$F42=1),AK99&amp;Language!$E$90&amp;AJ99,"")</f>
        <v>39 - 50</v>
      </c>
      <c r="AE171" s="337" t="str">
        <f ca="1">IF(AA99&gt;0,AM99&amp;Language!$E$90&amp;AL99,"")</f>
        <v>0 - 2</v>
      </c>
      <c r="AF171" s="335"/>
      <c r="AG171" s="335"/>
      <c r="AH171" s="335"/>
    </row>
    <row r="172" spans="25:34" x14ac:dyDescent="0.2">
      <c r="Y172" s="67" t="s">
        <v>61</v>
      </c>
      <c r="Z172" s="31" t="str">
        <f ca="1">IF(Planning!$F43=0,W100&amp;V100,"")</f>
        <v/>
      </c>
      <c r="AA172" s="12"/>
      <c r="AB172" s="12" t="str">
        <f ca="1">IF(AND(AA100&gt;0,Planning!$F43=0),AK100&amp;Language!$E$90&amp;AJ100,"")</f>
        <v/>
      </c>
      <c r="AC172" s="2" t="str">
        <f ca="1">IF(Planning!$F43=1,W100&amp;V100,"")</f>
        <v>Eintracht Frankfurt1. FC Riedwald</v>
      </c>
      <c r="AD172" s="120" t="str">
        <f ca="1">IF(AND(AA100&gt;0,Planning!$F43=1),AK100&amp;Language!$E$90&amp;AJ100,"")</f>
        <v>46 - 50</v>
      </c>
      <c r="AE172" s="337" t="str">
        <f ca="1">IF(AA100&gt;0,AM100&amp;Language!$E$90&amp;AL100,"")</f>
        <v>0 - 2</v>
      </c>
      <c r="AF172" s="335"/>
      <c r="AG172" s="335"/>
      <c r="AH172" s="335"/>
    </row>
    <row r="173" spans="25:34" x14ac:dyDescent="0.2">
      <c r="Y173" s="67" t="s">
        <v>62</v>
      </c>
      <c r="Z173" s="31" t="str">
        <f ca="1">IF(Planning!$F44=0,W101&amp;V101,"")</f>
        <v/>
      </c>
      <c r="AA173" s="12"/>
      <c r="AB173" s="12" t="str">
        <f ca="1">IF(AND(AA101&gt;0,Planning!$F44=0),AK101&amp;Language!$E$90&amp;AJ101,"")</f>
        <v/>
      </c>
      <c r="AC173" s="2" t="str">
        <f ca="1">IF(Planning!$F44=1,W101&amp;V101,"")</f>
        <v>FC BarcelonaMaibach 1822 eV</v>
      </c>
      <c r="AD173" s="120" t="str">
        <f ca="1">IF(AND(AA101&gt;0,Planning!$F44=1),AK101&amp;Language!$E$90&amp;AJ101,"")</f>
        <v>37 - 50</v>
      </c>
      <c r="AE173" s="337" t="str">
        <f ca="1">IF(AA101&gt;0,AM101&amp;Language!$E$90&amp;AL101,"")</f>
        <v>0 - 2</v>
      </c>
      <c r="AF173" s="335"/>
      <c r="AG173" s="335"/>
      <c r="AH173" s="335"/>
    </row>
    <row r="174" spans="25:34" x14ac:dyDescent="0.2">
      <c r="Y174" s="67" t="s">
        <v>63</v>
      </c>
      <c r="Z174" s="31" t="str">
        <f ca="1">IF(Planning!$F45=0,W102&amp;V102,"")</f>
        <v/>
      </c>
      <c r="AA174" s="12"/>
      <c r="AB174" s="12" t="str">
        <f ca="1">IF(AND(AA102&gt;0,Planning!$F45=0),AK102&amp;Language!$E$90&amp;AJ102,"")</f>
        <v/>
      </c>
      <c r="AC174" s="2" t="str">
        <f ca="1">IF(Planning!$F45=1,W102&amp;V102,"")</f>
        <v>SSV WildbachInter Mailand</v>
      </c>
      <c r="AD174" s="120" t="str">
        <f ca="1">IF(AND(AA102&gt;0,Planning!$F45=1),AK102&amp;Language!$E$90&amp;AJ102,"")</f>
        <v>41 - 50</v>
      </c>
      <c r="AE174" s="337" t="str">
        <f ca="1">IF(AA102&gt;0,AM102&amp;Language!$E$90&amp;AL102,"")</f>
        <v>0 - 2</v>
      </c>
      <c r="AF174" s="335"/>
      <c r="AG174" s="335"/>
      <c r="AH174" s="335"/>
    </row>
    <row r="175" spans="25:34" x14ac:dyDescent="0.2">
      <c r="Y175" s="67" t="s">
        <v>64</v>
      </c>
      <c r="Z175" s="31" t="str">
        <f ca="1">IF(Planning!$F46=0,W103&amp;V103,"")</f>
        <v/>
      </c>
      <c r="AA175" s="12"/>
      <c r="AB175" s="12" t="str">
        <f ca="1">IF(AND(AA103&gt;0,Planning!$F46=0),AK103&amp;Language!$E$90&amp;AJ103,"")</f>
        <v/>
      </c>
      <c r="AC175" s="2" t="str">
        <f ca="1">IF(Planning!$F46=1,W103&amp;V103,"")</f>
        <v>1. FC RiedwaldFC Barcelona</v>
      </c>
      <c r="AD175" s="120" t="str">
        <f ca="1">IF(AND(AA103&gt;0,Planning!$F46=1),AK103&amp;Language!$E$90&amp;AJ103,"")</f>
        <v>39 - 50</v>
      </c>
      <c r="AE175" s="337" t="str">
        <f ca="1">IF(AA103&gt;0,AM103&amp;Language!$E$90&amp;AL103,"")</f>
        <v>0 - 2</v>
      </c>
      <c r="AF175" s="335"/>
      <c r="AG175" s="335"/>
      <c r="AH175" s="335"/>
    </row>
    <row r="176" spans="25:34" x14ac:dyDescent="0.2">
      <c r="Y176" s="67" t="s">
        <v>65</v>
      </c>
      <c r="Z176" s="31" t="str">
        <f ca="1">IF(Planning!$F47=0,W104&amp;V104,"")</f>
        <v/>
      </c>
      <c r="AA176" s="12"/>
      <c r="AB176" s="12" t="str">
        <f ca="1">IF(AND(AA104&gt;0,Planning!$F47=0),AK104&amp;Language!$E$90&amp;AJ104,"")</f>
        <v/>
      </c>
      <c r="AC176" s="2" t="str">
        <f ca="1">IF(Planning!$F47=1,W104&amp;V104,"")</f>
        <v>Maibach 1822 eVSSV Wildbach</v>
      </c>
      <c r="AD176" s="120" t="str">
        <f ca="1">IF(AND(AA104&gt;0,Planning!$F47=1),AK104&amp;Language!$E$90&amp;AJ104,"")</f>
        <v>42 - 44</v>
      </c>
      <c r="AE176" s="337" t="str">
        <f ca="1">IF(AA104&gt;0,AM104&amp;Language!$E$90&amp;AL104,"")</f>
        <v>1 - 1</v>
      </c>
      <c r="AF176" s="335"/>
      <c r="AG176" s="335"/>
      <c r="AH176" s="335"/>
    </row>
    <row r="177" spans="25:34" x14ac:dyDescent="0.2">
      <c r="Y177" s="67" t="s">
        <v>66</v>
      </c>
      <c r="Z177" s="31" t="str">
        <f ca="1">IF(Planning!$F48=0,W105&amp;V105,"")</f>
        <v/>
      </c>
      <c r="AA177" s="12"/>
      <c r="AB177" s="12" t="str">
        <f ca="1">IF(AND(AA105&gt;0,Planning!$F48=0),AK105&amp;Language!$E$90&amp;AJ105,"")</f>
        <v/>
      </c>
      <c r="AC177" s="2" t="str">
        <f ca="1">IF(Planning!$F48=1,W105&amp;V105,"")</f>
        <v>Inter MailandVFB Essenheim</v>
      </c>
      <c r="AD177" s="120" t="str">
        <f ca="1">IF(AND(AA105&gt;0,Planning!$F48=1),AK105&amp;Language!$E$90&amp;AJ105,"")</f>
        <v>41 - 42</v>
      </c>
      <c r="AE177" s="337" t="str">
        <f ca="1">IF(AA105&gt;0,AM105&amp;Language!$E$90&amp;AL105,"")</f>
        <v>1 - 1</v>
      </c>
      <c r="AF177" s="335"/>
      <c r="AG177" s="335"/>
      <c r="AH177" s="335"/>
    </row>
    <row r="178" spans="25:34" x14ac:dyDescent="0.2">
      <c r="Y178" s="67" t="s">
        <v>67</v>
      </c>
      <c r="Z178" s="31" t="str">
        <f ca="1">IF(Planning!$F49=0,W106&amp;V106,"")</f>
        <v/>
      </c>
      <c r="AA178" s="12"/>
      <c r="AB178" s="12" t="str">
        <f ca="1">IF(AND(AA106&gt;0,Planning!$F49=0),AK106&amp;Language!$E$90&amp;AJ106,"")</f>
        <v/>
      </c>
      <c r="AC178" s="2" t="str">
        <f ca="1">IF(Planning!$F49=1,W106&amp;V106,"")</f>
        <v/>
      </c>
      <c r="AD178" s="120" t="str">
        <f ca="1">IF(AND(AA106&gt;0,Planning!$F49=1),AK106&amp;Language!$E$90&amp;AJ106,"")</f>
        <v/>
      </c>
      <c r="AE178" s="337" t="str">
        <f ca="1">IF(AA106&gt;0,AM106&amp;Language!$E$90&amp;AL106,"")</f>
        <v/>
      </c>
      <c r="AF178" s="335"/>
      <c r="AG178" s="335"/>
      <c r="AH178" s="335"/>
    </row>
    <row r="179" spans="25:34" x14ac:dyDescent="0.2">
      <c r="Y179" s="67" t="s">
        <v>68</v>
      </c>
      <c r="Z179" s="31" t="str">
        <f ca="1">IF(Planning!$F50=0,W107&amp;V107,"")</f>
        <v/>
      </c>
      <c r="AA179" s="12"/>
      <c r="AB179" s="12" t="str">
        <f ca="1">IF(AND(AA107&gt;0,Planning!$F50=0),AK107&amp;Language!$E$90&amp;AJ107,"")</f>
        <v/>
      </c>
      <c r="AC179" s="2" t="str">
        <f ca="1">IF(Planning!$F50=1,W107&amp;V107,"")</f>
        <v/>
      </c>
      <c r="AD179" s="120" t="str">
        <f ca="1">IF(AND(AA107&gt;0,Planning!$F50=1),AK107&amp;Language!$E$90&amp;AJ107,"")</f>
        <v/>
      </c>
      <c r="AE179" s="337" t="str">
        <f ca="1">IF(AA107&gt;0,AM107&amp;Language!$E$90&amp;AL107,"")</f>
        <v/>
      </c>
      <c r="AF179" s="335"/>
      <c r="AG179" s="335"/>
      <c r="AH179" s="335"/>
    </row>
    <row r="180" spans="25:34" x14ac:dyDescent="0.2">
      <c r="Y180" s="67" t="s">
        <v>69</v>
      </c>
      <c r="Z180" s="31" t="str">
        <f ca="1">IF(Planning!$F51=0,W108&amp;V108,"")</f>
        <v/>
      </c>
      <c r="AA180" s="12"/>
      <c r="AB180" s="12" t="str">
        <f ca="1">IF(AND(AA108&gt;0,Planning!$F51=0),AK108&amp;Language!$E$90&amp;AJ108,"")</f>
        <v/>
      </c>
      <c r="AC180" s="2" t="str">
        <f ca="1">IF(Planning!$F51=1,W108&amp;V108,"")</f>
        <v/>
      </c>
      <c r="AD180" s="120" t="str">
        <f ca="1">IF(AND(AA108&gt;0,Planning!$F51=1),AK108&amp;Language!$E$90&amp;AJ108,"")</f>
        <v/>
      </c>
      <c r="AE180" s="337" t="str">
        <f ca="1">IF(AA108&gt;0,AM108&amp;Language!$E$90&amp;AL108,"")</f>
        <v/>
      </c>
      <c r="AF180" s="335"/>
      <c r="AG180" s="335"/>
      <c r="AH180" s="335"/>
    </row>
    <row r="181" spans="25:34" x14ac:dyDescent="0.2">
      <c r="Y181" s="67" t="s">
        <v>70</v>
      </c>
      <c r="Z181" s="31" t="str">
        <f ca="1">IF(Planning!$F52=0,W109&amp;V109,"")</f>
        <v/>
      </c>
      <c r="AA181" s="12"/>
      <c r="AB181" s="12" t="str">
        <f ca="1">IF(AND(AA109&gt;0,Planning!$F52=0),AK109&amp;Language!$E$90&amp;AJ109,"")</f>
        <v/>
      </c>
      <c r="AC181" s="2" t="str">
        <f ca="1">IF(Planning!$F52=1,W109&amp;V109,"")</f>
        <v/>
      </c>
      <c r="AD181" s="120" t="str">
        <f ca="1">IF(AND(AA109&gt;0,Planning!$F52=1),AK109&amp;Language!$E$90&amp;AJ109,"")</f>
        <v/>
      </c>
      <c r="AE181" s="337" t="str">
        <f ca="1">IF(AA109&gt;0,AM109&amp;Language!$E$90&amp;AL109,"")</f>
        <v/>
      </c>
      <c r="AF181" s="335"/>
      <c r="AG181" s="335"/>
      <c r="AH181" s="335"/>
    </row>
    <row r="182" spans="25:34" x14ac:dyDescent="0.2">
      <c r="Y182" s="67" t="s">
        <v>71</v>
      </c>
      <c r="Z182" s="31" t="str">
        <f ca="1">IF(Planning!$F53=0,W110&amp;V110,"")</f>
        <v/>
      </c>
      <c r="AA182" s="12"/>
      <c r="AB182" s="12" t="str">
        <f ca="1">IF(AND(AA110&gt;0,Planning!$F53=0),AK110&amp;Language!$E$90&amp;AJ110,"")</f>
        <v/>
      </c>
      <c r="AC182" s="2" t="str">
        <f ca="1">IF(Planning!$F53=1,W110&amp;V110,"")</f>
        <v/>
      </c>
      <c r="AD182" s="120" t="str">
        <f ca="1">IF(AND(AA110&gt;0,Planning!$F53=1),AK110&amp;Language!$E$90&amp;AJ110,"")</f>
        <v/>
      </c>
      <c r="AE182" s="337" t="str">
        <f ca="1">IF(AA110&gt;0,AM110&amp;Language!$E$90&amp;AL110,"")</f>
        <v/>
      </c>
      <c r="AF182" s="335"/>
      <c r="AG182" s="335"/>
      <c r="AH182" s="335"/>
    </row>
    <row r="183" spans="25:34" x14ac:dyDescent="0.2">
      <c r="Y183" s="67" t="s">
        <v>72</v>
      </c>
      <c r="Z183" s="31" t="str">
        <f ca="1">IF(Planning!$F54=0,W111&amp;V111,"")</f>
        <v/>
      </c>
      <c r="AA183" s="12"/>
      <c r="AB183" s="12" t="str">
        <f ca="1">IF(AND(AA111&gt;0,Planning!$F54=0),AK111&amp;Language!$E$90&amp;AJ111,"")</f>
        <v/>
      </c>
      <c r="AC183" s="2" t="str">
        <f ca="1">IF(Planning!$F54=1,W111&amp;V111,"")</f>
        <v/>
      </c>
      <c r="AD183" s="120" t="str">
        <f ca="1">IF(AND(AA111&gt;0,Planning!$F54=1),AK111&amp;Language!$E$90&amp;AJ111,"")</f>
        <v/>
      </c>
      <c r="AE183" s="337" t="str">
        <f ca="1">IF(AA111&gt;0,AM111&amp;Language!$E$90&amp;AL111,"")</f>
        <v/>
      </c>
      <c r="AF183" s="335"/>
      <c r="AG183" s="335"/>
      <c r="AH183" s="335"/>
    </row>
    <row r="184" spans="25:34" x14ac:dyDescent="0.2">
      <c r="Y184" s="67" t="s">
        <v>73</v>
      </c>
      <c r="Z184" s="31" t="str">
        <f ca="1">IF(Planning!$F55=0,W112&amp;V112,"")</f>
        <v/>
      </c>
      <c r="AA184" s="12"/>
      <c r="AB184" s="12" t="str">
        <f ca="1">IF(AND(AA112&gt;0,Planning!$F55=0),AK112&amp;Language!$E$90&amp;AJ112,"")</f>
        <v/>
      </c>
      <c r="AC184" s="2" t="str">
        <f ca="1">IF(Planning!$F55=1,W112&amp;V112,"")</f>
        <v/>
      </c>
      <c r="AD184" s="120" t="str">
        <f ca="1">IF(AND(AA112&gt;0,Planning!$F55=1),AK112&amp;Language!$E$90&amp;AJ112,"")</f>
        <v/>
      </c>
      <c r="AE184" s="337" t="str">
        <f ca="1">IF(AA112&gt;0,AM112&amp;Language!$E$90&amp;AL112,"")</f>
        <v/>
      </c>
      <c r="AF184" s="335"/>
      <c r="AG184" s="335"/>
      <c r="AH184" s="335"/>
    </row>
    <row r="185" spans="25:34" x14ac:dyDescent="0.2">
      <c r="Y185" s="67" t="s">
        <v>74</v>
      </c>
      <c r="Z185" s="31" t="str">
        <f ca="1">IF(Planning!$F56=0,W113&amp;V113,"")</f>
        <v/>
      </c>
      <c r="AA185" s="12"/>
      <c r="AB185" s="12" t="str">
        <f ca="1">IF(AND(AA113&gt;0,Planning!$F56=0),AK113&amp;Language!$E$90&amp;AJ113,"")</f>
        <v/>
      </c>
      <c r="AC185" s="2" t="str">
        <f ca="1">IF(Planning!$F56=1,W113&amp;V113,"")</f>
        <v/>
      </c>
      <c r="AD185" s="120" t="str">
        <f ca="1">IF(AND(AA113&gt;0,Planning!$F56=1),AK113&amp;Language!$E$90&amp;AJ113,"")</f>
        <v/>
      </c>
      <c r="AE185" s="337" t="str">
        <f ca="1">IF(AA113&gt;0,AM113&amp;Language!$E$90&amp;AL113,"")</f>
        <v/>
      </c>
      <c r="AF185" s="335"/>
      <c r="AG185" s="335"/>
      <c r="AH185" s="335"/>
    </row>
    <row r="186" spans="25:34" x14ac:dyDescent="0.2">
      <c r="Y186" s="67" t="s">
        <v>75</v>
      </c>
      <c r="Z186" s="31" t="str">
        <f ca="1">IF(Planning!$F57=0,W114&amp;V114,"")</f>
        <v/>
      </c>
      <c r="AA186" s="12"/>
      <c r="AB186" s="12" t="str">
        <f ca="1">IF(AND(AA114&gt;0,Planning!$F57=0),AK114&amp;Language!$E$90&amp;AJ114,"")</f>
        <v/>
      </c>
      <c r="AC186" s="2" t="str">
        <f ca="1">IF(Planning!$F57=1,W114&amp;V114,"")</f>
        <v/>
      </c>
      <c r="AD186" s="120" t="str">
        <f ca="1">IF(AND(AA114&gt;0,Planning!$F57=1),AK114&amp;Language!$E$90&amp;AJ114,"")</f>
        <v/>
      </c>
      <c r="AE186" s="337" t="str">
        <f ca="1">IF(AA114&gt;0,AM114&amp;Language!$E$90&amp;AL114,"")</f>
        <v/>
      </c>
      <c r="AF186" s="335"/>
      <c r="AG186" s="335"/>
      <c r="AH186" s="335"/>
    </row>
    <row r="187" spans="25:34" x14ac:dyDescent="0.2">
      <c r="Y187" s="67" t="s">
        <v>76</v>
      </c>
      <c r="Z187" s="31" t="str">
        <f ca="1">IF(Planning!$F58=0,W115&amp;V115,"")</f>
        <v/>
      </c>
      <c r="AA187" s="12"/>
      <c r="AB187" s="12" t="str">
        <f ca="1">IF(AND(AA115&gt;0,Planning!$F58=0),AK115&amp;Language!$E$90&amp;AJ115,"")</f>
        <v/>
      </c>
      <c r="AC187" s="2" t="str">
        <f ca="1">IF(Planning!$F58=1,W115&amp;V115,"")</f>
        <v/>
      </c>
      <c r="AD187" s="120" t="str">
        <f ca="1">IF(AND(AA115&gt;0,Planning!$F58=1),AK115&amp;Language!$E$90&amp;AJ115,"")</f>
        <v/>
      </c>
      <c r="AE187" s="337" t="str">
        <f ca="1">IF(AA115&gt;0,AM115&amp;Language!$E$90&amp;AL115,"")</f>
        <v/>
      </c>
      <c r="AF187" s="335"/>
      <c r="AG187" s="335"/>
      <c r="AH187" s="335"/>
    </row>
    <row r="188" spans="25:34" x14ac:dyDescent="0.2">
      <c r="Y188" s="67" t="s">
        <v>77</v>
      </c>
      <c r="Z188" s="31" t="str">
        <f ca="1">IF(Planning!$F59=0,W116&amp;V116,"")</f>
        <v/>
      </c>
      <c r="AA188" s="12"/>
      <c r="AB188" s="12" t="str">
        <f ca="1">IF(AND(AA116&gt;0,Planning!$F59=0),AK116&amp;Language!$E$90&amp;AJ116,"")</f>
        <v/>
      </c>
      <c r="AC188" s="2" t="str">
        <f ca="1">IF(Planning!$F59=1,W116&amp;V116,"")</f>
        <v/>
      </c>
      <c r="AD188" s="120" t="str">
        <f ca="1">IF(AND(AA116&gt;0,Planning!$F59=1),AK116&amp;Language!$E$90&amp;AJ116,"")</f>
        <v/>
      </c>
      <c r="AE188" s="337" t="str">
        <f ca="1">IF(AA116&gt;0,AM116&amp;Language!$E$90&amp;AL116,"")</f>
        <v/>
      </c>
      <c r="AF188" s="335"/>
      <c r="AG188" s="335"/>
      <c r="AH188" s="335"/>
    </row>
    <row r="189" spans="25:34" x14ac:dyDescent="0.2">
      <c r="Y189" s="67" t="s">
        <v>78</v>
      </c>
      <c r="Z189" s="31" t="str">
        <f ca="1">IF(Planning!$F60=0,W117&amp;V117,"")</f>
        <v/>
      </c>
      <c r="AA189" s="12"/>
      <c r="AB189" s="12" t="str">
        <f ca="1">IF(AND(AA117&gt;0,Planning!$F60=0),AK117&amp;Language!$E$90&amp;AJ117,"")</f>
        <v/>
      </c>
      <c r="AC189" s="2" t="str">
        <f ca="1">IF(Planning!$F60=1,W117&amp;V117,"")</f>
        <v/>
      </c>
      <c r="AD189" s="120" t="str">
        <f ca="1">IF(AND(AA117&gt;0,Planning!$F60=1),AK117&amp;Language!$E$90&amp;AJ117,"")</f>
        <v/>
      </c>
      <c r="AE189" s="337" t="str">
        <f ca="1">IF(AA117&gt;0,AM117&amp;Language!$E$90&amp;AL117,"")</f>
        <v/>
      </c>
      <c r="AF189" s="335"/>
      <c r="AG189" s="335"/>
      <c r="AH189" s="335"/>
    </row>
    <row r="190" spans="25:34" x14ac:dyDescent="0.2">
      <c r="Y190" s="67" t="s">
        <v>79</v>
      </c>
      <c r="Z190" s="31" t="str">
        <f ca="1">IF(Planning!$F61=0,W118&amp;V118,"")</f>
        <v/>
      </c>
      <c r="AA190" s="12"/>
      <c r="AB190" s="12" t="str">
        <f ca="1">IF(AND(AA118&gt;0,Planning!$F61=0),AK118&amp;Language!$E$90&amp;AJ118,"")</f>
        <v/>
      </c>
      <c r="AC190" s="2" t="str">
        <f ca="1">IF(Planning!$F61=1,W118&amp;V118,"")</f>
        <v/>
      </c>
      <c r="AD190" s="120" t="str">
        <f ca="1">IF(AND(AA118&gt;0,Planning!$F61=1),AK118&amp;Language!$E$90&amp;AJ118,"")</f>
        <v/>
      </c>
      <c r="AE190" s="337" t="str">
        <f ca="1">IF(AA118&gt;0,AM118&amp;Language!$E$90&amp;AL118,"")</f>
        <v/>
      </c>
      <c r="AF190" s="335"/>
      <c r="AG190" s="335"/>
      <c r="AH190" s="335"/>
    </row>
    <row r="191" spans="25:34" x14ac:dyDescent="0.2">
      <c r="Y191" s="67" t="s">
        <v>80</v>
      </c>
      <c r="Z191" s="31" t="str">
        <f ca="1">IF(Planning!$F62=0,W119&amp;V119,"")</f>
        <v/>
      </c>
      <c r="AA191" s="12"/>
      <c r="AB191" s="12" t="str">
        <f ca="1">IF(AND(AA119&gt;0,Planning!$F62=0),AK119&amp;Language!$E$90&amp;AJ119,"")</f>
        <v/>
      </c>
      <c r="AC191" s="2" t="str">
        <f ca="1">IF(Planning!$F62=1,W119&amp;V119,"")</f>
        <v/>
      </c>
      <c r="AD191" s="120" t="str">
        <f ca="1">IF(AND(AA119&gt;0,Planning!$F62=1),AK119&amp;Language!$E$90&amp;AJ119,"")</f>
        <v/>
      </c>
      <c r="AE191" s="337" t="str">
        <f ca="1">IF(AA119&gt;0,AM119&amp;Language!$E$90&amp;AL119,"")</f>
        <v/>
      </c>
      <c r="AF191" s="335"/>
      <c r="AG191" s="335"/>
      <c r="AH191" s="335"/>
    </row>
    <row r="192" spans="25:34" x14ac:dyDescent="0.2">
      <c r="Y192" s="67" t="s">
        <v>81</v>
      </c>
      <c r="Z192" s="31" t="str">
        <f ca="1">IF(Planning!$F63=0,W120&amp;V120,"")</f>
        <v/>
      </c>
      <c r="AA192" s="12"/>
      <c r="AB192" s="12" t="str">
        <f ca="1">IF(AND(AA120&gt;0,Planning!$F63=0),AK120&amp;Language!$E$90&amp;AJ120,"")</f>
        <v/>
      </c>
      <c r="AC192" s="2" t="str">
        <f ca="1">IF(Planning!$F63=1,W120&amp;V120,"")</f>
        <v/>
      </c>
      <c r="AD192" s="120" t="str">
        <f ca="1">IF(AND(AA120&gt;0,Planning!$F63=1),AK120&amp;Language!$E$90&amp;AJ120,"")</f>
        <v/>
      </c>
      <c r="AE192" s="337" t="str">
        <f ca="1">IF(AA120&gt;0,AM120&amp;Language!$E$90&amp;AL120,"")</f>
        <v/>
      </c>
      <c r="AF192" s="335"/>
      <c r="AG192" s="335"/>
      <c r="AH192" s="335"/>
    </row>
    <row r="193" spans="25:34" x14ac:dyDescent="0.2">
      <c r="Y193" s="67" t="s">
        <v>82</v>
      </c>
      <c r="Z193" s="31" t="str">
        <f ca="1">IF(Planning!$F64=0,W121&amp;V121,"")</f>
        <v/>
      </c>
      <c r="AA193" s="12"/>
      <c r="AB193" s="12" t="str">
        <f ca="1">IF(AND(AA121&gt;0,Planning!$F64=0),AK121&amp;Language!$E$90&amp;AJ121,"")</f>
        <v/>
      </c>
      <c r="AC193" s="2" t="str">
        <f ca="1">IF(Planning!$F64=1,W121&amp;V121,"")</f>
        <v/>
      </c>
      <c r="AD193" s="120" t="str">
        <f ca="1">IF(AND(AA121&gt;0,Planning!$F64=1),AK121&amp;Language!$E$90&amp;AJ121,"")</f>
        <v/>
      </c>
      <c r="AE193" s="337" t="str">
        <f ca="1">IF(AA121&gt;0,AM121&amp;Language!$E$90&amp;AL121,"")</f>
        <v/>
      </c>
      <c r="AF193" s="335"/>
      <c r="AG193" s="335"/>
      <c r="AH193" s="335"/>
    </row>
    <row r="194" spans="25:34" x14ac:dyDescent="0.2">
      <c r="Y194" s="67" t="s">
        <v>83</v>
      </c>
      <c r="Z194" s="31" t="str">
        <f ca="1">IF(Planning!$F65=0,W122&amp;V122,"")</f>
        <v/>
      </c>
      <c r="AA194" s="12"/>
      <c r="AB194" s="12" t="str">
        <f ca="1">IF(AND(AA122&gt;0,Planning!$F65=0),AK122&amp;Language!$E$90&amp;AJ122,"")</f>
        <v/>
      </c>
      <c r="AC194" s="2" t="str">
        <f ca="1">IF(Planning!$F65=1,W122&amp;V122,"")</f>
        <v/>
      </c>
      <c r="AD194" s="120" t="str">
        <f ca="1">IF(AND(AA122&gt;0,Planning!$F65=1),AK122&amp;Language!$E$90&amp;AJ122,"")</f>
        <v/>
      </c>
      <c r="AE194" s="337" t="str">
        <f ca="1">IF(AA122&gt;0,AM122&amp;Language!$E$90&amp;AL122,"")</f>
        <v/>
      </c>
      <c r="AF194" s="335"/>
      <c r="AG194" s="335"/>
      <c r="AH194" s="335"/>
    </row>
    <row r="195" spans="25:34" x14ac:dyDescent="0.2">
      <c r="Y195" s="67" t="s">
        <v>84</v>
      </c>
      <c r="Z195" s="31" t="str">
        <f ca="1">IF(Planning!$F66=0,W123&amp;V123,"")</f>
        <v/>
      </c>
      <c r="AA195" s="12"/>
      <c r="AB195" s="12" t="str">
        <f ca="1">IF(AND(AA123&gt;0,Planning!$F66=0),AK123&amp;Language!$E$90&amp;AJ123,"")</f>
        <v/>
      </c>
      <c r="AC195" s="2" t="str">
        <f ca="1">IF(Planning!$F66=1,W123&amp;V123,"")</f>
        <v/>
      </c>
      <c r="AD195" s="120" t="str">
        <f ca="1">IF(AND(AA123&gt;0,Planning!$F66=1),AK123&amp;Language!$E$90&amp;AJ123,"")</f>
        <v/>
      </c>
      <c r="AE195" s="337" t="str">
        <f ca="1">IF(AA123&gt;0,AM123&amp;Language!$E$90&amp;AL123,"")</f>
        <v/>
      </c>
      <c r="AF195" s="335"/>
      <c r="AG195" s="335"/>
      <c r="AH195" s="335"/>
    </row>
    <row r="196" spans="25:34" x14ac:dyDescent="0.2">
      <c r="Y196" s="67" t="s">
        <v>85</v>
      </c>
      <c r="Z196" s="31" t="str">
        <f ca="1">IF(Planning!$F67=0,W124&amp;V124,"")</f>
        <v/>
      </c>
      <c r="AA196" s="12"/>
      <c r="AB196" s="12" t="str">
        <f ca="1">IF(AND(AA124&gt;0,Planning!$F67=0),AK124&amp;Language!$E$90&amp;AJ124,"")</f>
        <v/>
      </c>
      <c r="AC196" s="2" t="str">
        <f ca="1">IF(Planning!$F67=1,W124&amp;V124,"")</f>
        <v/>
      </c>
      <c r="AD196" s="120" t="str">
        <f ca="1">IF(AND(AA124&gt;0,Planning!$F67=1),AK124&amp;Language!$E$90&amp;AJ124,"")</f>
        <v/>
      </c>
      <c r="AE196" s="337" t="str">
        <f ca="1">IF(AA124&gt;0,AM124&amp;Language!$E$90&amp;AL124,"")</f>
        <v/>
      </c>
      <c r="AF196" s="335"/>
      <c r="AG196" s="335"/>
      <c r="AH196" s="335"/>
    </row>
    <row r="197" spans="25:34" x14ac:dyDescent="0.2">
      <c r="Y197" s="67" t="s">
        <v>86</v>
      </c>
      <c r="Z197" s="31" t="str">
        <f ca="1">IF(Planning!$F68=0,W125&amp;V125,"")</f>
        <v/>
      </c>
      <c r="AA197" s="12"/>
      <c r="AB197" s="12" t="str">
        <f ca="1">IF(AND(AA125&gt;0,Planning!$F68=0),AK125&amp;Language!$E$90&amp;AJ125,"")</f>
        <v/>
      </c>
      <c r="AC197" s="2" t="str">
        <f ca="1">IF(Planning!$F68=1,W125&amp;V125,"")</f>
        <v/>
      </c>
      <c r="AD197" s="120" t="str">
        <f ca="1">IF(AND(AA125&gt;0,Planning!$F68=1),AK125&amp;Language!$E$90&amp;AJ125,"")</f>
        <v/>
      </c>
      <c r="AE197" s="337" t="str">
        <f ca="1">IF(AA125&gt;0,AM125&amp;Language!$E$90&amp;AL125,"")</f>
        <v/>
      </c>
      <c r="AF197" s="335"/>
      <c r="AG197" s="335"/>
      <c r="AH197" s="335"/>
    </row>
    <row r="198" spans="25:34" x14ac:dyDescent="0.2">
      <c r="Y198" s="67" t="s">
        <v>87</v>
      </c>
      <c r="Z198" s="31" t="str">
        <f ca="1">IF(Planning!$F69=0,W126&amp;V126,"")</f>
        <v/>
      </c>
      <c r="AA198" s="12"/>
      <c r="AB198" s="12" t="str">
        <f ca="1">IF(AND(AA126&gt;0,Planning!$F69=0),AK126&amp;Language!$E$90&amp;AJ126,"")</f>
        <v/>
      </c>
      <c r="AC198" s="2" t="str">
        <f ca="1">IF(Planning!$F69=1,W126&amp;V126,"")</f>
        <v/>
      </c>
      <c r="AD198" s="120" t="str">
        <f ca="1">IF(AND(AA126&gt;0,Planning!$F69=1),AK126&amp;Language!$E$90&amp;AJ126,"")</f>
        <v/>
      </c>
      <c r="AE198" s="337" t="str">
        <f ca="1">IF(AA126&gt;0,AM126&amp;Language!$E$90&amp;AL126,"")</f>
        <v/>
      </c>
      <c r="AF198" s="335"/>
      <c r="AG198" s="335"/>
      <c r="AH198" s="335"/>
    </row>
    <row r="199" spans="25:34" x14ac:dyDescent="0.2">
      <c r="Y199" s="67" t="s">
        <v>88</v>
      </c>
      <c r="Z199" s="31" t="str">
        <f ca="1">IF(Planning!$F70=0,W127&amp;V127,"")</f>
        <v/>
      </c>
      <c r="AA199" s="12"/>
      <c r="AB199" s="12" t="str">
        <f ca="1">IF(AND(AA127&gt;0,Planning!$F70=0),AK127&amp;Language!$E$90&amp;AJ127,"")</f>
        <v/>
      </c>
      <c r="AC199" s="2" t="str">
        <f ca="1">IF(Planning!$F70=1,W127&amp;V127,"")</f>
        <v/>
      </c>
      <c r="AD199" s="120" t="str">
        <f ca="1">IF(AND(AA127&gt;0,Planning!$F70=1),AK127&amp;Language!$E$90&amp;AJ127,"")</f>
        <v/>
      </c>
      <c r="AE199" s="337" t="str">
        <f ca="1">IF(AA127&gt;0,AM127&amp;Language!$E$90&amp;AL127,"")</f>
        <v/>
      </c>
      <c r="AF199" s="335"/>
      <c r="AG199" s="335"/>
      <c r="AH199" s="335"/>
    </row>
    <row r="200" spans="25:34" x14ac:dyDescent="0.2">
      <c r="Y200" s="67" t="s">
        <v>89</v>
      </c>
      <c r="Z200" s="31" t="str">
        <f ca="1">IF(Planning!$F71=0,W128&amp;V128,"")</f>
        <v/>
      </c>
      <c r="AA200" s="12"/>
      <c r="AB200" s="12" t="str">
        <f ca="1">IF(AND(AA128&gt;0,Planning!$F71=0),AK128&amp;Language!$E$90&amp;AJ128,"")</f>
        <v/>
      </c>
      <c r="AC200" s="2" t="str">
        <f ca="1">IF(Planning!$F71=1,W128&amp;V128,"")</f>
        <v/>
      </c>
      <c r="AD200" s="120" t="str">
        <f ca="1">IF(AND(AA128&gt;0,Planning!$F71=1),AK128&amp;Language!$E$90&amp;AJ128,"")</f>
        <v/>
      </c>
      <c r="AE200" s="337" t="str">
        <f ca="1">IF(AA128&gt;0,AM128&amp;Language!$E$90&amp;AL128,"")</f>
        <v/>
      </c>
      <c r="AF200" s="335"/>
      <c r="AG200" s="335"/>
      <c r="AH200" s="335"/>
    </row>
    <row r="201" spans="25:34" x14ac:dyDescent="0.2">
      <c r="Y201" s="67" t="s">
        <v>90</v>
      </c>
      <c r="Z201" s="31" t="str">
        <f ca="1">IF(Planning!$F72=0,W129&amp;V129,"")</f>
        <v/>
      </c>
      <c r="AA201" s="12"/>
      <c r="AB201" s="12" t="str">
        <f ca="1">IF(AND(AA129&gt;0,Planning!$F72=0),AK129&amp;Language!$E$90&amp;AJ129,"")</f>
        <v/>
      </c>
      <c r="AC201" s="2" t="str">
        <f ca="1">IF(Planning!$F72=1,W129&amp;V129,"")</f>
        <v/>
      </c>
      <c r="AD201" s="120" t="str">
        <f ca="1">IF(AND(AA129&gt;0,Planning!$F72=1),AK129&amp;Language!$E$90&amp;AJ129,"")</f>
        <v/>
      </c>
      <c r="AE201" s="337" t="str">
        <f ca="1">IF(AA129&gt;0,AM129&amp;Language!$E$90&amp;AL129,"")</f>
        <v/>
      </c>
      <c r="AF201" s="335"/>
      <c r="AG201" s="335"/>
      <c r="AH201" s="335"/>
    </row>
    <row r="202" spans="25:34" x14ac:dyDescent="0.2">
      <c r="Y202" s="67" t="s">
        <v>91</v>
      </c>
      <c r="Z202" s="31" t="str">
        <f ca="1">IF(Planning!$F73=0,W130&amp;V130,"")</f>
        <v/>
      </c>
      <c r="AA202" s="12"/>
      <c r="AB202" s="12" t="str">
        <f ca="1">IF(AND(AA130&gt;0,Planning!$F73=0),AK130&amp;Language!$E$90&amp;AJ130,"")</f>
        <v/>
      </c>
      <c r="AC202" s="2" t="str">
        <f ca="1">IF(Planning!$F73=1,W130&amp;V130,"")</f>
        <v/>
      </c>
      <c r="AD202" s="120" t="str">
        <f ca="1">IF(AND(AA130&gt;0,Planning!$F73=1),AK130&amp;Language!$E$90&amp;AJ130,"")</f>
        <v/>
      </c>
      <c r="AE202" s="337" t="str">
        <f ca="1">IF(AA130&gt;0,AM130&amp;Language!$E$90&amp;AL130,"")</f>
        <v/>
      </c>
      <c r="AF202" s="335"/>
      <c r="AG202" s="335"/>
      <c r="AH202" s="335"/>
    </row>
    <row r="203" spans="25:34" x14ac:dyDescent="0.2">
      <c r="Y203" s="67" t="s">
        <v>92</v>
      </c>
      <c r="Z203" s="31" t="str">
        <f ca="1">IF(Planning!$F74=0,W131&amp;V131,"")</f>
        <v/>
      </c>
      <c r="AA203" s="12"/>
      <c r="AB203" s="12" t="str">
        <f ca="1">IF(AND(AA131&gt;0,Planning!$F74=0),AK131&amp;Language!$E$90&amp;AJ131,"")</f>
        <v/>
      </c>
      <c r="AC203" s="2" t="str">
        <f ca="1">IF(Planning!$F74=1,W131&amp;V131,"")</f>
        <v/>
      </c>
      <c r="AD203" s="120" t="str">
        <f ca="1">IF(AND(AA131&gt;0,Planning!$F74=1),AK131&amp;Language!$E$90&amp;AJ131,"")</f>
        <v/>
      </c>
      <c r="AE203" s="337" t="str">
        <f ca="1">IF(AA131&gt;0,AM131&amp;Language!$E$90&amp;AL131,"")</f>
        <v/>
      </c>
      <c r="AF203" s="335"/>
      <c r="AG203" s="335"/>
      <c r="AH203" s="335"/>
    </row>
    <row r="204" spans="25:34" x14ac:dyDescent="0.2">
      <c r="Y204" s="67" t="s">
        <v>93</v>
      </c>
      <c r="Z204" s="31" t="str">
        <f ca="1">IF(Planning!$F75=0,W132&amp;V132,"")</f>
        <v/>
      </c>
      <c r="AA204" s="12"/>
      <c r="AB204" s="12" t="str">
        <f ca="1">IF(AND(AA132&gt;0,Planning!$F75=0),AK132&amp;Language!$E$90&amp;AJ132,"")</f>
        <v/>
      </c>
      <c r="AC204" s="2" t="str">
        <f ca="1">IF(Planning!$F75=1,W132&amp;V132,"")</f>
        <v/>
      </c>
      <c r="AD204" s="120" t="str">
        <f ca="1">IF(AND(AA132&gt;0,Planning!$F75=1),AK132&amp;Language!$E$90&amp;AJ132,"")</f>
        <v/>
      </c>
      <c r="AE204" s="337" t="str">
        <f ca="1">IF(AA132&gt;0,AM132&amp;Language!$E$90&amp;AL132,"")</f>
        <v/>
      </c>
      <c r="AF204" s="335"/>
      <c r="AG204" s="335"/>
      <c r="AH204" s="335"/>
    </row>
    <row r="205" spans="25:34" x14ac:dyDescent="0.2">
      <c r="Y205" s="67" t="s">
        <v>94</v>
      </c>
      <c r="Z205" s="31" t="str">
        <f ca="1">IF(Planning!$F76=0,W133&amp;V133,"")</f>
        <v/>
      </c>
      <c r="AA205" s="12"/>
      <c r="AB205" s="12" t="str">
        <f ca="1">IF(AND(AA133&gt;0,Planning!$F76=0),AK133&amp;Language!$E$90&amp;AJ133,"")</f>
        <v/>
      </c>
      <c r="AC205" s="2" t="str">
        <f ca="1">IF(Planning!$F76=1,W133&amp;V133,"")</f>
        <v/>
      </c>
      <c r="AD205" s="120" t="str">
        <f ca="1">IF(AND(AA133&gt;0,Planning!$F76=1),AK133&amp;Language!$E$90&amp;AJ133,"")</f>
        <v/>
      </c>
      <c r="AE205" s="337" t="str">
        <f ca="1">IF(AA133&gt;0,AM133&amp;Language!$E$90&amp;AL133,"")</f>
        <v/>
      </c>
      <c r="AF205" s="335"/>
      <c r="AG205" s="335"/>
      <c r="AH205" s="335"/>
    </row>
    <row r="206" spans="25:34" x14ac:dyDescent="0.2">
      <c r="Y206" s="67" t="s">
        <v>95</v>
      </c>
      <c r="Z206" s="31" t="str">
        <f ca="1">IF(Planning!$F77=0,W134&amp;V134,"")</f>
        <v/>
      </c>
      <c r="AA206" s="12"/>
      <c r="AB206" s="12" t="str">
        <f ca="1">IF(AND(AA134&gt;0,Planning!$F77=0),AK134&amp;Language!$E$90&amp;AJ134,"")</f>
        <v/>
      </c>
      <c r="AC206" s="2" t="str">
        <f ca="1">IF(Planning!$F77=1,W134&amp;V134,"")</f>
        <v/>
      </c>
      <c r="AD206" s="120" t="str">
        <f ca="1">IF(AND(AA134&gt;0,Planning!$F77=1),AK134&amp;Language!$E$90&amp;AJ134,"")</f>
        <v/>
      </c>
      <c r="AE206" s="337" t="str">
        <f ca="1">IF(AA134&gt;0,AM134&amp;Language!$E$90&amp;AL134,"")</f>
        <v/>
      </c>
      <c r="AF206" s="335"/>
      <c r="AG206" s="335"/>
      <c r="AH206" s="335"/>
    </row>
    <row r="207" spans="25:34" ht="12.75" thickBot="1" x14ac:dyDescent="0.25">
      <c r="Y207" s="68" t="s">
        <v>96</v>
      </c>
      <c r="Z207" s="33" t="str">
        <f ca="1">IF(Planning!$F78=0,W135&amp;V135,"")</f>
        <v/>
      </c>
      <c r="AA207" s="34"/>
      <c r="AB207" s="121" t="str">
        <f ca="1">IF(AND(AA135&gt;0,Planning!$F78=0),AK135&amp;Language!$E$90&amp;AJ135,"")</f>
        <v/>
      </c>
      <c r="AC207" s="123" t="str">
        <f ca="1">IF(Planning!$F78=1,W135&amp;V135,"")</f>
        <v/>
      </c>
      <c r="AD207" s="122" t="str">
        <f ca="1">IF(AND(AA135&gt;0,Planning!$F78=1),AK135&amp;Language!$E$90&amp;AJ135,"")</f>
        <v/>
      </c>
      <c r="AE207" s="338" t="str">
        <f ca="1">IF(AA135&gt;0,AM135&amp;Language!$E$90&amp;AL135,"")</f>
        <v/>
      </c>
      <c r="AF207" s="336"/>
      <c r="AG207" s="336"/>
      <c r="AH207" s="336"/>
    </row>
    <row r="208" spans="25:34" ht="12.75" thickTop="1" x14ac:dyDescent="0.2"/>
  </sheetData>
  <mergeCells count="19">
    <mergeCell ref="BP29:BX29"/>
    <mergeCell ref="BG29:BO29"/>
    <mergeCell ref="AX29:BF29"/>
    <mergeCell ref="N29:V29"/>
    <mergeCell ref="E29:M29"/>
    <mergeCell ref="AL63:AM63"/>
    <mergeCell ref="W3:AA3"/>
    <mergeCell ref="AB3:AF3"/>
    <mergeCell ref="AG3:AK3"/>
    <mergeCell ref="AL3:AP3"/>
    <mergeCell ref="AD15:AH15"/>
    <mergeCell ref="X63:Y63"/>
    <mergeCell ref="AF63:AG63"/>
    <mergeCell ref="AO29:AW29"/>
    <mergeCell ref="AF29:AN29"/>
    <mergeCell ref="W29:AE29"/>
    <mergeCell ref="AN63:AO63"/>
    <mergeCell ref="AH63:AI63"/>
    <mergeCell ref="AJ63:AK63"/>
  </mergeCells>
  <phoneticPr fontId="3" type="noConversion"/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302E1-019E-4A1F-9643-C8095CB064F4}">
  <sheetPr codeName="Tabelle2"/>
  <dimension ref="A1:G74"/>
  <sheetViews>
    <sheetView workbookViewId="0"/>
  </sheetViews>
  <sheetFormatPr baseColWidth="10" defaultRowHeight="12.75" x14ac:dyDescent="0.2"/>
  <cols>
    <col min="1" max="2" width="11.42578125" style="267"/>
    <col min="3" max="3" width="24.42578125" style="267" customWidth="1"/>
    <col min="4" max="6" width="11.42578125" style="267"/>
    <col min="7" max="7" width="14.28515625" style="267" customWidth="1"/>
    <col min="8" max="16384" width="11.42578125" style="267"/>
  </cols>
  <sheetData>
    <row r="1" spans="2:7" ht="13.5" thickBot="1" x14ac:dyDescent="0.25"/>
    <row r="2" spans="2:7" ht="24.75" customHeight="1" thickTop="1" thickBot="1" x14ac:dyDescent="0.25">
      <c r="E2" s="268">
        <f ca="1">COUNTIF($C$3:$C$74,"")</f>
        <v>0</v>
      </c>
      <c r="F2" s="268">
        <f t="array" aca="1" ref="F2" ca="1">SUMPRODUCT(($C$3:$C$74&lt;&gt;"")/($D$3:$D$74+($C$3:$C$74="")))</f>
        <v>72</v>
      </c>
      <c r="G2" s="269" t="str">
        <f ca="1">IF(E2+F2&lt;72,"FEHLER","okay")</f>
        <v>okay</v>
      </c>
    </row>
    <row r="3" spans="2:7" ht="13.5" thickTop="1" x14ac:dyDescent="0.2">
      <c r="B3" s="270">
        <v>1</v>
      </c>
      <c r="C3" s="267" t="str">
        <f ca="1">IF(OR(Planning!$N7="",Planning!$P7=""),"Z"&amp;ROW($I7),Planning!$K7&amp;"_"&amp;Planning!$I7)</f>
        <v>7_0,375</v>
      </c>
      <c r="D3" s="270">
        <f t="array" aca="1" ref="D3:D74" ca="1">COUNTIF($C$3:$C$74,$C$3:$C$74)</f>
        <v>1</v>
      </c>
      <c r="E3" s="270" t="e">
        <f ca="1">IF($F$8&gt;36,$F$8-36,$F$8)</f>
        <v>#NUM!</v>
      </c>
      <c r="F3" s="271" t="s">
        <v>214</v>
      </c>
    </row>
    <row r="4" spans="2:7" x14ac:dyDescent="0.2">
      <c r="B4" s="270">
        <v>2</v>
      </c>
      <c r="C4" s="267" t="str">
        <f ca="1">IF(OR(Planning!$N8="",Planning!$P8=""),"Z"&amp;ROW($I8),Planning!$K8&amp;"_"&amp;Planning!$I8)</f>
        <v>3_0,375</v>
      </c>
      <c r="D4" s="270">
        <f ca="1"/>
        <v>1</v>
      </c>
      <c r="E4" s="270" t="e">
        <f ca="1">IF($F$9&gt;36,$F$9-36,$F$9)</f>
        <v>#NUM!</v>
      </c>
      <c r="F4" s="271" t="s">
        <v>215</v>
      </c>
    </row>
    <row r="5" spans="2:7" x14ac:dyDescent="0.2">
      <c r="B5" s="270">
        <v>3</v>
      </c>
      <c r="C5" s="267" t="str">
        <f ca="1">IF(OR(Planning!$N9="",Planning!$P9=""),"Z"&amp;ROW($I9),Planning!$K9&amp;"_"&amp;Planning!$I9)</f>
        <v>5_0,375</v>
      </c>
      <c r="D5" s="270">
        <f ca="1"/>
        <v>1</v>
      </c>
      <c r="E5" s="271" t="str">
        <f t="array" aca="1" ref="E5" ca="1">VLOOKUP(MATCH($E$7,$D$3:$D$74,0),$B$3:$C$74,2,0)</f>
        <v>7_0,375</v>
      </c>
      <c r="F5" s="272" t="s">
        <v>216</v>
      </c>
    </row>
    <row r="6" spans="2:7" ht="13.5" thickBot="1" x14ac:dyDescent="0.25">
      <c r="B6" s="270">
        <v>4</v>
      </c>
      <c r="C6" s="267" t="str">
        <f ca="1">IF(OR(Planning!$N10="",Planning!$P10=""),"Z"&amp;ROW($I10),Planning!$K10&amp;"_"&amp;Planning!$I10)</f>
        <v>7_0,392361111111111</v>
      </c>
      <c r="D6" s="270">
        <f ca="1"/>
        <v>1</v>
      </c>
      <c r="E6" s="270" t="str">
        <f ca="1">LEFT($E$5,1)</f>
        <v>7</v>
      </c>
      <c r="F6" s="270"/>
    </row>
    <row r="7" spans="2:7" ht="13.5" thickBot="1" x14ac:dyDescent="0.25">
      <c r="B7" s="270">
        <v>5</v>
      </c>
      <c r="C7" s="267" t="str">
        <f ca="1">IF(OR(Planning!$N11="",Planning!$P11=""),"Z"&amp;ROW($I11),Planning!$K11&amp;"_"&amp;Planning!$I11)</f>
        <v>2_0,392361111111111</v>
      </c>
      <c r="D7" s="270">
        <f ca="1"/>
        <v>1</v>
      </c>
      <c r="E7" s="273">
        <f ca="1">MAX($D$3:$D$74)</f>
        <v>1</v>
      </c>
    </row>
    <row r="8" spans="2:7" x14ac:dyDescent="0.2">
      <c r="B8" s="270">
        <v>6</v>
      </c>
      <c r="C8" s="267" t="str">
        <f ca="1">IF(OR(Planning!$N12="",Planning!$P12=""),"Z"&amp;ROW($I12),Planning!$K12&amp;"_"&amp;Planning!$I12)</f>
        <v>4_0,392361111111111</v>
      </c>
      <c r="D8" s="270">
        <f ca="1"/>
        <v>1</v>
      </c>
      <c r="E8" s="270">
        <f t="array" aca="1" ref="E8" ca="1">MATCH($E$7,$D$3:$D$74,0)</f>
        <v>1</v>
      </c>
      <c r="F8" s="270" t="e">
        <f ca="1">IF($E$8&lt;$E$9,$E$8,$E$9)</f>
        <v>#NUM!</v>
      </c>
    </row>
    <row r="9" spans="2:7" x14ac:dyDescent="0.2">
      <c r="B9" s="270">
        <v>7</v>
      </c>
      <c r="C9" s="267" t="str">
        <f ca="1">IF(OR(Planning!$N13="",Planning!$P13=""),"Z"&amp;ROW($I13),Planning!$K13&amp;"_"&amp;Planning!$I13)</f>
        <v>1_0,409722222222222</v>
      </c>
      <c r="D9" s="270">
        <f ca="1"/>
        <v>1</v>
      </c>
      <c r="E9" s="270" t="e">
        <f t="array" aca="1" ref="E9" ca="1">SMALL(IF($E$5=$C$3:$C$74,ROW($C$3:$C$74)-ROW($C$3)+1),2)</f>
        <v>#NUM!</v>
      </c>
      <c r="F9" s="270" t="e">
        <f ca="1">IF($E$8&gt;$E$9,$E$8,$E$9)</f>
        <v>#NUM!</v>
      </c>
    </row>
    <row r="10" spans="2:7" x14ac:dyDescent="0.2">
      <c r="B10" s="270">
        <v>8</v>
      </c>
      <c r="C10" s="267" t="str">
        <f ca="1">IF(OR(Planning!$N14="",Planning!$P14=""),"Z"&amp;ROW($I14),Planning!$K14&amp;"_"&amp;Planning!$I14)</f>
        <v>5_0,409722222222222</v>
      </c>
      <c r="D10" s="270">
        <f ca="1"/>
        <v>1</v>
      </c>
    </row>
    <row r="11" spans="2:7" x14ac:dyDescent="0.2">
      <c r="B11" s="270">
        <v>9</v>
      </c>
      <c r="C11" s="267" t="str">
        <f ca="1">IF(OR(Planning!$N15="",Planning!$P15=""),"Z"&amp;ROW($I15),Planning!$K15&amp;"_"&amp;Planning!$I15)</f>
        <v>3_0,409722222222222</v>
      </c>
      <c r="D11" s="270">
        <f ca="1"/>
        <v>1</v>
      </c>
    </row>
    <row r="12" spans="2:7" x14ac:dyDescent="0.2">
      <c r="B12" s="270">
        <v>10</v>
      </c>
      <c r="C12" s="267" t="str">
        <f ca="1">IF(OR(Planning!$N16="",Planning!$P16=""),"Z"&amp;ROW($I16),Planning!$K16&amp;"_"&amp;Planning!$I16)</f>
        <v>5_0,427083333333333</v>
      </c>
      <c r="D12" s="270">
        <f ca="1"/>
        <v>1</v>
      </c>
    </row>
    <row r="13" spans="2:7" x14ac:dyDescent="0.2">
      <c r="B13" s="270">
        <v>11</v>
      </c>
      <c r="C13" s="267" t="str">
        <f ca="1">IF(OR(Planning!$N17="",Planning!$P17=""),"Z"&amp;ROW($I17),Planning!$K17&amp;"_"&amp;Planning!$I17)</f>
        <v>4_0,427083333333333</v>
      </c>
      <c r="D13" s="270">
        <f ca="1"/>
        <v>1</v>
      </c>
    </row>
    <row r="14" spans="2:7" x14ac:dyDescent="0.2">
      <c r="B14" s="270">
        <v>12</v>
      </c>
      <c r="C14" s="267" t="str">
        <f ca="1">IF(OR(Planning!$N18="",Planning!$P18=""),"Z"&amp;ROW($I18),Planning!$K18&amp;"_"&amp;Planning!$I18)</f>
        <v>7_0,427083333333333</v>
      </c>
      <c r="D14" s="270">
        <f ca="1"/>
        <v>1</v>
      </c>
    </row>
    <row r="15" spans="2:7" x14ac:dyDescent="0.2">
      <c r="B15" s="270">
        <v>13</v>
      </c>
      <c r="C15" s="267" t="str">
        <f ca="1">IF(OR(Planning!$N19="",Planning!$P19=""),"Z"&amp;ROW($I19),Planning!$K19&amp;"_"&amp;Planning!$I19)</f>
        <v>1_0,444444444444444</v>
      </c>
      <c r="D15" s="270">
        <f ca="1"/>
        <v>1</v>
      </c>
    </row>
    <row r="16" spans="2:7" x14ac:dyDescent="0.2">
      <c r="B16" s="270">
        <v>14</v>
      </c>
      <c r="C16" s="267" t="str">
        <f ca="1">IF(OR(Planning!$N20="",Planning!$P20=""),"Z"&amp;ROW($I20),Planning!$K20&amp;"_"&amp;Planning!$I20)</f>
        <v>3_0,444444444444444</v>
      </c>
      <c r="D16" s="270">
        <f ca="1"/>
        <v>1</v>
      </c>
    </row>
    <row r="17" spans="1:4" x14ac:dyDescent="0.2">
      <c r="B17" s="270">
        <v>15</v>
      </c>
      <c r="C17" s="267" t="str">
        <f ca="1">IF(OR(Planning!$N21="",Planning!$P21=""),"Z"&amp;ROW($I21),Planning!$K21&amp;"_"&amp;Planning!$I21)</f>
        <v>6_0,444444444444444</v>
      </c>
      <c r="D17" s="270">
        <f ca="1"/>
        <v>1</v>
      </c>
    </row>
    <row r="18" spans="1:4" x14ac:dyDescent="0.2">
      <c r="B18" s="270">
        <v>16</v>
      </c>
      <c r="C18" s="267" t="str">
        <f ca="1">IF(OR(Planning!$N22="",Planning!$P22=""),"Z"&amp;ROW($I22),Planning!$K22&amp;"_"&amp;Planning!$I22)</f>
        <v>3_0,461805555555556</v>
      </c>
      <c r="D18" s="270">
        <f ca="1"/>
        <v>1</v>
      </c>
    </row>
    <row r="19" spans="1:4" x14ac:dyDescent="0.2">
      <c r="B19" s="270">
        <v>17</v>
      </c>
      <c r="C19" s="267" t="str">
        <f ca="1">IF(OR(Planning!$N23="",Planning!$P23=""),"Z"&amp;ROW($I23),Planning!$K23&amp;"_"&amp;Planning!$I23)</f>
        <v>2_0,461805555555556</v>
      </c>
      <c r="D19" s="270">
        <f ca="1"/>
        <v>1</v>
      </c>
    </row>
    <row r="20" spans="1:4" x14ac:dyDescent="0.2">
      <c r="B20" s="270">
        <v>18</v>
      </c>
      <c r="C20" s="267" t="str">
        <f ca="1">IF(OR(Planning!$N24="",Planning!$P24=""),"Z"&amp;ROW($I24),Planning!$K24&amp;"_"&amp;Planning!$I24)</f>
        <v>7_0,461805555555556</v>
      </c>
      <c r="D20" s="270">
        <f ca="1"/>
        <v>1</v>
      </c>
    </row>
    <row r="21" spans="1:4" x14ac:dyDescent="0.2">
      <c r="B21" s="270">
        <v>19</v>
      </c>
      <c r="C21" s="267" t="str">
        <f ca="1">IF(OR(Planning!$N25="",Planning!$P25=""),"Z"&amp;ROW($I25),Planning!$K25&amp;"_"&amp;Planning!$I25)</f>
        <v>1_0,479166666666667</v>
      </c>
      <c r="D21" s="270">
        <f ca="1"/>
        <v>1</v>
      </c>
    </row>
    <row r="22" spans="1:4" x14ac:dyDescent="0.2">
      <c r="B22" s="270">
        <v>20</v>
      </c>
      <c r="C22" s="267" t="str">
        <f ca="1">IF(OR(Planning!$N26="",Planning!$P26=""),"Z"&amp;ROW($I26),Planning!$K26&amp;"_"&amp;Planning!$I26)</f>
        <v>4_0,479166666666667</v>
      </c>
      <c r="D22" s="270">
        <f ca="1"/>
        <v>1</v>
      </c>
    </row>
    <row r="23" spans="1:4" x14ac:dyDescent="0.2">
      <c r="B23" s="270">
        <v>21</v>
      </c>
      <c r="C23" s="267" t="str">
        <f ca="1">IF(OR(Planning!$N27="",Planning!$P27=""),"Z"&amp;ROW($I27),Planning!$K27&amp;"_"&amp;Planning!$I27)</f>
        <v>6_0,479166666666667</v>
      </c>
      <c r="D23" s="270">
        <f ca="1"/>
        <v>1</v>
      </c>
    </row>
    <row r="24" spans="1:4" x14ac:dyDescent="0.2">
      <c r="B24" s="270">
        <v>22</v>
      </c>
      <c r="C24" s="267" t="str">
        <f ca="1">IF(OR(Planning!$N28="",Planning!$P28=""),"Z"&amp;ROW($I28),Planning!$K28&amp;"_"&amp;Planning!$I28)</f>
        <v>2_0,496527777777778</v>
      </c>
      <c r="D24" s="270">
        <f ca="1"/>
        <v>1</v>
      </c>
    </row>
    <row r="25" spans="1:4" x14ac:dyDescent="0.2">
      <c r="B25" s="270">
        <v>23</v>
      </c>
      <c r="C25" s="267" t="str">
        <f ca="1">IF(OR(Planning!$N29="",Planning!$P29=""),"Z"&amp;ROW($I29),Planning!$K29&amp;"_"&amp;Planning!$I29)</f>
        <v>6_0,496527777777778</v>
      </c>
      <c r="D25" s="270">
        <f ca="1"/>
        <v>1</v>
      </c>
    </row>
    <row r="26" spans="1:4" x14ac:dyDescent="0.2">
      <c r="B26" s="270">
        <v>24</v>
      </c>
      <c r="C26" s="267" t="str">
        <f ca="1">IF(OR(Planning!$N30="",Planning!$P30=""),"Z"&amp;ROW($I30),Planning!$K30&amp;"_"&amp;Planning!$I30)</f>
        <v>4_0,496527777777778</v>
      </c>
      <c r="D26" s="270">
        <f ca="1"/>
        <v>1</v>
      </c>
    </row>
    <row r="27" spans="1:4" x14ac:dyDescent="0.2">
      <c r="B27" s="270">
        <v>25</v>
      </c>
      <c r="C27" s="267" t="str">
        <f ca="1">IF(OR(Planning!$N31="",Planning!$P31=""),"Z"&amp;ROW($I31),Planning!$K31&amp;"_"&amp;Planning!$I31)</f>
        <v>1_0,513888888888889</v>
      </c>
      <c r="D27" s="270">
        <f ca="1"/>
        <v>1</v>
      </c>
    </row>
    <row r="28" spans="1:4" x14ac:dyDescent="0.2">
      <c r="B28" s="270">
        <v>26</v>
      </c>
      <c r="C28" s="267" t="str">
        <f ca="1">IF(OR(Planning!$N32="",Planning!$P32=""),"Z"&amp;ROW($I32),Planning!$K32&amp;"_"&amp;Planning!$I32)</f>
        <v>5_0,513888888888889</v>
      </c>
      <c r="D28" s="270">
        <f ca="1"/>
        <v>1</v>
      </c>
    </row>
    <row r="29" spans="1:4" x14ac:dyDescent="0.2">
      <c r="B29" s="270">
        <v>27</v>
      </c>
      <c r="C29" s="267" t="str">
        <f ca="1">IF(OR(Planning!$N33="",Planning!$P33=""),"Z"&amp;ROW($I33),Planning!$K33&amp;"_"&amp;Planning!$I33)</f>
        <v>3_0,513888888888889</v>
      </c>
      <c r="D29" s="270">
        <f ca="1"/>
        <v>1</v>
      </c>
    </row>
    <row r="30" spans="1:4" x14ac:dyDescent="0.2">
      <c r="B30" s="270">
        <v>28</v>
      </c>
      <c r="C30" s="267" t="str">
        <f ca="1">IF(OR(Planning!$N34="",Planning!$P34=""),"Z"&amp;ROW($I34),Planning!$K34&amp;"_"&amp;Planning!$I34)</f>
        <v>6_0,53125</v>
      </c>
      <c r="D30" s="270">
        <f ca="1"/>
        <v>1</v>
      </c>
    </row>
    <row r="31" spans="1:4" x14ac:dyDescent="0.2">
      <c r="B31" s="270">
        <v>29</v>
      </c>
      <c r="C31" s="267" t="str">
        <f ca="1">IF(OR(Planning!$N35="",Planning!$P35=""),"Z"&amp;ROW($I35),Planning!$K35&amp;"_"&amp;Planning!$I35)</f>
        <v>7_0,53125</v>
      </c>
      <c r="D31" s="270">
        <f ca="1"/>
        <v>1</v>
      </c>
    </row>
    <row r="32" spans="1:4" x14ac:dyDescent="0.2">
      <c r="A32" s="276"/>
      <c r="B32" s="277">
        <v>30</v>
      </c>
      <c r="C32" s="267" t="str">
        <f ca="1">IF(OR(Planning!$N36="",Planning!$P36=""),"Z"&amp;ROW($I36),Planning!$K36&amp;"_"&amp;Planning!$I36)</f>
        <v>2_0,53125</v>
      </c>
      <c r="D32" s="270">
        <f ca="1"/>
        <v>1</v>
      </c>
    </row>
    <row r="33" spans="1:4" x14ac:dyDescent="0.2">
      <c r="A33" s="270"/>
      <c r="B33" s="270">
        <v>31</v>
      </c>
      <c r="C33" s="267" t="str">
        <f ca="1">IF(OR(Planning!$N37="",Planning!$P37=""),"Z"&amp;ROW($I37),Planning!$K37&amp;"_"&amp;Planning!$I37)</f>
        <v>1_0,548611111111111</v>
      </c>
      <c r="D33" s="270">
        <f ca="1"/>
        <v>1</v>
      </c>
    </row>
    <row r="34" spans="1:4" x14ac:dyDescent="0.2">
      <c r="A34" s="270"/>
      <c r="B34" s="270">
        <v>32</v>
      </c>
      <c r="C34" s="267" t="str">
        <f ca="1">IF(OR(Planning!$N38="",Planning!$P38=""),"Z"&amp;ROW($I38),Planning!$K38&amp;"_"&amp;Planning!$I38)</f>
        <v>6_0,548611111111111</v>
      </c>
      <c r="D34" s="270">
        <f ca="1"/>
        <v>1</v>
      </c>
    </row>
    <row r="35" spans="1:4" x14ac:dyDescent="0.2">
      <c r="A35" s="270"/>
      <c r="B35" s="270">
        <v>33</v>
      </c>
      <c r="C35" s="267" t="str">
        <f ca="1">IF(OR(Planning!$N39="",Planning!$P39=""),"Z"&amp;ROW($I39),Planning!$K39&amp;"_"&amp;Planning!$I39)</f>
        <v>3_0,548611111111111</v>
      </c>
      <c r="D35" s="270">
        <f ca="1"/>
        <v>1</v>
      </c>
    </row>
    <row r="36" spans="1:4" x14ac:dyDescent="0.2">
      <c r="A36" s="270"/>
      <c r="B36" s="270">
        <v>34</v>
      </c>
      <c r="C36" s="267" t="str">
        <f ca="1">IF(OR(Planning!$N40="",Planning!$P40=""),"Z"&amp;ROW($I40),Planning!$K40&amp;"_"&amp;Planning!$I40)</f>
        <v>4_0,565972222222222</v>
      </c>
      <c r="D36" s="270">
        <f ca="1"/>
        <v>1</v>
      </c>
    </row>
    <row r="37" spans="1:4" x14ac:dyDescent="0.2">
      <c r="A37" s="270"/>
      <c r="B37" s="270">
        <v>35</v>
      </c>
      <c r="C37" s="267" t="str">
        <f ca="1">IF(OR(Planning!$N41="",Planning!$P41=""),"Z"&amp;ROW($I41),Planning!$K41&amp;"_"&amp;Planning!$I41)</f>
        <v>5_0,565972222222222</v>
      </c>
      <c r="D37" s="270">
        <f ca="1"/>
        <v>1</v>
      </c>
    </row>
    <row r="38" spans="1:4" ht="13.5" thickBot="1" x14ac:dyDescent="0.25">
      <c r="A38" s="274"/>
      <c r="B38" s="275">
        <v>36</v>
      </c>
      <c r="C38" s="274" t="str">
        <f ca="1">IF(OR(Planning!$N42="",Planning!$P42=""),"Z"&amp;ROW($I42),Planning!$K42&amp;"_"&amp;Planning!$I42)</f>
        <v>2_0,565972222222222</v>
      </c>
      <c r="D38" s="270">
        <f ca="1"/>
        <v>1</v>
      </c>
    </row>
    <row r="39" spans="1:4" x14ac:dyDescent="0.2">
      <c r="A39" s="270"/>
      <c r="B39" s="270">
        <v>37</v>
      </c>
      <c r="C39" s="267" t="str">
        <f ca="1">IF(OR(Planning!$N7="",Planning!$P7=""),"ZZ"&amp;ROW($I7)+36,Planning!$M7&amp;"_"&amp;Planning!$I7)</f>
        <v>2_0,375</v>
      </c>
      <c r="D39" s="270">
        <f ca="1"/>
        <v>1</v>
      </c>
    </row>
    <row r="40" spans="1:4" x14ac:dyDescent="0.2">
      <c r="A40" s="270"/>
      <c r="B40" s="270">
        <v>38</v>
      </c>
      <c r="C40" s="267" t="str">
        <f ca="1">IF(OR(Planning!$N8="",Planning!$P8=""),"ZZ"&amp;ROW($I8)+36,Planning!$M8&amp;"_"&amp;Planning!$I8)</f>
        <v>6_0,375</v>
      </c>
      <c r="D40" s="270">
        <f ca="1"/>
        <v>1</v>
      </c>
    </row>
    <row r="41" spans="1:4" x14ac:dyDescent="0.2">
      <c r="A41" s="270"/>
      <c r="B41" s="270">
        <v>39</v>
      </c>
      <c r="C41" s="267" t="str">
        <f ca="1">IF(OR(Planning!$N9="",Planning!$P9=""),"ZZ"&amp;ROW($I9)+36,Planning!$M9&amp;"_"&amp;Planning!$I9)</f>
        <v>4_0,375</v>
      </c>
      <c r="D41" s="270">
        <f ca="1"/>
        <v>1</v>
      </c>
    </row>
    <row r="42" spans="1:4" x14ac:dyDescent="0.2">
      <c r="A42" s="270"/>
      <c r="B42" s="270">
        <v>40</v>
      </c>
      <c r="C42" s="267" t="str">
        <f ca="1">IF(OR(Planning!$N10="",Planning!$P10=""),"ZZ"&amp;ROW($I10)+36,Planning!$M10&amp;"_"&amp;Planning!$I10)</f>
        <v>1_0,392361111111111</v>
      </c>
      <c r="D42" s="270">
        <f ca="1"/>
        <v>1</v>
      </c>
    </row>
    <row r="43" spans="1:4" x14ac:dyDescent="0.2">
      <c r="A43" s="270"/>
      <c r="B43" s="270">
        <v>41</v>
      </c>
      <c r="C43" s="267" t="str">
        <f ca="1">IF(OR(Planning!$N11="",Planning!$P11=""),"ZZ"&amp;ROW($I11)+36,Planning!$M11&amp;"_"&amp;Planning!$I11)</f>
        <v>5_0,392361111111111</v>
      </c>
      <c r="D43" s="270">
        <f ca="1"/>
        <v>1</v>
      </c>
    </row>
    <row r="44" spans="1:4" x14ac:dyDescent="0.2">
      <c r="A44" s="270"/>
      <c r="B44" s="270">
        <v>42</v>
      </c>
      <c r="C44" s="267" t="str">
        <f ca="1">IF(OR(Planning!$N12="",Planning!$P12=""),"ZZ"&amp;ROW($I12)+36,Planning!$M12&amp;"_"&amp;Planning!$I12)</f>
        <v>3_0,392361111111111</v>
      </c>
      <c r="D44" s="270">
        <f ca="1"/>
        <v>1</v>
      </c>
    </row>
    <row r="45" spans="1:4" x14ac:dyDescent="0.2">
      <c r="A45" s="270"/>
      <c r="B45" s="270">
        <v>43</v>
      </c>
      <c r="C45" s="267" t="str">
        <f ca="1">IF(OR(Planning!$N13="",Planning!$P13=""),"ZZ"&amp;ROW($I13)+36,Planning!$M13&amp;"_"&amp;Planning!$I13)</f>
        <v>6_0,409722222222222</v>
      </c>
      <c r="D45" s="270">
        <f ca="1"/>
        <v>1</v>
      </c>
    </row>
    <row r="46" spans="1:4" x14ac:dyDescent="0.2">
      <c r="A46" s="270"/>
      <c r="B46" s="270">
        <v>44</v>
      </c>
      <c r="C46" s="267" t="str">
        <f ca="1">IF(OR(Planning!$N14="",Planning!$P14=""),"ZZ"&amp;ROW($I14)+36,Planning!$M14&amp;"_"&amp;Planning!$I14)</f>
        <v>7_0,409722222222222</v>
      </c>
      <c r="D46" s="270">
        <f ca="1"/>
        <v>1</v>
      </c>
    </row>
    <row r="47" spans="1:4" x14ac:dyDescent="0.2">
      <c r="A47" s="270"/>
      <c r="B47" s="270">
        <v>45</v>
      </c>
      <c r="C47" s="267" t="str">
        <f ca="1">IF(OR(Planning!$N15="",Planning!$P15=""),"ZZ"&amp;ROW($I15)+36,Planning!$M15&amp;"_"&amp;Planning!$I15)</f>
        <v>2_0,409722222222222</v>
      </c>
      <c r="D47" s="270">
        <f ca="1"/>
        <v>1</v>
      </c>
    </row>
    <row r="48" spans="1:4" x14ac:dyDescent="0.2">
      <c r="A48" s="270"/>
      <c r="B48" s="270">
        <v>46</v>
      </c>
      <c r="C48" s="267" t="str">
        <f ca="1">IF(OR(Planning!$N16="",Planning!$P16=""),"ZZ"&amp;ROW($I16)+36,Planning!$M16&amp;"_"&amp;Planning!$I16)</f>
        <v>1_0,427083333333333</v>
      </c>
      <c r="D48" s="270">
        <f ca="1"/>
        <v>1</v>
      </c>
    </row>
    <row r="49" spans="1:4" x14ac:dyDescent="0.2">
      <c r="A49" s="270"/>
      <c r="B49" s="270">
        <v>47</v>
      </c>
      <c r="C49" s="267" t="str">
        <f ca="1">IF(OR(Planning!$N17="",Planning!$P17=""),"ZZ"&amp;ROW($I17)+36,Planning!$M17&amp;"_"&amp;Planning!$I17)</f>
        <v>6_0,427083333333333</v>
      </c>
      <c r="D49" s="270">
        <f ca="1"/>
        <v>1</v>
      </c>
    </row>
    <row r="50" spans="1:4" x14ac:dyDescent="0.2">
      <c r="A50" s="270"/>
      <c r="B50" s="270">
        <v>48</v>
      </c>
      <c r="C50" s="267" t="str">
        <f ca="1">IF(OR(Planning!$N18="",Planning!$P18=""),"ZZ"&amp;ROW($I18)+36,Planning!$M18&amp;"_"&amp;Planning!$I18)</f>
        <v>3_0,427083333333333</v>
      </c>
      <c r="D50" s="270">
        <f ca="1"/>
        <v>1</v>
      </c>
    </row>
    <row r="51" spans="1:4" x14ac:dyDescent="0.2">
      <c r="A51" s="270"/>
      <c r="B51" s="270">
        <v>49</v>
      </c>
      <c r="C51" s="267" t="str">
        <f ca="1">IF(OR(Planning!$N19="",Planning!$P19=""),"ZZ"&amp;ROW($I19)+36,Planning!$M19&amp;"_"&amp;Planning!$I19)</f>
        <v>4_0,444444444444444</v>
      </c>
      <c r="D51" s="270">
        <f ca="1"/>
        <v>1</v>
      </c>
    </row>
    <row r="52" spans="1:4" x14ac:dyDescent="0.2">
      <c r="A52" s="270"/>
      <c r="B52" s="270">
        <v>50</v>
      </c>
      <c r="C52" s="267" t="str">
        <f ca="1">IF(OR(Planning!$N20="",Planning!$P20=""),"ZZ"&amp;ROW($I20)+36,Planning!$M20&amp;"_"&amp;Planning!$I20)</f>
        <v>5_0,444444444444444</v>
      </c>
      <c r="D52" s="270">
        <f ca="1"/>
        <v>1</v>
      </c>
    </row>
    <row r="53" spans="1:4" x14ac:dyDescent="0.2">
      <c r="A53" s="270"/>
      <c r="B53" s="270">
        <v>51</v>
      </c>
      <c r="C53" s="267" t="str">
        <f ca="1">IF(OR(Planning!$N21="",Planning!$P21=""),"ZZ"&amp;ROW($I21)+36,Planning!$M21&amp;"_"&amp;Planning!$I21)</f>
        <v>2_0,444444444444444</v>
      </c>
      <c r="D53" s="270">
        <f ca="1"/>
        <v>1</v>
      </c>
    </row>
    <row r="54" spans="1:4" x14ac:dyDescent="0.2">
      <c r="A54" s="270"/>
      <c r="B54" s="270">
        <v>52</v>
      </c>
      <c r="C54" s="267" t="str">
        <f ca="1">IF(OR(Planning!$N22="",Planning!$P22=""),"ZZ"&amp;ROW($I22)+36,Planning!$M22&amp;"_"&amp;Planning!$I22)</f>
        <v>1_0,461805555555556</v>
      </c>
      <c r="D54" s="270">
        <f ca="1"/>
        <v>1</v>
      </c>
    </row>
    <row r="55" spans="1:4" x14ac:dyDescent="0.2">
      <c r="A55" s="270"/>
      <c r="B55" s="270">
        <v>53</v>
      </c>
      <c r="C55" s="267" t="str">
        <f ca="1">IF(OR(Planning!$N23="",Planning!$P23=""),"ZZ"&amp;ROW($I23)+36,Planning!$M23&amp;"_"&amp;Planning!$I23)</f>
        <v>4_0,461805555555556</v>
      </c>
      <c r="D55" s="270">
        <f ca="1"/>
        <v>1</v>
      </c>
    </row>
    <row r="56" spans="1:4" x14ac:dyDescent="0.2">
      <c r="A56" s="270"/>
      <c r="B56" s="270">
        <v>54</v>
      </c>
      <c r="C56" s="267" t="str">
        <f ca="1">IF(OR(Planning!$N24="",Planning!$P24=""),"ZZ"&amp;ROW($I24)+36,Planning!$M24&amp;"_"&amp;Planning!$I24)</f>
        <v>6_0,461805555555556</v>
      </c>
      <c r="D56" s="270">
        <f ca="1"/>
        <v>1</v>
      </c>
    </row>
    <row r="57" spans="1:4" x14ac:dyDescent="0.2">
      <c r="A57" s="270"/>
      <c r="B57" s="270">
        <v>55</v>
      </c>
      <c r="C57" s="267" t="str">
        <f ca="1">IF(OR(Planning!$N25="",Planning!$P25=""),"ZZ"&amp;ROW($I25)+36,Planning!$M25&amp;"_"&amp;Planning!$I25)</f>
        <v>2_0,479166666666667</v>
      </c>
      <c r="D57" s="270">
        <f ca="1"/>
        <v>1</v>
      </c>
    </row>
    <row r="58" spans="1:4" x14ac:dyDescent="0.2">
      <c r="A58" s="270"/>
      <c r="B58" s="270">
        <v>56</v>
      </c>
      <c r="C58" s="267" t="str">
        <f ca="1">IF(OR(Planning!$N26="",Planning!$P26=""),"ZZ"&amp;ROW($I26)+36,Planning!$M26&amp;"_"&amp;Planning!$I26)</f>
        <v>7_0,479166666666667</v>
      </c>
      <c r="D58" s="270">
        <f ca="1"/>
        <v>1</v>
      </c>
    </row>
    <row r="59" spans="1:4" x14ac:dyDescent="0.2">
      <c r="A59" s="270"/>
      <c r="B59" s="270">
        <v>57</v>
      </c>
      <c r="C59" s="267" t="str">
        <f ca="1">IF(OR(Planning!$N27="",Planning!$P27=""),"ZZ"&amp;ROW($I27)+36,Planning!$M27&amp;"_"&amp;Planning!$I27)</f>
        <v>5_0,479166666666667</v>
      </c>
      <c r="D59" s="270">
        <f ca="1"/>
        <v>1</v>
      </c>
    </row>
    <row r="60" spans="1:4" x14ac:dyDescent="0.2">
      <c r="A60" s="270"/>
      <c r="B60" s="270">
        <v>58</v>
      </c>
      <c r="C60" s="267" t="str">
        <f ca="1">IF(OR(Planning!$N28="",Planning!$P28=""),"ZZ"&amp;ROW($I28)+36,Planning!$M28&amp;"_"&amp;Planning!$I28)</f>
        <v>7_0,496527777777778</v>
      </c>
      <c r="D60" s="270">
        <f ca="1"/>
        <v>1</v>
      </c>
    </row>
    <row r="61" spans="1:4" x14ac:dyDescent="0.2">
      <c r="A61" s="270"/>
      <c r="B61" s="270">
        <v>59</v>
      </c>
      <c r="C61" s="267" t="str">
        <f ca="1">IF(OR(Planning!$N29="",Planning!$P29=""),"ZZ"&amp;ROW($I29)+36,Planning!$M29&amp;"_"&amp;Planning!$I29)</f>
        <v>3_0,496527777777778</v>
      </c>
      <c r="D61" s="270">
        <f ca="1"/>
        <v>1</v>
      </c>
    </row>
    <row r="62" spans="1:4" x14ac:dyDescent="0.2">
      <c r="A62" s="270"/>
      <c r="B62" s="270">
        <v>60</v>
      </c>
      <c r="C62" s="267" t="str">
        <f ca="1">IF(OR(Planning!$N30="",Planning!$P30=""),"ZZ"&amp;ROW($I30)+36,Planning!$M30&amp;"_"&amp;Planning!$I30)</f>
        <v>5_0,496527777777778</v>
      </c>
      <c r="D62" s="270">
        <f ca="1"/>
        <v>1</v>
      </c>
    </row>
    <row r="63" spans="1:4" x14ac:dyDescent="0.2">
      <c r="B63" s="270">
        <v>61</v>
      </c>
      <c r="C63" s="267" t="str">
        <f ca="1">IF(OR(Planning!$N31="",Planning!$P31=""),"ZZ"&amp;ROW($I31)+36,Planning!$M31&amp;"_"&amp;Planning!$I31)</f>
        <v>7_0,513888888888889</v>
      </c>
      <c r="D63" s="270">
        <f ca="1"/>
        <v>1</v>
      </c>
    </row>
    <row r="64" spans="1:4" x14ac:dyDescent="0.2">
      <c r="B64" s="270">
        <v>62</v>
      </c>
      <c r="C64" s="267" t="str">
        <f ca="1">IF(OR(Planning!$N32="",Planning!$P32=""),"ZZ"&amp;ROW($I32)+36,Planning!$M32&amp;"_"&amp;Planning!$I32)</f>
        <v>2_0,513888888888889</v>
      </c>
      <c r="D64" s="270">
        <f ca="1"/>
        <v>1</v>
      </c>
    </row>
    <row r="65" spans="2:4" x14ac:dyDescent="0.2">
      <c r="B65" s="270">
        <v>63</v>
      </c>
      <c r="C65" s="267" t="str">
        <f ca="1">IF(OR(Planning!$N33="",Planning!$P33=""),"ZZ"&amp;ROW($I33)+36,Planning!$M33&amp;"_"&amp;Planning!$I33)</f>
        <v>4_0,513888888888889</v>
      </c>
      <c r="D65" s="270">
        <f ca="1"/>
        <v>1</v>
      </c>
    </row>
    <row r="66" spans="2:4" x14ac:dyDescent="0.2">
      <c r="B66" s="270">
        <v>64</v>
      </c>
      <c r="C66" s="267" t="str">
        <f ca="1">IF(OR(Planning!$N34="",Planning!$P34=""),"ZZ"&amp;ROW($I34)+36,Planning!$M34&amp;"_"&amp;Planning!$I34)</f>
        <v>1_0,53125</v>
      </c>
      <c r="D66" s="270">
        <f ca="1"/>
        <v>1</v>
      </c>
    </row>
    <row r="67" spans="2:4" x14ac:dyDescent="0.2">
      <c r="B67" s="270">
        <v>65</v>
      </c>
      <c r="C67" s="267" t="str">
        <f ca="1">IF(OR(Planning!$N35="",Planning!$P35=""),"ZZ"&amp;ROW($I35)+36,Planning!$M35&amp;"_"&amp;Planning!$I35)</f>
        <v>5_0,53125</v>
      </c>
      <c r="D67" s="270">
        <f ca="1"/>
        <v>1</v>
      </c>
    </row>
    <row r="68" spans="2:4" x14ac:dyDescent="0.2">
      <c r="B68" s="270">
        <v>66</v>
      </c>
      <c r="C68" s="267" t="str">
        <f ca="1">IF(OR(Planning!$N36="",Planning!$P36=""),"ZZ"&amp;ROW($I36)+36,Planning!$M36&amp;"_"&amp;Planning!$I36)</f>
        <v>3_0,53125</v>
      </c>
      <c r="D68" s="270">
        <f ca="1"/>
        <v>1</v>
      </c>
    </row>
    <row r="69" spans="2:4" x14ac:dyDescent="0.2">
      <c r="B69" s="270">
        <v>67</v>
      </c>
      <c r="C69" s="267" t="str">
        <f ca="1">IF(OR(Planning!$N37="",Planning!$P37=""),"ZZ"&amp;ROW($I37)+36,Planning!$M37&amp;"_"&amp;Planning!$I37)</f>
        <v>5_0,548611111111111</v>
      </c>
      <c r="D69" s="270">
        <f ca="1"/>
        <v>1</v>
      </c>
    </row>
    <row r="70" spans="2:4" x14ac:dyDescent="0.2">
      <c r="B70" s="270">
        <v>68</v>
      </c>
      <c r="C70" s="267" t="str">
        <f ca="1">IF(OR(Planning!$N38="",Planning!$P38=""),"ZZ"&amp;ROW($I38)+36,Planning!$M38&amp;"_"&amp;Planning!$I38)</f>
        <v>4_0,548611111111111</v>
      </c>
      <c r="D70" s="270">
        <f ca="1"/>
        <v>1</v>
      </c>
    </row>
    <row r="71" spans="2:4" x14ac:dyDescent="0.2">
      <c r="B71" s="270">
        <v>69</v>
      </c>
      <c r="C71" s="267" t="str">
        <f ca="1">IF(OR(Planning!$N39="",Planning!$P39=""),"ZZ"&amp;ROW($I39)+36,Planning!$M39&amp;"_"&amp;Planning!$I39)</f>
        <v>7_0,548611111111111</v>
      </c>
      <c r="D71" s="270">
        <f ca="1"/>
        <v>1</v>
      </c>
    </row>
    <row r="72" spans="2:4" x14ac:dyDescent="0.2">
      <c r="B72" s="270">
        <v>70</v>
      </c>
      <c r="C72" s="267" t="str">
        <f ca="1">IF(OR(Planning!$N40="",Planning!$P40=""),"ZZ"&amp;ROW($I40)+36,Planning!$M40&amp;"_"&amp;Planning!$I40)</f>
        <v>1_0,565972222222222</v>
      </c>
      <c r="D72" s="270">
        <f ca="1"/>
        <v>1</v>
      </c>
    </row>
    <row r="73" spans="2:4" x14ac:dyDescent="0.2">
      <c r="B73" s="270">
        <v>71</v>
      </c>
      <c r="C73" s="267" t="str">
        <f ca="1">IF(OR(Planning!$N41="",Planning!$P41=""),"ZZ"&amp;ROW($I41)+36,Planning!$M41&amp;"_"&amp;Planning!$I41)</f>
        <v>3_0,565972222222222</v>
      </c>
      <c r="D73" s="270">
        <f ca="1"/>
        <v>1</v>
      </c>
    </row>
    <row r="74" spans="2:4" x14ac:dyDescent="0.2">
      <c r="B74" s="270">
        <v>72</v>
      </c>
      <c r="C74" s="267" t="str">
        <f ca="1">IF(OR(Planning!$N42="",Planning!$P42=""),"ZZ"&amp;ROW($I42)+36,Planning!$M42&amp;"_"&amp;Planning!$I42)</f>
        <v>6_0,565972222222222</v>
      </c>
      <c r="D74" s="270">
        <f ca="1"/>
        <v>1</v>
      </c>
    </row>
  </sheetData>
  <conditionalFormatting sqref="G2">
    <cfRule type="expression" dxfId="52" priority="6">
      <formula>G2="FEHLER"</formula>
    </cfRule>
  </conditionalFormatting>
  <conditionalFormatting sqref="C3:C74">
    <cfRule type="duplicateValues" dxfId="51" priority="5"/>
  </conditionalFormatting>
  <conditionalFormatting sqref="E3">
    <cfRule type="cellIs" dxfId="50" priority="4" operator="greaterThan">
      <formula>0</formula>
    </cfRule>
  </conditionalFormatting>
  <conditionalFormatting sqref="E4">
    <cfRule type="cellIs" dxfId="49" priority="3" operator="greaterThan">
      <formula>0</formula>
    </cfRule>
  </conditionalFormatting>
  <conditionalFormatting sqref="E7">
    <cfRule type="expression" dxfId="48" priority="2">
      <formula>E7="FEHLER"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61664-B8BD-4046-90C9-57BD56E2F6FD}">
  <sheetPr codeName="Tabelle5"/>
  <dimension ref="A1:BM84"/>
  <sheetViews>
    <sheetView showGridLines="0" showRowColHeaders="0" tabSelected="1" zoomScaleNormal="100" workbookViewId="0">
      <selection activeCell="H10" sqref="H10"/>
    </sheetView>
  </sheetViews>
  <sheetFormatPr baseColWidth="10" defaultColWidth="0" defaultRowHeight="12.75" zeroHeight="1" x14ac:dyDescent="0.2"/>
  <cols>
    <col min="1" max="1" width="2.42578125" style="39" customWidth="1"/>
    <col min="2" max="2" width="6.7109375" style="39" customWidth="1"/>
    <col min="3" max="3" width="10" style="39" customWidth="1"/>
    <col min="4" max="4" width="6.5703125" style="39" customWidth="1"/>
    <col min="5" max="5" width="24.7109375" style="39" customWidth="1"/>
    <col min="6" max="6" width="3" style="39" customWidth="1"/>
    <col min="7" max="7" width="24.7109375" style="39" customWidth="1"/>
    <col min="8" max="8" width="5.7109375" style="39" customWidth="1"/>
    <col min="9" max="9" width="2" style="39" customWidth="1"/>
    <col min="10" max="11" width="5.7109375" style="39" customWidth="1"/>
    <col min="12" max="12" width="2.28515625" style="39" customWidth="1"/>
    <col min="13" max="14" width="5.7109375" style="39" customWidth="1"/>
    <col min="15" max="15" width="2.28515625" style="39" customWidth="1"/>
    <col min="16" max="17" width="5.7109375" style="39" customWidth="1"/>
    <col min="18" max="18" width="2.28515625" style="39" customWidth="1"/>
    <col min="19" max="19" width="5.7109375" style="39" customWidth="1"/>
    <col min="20" max="20" width="15.7109375" style="39" customWidth="1"/>
    <col min="21" max="21" width="2.5703125" style="39" customWidth="1"/>
    <col min="22" max="22" width="4.140625" style="39" customWidth="1"/>
    <col min="23" max="23" width="24.7109375" style="39" customWidth="1"/>
    <col min="24" max="27" width="6.7109375" style="39" customWidth="1"/>
    <col min="28" max="28" width="6.28515625" style="39" customWidth="1"/>
    <col min="29" max="29" width="1.7109375" style="39" customWidth="1"/>
    <col min="30" max="30" width="6.28515625" style="39" customWidth="1"/>
    <col min="31" max="32" width="5.7109375" style="39" customWidth="1"/>
    <col min="33" max="33" width="2.140625" style="39" customWidth="1"/>
    <col min="34" max="34" width="5.7109375" style="39" customWidth="1"/>
    <col min="35" max="35" width="6.7109375" style="39" customWidth="1"/>
    <col min="36" max="36" width="9.28515625" style="39" customWidth="1"/>
    <col min="37" max="54" width="7.85546875" style="39" customWidth="1"/>
    <col min="55" max="55" width="24.7109375" style="39" customWidth="1"/>
    <col min="56" max="56" width="6" style="39" customWidth="1"/>
    <col min="57" max="57" width="5.7109375" style="39" hidden="1" customWidth="1"/>
    <col min="58" max="16384" width="11.42578125" style="39" hidden="1"/>
  </cols>
  <sheetData>
    <row r="1" spans="1:65" ht="13.5" thickBot="1" x14ac:dyDescent="0.25">
      <c r="A1" s="283"/>
      <c r="B1" s="626"/>
      <c r="C1" s="626"/>
      <c r="D1" s="626"/>
      <c r="E1" s="626"/>
      <c r="F1" s="626"/>
      <c r="G1" s="626"/>
      <c r="H1" s="626"/>
      <c r="I1" s="626"/>
      <c r="J1" s="626"/>
      <c r="K1" s="321"/>
      <c r="L1" s="321"/>
      <c r="M1" s="321"/>
      <c r="N1" s="436"/>
      <c r="O1" s="436"/>
      <c r="P1" s="436"/>
      <c r="Q1" s="436"/>
      <c r="R1" s="436"/>
      <c r="S1" s="436"/>
      <c r="T1" s="284"/>
      <c r="U1" s="284"/>
      <c r="V1" s="626"/>
      <c r="W1" s="626"/>
      <c r="X1" s="284"/>
      <c r="Y1" s="284"/>
      <c r="Z1" s="284"/>
      <c r="AA1" s="284"/>
      <c r="AB1" s="284"/>
      <c r="AC1" s="284"/>
      <c r="AD1" s="284"/>
      <c r="AE1" s="284"/>
      <c r="AR1" s="288"/>
      <c r="AS1" s="288"/>
    </row>
    <row r="2" spans="1:65" ht="30" customHeight="1" thickTop="1" x14ac:dyDescent="0.2">
      <c r="A2" s="286"/>
      <c r="B2" s="287"/>
      <c r="C2" s="287"/>
      <c r="D2" s="287"/>
      <c r="E2" s="287"/>
      <c r="G2" s="447"/>
      <c r="H2" s="635" t="s">
        <v>338</v>
      </c>
      <c r="I2" s="636"/>
      <c r="J2" s="636"/>
      <c r="K2" s="636"/>
      <c r="L2" s="636"/>
      <c r="M2" s="636"/>
      <c r="N2" s="636"/>
      <c r="O2" s="636"/>
      <c r="P2" s="636"/>
      <c r="Q2" s="636"/>
      <c r="R2" s="636"/>
      <c r="S2" s="636"/>
      <c r="T2" s="636"/>
      <c r="U2" s="636"/>
      <c r="V2" s="636"/>
      <c r="W2" s="636"/>
      <c r="X2" s="636"/>
      <c r="Y2" s="636"/>
      <c r="Z2" s="636"/>
      <c r="AA2" s="637"/>
      <c r="AB2" s="327"/>
      <c r="AC2" s="328"/>
      <c r="AD2" s="328"/>
      <c r="AE2" s="328"/>
      <c r="AF2" s="328"/>
      <c r="AG2" s="328"/>
      <c r="AH2" s="328"/>
      <c r="AI2" s="328"/>
      <c r="AJ2" s="328"/>
      <c r="AK2" s="634" t="s">
        <v>337</v>
      </c>
      <c r="AL2" s="634"/>
      <c r="AM2" s="63"/>
      <c r="AN2" s="63"/>
      <c r="AR2" s="432"/>
      <c r="AS2" s="432"/>
      <c r="AT2" s="57"/>
      <c r="AU2" s="63"/>
      <c r="AV2" s="63"/>
      <c r="AW2" s="63"/>
      <c r="AX2" s="63"/>
      <c r="AY2" s="63"/>
      <c r="AZ2" s="63"/>
      <c r="BA2" s="63"/>
      <c r="BB2" s="63"/>
    </row>
    <row r="3" spans="1:65" ht="30" customHeight="1" x14ac:dyDescent="0.3">
      <c r="A3" s="286"/>
      <c r="B3" s="285"/>
      <c r="C3" s="285"/>
      <c r="D3" s="285"/>
      <c r="E3" s="285"/>
      <c r="G3" s="448"/>
      <c r="H3" s="638" t="s">
        <v>339</v>
      </c>
      <c r="I3" s="639"/>
      <c r="J3" s="639"/>
      <c r="K3" s="639"/>
      <c r="L3" s="639"/>
      <c r="M3" s="639"/>
      <c r="N3" s="639"/>
      <c r="O3" s="639"/>
      <c r="P3" s="639"/>
      <c r="Q3" s="639"/>
      <c r="R3" s="639"/>
      <c r="S3" s="639"/>
      <c r="T3" s="639"/>
      <c r="U3" s="639"/>
      <c r="V3" s="639"/>
      <c r="W3" s="639"/>
      <c r="X3" s="639"/>
      <c r="Y3" s="639"/>
      <c r="Z3" s="639"/>
      <c r="AA3" s="640"/>
      <c r="AB3" s="329"/>
      <c r="AC3" s="285"/>
      <c r="AD3" s="285"/>
      <c r="AE3" s="285"/>
      <c r="AF3" s="285"/>
      <c r="AG3" s="285"/>
      <c r="AH3" s="285"/>
      <c r="AI3" s="285"/>
      <c r="AJ3" s="285"/>
      <c r="AK3" s="285"/>
      <c r="AL3" s="285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</row>
    <row r="4" spans="1:65" ht="30" customHeight="1" x14ac:dyDescent="0.2">
      <c r="A4" s="286"/>
      <c r="B4" s="286"/>
      <c r="C4" s="286"/>
      <c r="D4" s="286"/>
      <c r="E4" s="286"/>
      <c r="G4" s="448"/>
      <c r="H4" s="638" t="s">
        <v>340</v>
      </c>
      <c r="I4" s="639"/>
      <c r="J4" s="639"/>
      <c r="K4" s="639"/>
      <c r="L4" s="639"/>
      <c r="M4" s="639"/>
      <c r="N4" s="639"/>
      <c r="O4" s="639"/>
      <c r="P4" s="639"/>
      <c r="Q4" s="639"/>
      <c r="R4" s="639"/>
      <c r="S4" s="639"/>
      <c r="T4" s="639"/>
      <c r="U4" s="639"/>
      <c r="V4" s="639"/>
      <c r="W4" s="639"/>
      <c r="X4" s="639"/>
      <c r="Y4" s="639"/>
      <c r="Z4" s="639"/>
      <c r="AA4" s="640"/>
      <c r="AB4" s="329"/>
      <c r="AC4" s="285"/>
      <c r="AD4" s="285"/>
      <c r="AE4" s="285"/>
      <c r="AF4" s="285"/>
      <c r="AG4" s="285"/>
      <c r="AH4" s="285"/>
      <c r="AI4" s="285"/>
      <c r="AJ4" s="285"/>
      <c r="AK4" s="285"/>
      <c r="AL4" s="285"/>
    </row>
    <row r="5" spans="1:65" ht="30" customHeight="1" thickBot="1" x14ac:dyDescent="0.25">
      <c r="A5" s="286"/>
      <c r="B5" s="286"/>
      <c r="C5" s="286"/>
      <c r="D5" s="286"/>
      <c r="E5" s="286"/>
      <c r="G5" s="448"/>
      <c r="H5" s="641" t="s">
        <v>341</v>
      </c>
      <c r="I5" s="642"/>
      <c r="J5" s="642"/>
      <c r="K5" s="642"/>
      <c r="L5" s="642"/>
      <c r="M5" s="642"/>
      <c r="N5" s="642"/>
      <c r="O5" s="642"/>
      <c r="P5" s="642"/>
      <c r="Q5" s="642"/>
      <c r="R5" s="642"/>
      <c r="S5" s="642"/>
      <c r="T5" s="642"/>
      <c r="U5" s="642"/>
      <c r="V5" s="642"/>
      <c r="W5" s="642"/>
      <c r="X5" s="642"/>
      <c r="Y5" s="642"/>
      <c r="Z5" s="642"/>
      <c r="AA5" s="643"/>
      <c r="AB5" s="329"/>
      <c r="AC5" s="285"/>
      <c r="AD5" s="285"/>
      <c r="AE5" s="285"/>
      <c r="AF5" s="285"/>
      <c r="AG5" s="285"/>
      <c r="AH5" s="285"/>
      <c r="AI5" s="285"/>
      <c r="AJ5" s="285"/>
      <c r="AK5" s="285"/>
      <c r="AL5" s="285"/>
    </row>
    <row r="6" spans="1:65" ht="13.5" thickTop="1" x14ac:dyDescent="0.2">
      <c r="BG6" s="584" t="s">
        <v>334</v>
      </c>
    </row>
    <row r="7" spans="1:65" ht="29.25" customHeight="1" thickBot="1" x14ac:dyDescent="0.35">
      <c r="B7" s="40" t="str">
        <f>Language!$E$11</f>
        <v>Results</v>
      </c>
      <c r="C7" s="40"/>
      <c r="D7" s="40"/>
      <c r="H7" s="57"/>
      <c r="V7" s="40" t="str">
        <f>Language!$E$12</f>
        <v>Total table</v>
      </c>
      <c r="AK7" s="627" t="str">
        <f>Language!$E$18</f>
        <v>First legs</v>
      </c>
      <c r="AL7" s="627"/>
      <c r="AM7" s="627"/>
      <c r="AN7" s="627"/>
      <c r="AO7" s="627"/>
      <c r="AP7" s="627"/>
      <c r="AQ7" s="627"/>
      <c r="AR7" s="627"/>
      <c r="AS7" s="627"/>
      <c r="AT7" s="627" t="str">
        <f>Language!$E$19</f>
        <v>Second legs</v>
      </c>
      <c r="AU7" s="627"/>
      <c r="AV7" s="627"/>
      <c r="AW7" s="627"/>
      <c r="AX7" s="627"/>
      <c r="AY7" s="627"/>
      <c r="AZ7" s="627"/>
      <c r="BA7" s="627"/>
      <c r="BB7" s="627"/>
      <c r="BG7" s="585" t="b">
        <f>Settings!$B$39=Language!$E$70</f>
        <v>0</v>
      </c>
    </row>
    <row r="8" spans="1:65" ht="24" customHeight="1" thickBot="1" x14ac:dyDescent="0.3">
      <c r="A8" s="323"/>
      <c r="B8" s="322"/>
      <c r="C8" s="322"/>
      <c r="D8" s="322"/>
      <c r="E8" s="322"/>
      <c r="F8" s="322"/>
      <c r="G8" s="322"/>
      <c r="H8" s="322"/>
      <c r="I8" s="322"/>
      <c r="J8" s="322"/>
      <c r="K8" s="324"/>
      <c r="L8" s="324"/>
      <c r="M8" s="324"/>
      <c r="N8" s="324"/>
      <c r="O8" s="324"/>
      <c r="P8" s="324"/>
      <c r="Q8" s="324"/>
      <c r="R8" s="324"/>
      <c r="S8" s="324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7" t="str">
        <f ca="1">IF(LEN(W10)&gt;Settings!$C$33,LEFT(W10,Settings!$C$33)&amp;".",W10)</f>
        <v>Maibach.</v>
      </c>
      <c r="AL8" s="188" t="str">
        <f ca="1">IF(LEN(W11)&gt;Settings!$C$33,LEFT(W11,Settings!$C$33)&amp;".",W11)</f>
        <v>1. FC R.</v>
      </c>
      <c r="AM8" s="188" t="str">
        <f ca="1">IF(LEN(W12)&gt;Settings!$C$33,LEFT(W12,Settings!$C$33)&amp;".",W12)</f>
        <v>FC Barc.</v>
      </c>
      <c r="AN8" s="188" t="str">
        <f ca="1">IF(LEN(W13)&gt;Settings!$C$33,LEFT(W13,Settings!$C$33)&amp;".",W13)</f>
        <v>VFB Ess.</v>
      </c>
      <c r="AO8" s="188" t="str">
        <f ca="1">IF(LEN(W14)&gt;Settings!$C$33,LEFT(W14,Settings!$C$33)&amp;".",W14)</f>
        <v>Eintrac.</v>
      </c>
      <c r="AP8" s="188" t="str">
        <f ca="1">IF(LEN(W15)&gt;Settings!$C$33,LEFT(W15,Settings!$C$33)&amp;".",W15)</f>
        <v>SSV Wil.</v>
      </c>
      <c r="AQ8" s="188" t="str">
        <f ca="1">IF(LEN(W16)&gt;Settings!$C$33,LEFT(W16,Settings!$C$33)&amp;".",W16)</f>
        <v>Inter M.</v>
      </c>
      <c r="AR8" s="188" t="str">
        <f ca="1">IF(LEN(W17)&gt;Settings!$C$33,LEFT(W17,Settings!$C$33)&amp;".",W17)</f>
        <v/>
      </c>
      <c r="AS8" s="189" t="str">
        <f ca="1">IF(LEN(W18)&gt;Settings!$C$33,LEFT(W18,Settings!$C$33)&amp;".",W18)</f>
        <v/>
      </c>
      <c r="AT8" s="187" t="str">
        <f ca="1">AK$8</f>
        <v>Maibach.</v>
      </c>
      <c r="AU8" s="188" t="str">
        <f t="shared" ref="AU8:BB8" ca="1" si="0">AL$8</f>
        <v>1. FC R.</v>
      </c>
      <c r="AV8" s="188" t="str">
        <f t="shared" ca="1" si="0"/>
        <v>FC Barc.</v>
      </c>
      <c r="AW8" s="188" t="str">
        <f t="shared" ca="1" si="0"/>
        <v>VFB Ess.</v>
      </c>
      <c r="AX8" s="188" t="str">
        <f t="shared" ca="1" si="0"/>
        <v>Eintrac.</v>
      </c>
      <c r="AY8" s="188" t="str">
        <f t="shared" ca="1" si="0"/>
        <v>SSV Wil.</v>
      </c>
      <c r="AZ8" s="188" t="str">
        <f t="shared" ca="1" si="0"/>
        <v>Inter M.</v>
      </c>
      <c r="BA8" s="188" t="str">
        <f t="shared" ca="1" si="0"/>
        <v/>
      </c>
      <c r="BB8" s="190" t="str">
        <f t="shared" ca="1" si="0"/>
        <v/>
      </c>
      <c r="BC8" s="191"/>
    </row>
    <row r="9" spans="1:65" ht="24" customHeight="1" thickTop="1" thickBot="1" x14ac:dyDescent="0.25">
      <c r="B9" s="62" t="str">
        <f>Language!$E$9</f>
        <v>No.</v>
      </c>
      <c r="C9" s="176" t="str">
        <f>Language!$E$39</f>
        <v>Start</v>
      </c>
      <c r="D9" s="176" t="str">
        <f>Language!$E$48</f>
        <v>Field</v>
      </c>
      <c r="E9" s="630" t="str">
        <f>Language!$E$14</f>
        <v>Match pairing</v>
      </c>
      <c r="F9" s="631"/>
      <c r="G9" s="632"/>
      <c r="H9" s="633" t="str">
        <f>Language!$E$54</f>
        <v>1st set</v>
      </c>
      <c r="I9" s="633"/>
      <c r="J9" s="633"/>
      <c r="K9" s="633" t="str">
        <f>Language!$E$55</f>
        <v>2nd set</v>
      </c>
      <c r="L9" s="633"/>
      <c r="M9" s="633"/>
      <c r="N9" s="652" t="str">
        <f>Language!$E$56</f>
        <v>3rd set</v>
      </c>
      <c r="O9" s="653"/>
      <c r="P9" s="653"/>
      <c r="Q9" s="653" t="str">
        <f>Language!$E$25</f>
        <v>sets</v>
      </c>
      <c r="R9" s="653"/>
      <c r="S9" s="654"/>
      <c r="T9" s="431" t="str">
        <f>Language!$E$60</f>
        <v>Referee</v>
      </c>
      <c r="V9" s="644" t="str">
        <f ca="1">IF(OR(Calc!$K$13=0,Planning!$D$6&gt;2,Planning!$A$6&gt;1),"",IF(OR(AND(Planning!$D$6=2,Calc!$K$13&lt;Calc!$B$13),AND(Planning!$D$6=1,Calc!$K$13*2&lt;Calc!$B$13)),Language!$E$17,Language!$E$16))</f>
        <v>Complete</v>
      </c>
      <c r="W9" s="645"/>
      <c r="X9" s="192" t="str">
        <f>Language!$E$21</f>
        <v>Pld</v>
      </c>
      <c r="Y9" s="193" t="str">
        <f>Language!$E$22</f>
        <v>W</v>
      </c>
      <c r="Z9" s="193" t="str">
        <f>Language!$E$23</f>
        <v>D</v>
      </c>
      <c r="AA9" s="194" t="str">
        <f>Language!$E$24</f>
        <v>L</v>
      </c>
      <c r="AB9" s="649" t="str">
        <f>Language!$E$25</f>
        <v>sets</v>
      </c>
      <c r="AC9" s="650"/>
      <c r="AD9" s="651"/>
      <c r="AE9" s="479" t="str">
        <f>Language!$E$26</f>
        <v>GD</v>
      </c>
      <c r="AF9" s="646" t="str">
        <f>Language!$E$57</f>
        <v>balls</v>
      </c>
      <c r="AG9" s="647"/>
      <c r="AH9" s="648"/>
      <c r="AI9" s="193" t="str">
        <f>IF(Settings!$G$24,Language!$E$26,Language!$E$59)</f>
        <v>Quot.</v>
      </c>
      <c r="AJ9" s="195" t="str">
        <f>IF(Settings!$G$9,Language!$E$27,Language!$E$71)</f>
        <v>Setpts.</v>
      </c>
      <c r="AK9" s="196" t="str">
        <f ca="1">W10</f>
        <v>Maibach 1822 eV</v>
      </c>
      <c r="AL9" s="197" t="str">
        <f ca="1">W11</f>
        <v>1. FC Riedwald</v>
      </c>
      <c r="AM9" s="197" t="str">
        <f ca="1">W12</f>
        <v>FC Barcelona</v>
      </c>
      <c r="AN9" s="197" t="str">
        <f ca="1">W13</f>
        <v>VFB Essenheim</v>
      </c>
      <c r="AO9" s="197" t="str">
        <f ca="1">W14</f>
        <v>Eintracht Frankfurt</v>
      </c>
      <c r="AP9" s="197" t="str">
        <f ca="1">W15</f>
        <v>SSV Wildbach</v>
      </c>
      <c r="AQ9" s="197" t="str">
        <f ca="1">W16</f>
        <v>Inter Mailand</v>
      </c>
      <c r="AR9" s="197" t="str">
        <f ca="1">W17</f>
        <v/>
      </c>
      <c r="AS9" s="198" t="str">
        <f ca="1">W18</f>
        <v/>
      </c>
      <c r="AT9" s="196" t="str">
        <f ca="1">W10</f>
        <v>Maibach 1822 eV</v>
      </c>
      <c r="AU9" s="197" t="str">
        <f ca="1">W11</f>
        <v>1. FC Riedwald</v>
      </c>
      <c r="AV9" s="197" t="str">
        <f ca="1">W12</f>
        <v>FC Barcelona</v>
      </c>
      <c r="AW9" s="197" t="str">
        <f ca="1">W13</f>
        <v>VFB Essenheim</v>
      </c>
      <c r="AX9" s="197" t="str">
        <f ca="1">W14</f>
        <v>Eintracht Frankfurt</v>
      </c>
      <c r="AY9" s="197" t="str">
        <f ca="1">W15</f>
        <v>SSV Wildbach</v>
      </c>
      <c r="AZ9" s="197" t="str">
        <f ca="1">W16</f>
        <v>Inter Mailand</v>
      </c>
      <c r="BA9" s="197" t="str">
        <f ca="1">W17</f>
        <v/>
      </c>
      <c r="BB9" s="198" t="str">
        <f ca="1">W18</f>
        <v/>
      </c>
      <c r="BC9" s="191"/>
    </row>
    <row r="10" spans="1:65" ht="24" customHeight="1" x14ac:dyDescent="0.2">
      <c r="B10" s="223">
        <v>1</v>
      </c>
      <c r="C10" s="224">
        <f ca="1">Planning!$I7</f>
        <v>0.375</v>
      </c>
      <c r="D10" s="225">
        <f ca="1">Planning!$J7</f>
        <v>1</v>
      </c>
      <c r="E10" s="226" t="str">
        <f ca="1">Planning!$N7</f>
        <v>SSV Wildbach</v>
      </c>
      <c r="F10" s="227" t="s">
        <v>4</v>
      </c>
      <c r="G10" s="226" t="str">
        <f ca="1">Planning!$P7</f>
        <v>FC Barcelona</v>
      </c>
      <c r="H10" s="228">
        <v>25</v>
      </c>
      <c r="I10" s="304" t="str">
        <f>Language!$E$90</f>
        <v xml:space="preserve"> - </v>
      </c>
      <c r="J10" s="325">
        <v>18</v>
      </c>
      <c r="K10" s="228">
        <v>17</v>
      </c>
      <c r="L10" s="437" t="str">
        <f>Language!$E$90</f>
        <v xml:space="preserve"> - </v>
      </c>
      <c r="M10" s="325">
        <v>25</v>
      </c>
      <c r="N10" s="228">
        <v>13</v>
      </c>
      <c r="O10" s="442" t="str">
        <f>Language!$E$90</f>
        <v xml:space="preserve"> - </v>
      </c>
      <c r="P10" s="443">
        <v>11</v>
      </c>
      <c r="Q10" s="444">
        <f ca="1">IF(BG10,"",(H10&lt;&gt;"")*(J10&lt;&gt;"")*NOT(BH10)*((H10&gt;J10)+(H10=J10)*0.5)+(K10&lt;&gt;"")*(M10&lt;&gt;"")*NOT(BI10)*((K10&gt;M10)+(K10=M10)*0.5)+(N10&lt;&gt;"")*(P10&lt;&gt;"")*NOT(BJ10)*((N10&gt;P10)+(N10=P10)*0.5))</f>
        <v>2</v>
      </c>
      <c r="R10" s="439" t="str">
        <f>Language!$E$90</f>
        <v xml:space="preserve"> - </v>
      </c>
      <c r="S10" s="440">
        <f ca="1">IF(BG10,"",(H10&lt;&gt;"")*(J10&lt;&gt;"")*NOT(BH10)*((H10&lt;J10)+(H10=J10)*0.5)+(K10&lt;&gt;"")*(M10&lt;&gt;"")*NOT(BI10)*((K10&lt;M10)+(K10=M10)*0.5)+(N10&lt;&gt;"")*(P10&lt;&gt;"")*NOT(BJ10)*((N10&lt;P10)+(N10=P10)*0.5))</f>
        <v>1</v>
      </c>
      <c r="T10" s="433" t="str">
        <f>IF(Planning!$Q7="","",Planning!$Q7)</f>
        <v/>
      </c>
      <c r="V10" s="199">
        <f ca="1">IF(Calc!$K$13=0,"",1)</f>
        <v>1</v>
      </c>
      <c r="W10" s="200" t="str">
        <f ca="1">IF(Calc!$K$13=0,Calc!$Q64,VLOOKUP(Calc!B4,Calc!$C$4:$N$12,4,0))</f>
        <v>Maibach 1822 eV</v>
      </c>
      <c r="X10" s="201">
        <f ca="1">IF(Calc!$K$13=0,"",VLOOKUP(Calc!B4,Calc!$C$4:$N$12,9,0))</f>
        <v>12</v>
      </c>
      <c r="Y10" s="202">
        <f ca="1">IF(Calc!$K$13=0,"",VLOOKUP(Calc!B4,Calc!$C$4:$N$12,10,0))</f>
        <v>5</v>
      </c>
      <c r="Z10" s="202">
        <f ca="1">IF(Calc!$K$13=0,"",VLOOKUP(Calc!B4,Calc!$C$4:$N$12,11,0))</f>
        <v>5</v>
      </c>
      <c r="AA10" s="203">
        <f ca="1">IF(Calc!$K$13=0,"",VLOOKUP(Calc!B4,Calc!$C$4:$N$12,12,0))</f>
        <v>2</v>
      </c>
      <c r="AB10" s="494">
        <f ca="1">IF(Calc!$K$13=0,"",VLOOKUP(Calc!B4,Calc!$C$4:$AT$12,44,0))</f>
        <v>15</v>
      </c>
      <c r="AC10" s="513" t="str">
        <f>Language!$E$90</f>
        <v xml:space="preserve"> - </v>
      </c>
      <c r="AD10" s="495">
        <f ca="1">IF(Calc!$K$13=0,"",VLOOKUP(Calc!B4,Calc!$C$4:$AS$12,43,0))</f>
        <v>9</v>
      </c>
      <c r="AE10" s="491">
        <f ca="1">IF(Calc!$K$13=0,"",AB10-AD10)</f>
        <v>6</v>
      </c>
      <c r="AF10" s="494">
        <f ca="1">IF(Calc!$K$13=0,"",VLOOKUP(Calc!B4,Calc!$C$4:$N$12,5,0))</f>
        <v>552</v>
      </c>
      <c r="AG10" s="513" t="str">
        <f>Language!$E$90</f>
        <v xml:space="preserve"> - </v>
      </c>
      <c r="AH10" s="495">
        <f ca="1">IF(Calc!$K$13=0,"",VLOOKUP(Calc!B4,Calc!$C$4:$N$12,6,0))</f>
        <v>496</v>
      </c>
      <c r="AI10" s="201">
        <f ca="1">IF(Calc!$K$13=0,"",IF(VLOOKUP(Calc!B4,Calc!$C$4:$AV$12,46,0)=Settings!$F$24,"max",VLOOKUP(Calc!B4,Calc!$C$4:$AV$12,46,0)))</f>
        <v>1.113</v>
      </c>
      <c r="AJ10" s="204">
        <f ca="1">IF(Calc!$K$13=0,"",VLOOKUP(Calc!B4,Calc!$C$4:$AT$12,Settings!$H$9,0))</f>
        <v>15</v>
      </c>
      <c r="AK10" s="340"/>
      <c r="AL10" s="339" t="str">
        <f ca="1">IFERROR(VLOOKUP($W10&amp;AL$9,Calc!$Z$64:$AE$207,Settings!$G$29,0),"")</f>
        <v>2 - 0</v>
      </c>
      <c r="AM10" s="339" t="str">
        <f ca="1">IFERROR(VLOOKUP($W10&amp;AM$9,Calc!$Z$64:$AE$207,Settings!$G$29,0),"")</f>
        <v>0 - 2</v>
      </c>
      <c r="AN10" s="339" t="str">
        <f ca="1">IFERROR(VLOOKUP($W10&amp;AN$9,Calc!$Z$64:$AE$207,Settings!$G$29,0),"")</f>
        <v>0 - 2</v>
      </c>
      <c r="AO10" s="339" t="str">
        <f ca="1">IFERROR(VLOOKUP($W10&amp;AO$9,Calc!$Z$64:$AE$207,Settings!$G$29,0),"")</f>
        <v>2 - 0</v>
      </c>
      <c r="AP10" s="339" t="str">
        <f ca="1">IFERROR(VLOOKUP($W10&amp;AP$9,Calc!$Z$64:$AE$207,Settings!$G$29,0),"")</f>
        <v>2 - 0</v>
      </c>
      <c r="AQ10" s="339" t="str">
        <f ca="1">IFERROR(VLOOKUP($W10&amp;AQ$9,Calc!$Z$64:$AE$207,Settings!$G$29,0),"")</f>
        <v>1 - 1</v>
      </c>
      <c r="AR10" s="339" t="str">
        <f ca="1">IFERROR(VLOOKUP($W10&amp;AR$9,Calc!$Z$64:$AE$207,Settings!$G$29,0),"")</f>
        <v/>
      </c>
      <c r="AS10" s="341" t="str">
        <f ca="1">IFERROR(VLOOKUP($W10&amp;AS$9,Calc!$Z$64:$AE$207,Settings!$G$29,0),"")</f>
        <v/>
      </c>
      <c r="AT10" s="340"/>
      <c r="AU10" s="339" t="str">
        <f ca="1">IFERROR(VLOOKUP($W10&amp;AU$9,Calc!$AC$64:$AE$207,Settings!$H$29,0),"")</f>
        <v>1 - 1</v>
      </c>
      <c r="AV10" s="339" t="str">
        <f ca="1">IFERROR(VLOOKUP($W10&amp;AV$9,Calc!$AC$64:$AE$207,Settings!$H$29,0),"")</f>
        <v>2 - 0</v>
      </c>
      <c r="AW10" s="339" t="str">
        <f ca="1">IFERROR(VLOOKUP($W10&amp;AW$9,Calc!$AC$64:$AE$207,Settings!$H$29,0),"")</f>
        <v>1 - 1</v>
      </c>
      <c r="AX10" s="339" t="str">
        <f ca="1">IFERROR(VLOOKUP($W10&amp;AX$9,Calc!$AC$64:$AE$207,Settings!$H$29,0),"")</f>
        <v>1 - 1</v>
      </c>
      <c r="AY10" s="339" t="str">
        <f ca="1">IFERROR(VLOOKUP($W10&amp;AY$9,Calc!$AC$64:$AE$207,Settings!$H$29,0),"")</f>
        <v>1 - 1</v>
      </c>
      <c r="AZ10" s="339" t="str">
        <f ca="1">IFERROR(VLOOKUP($W10&amp;AZ$9,Calc!$AC$64:$AE$207,Settings!$H$29,0),"")</f>
        <v>2 - 0</v>
      </c>
      <c r="BA10" s="339" t="str">
        <f ca="1">IFERROR(VLOOKUP($W10&amp;BA$9,Calc!$AC$64:$AE$207,Settings!$H$29,0),"")</f>
        <v/>
      </c>
      <c r="BB10" s="341" t="str">
        <f ca="1">IFERROR(VLOOKUP($W10&amp;BB$9,Calc!$AC$64:$AE$207,Settings!$H$29,0),"")</f>
        <v/>
      </c>
      <c r="BC10" s="205" t="str">
        <f ca="1">W10</f>
        <v>Maibach 1822 eV</v>
      </c>
      <c r="BG10" s="449" t="b">
        <f t="shared" ref="BG10:BG41" ca="1" si="1">OR(E10="",G10="",AND(OR(H10="",J10="",BH10),OR(K10="",M10="",BI10),OR(N10="",P10="",BJ10)))</f>
        <v>0</v>
      </c>
      <c r="BH10" s="449" t="b">
        <f>ABS(H10-J10)&lt;2*$BG$7</f>
        <v>0</v>
      </c>
      <c r="BI10" s="449" t="b">
        <f>ABS(K10-M10)&lt;2*$BG$7</f>
        <v>0</v>
      </c>
      <c r="BJ10" s="449" t="b">
        <f>ABS(N10-P10)&lt;2*$BG$7</f>
        <v>0</v>
      </c>
      <c r="BK10" s="449" t="b">
        <f t="shared" ref="BK10:BK41" si="2">AND(BH10,H10&lt;&gt;"",J10&lt;&gt;"")</f>
        <v>0</v>
      </c>
      <c r="BL10" s="449" t="b">
        <f t="shared" ref="BL10:BL41" si="3">AND(BI10,K10&lt;&gt;"",M10&lt;&gt;"")</f>
        <v>0</v>
      </c>
      <c r="BM10" s="449" t="b">
        <f t="shared" ref="BM10:BM41" si="4">AND(BJ10,N10&lt;&gt;"",P10&lt;&gt;"")</f>
        <v>0</v>
      </c>
    </row>
    <row r="11" spans="1:65" ht="24" customHeight="1" x14ac:dyDescent="0.2">
      <c r="B11" s="223">
        <v>2</v>
      </c>
      <c r="C11" s="224">
        <f ca="1">Planning!$I8</f>
        <v>0.375</v>
      </c>
      <c r="D11" s="225">
        <f ca="1">Planning!$J8</f>
        <v>2</v>
      </c>
      <c r="E11" s="226" t="str">
        <f ca="1">Planning!$N8</f>
        <v>Eintracht Frankfurt</v>
      </c>
      <c r="F11" s="227" t="s">
        <v>4</v>
      </c>
      <c r="G11" s="226" t="str">
        <f ca="1">Planning!$P8</f>
        <v>Inter Mailand</v>
      </c>
      <c r="H11" s="228">
        <v>25</v>
      </c>
      <c r="I11" s="304" t="str">
        <f>Language!$E$90</f>
        <v xml:space="preserve"> - </v>
      </c>
      <c r="J11" s="325">
        <v>20</v>
      </c>
      <c r="K11" s="228">
        <v>25</v>
      </c>
      <c r="L11" s="437" t="str">
        <f>Language!$E$90</f>
        <v xml:space="preserve"> - </v>
      </c>
      <c r="M11" s="325">
        <v>22</v>
      </c>
      <c r="N11" s="228"/>
      <c r="O11" s="442" t="str">
        <f>Language!$E$90</f>
        <v xml:space="preserve"> - </v>
      </c>
      <c r="P11" s="443"/>
      <c r="Q11" s="444">
        <f t="shared" ref="Q11:Q74" ca="1" si="5">IF(BG11,"",(H11&lt;&gt;"")*(J11&lt;&gt;"")*NOT(BH11)*((H11&gt;J11)+(H11=J11)*0.5)+(K11&lt;&gt;"")*(M11&lt;&gt;"")*NOT(BI11)*((K11&gt;M11)+(K11=M11)*0.5)+(N11&lt;&gt;"")*(P11&lt;&gt;"")*NOT(BJ11)*((N11&gt;P11)+(N11=P11)*0.5))</f>
        <v>2</v>
      </c>
      <c r="R11" s="439" t="str">
        <f>Language!$E$90</f>
        <v xml:space="preserve"> - </v>
      </c>
      <c r="S11" s="440">
        <f t="shared" ref="S11:S74" ca="1" si="6">IF(BG11,"",(H11&lt;&gt;"")*(J11&lt;&gt;"")*NOT(BH11)*((H11&lt;J11)+(H11=J11)*0.5)+(K11&lt;&gt;"")*(M11&lt;&gt;"")*NOT(BI11)*((K11&lt;M11)+(K11=M11)*0.5)+(N11&lt;&gt;"")*(P11&lt;&gt;"")*NOT(BJ11)*((N11&lt;P11)+(N11=P11)*0.5))</f>
        <v>0</v>
      </c>
      <c r="T11" s="434" t="str">
        <f>IF(Planning!$Q8="","",Planning!$Q8)</f>
        <v/>
      </c>
      <c r="V11" s="206">
        <f ca="1">IF(Calc!$K$13=0,"",IF(VLOOKUP(Calc!B5,Calc!$C$4:$E$12,3,0)=MAX(V$10:V10),VLOOKUP(Calc!B5,Calc!$C$4:$E$12,3,0),Calc!B5))</f>
        <v>2</v>
      </c>
      <c r="W11" s="207" t="str">
        <f ca="1">IF(Calc!$K$13=0,Calc!$Q65,VLOOKUP(Calc!B5,Calc!$C$4:$N$12,4,0))</f>
        <v>1. FC Riedwald</v>
      </c>
      <c r="X11" s="208">
        <f ca="1">IF(Calc!$K$13=0,"",VLOOKUP(Calc!B5,Calc!$C$4:$N$12,9,0))</f>
        <v>12</v>
      </c>
      <c r="Y11" s="185">
        <f ca="1">IF(Calc!$K$13=0,"",VLOOKUP(Calc!B5,Calc!$C$4:$N$12,10,0))</f>
        <v>4</v>
      </c>
      <c r="Z11" s="185">
        <f ca="1">IF(Calc!$K$13=0,"",VLOOKUP(Calc!B5,Calc!$C$4:$N$12,11,0))</f>
        <v>5</v>
      </c>
      <c r="AA11" s="209">
        <f ca="1">IF(Calc!$K$13=0,"",VLOOKUP(Calc!B5,Calc!$C$4:$N$12,12,0))</f>
        <v>3</v>
      </c>
      <c r="AB11" s="496">
        <f ca="1">IF(Calc!$K$13=0,"",VLOOKUP(Calc!B5,Calc!$C$4:$AT$12,44,0))</f>
        <v>14</v>
      </c>
      <c r="AC11" s="514" t="str">
        <f>Language!$E$90</f>
        <v xml:space="preserve"> - </v>
      </c>
      <c r="AD11" s="497">
        <f ca="1">IF(Calc!$K$13=0,"",VLOOKUP(Calc!B5,Calc!$C$4:$AS$12,43,0))</f>
        <v>11</v>
      </c>
      <c r="AE11" s="492">
        <f ca="1">IF(Calc!$K$13=0,"",AB11-AD11)</f>
        <v>3</v>
      </c>
      <c r="AF11" s="496">
        <f ca="1">IF(Calc!$K$13=0,"",VLOOKUP(Calc!B5,Calc!$C$4:$N$12,5,0))</f>
        <v>553</v>
      </c>
      <c r="AG11" s="514" t="str">
        <f>Language!$E$90</f>
        <v xml:space="preserve"> - </v>
      </c>
      <c r="AH11" s="497">
        <f ca="1">IF(Calc!$K$13=0,"",VLOOKUP(Calc!B5,Calc!$C$4:$N$12,6,0))</f>
        <v>545</v>
      </c>
      <c r="AI11" s="208">
        <f ca="1">IF(Calc!$K$13=0,"",IF(VLOOKUP(Calc!B5,Calc!$C$4:$AV$12,46,0)=Settings!$F$24,"max",VLOOKUP(Calc!B5,Calc!$C$4:$AV$12,46,0)))</f>
        <v>1.0149999999999999</v>
      </c>
      <c r="AJ11" s="210">
        <f ca="1">IF(Calc!$K$13=0,"",VLOOKUP(Calc!B5,Calc!$C$4:$AT$12,Settings!$H$9,0))</f>
        <v>14</v>
      </c>
      <c r="AK11" s="342" t="str">
        <f ca="1">IFERROR(VLOOKUP($W11&amp;AK$9,Calc!$Z$64:$AE$207,Settings!$G$29,0),"")</f>
        <v>0 - 2</v>
      </c>
      <c r="AL11" s="343"/>
      <c r="AM11" s="344" t="str">
        <f ca="1">IFERROR(VLOOKUP($W11&amp;AM$9,Calc!$Z$64:$AE$207,Settings!$G$29,0),"")</f>
        <v>2 - 0</v>
      </c>
      <c r="AN11" s="344" t="str">
        <f ca="1">IFERROR(VLOOKUP($W11&amp;AN$9,Calc!$Z$64:$AE$207,Settings!$G$29,0),"")</f>
        <v>1 - 1</v>
      </c>
      <c r="AO11" s="344" t="str">
        <f ca="1">IFERROR(VLOOKUP($W11&amp;AO$9,Calc!$Z$64:$AE$207,Settings!$G$29,0),"")</f>
        <v>2 - 0</v>
      </c>
      <c r="AP11" s="344" t="str">
        <f ca="1">IFERROR(VLOOKUP($W11&amp;AP$9,Calc!$Z$64:$AE$207,Settings!$G$29,0),"")</f>
        <v>2 - 0</v>
      </c>
      <c r="AQ11" s="344" t="str">
        <f ca="1">IFERROR(VLOOKUP($W11&amp;AQ$9,Calc!$Z$64:$AE$207,Settings!$G$29,0),"")</f>
        <v>1 - 2</v>
      </c>
      <c r="AR11" s="344" t="str">
        <f ca="1">IFERROR(VLOOKUP($W11&amp;AR$9,Calc!$Z$64:$AE$207,Settings!$G$29,0),"")</f>
        <v/>
      </c>
      <c r="AS11" s="345" t="str">
        <f ca="1">IFERROR(VLOOKUP($W11&amp;AS$9,Calc!$Z$64:$AE$207,Settings!$G$29,0),"")</f>
        <v/>
      </c>
      <c r="AT11" s="342" t="str">
        <f ca="1">IFERROR(VLOOKUP($W11&amp;AT$9,Calc!$AC$64:$AE$207,Settings!$H$29,0),"")</f>
        <v>1 - 1</v>
      </c>
      <c r="AU11" s="343"/>
      <c r="AV11" s="344" t="str">
        <f ca="1">IFERROR(VLOOKUP($W11&amp;AV$9,Calc!$AC$64:$AE$207,Settings!$H$29,0),"")</f>
        <v>0 - 2</v>
      </c>
      <c r="AW11" s="344" t="str">
        <f ca="1">IFERROR(VLOOKUP($W11&amp;AW$9,Calc!$AC$64:$AE$207,Settings!$H$29,0),"")</f>
        <v>1 - 1</v>
      </c>
      <c r="AX11" s="344" t="str">
        <f ca="1">IFERROR(VLOOKUP($W11&amp;AX$9,Calc!$AC$64:$AE$207,Settings!$H$29,0),"")</f>
        <v>2 - 0</v>
      </c>
      <c r="AY11" s="344" t="str">
        <f ca="1">IFERROR(VLOOKUP($W11&amp;AY$9,Calc!$AC$64:$AE$207,Settings!$H$29,0),"")</f>
        <v>1 - 1</v>
      </c>
      <c r="AZ11" s="344" t="str">
        <f ca="1">IFERROR(VLOOKUP($W11&amp;AZ$9,Calc!$AC$64:$AE$207,Settings!$H$29,0),"")</f>
        <v>1 - 1</v>
      </c>
      <c r="BA11" s="344" t="str">
        <f ca="1">IFERROR(VLOOKUP($W11&amp;BA$9,Calc!$AC$64:$AE$207,Settings!$H$29,0),"")</f>
        <v/>
      </c>
      <c r="BB11" s="345" t="str">
        <f ca="1">IFERROR(VLOOKUP($W11&amp;BB$9,Calc!$AC$64:$AE$207,Settings!$H$29,0),"")</f>
        <v/>
      </c>
      <c r="BC11" s="211" t="str">
        <f t="shared" ref="BC11:BC18" ca="1" si="7">W11</f>
        <v>1. FC Riedwald</v>
      </c>
      <c r="BG11" s="449" t="b">
        <f t="shared" ca="1" si="1"/>
        <v>0</v>
      </c>
      <c r="BH11" s="449" t="b">
        <f t="shared" ref="BH11:BH74" si="8">ABS(H11-J11)&lt;2*$BG$7</f>
        <v>0</v>
      </c>
      <c r="BI11" s="449" t="b">
        <f t="shared" ref="BI11:BI74" si="9">ABS(K11-M11)&lt;2*$BG$7</f>
        <v>0</v>
      </c>
      <c r="BJ11" s="449" t="b">
        <f t="shared" ref="BJ11:BJ74" si="10">ABS(N11-P11)&lt;2*$BG$7</f>
        <v>0</v>
      </c>
      <c r="BK11" s="449" t="b">
        <f t="shared" si="2"/>
        <v>0</v>
      </c>
      <c r="BL11" s="449" t="b">
        <f t="shared" si="3"/>
        <v>0</v>
      </c>
      <c r="BM11" s="449" t="b">
        <f t="shared" si="4"/>
        <v>0</v>
      </c>
    </row>
    <row r="12" spans="1:65" ht="24" customHeight="1" x14ac:dyDescent="0.2">
      <c r="B12" s="223">
        <v>3</v>
      </c>
      <c r="C12" s="224">
        <f ca="1">Planning!$I9</f>
        <v>0.375</v>
      </c>
      <c r="D12" s="225">
        <f ca="1">Planning!$J9</f>
        <v>3</v>
      </c>
      <c r="E12" s="226" t="str">
        <f ca="1">Planning!$N9</f>
        <v>VFB Essenheim</v>
      </c>
      <c r="F12" s="227" t="s">
        <v>4</v>
      </c>
      <c r="G12" s="226" t="str">
        <f ca="1">Planning!$P9</f>
        <v>Maibach 1822 eV</v>
      </c>
      <c r="H12" s="228">
        <v>25</v>
      </c>
      <c r="I12" s="304" t="str">
        <f>Language!$E$90</f>
        <v xml:space="preserve"> - </v>
      </c>
      <c r="J12" s="325">
        <v>21</v>
      </c>
      <c r="K12" s="228">
        <v>25</v>
      </c>
      <c r="L12" s="437" t="str">
        <f>Language!$E$90</f>
        <v xml:space="preserve"> - </v>
      </c>
      <c r="M12" s="325">
        <v>19</v>
      </c>
      <c r="N12" s="228"/>
      <c r="O12" s="442" t="str">
        <f>Language!$E$90</f>
        <v xml:space="preserve"> - </v>
      </c>
      <c r="P12" s="443"/>
      <c r="Q12" s="444">
        <f t="shared" ca="1" si="5"/>
        <v>2</v>
      </c>
      <c r="R12" s="439" t="str">
        <f>Language!$E$90</f>
        <v xml:space="preserve"> - </v>
      </c>
      <c r="S12" s="440">
        <f t="shared" ca="1" si="6"/>
        <v>0</v>
      </c>
      <c r="T12" s="434" t="str">
        <f>IF(Planning!$Q9="","",Planning!$Q9)</f>
        <v/>
      </c>
      <c r="V12" s="206">
        <f ca="1">IF(Calc!$K$13=0,"",IF(VLOOKUP(Calc!B6,Calc!$C$4:$E$12,3,0)=MAX(V$10:V11),VLOOKUP(Calc!B6,Calc!$C$4:$E$12,3,0),Calc!B6))</f>
        <v>3</v>
      </c>
      <c r="W12" s="207" t="str">
        <f ca="1">IF(Calc!$K$13=0,Calc!$Q66,VLOOKUP(Calc!B6,Calc!$C$4:$N$12,4,0))</f>
        <v>FC Barcelona</v>
      </c>
      <c r="X12" s="208">
        <f ca="1">IF(Calc!$K$13=0,"",VLOOKUP(Calc!B6,Calc!$C$4:$N$12,9,0))</f>
        <v>12</v>
      </c>
      <c r="Y12" s="185">
        <f ca="1">IF(Calc!$K$13=0,"",VLOOKUP(Calc!B6,Calc!$C$4:$N$12,10,0))</f>
        <v>4</v>
      </c>
      <c r="Z12" s="185">
        <f ca="1">IF(Calc!$K$13=0,"",VLOOKUP(Calc!B6,Calc!$C$4:$N$12,11,0))</f>
        <v>4</v>
      </c>
      <c r="AA12" s="209">
        <f ca="1">IF(Calc!$K$13=0,"",VLOOKUP(Calc!B6,Calc!$C$4:$N$12,12,0))</f>
        <v>4</v>
      </c>
      <c r="AB12" s="496">
        <f ca="1">IF(Calc!$K$13=0,"",VLOOKUP(Calc!B6,Calc!$C$4:$AT$12,44,0))</f>
        <v>13</v>
      </c>
      <c r="AC12" s="514" t="str">
        <f>Language!$E$90</f>
        <v xml:space="preserve"> - </v>
      </c>
      <c r="AD12" s="497">
        <f ca="1">IF(Calc!$K$13=0,"",VLOOKUP(Calc!B6,Calc!$C$4:$AS$12,43,0))</f>
        <v>12</v>
      </c>
      <c r="AE12" s="492">
        <f ca="1">IF(Calc!$K$13=0,"",AB12-AD12)</f>
        <v>1</v>
      </c>
      <c r="AF12" s="496">
        <f ca="1">IF(Calc!$K$13=0,"",VLOOKUP(Calc!B6,Calc!$C$4:$N$12,5,0))</f>
        <v>537</v>
      </c>
      <c r="AG12" s="514" t="str">
        <f>Language!$E$90</f>
        <v xml:space="preserve"> - </v>
      </c>
      <c r="AH12" s="497">
        <f ca="1">IF(Calc!$K$13=0,"",VLOOKUP(Calc!B6,Calc!$C$4:$N$12,6,0))</f>
        <v>545</v>
      </c>
      <c r="AI12" s="208">
        <f ca="1">IF(Calc!$K$13=0,"",IF(VLOOKUP(Calc!B6,Calc!$C$4:$AV$12,46,0)=Settings!$F$24,"max",VLOOKUP(Calc!B6,Calc!$C$4:$AV$12,46,0)))</f>
        <v>0.98499999999999999</v>
      </c>
      <c r="AJ12" s="210">
        <f ca="1">IF(Calc!$K$13=0,"",VLOOKUP(Calc!B6,Calc!$C$4:$AT$12,Settings!$H$9,0))</f>
        <v>13</v>
      </c>
      <c r="AK12" s="342" t="str">
        <f ca="1">IFERROR(VLOOKUP($W12&amp;AK$9,Calc!$Z$64:$AE$207,Settings!$G$29,0),"")</f>
        <v>2 - 0</v>
      </c>
      <c r="AL12" s="344" t="str">
        <f ca="1">IFERROR(VLOOKUP($W12&amp;AL$9,Calc!$Z$64:$AE$207,Settings!$G$29,0),"")</f>
        <v>0 - 2</v>
      </c>
      <c r="AM12" s="343"/>
      <c r="AN12" s="344" t="str">
        <f ca="1">IFERROR(VLOOKUP($W12&amp;AN$9,Calc!$Z$64:$AE$207,Settings!$G$29,0),"")</f>
        <v>2 - 0</v>
      </c>
      <c r="AO12" s="344" t="str">
        <f ca="1">IFERROR(VLOOKUP($W12&amp;AO$9,Calc!$Z$64:$AE$207,Settings!$G$29,0),"")</f>
        <v>1 - 1</v>
      </c>
      <c r="AP12" s="344" t="str">
        <f ca="1">IFERROR(VLOOKUP($W12&amp;AP$9,Calc!$Z$64:$AE$207,Settings!$G$29,0),"")</f>
        <v>1 - 2</v>
      </c>
      <c r="AQ12" s="344" t="str">
        <f ca="1">IFERROR(VLOOKUP($W12&amp;AQ$9,Calc!$Z$64:$AE$207,Settings!$G$29,0),"")</f>
        <v>1 - 1</v>
      </c>
      <c r="AR12" s="344" t="str">
        <f ca="1">IFERROR(VLOOKUP($W12&amp;AR$9,Calc!$Z$64:$AE$207,Settings!$G$29,0),"")</f>
        <v/>
      </c>
      <c r="AS12" s="345" t="str">
        <f ca="1">IFERROR(VLOOKUP($W12&amp;AS$9,Calc!$Z$64:$AE$207,Settings!$G$29,0),"")</f>
        <v/>
      </c>
      <c r="AT12" s="342" t="str">
        <f ca="1">IFERROR(VLOOKUP($W12&amp;AT$9,Calc!$AC$64:$AE$207,Settings!$H$29,0),"")</f>
        <v>0 - 2</v>
      </c>
      <c r="AU12" s="344" t="str">
        <f ca="1">IFERROR(VLOOKUP($W12&amp;AU$9,Calc!$AC$64:$AE$207,Settings!$H$29,0),"")</f>
        <v>2 - 0</v>
      </c>
      <c r="AV12" s="343"/>
      <c r="AW12" s="344" t="str">
        <f ca="1">IFERROR(VLOOKUP($W12&amp;AW$9,Calc!$AC$64:$AE$207,Settings!$H$29,0),"")</f>
        <v>1 - 1</v>
      </c>
      <c r="AX12" s="344" t="str">
        <f ca="1">IFERROR(VLOOKUP($W12&amp;AX$9,Calc!$AC$64:$AE$207,Settings!$H$29,0),"")</f>
        <v>0 - 2</v>
      </c>
      <c r="AY12" s="344" t="str">
        <f ca="1">IFERROR(VLOOKUP($W12&amp;AY$9,Calc!$AC$64:$AE$207,Settings!$H$29,0),"")</f>
        <v>1 - 1</v>
      </c>
      <c r="AZ12" s="344" t="str">
        <f ca="1">IFERROR(VLOOKUP($W12&amp;AZ$9,Calc!$AC$64:$AE$207,Settings!$H$29,0),"")</f>
        <v>2 - 0</v>
      </c>
      <c r="BA12" s="344" t="str">
        <f ca="1">IFERROR(VLOOKUP($W12&amp;BA$9,Calc!$AC$64:$AE$207,Settings!$H$29,0),"")</f>
        <v/>
      </c>
      <c r="BB12" s="345" t="str">
        <f ca="1">IFERROR(VLOOKUP($W12&amp;BB$9,Calc!$AC$64:$AE$207,Settings!$H$29,0),"")</f>
        <v/>
      </c>
      <c r="BC12" s="211" t="str">
        <f t="shared" ca="1" si="7"/>
        <v>FC Barcelona</v>
      </c>
      <c r="BG12" s="449" t="b">
        <f t="shared" ca="1" si="1"/>
        <v>0</v>
      </c>
      <c r="BH12" s="449" t="b">
        <f t="shared" si="8"/>
        <v>0</v>
      </c>
      <c r="BI12" s="449" t="b">
        <f t="shared" si="9"/>
        <v>0</v>
      </c>
      <c r="BJ12" s="449" t="b">
        <f t="shared" si="10"/>
        <v>0</v>
      </c>
      <c r="BK12" s="449" t="b">
        <f t="shared" si="2"/>
        <v>0</v>
      </c>
      <c r="BL12" s="449" t="b">
        <f t="shared" si="3"/>
        <v>0</v>
      </c>
      <c r="BM12" s="449" t="b">
        <f t="shared" si="4"/>
        <v>0</v>
      </c>
    </row>
    <row r="13" spans="1:65" ht="24" customHeight="1" x14ac:dyDescent="0.2">
      <c r="B13" s="223">
        <v>4</v>
      </c>
      <c r="C13" s="224">
        <f ca="1">Planning!$I10</f>
        <v>0.3923611111111111</v>
      </c>
      <c r="D13" s="225">
        <f ca="1">Planning!$J10</f>
        <v>1</v>
      </c>
      <c r="E13" s="226" t="str">
        <f ca="1">Planning!$N10</f>
        <v>SSV Wildbach</v>
      </c>
      <c r="F13" s="227" t="s">
        <v>4</v>
      </c>
      <c r="G13" s="226" t="str">
        <f ca="1">Planning!$P10</f>
        <v>1. FC Riedwald</v>
      </c>
      <c r="H13" s="228">
        <v>15</v>
      </c>
      <c r="I13" s="304" t="str">
        <f>Language!$E$90</f>
        <v xml:space="preserve"> - </v>
      </c>
      <c r="J13" s="325">
        <v>25</v>
      </c>
      <c r="K13" s="228">
        <v>16</v>
      </c>
      <c r="L13" s="437" t="str">
        <f>Language!$E$90</f>
        <v xml:space="preserve"> - </v>
      </c>
      <c r="M13" s="325">
        <v>25</v>
      </c>
      <c r="N13" s="228"/>
      <c r="O13" s="442" t="str">
        <f>Language!$E$90</f>
        <v xml:space="preserve"> - </v>
      </c>
      <c r="P13" s="443"/>
      <c r="Q13" s="444">
        <f t="shared" ca="1" si="5"/>
        <v>0</v>
      </c>
      <c r="R13" s="439" t="str">
        <f>Language!$E$90</f>
        <v xml:space="preserve"> - </v>
      </c>
      <c r="S13" s="440">
        <f t="shared" ca="1" si="6"/>
        <v>2</v>
      </c>
      <c r="T13" s="434" t="str">
        <f>IF(Planning!$Q10="","",Planning!$Q10)</f>
        <v/>
      </c>
      <c r="V13" s="206">
        <f ca="1">IF(Calc!$K$13=0,"",IF(VLOOKUP(Calc!B7,Calc!$C$4:$E$12,3,0)=MAX(V$10:V12),VLOOKUP(Calc!B7,Calc!$C$4:$E$12,3,0),Calc!B7))</f>
        <v>4</v>
      </c>
      <c r="W13" s="207" t="str">
        <f ca="1">IF(Calc!$K$13=0,Calc!$Q67,VLOOKUP(Calc!B7,Calc!$C$4:$N$12,4,0))</f>
        <v>VFB Essenheim</v>
      </c>
      <c r="X13" s="208">
        <f ca="1">IF(Calc!$K$13=0,"",VLOOKUP(Calc!B7,Calc!$C$4:$N$12,9,0))</f>
        <v>12</v>
      </c>
      <c r="Y13" s="185">
        <f ca="1">IF(Calc!$K$13=0,"",VLOOKUP(Calc!B7,Calc!$C$4:$N$12,10,0))</f>
        <v>2</v>
      </c>
      <c r="Z13" s="185">
        <f ca="1">IF(Calc!$K$13=0,"",VLOOKUP(Calc!B7,Calc!$C$4:$N$12,11,0))</f>
        <v>8</v>
      </c>
      <c r="AA13" s="209">
        <f ca="1">IF(Calc!$K$13=0,"",VLOOKUP(Calc!B7,Calc!$C$4:$N$12,12,0))</f>
        <v>2</v>
      </c>
      <c r="AB13" s="496">
        <f ca="1">IF(Calc!$K$13=0,"",VLOOKUP(Calc!B7,Calc!$C$4:$AT$12,44,0))</f>
        <v>12</v>
      </c>
      <c r="AC13" s="514" t="str">
        <f>Language!$E$90</f>
        <v xml:space="preserve"> - </v>
      </c>
      <c r="AD13" s="497">
        <f ca="1">IF(Calc!$K$13=0,"",VLOOKUP(Calc!B7,Calc!$C$4:$AS$12,43,0))</f>
        <v>12</v>
      </c>
      <c r="AE13" s="492">
        <f ca="1">IF(Calc!$K$13=0,"",AB13-AD13)</f>
        <v>0</v>
      </c>
      <c r="AF13" s="496">
        <f ca="1">IF(Calc!$K$13=0,"",VLOOKUP(Calc!B7,Calc!$C$4:$N$12,5,0))</f>
        <v>524</v>
      </c>
      <c r="AG13" s="514" t="str">
        <f>Language!$E$90</f>
        <v xml:space="preserve"> - </v>
      </c>
      <c r="AH13" s="497">
        <f ca="1">IF(Calc!$K$13=0,"",VLOOKUP(Calc!B7,Calc!$C$4:$N$12,6,0))</f>
        <v>521</v>
      </c>
      <c r="AI13" s="208">
        <f ca="1">IF(Calc!$K$13=0,"",IF(VLOOKUP(Calc!B7,Calc!$C$4:$AV$12,46,0)=Settings!$F$24,"max",VLOOKUP(Calc!B7,Calc!$C$4:$AV$12,46,0)))</f>
        <v>1.006</v>
      </c>
      <c r="AJ13" s="210">
        <f ca="1">IF(Calc!$K$13=0,"",VLOOKUP(Calc!B7,Calc!$C$4:$AT$12,Settings!$H$9,0))</f>
        <v>12</v>
      </c>
      <c r="AK13" s="342" t="str">
        <f ca="1">IFERROR(VLOOKUP($W13&amp;AK$9,Calc!$Z$64:$AE$207,Settings!$G$29,0),"")</f>
        <v>2 - 0</v>
      </c>
      <c r="AL13" s="344" t="str">
        <f ca="1">IFERROR(VLOOKUP($W13&amp;AL$9,Calc!$Z$64:$AE$207,Settings!$G$29,0),"")</f>
        <v>1 - 1</v>
      </c>
      <c r="AM13" s="344" t="str">
        <f ca="1">IFERROR(VLOOKUP($W13&amp;AM$9,Calc!$Z$64:$AE$207,Settings!$G$29,0),"")</f>
        <v>0 - 2</v>
      </c>
      <c r="AN13" s="343"/>
      <c r="AO13" s="344" t="str">
        <f ca="1">IFERROR(VLOOKUP($W13&amp;AO$9,Calc!$Z$64:$AE$207,Settings!$G$29,0),"")</f>
        <v>1 - 1</v>
      </c>
      <c r="AP13" s="344" t="str">
        <f ca="1">IFERROR(VLOOKUP($W13&amp;AP$9,Calc!$Z$64:$AE$207,Settings!$G$29,0),"")</f>
        <v>1 - 1</v>
      </c>
      <c r="AQ13" s="344" t="str">
        <f ca="1">IFERROR(VLOOKUP($W13&amp;AQ$9,Calc!$Z$64:$AE$207,Settings!$G$29,0),"")</f>
        <v>0 - 2</v>
      </c>
      <c r="AR13" s="344" t="str">
        <f ca="1">IFERROR(VLOOKUP($W13&amp;AR$9,Calc!$Z$64:$AE$207,Settings!$G$29,0),"")</f>
        <v/>
      </c>
      <c r="AS13" s="345" t="str">
        <f ca="1">IFERROR(VLOOKUP($W13&amp;AS$9,Calc!$Z$64:$AE$207,Settings!$G$29,0),"")</f>
        <v/>
      </c>
      <c r="AT13" s="342" t="str">
        <f ca="1">IFERROR(VLOOKUP($W13&amp;AT$9,Calc!$AC$64:$AE$207,Settings!$H$29,0),"")</f>
        <v>1 - 1</v>
      </c>
      <c r="AU13" s="344" t="str">
        <f ca="1">IFERROR(VLOOKUP($W13&amp;AU$9,Calc!$AC$64:$AE$207,Settings!$H$29,0),"")</f>
        <v>1 - 1</v>
      </c>
      <c r="AV13" s="344" t="str">
        <f ca="1">IFERROR(VLOOKUP($W13&amp;AV$9,Calc!$AC$64:$AE$207,Settings!$H$29,0),"")</f>
        <v>1 - 1</v>
      </c>
      <c r="AW13" s="343"/>
      <c r="AX13" s="344" t="str">
        <f ca="1">IFERROR(VLOOKUP($W13&amp;AX$9,Calc!$AC$64:$AE$207,Settings!$H$29,0),"")</f>
        <v>1 - 1</v>
      </c>
      <c r="AY13" s="344" t="str">
        <f ca="1">IFERROR(VLOOKUP($W13&amp;AY$9,Calc!$AC$64:$AE$207,Settings!$H$29,0),"")</f>
        <v>2 - 0</v>
      </c>
      <c r="AZ13" s="344" t="str">
        <f ca="1">IFERROR(VLOOKUP($W13&amp;AZ$9,Calc!$AC$64:$AE$207,Settings!$H$29,0),"")</f>
        <v>1 - 1</v>
      </c>
      <c r="BA13" s="344" t="str">
        <f ca="1">IFERROR(VLOOKUP($W13&amp;BA$9,Calc!$AC$64:$AE$207,Settings!$H$29,0),"")</f>
        <v/>
      </c>
      <c r="BB13" s="345" t="str">
        <f ca="1">IFERROR(VLOOKUP($W13&amp;BB$9,Calc!$AC$64:$AE$207,Settings!$H$29,0),"")</f>
        <v/>
      </c>
      <c r="BC13" s="211" t="str">
        <f t="shared" ca="1" si="7"/>
        <v>VFB Essenheim</v>
      </c>
      <c r="BG13" s="449" t="b">
        <f t="shared" ca="1" si="1"/>
        <v>0</v>
      </c>
      <c r="BH13" s="449" t="b">
        <f t="shared" si="8"/>
        <v>0</v>
      </c>
      <c r="BI13" s="449" t="b">
        <f t="shared" si="9"/>
        <v>0</v>
      </c>
      <c r="BJ13" s="449" t="b">
        <f t="shared" si="10"/>
        <v>0</v>
      </c>
      <c r="BK13" s="449" t="b">
        <f t="shared" si="2"/>
        <v>0</v>
      </c>
      <c r="BL13" s="449" t="b">
        <f t="shared" si="3"/>
        <v>0</v>
      </c>
      <c r="BM13" s="449" t="b">
        <f t="shared" si="4"/>
        <v>0</v>
      </c>
    </row>
    <row r="14" spans="1:65" ht="24" customHeight="1" x14ac:dyDescent="0.2">
      <c r="B14" s="223">
        <v>5</v>
      </c>
      <c r="C14" s="224">
        <f ca="1">Planning!$I11</f>
        <v>0.3923611111111111</v>
      </c>
      <c r="D14" s="225">
        <f ca="1">Planning!$J11</f>
        <v>2</v>
      </c>
      <c r="E14" s="226" t="str">
        <f ca="1">Planning!$N11</f>
        <v>FC Barcelona</v>
      </c>
      <c r="F14" s="227" t="s">
        <v>4</v>
      </c>
      <c r="G14" s="226" t="str">
        <f ca="1">Planning!$P11</f>
        <v>VFB Essenheim</v>
      </c>
      <c r="H14" s="228">
        <v>25</v>
      </c>
      <c r="I14" s="304" t="str">
        <f>Language!$E$90</f>
        <v xml:space="preserve"> - </v>
      </c>
      <c r="J14" s="325">
        <v>23</v>
      </c>
      <c r="K14" s="228">
        <v>25</v>
      </c>
      <c r="L14" s="437" t="str">
        <f>Language!$E$90</f>
        <v xml:space="preserve"> - </v>
      </c>
      <c r="M14" s="325">
        <v>23</v>
      </c>
      <c r="N14" s="228"/>
      <c r="O14" s="442" t="str">
        <f>Language!$E$90</f>
        <v xml:space="preserve"> - </v>
      </c>
      <c r="P14" s="443"/>
      <c r="Q14" s="444">
        <f t="shared" ca="1" si="5"/>
        <v>2</v>
      </c>
      <c r="R14" s="439" t="str">
        <f>Language!$E$90</f>
        <v xml:space="preserve"> - </v>
      </c>
      <c r="S14" s="440">
        <f t="shared" ca="1" si="6"/>
        <v>0</v>
      </c>
      <c r="T14" s="434" t="str">
        <f>IF(Planning!$Q11="","",Planning!$Q11)</f>
        <v/>
      </c>
      <c r="V14" s="206">
        <f ca="1">IF(Calc!$K$13=0,"",IF(VLOOKUP(Calc!B8,Calc!$C$4:$E$12,3,0)=MAX(V$10:V13),VLOOKUP(Calc!B8,Calc!$C$4:$E$12,3,0),Calc!B8))</f>
        <v>5</v>
      </c>
      <c r="W14" s="207" t="str">
        <f ca="1">IF(Calc!$K$13=0,Calc!$Q68,VLOOKUP(Calc!B8,Calc!$C$4:$N$12,4,0))</f>
        <v>Eintracht Frankfurt</v>
      </c>
      <c r="X14" s="208">
        <f ca="1">IF(Calc!$K$13=0,"",VLOOKUP(Calc!B8,Calc!$C$4:$N$12,9,0))</f>
        <v>12</v>
      </c>
      <c r="Y14" s="185">
        <f ca="1">IF(Calc!$K$13=0,"",VLOOKUP(Calc!B8,Calc!$C$4:$N$12,10,0))</f>
        <v>3</v>
      </c>
      <c r="Z14" s="185">
        <f ca="1">IF(Calc!$K$13=0,"",VLOOKUP(Calc!B8,Calc!$C$4:$N$12,11,0))</f>
        <v>6</v>
      </c>
      <c r="AA14" s="209">
        <f ca="1">IF(Calc!$K$13=0,"",VLOOKUP(Calc!B8,Calc!$C$4:$N$12,12,0))</f>
        <v>3</v>
      </c>
      <c r="AB14" s="496">
        <f ca="1">IF(Calc!$K$13=0,"",VLOOKUP(Calc!B8,Calc!$C$4:$AT$12,44,0))</f>
        <v>12</v>
      </c>
      <c r="AC14" s="514" t="str">
        <f>Language!$E$90</f>
        <v xml:space="preserve"> - </v>
      </c>
      <c r="AD14" s="497">
        <f ca="1">IF(Calc!$K$13=0,"",VLOOKUP(Calc!B8,Calc!$C$4:$AS$12,43,0))</f>
        <v>12</v>
      </c>
      <c r="AE14" s="492">
        <f ca="1">IF(Calc!$K$13=0,"",AB14-AD14)</f>
        <v>0</v>
      </c>
      <c r="AF14" s="496">
        <f ca="1">IF(Calc!$K$13=0,"",VLOOKUP(Calc!B8,Calc!$C$4:$N$12,5,0))</f>
        <v>535</v>
      </c>
      <c r="AG14" s="514" t="str">
        <f>Language!$E$90</f>
        <v xml:space="preserve"> - </v>
      </c>
      <c r="AH14" s="497">
        <f ca="1">IF(Calc!$K$13=0,"",VLOOKUP(Calc!B8,Calc!$C$4:$N$12,6,0))</f>
        <v>532</v>
      </c>
      <c r="AI14" s="208">
        <f ca="1">IF(Calc!$K$13=0,"",IF(VLOOKUP(Calc!B8,Calc!$C$4:$AV$12,46,0)=Settings!$F$24,"max",VLOOKUP(Calc!B8,Calc!$C$4:$AV$12,46,0)))</f>
        <v>1.006</v>
      </c>
      <c r="AJ14" s="210">
        <f ca="1">IF(Calc!$K$13=0,"",VLOOKUP(Calc!B8,Calc!$C$4:$AT$12,Settings!$H$9,0))</f>
        <v>12</v>
      </c>
      <c r="AK14" s="342" t="str">
        <f ca="1">IFERROR(VLOOKUP($W14&amp;AK$9,Calc!$Z$64:$AE$207,Settings!$G$29,0),"")</f>
        <v>0 - 2</v>
      </c>
      <c r="AL14" s="344" t="str">
        <f ca="1">IFERROR(VLOOKUP($W14&amp;AL$9,Calc!$Z$64:$AE$207,Settings!$G$29,0),"")</f>
        <v>0 - 2</v>
      </c>
      <c r="AM14" s="344" t="str">
        <f ca="1">IFERROR(VLOOKUP($W14&amp;AM$9,Calc!$Z$64:$AE$207,Settings!$G$29,0),"")</f>
        <v>1 - 1</v>
      </c>
      <c r="AN14" s="344" t="str">
        <f ca="1">IFERROR(VLOOKUP($W14&amp;AN$9,Calc!$Z$64:$AE$207,Settings!$G$29,0),"")</f>
        <v>1 - 1</v>
      </c>
      <c r="AO14" s="343"/>
      <c r="AP14" s="344" t="str">
        <f ca="1">IFERROR(VLOOKUP($W14&amp;AP$9,Calc!$Z$64:$AE$207,Settings!$G$29,0),"")</f>
        <v>1 - 1</v>
      </c>
      <c r="AQ14" s="344" t="str">
        <f ca="1">IFERROR(VLOOKUP($W14&amp;AQ$9,Calc!$Z$64:$AE$207,Settings!$G$29,0),"")</f>
        <v>2 - 0</v>
      </c>
      <c r="AR14" s="344" t="str">
        <f ca="1">IFERROR(VLOOKUP($W14&amp;AR$9,Calc!$Z$64:$AE$207,Settings!$G$29,0),"")</f>
        <v/>
      </c>
      <c r="AS14" s="345" t="str">
        <f ca="1">IFERROR(VLOOKUP($W14&amp;AS$9,Calc!$Z$64:$AE$207,Settings!$G$29,0),"")</f>
        <v/>
      </c>
      <c r="AT14" s="342" t="str">
        <f ca="1">IFERROR(VLOOKUP($W14&amp;AT$9,Calc!$AC$64:$AE$207,Settings!$H$29,0),"")</f>
        <v>1 - 1</v>
      </c>
      <c r="AU14" s="344" t="str">
        <f ca="1">IFERROR(VLOOKUP($W14&amp;AU$9,Calc!$AC$64:$AE$207,Settings!$H$29,0),"")</f>
        <v>0 - 2</v>
      </c>
      <c r="AV14" s="344" t="str">
        <f ca="1">IFERROR(VLOOKUP($W14&amp;AV$9,Calc!$AC$64:$AE$207,Settings!$H$29,0),"")</f>
        <v>2 - 0</v>
      </c>
      <c r="AW14" s="344" t="str">
        <f ca="1">IFERROR(VLOOKUP($W14&amp;AW$9,Calc!$AC$64:$AE$207,Settings!$H$29,0),"")</f>
        <v>1 - 1</v>
      </c>
      <c r="AX14" s="343"/>
      <c r="AY14" s="344" t="str">
        <f ca="1">IFERROR(VLOOKUP($W14&amp;AY$9,Calc!$AC$64:$AE$207,Settings!$H$29,0),"")</f>
        <v>1 - 1</v>
      </c>
      <c r="AZ14" s="344" t="str">
        <f ca="1">IFERROR(VLOOKUP($W14&amp;AZ$9,Calc!$AC$64:$AE$207,Settings!$H$29,0),"")</f>
        <v>2 - 0</v>
      </c>
      <c r="BA14" s="344" t="str">
        <f ca="1">IFERROR(VLOOKUP($W14&amp;BA$9,Calc!$AC$64:$AE$207,Settings!$H$29,0),"")</f>
        <v/>
      </c>
      <c r="BB14" s="345" t="str">
        <f ca="1">IFERROR(VLOOKUP($W14&amp;BB$9,Calc!$AC$64:$AE$207,Settings!$H$29,0),"")</f>
        <v/>
      </c>
      <c r="BC14" s="211" t="str">
        <f t="shared" ca="1" si="7"/>
        <v>Eintracht Frankfurt</v>
      </c>
      <c r="BG14" s="449" t="b">
        <f t="shared" ca="1" si="1"/>
        <v>0</v>
      </c>
      <c r="BH14" s="449" t="b">
        <f t="shared" si="8"/>
        <v>0</v>
      </c>
      <c r="BI14" s="449" t="b">
        <f t="shared" si="9"/>
        <v>0</v>
      </c>
      <c r="BJ14" s="449" t="b">
        <f t="shared" si="10"/>
        <v>0</v>
      </c>
      <c r="BK14" s="449" t="b">
        <f t="shared" si="2"/>
        <v>0</v>
      </c>
      <c r="BL14" s="449" t="b">
        <f t="shared" si="3"/>
        <v>0</v>
      </c>
      <c r="BM14" s="449" t="b">
        <f t="shared" si="4"/>
        <v>0</v>
      </c>
    </row>
    <row r="15" spans="1:65" ht="24" customHeight="1" x14ac:dyDescent="0.2">
      <c r="B15" s="223">
        <v>6</v>
      </c>
      <c r="C15" s="224">
        <f ca="1">Planning!$I12</f>
        <v>0.3923611111111111</v>
      </c>
      <c r="D15" s="225">
        <f ca="1">Planning!$J12</f>
        <v>3</v>
      </c>
      <c r="E15" s="226" t="str">
        <f ca="1">Planning!$N12</f>
        <v>Maibach 1822 eV</v>
      </c>
      <c r="F15" s="227" t="s">
        <v>4</v>
      </c>
      <c r="G15" s="226" t="str">
        <f ca="1">Planning!$P12</f>
        <v>Eintracht Frankfurt</v>
      </c>
      <c r="H15" s="228">
        <v>25</v>
      </c>
      <c r="I15" s="304" t="str">
        <f>Language!$E$90</f>
        <v xml:space="preserve"> - </v>
      </c>
      <c r="J15" s="325">
        <v>17</v>
      </c>
      <c r="K15" s="228">
        <v>25</v>
      </c>
      <c r="L15" s="437" t="str">
        <f>Language!$E$90</f>
        <v xml:space="preserve"> - </v>
      </c>
      <c r="M15" s="325">
        <v>22</v>
      </c>
      <c r="N15" s="228"/>
      <c r="O15" s="442" t="str">
        <f>Language!$E$90</f>
        <v xml:space="preserve"> - </v>
      </c>
      <c r="P15" s="443"/>
      <c r="Q15" s="444">
        <f t="shared" ca="1" si="5"/>
        <v>2</v>
      </c>
      <c r="R15" s="439" t="str">
        <f>Language!$E$90</f>
        <v xml:space="preserve"> - </v>
      </c>
      <c r="S15" s="440">
        <f t="shared" ca="1" si="6"/>
        <v>0</v>
      </c>
      <c r="T15" s="434" t="str">
        <f>IF(Planning!$Q12="","",Planning!$Q12)</f>
        <v/>
      </c>
      <c r="V15" s="206">
        <f ca="1">IF(Calc!$K$13=0,"",IF(VLOOKUP(Calc!B9,Calc!$C$4:$E$12,3,0)=MAX(V$10:V14),VLOOKUP(Calc!B9,Calc!$C$4:$E$12,3,0),Calc!B9))</f>
        <v>6</v>
      </c>
      <c r="W15" s="207" t="str">
        <f ca="1">IF(Calc!$K$13=0,Calc!$Q69,VLOOKUP(Calc!B9,Calc!$C$4:$N$12,4,0))</f>
        <v>SSV Wildbach</v>
      </c>
      <c r="X15" s="208">
        <f ca="1">IF(Calc!$K$13=0,"",VLOOKUP(Calc!B9,Calc!$C$4:$N$12,9,0))</f>
        <v>12</v>
      </c>
      <c r="Y15" s="185">
        <f ca="1">IF(Calc!$K$13=0,"",VLOOKUP(Calc!B9,Calc!$C$4:$N$12,10,0))</f>
        <v>2</v>
      </c>
      <c r="Z15" s="185">
        <f ca="1">IF(Calc!$K$13=0,"",VLOOKUP(Calc!B9,Calc!$C$4:$N$12,11,0))</f>
        <v>6</v>
      </c>
      <c r="AA15" s="209">
        <f ca="1">IF(Calc!$K$13=0,"",VLOOKUP(Calc!B9,Calc!$C$4:$N$12,12,0))</f>
        <v>4</v>
      </c>
      <c r="AB15" s="496">
        <f ca="1">IF(Calc!$K$13=0,"",VLOOKUP(Calc!B9,Calc!$C$4:$AT$12,44,0))</f>
        <v>10</v>
      </c>
      <c r="AC15" s="514" t="str">
        <f>Language!$E$90</f>
        <v xml:space="preserve"> - </v>
      </c>
      <c r="AD15" s="497">
        <f ca="1">IF(Calc!$K$13=0,"",VLOOKUP(Calc!B9,Calc!$C$4:$AS$12,43,0))</f>
        <v>15</v>
      </c>
      <c r="AE15" s="492">
        <f ca="1">IF(Calc!$K$13=0,"",AB15-AD15)</f>
        <v>-5</v>
      </c>
      <c r="AF15" s="496">
        <f ca="1">IF(Calc!$K$13=0,"",VLOOKUP(Calc!B9,Calc!$C$4:$N$12,5,0))</f>
        <v>519</v>
      </c>
      <c r="AG15" s="514" t="str">
        <f>Language!$E$90</f>
        <v xml:space="preserve"> - </v>
      </c>
      <c r="AH15" s="497">
        <f ca="1">IF(Calc!$K$13=0,"",VLOOKUP(Calc!B9,Calc!$C$4:$N$12,6,0))</f>
        <v>546</v>
      </c>
      <c r="AI15" s="208">
        <f ca="1">IF(Calc!$K$13=0,"",IF(VLOOKUP(Calc!B9,Calc!$C$4:$AV$12,46,0)=Settings!$F$24,"max",VLOOKUP(Calc!B9,Calc!$C$4:$AV$12,46,0)))</f>
        <v>0.95099999999999996</v>
      </c>
      <c r="AJ15" s="210">
        <f ca="1">IF(Calc!$K$13=0,"",VLOOKUP(Calc!B9,Calc!$C$4:$AT$12,Settings!$H$9,0))</f>
        <v>10</v>
      </c>
      <c r="AK15" s="342" t="str">
        <f ca="1">IFERROR(VLOOKUP($W15&amp;AK$9,Calc!$Z$64:$AE$207,Settings!$G$29,0),"")</f>
        <v>0 - 2</v>
      </c>
      <c r="AL15" s="344" t="str">
        <f ca="1">IFERROR(VLOOKUP($W15&amp;AL$9,Calc!$Z$64:$AE$207,Settings!$G$29,0),"")</f>
        <v>0 - 2</v>
      </c>
      <c r="AM15" s="344" t="str">
        <f ca="1">IFERROR(VLOOKUP($W15&amp;AM$9,Calc!$Z$64:$AE$207,Settings!$G$29,0),"")</f>
        <v>2 - 1</v>
      </c>
      <c r="AN15" s="344" t="str">
        <f ca="1">IFERROR(VLOOKUP($W15&amp;AN$9,Calc!$Z$64:$AE$207,Settings!$G$29,0),"")</f>
        <v>1 - 1</v>
      </c>
      <c r="AO15" s="344" t="str">
        <f ca="1">IFERROR(VLOOKUP($W15&amp;AO$9,Calc!$Z$64:$AE$207,Settings!$G$29,0),"")</f>
        <v>1 - 1</v>
      </c>
      <c r="AP15" s="343"/>
      <c r="AQ15" s="344" t="str">
        <f ca="1">IFERROR(VLOOKUP($W15&amp;AQ$9,Calc!$Z$64:$AE$207,Settings!$G$29,0),"")</f>
        <v>2 - 0</v>
      </c>
      <c r="AR15" s="344" t="str">
        <f ca="1">IFERROR(VLOOKUP($W15&amp;AR$9,Calc!$Z$64:$AE$207,Settings!$G$29,0),"")</f>
        <v/>
      </c>
      <c r="AS15" s="345" t="str">
        <f ca="1">IFERROR(VLOOKUP($W15&amp;AS$9,Calc!$Z$64:$AE$207,Settings!$G$29,0),"")</f>
        <v/>
      </c>
      <c r="AT15" s="342" t="str">
        <f ca="1">IFERROR(VLOOKUP($W15&amp;AT$9,Calc!$AC$64:$AE$207,Settings!$H$29,0),"")</f>
        <v>1 - 1</v>
      </c>
      <c r="AU15" s="344" t="str">
        <f ca="1">IFERROR(VLOOKUP($W15&amp;AU$9,Calc!$AC$64:$AE$207,Settings!$H$29,0),"")</f>
        <v>1 - 1</v>
      </c>
      <c r="AV15" s="344" t="str">
        <f ca="1">IFERROR(VLOOKUP($W15&amp;AV$9,Calc!$AC$64:$AE$207,Settings!$H$29,0),"")</f>
        <v>1 - 1</v>
      </c>
      <c r="AW15" s="344" t="str">
        <f ca="1">IFERROR(VLOOKUP($W15&amp;AW$9,Calc!$AC$64:$AE$207,Settings!$H$29,0),"")</f>
        <v>0 - 2</v>
      </c>
      <c r="AX15" s="344" t="str">
        <f ca="1">IFERROR(VLOOKUP($W15&amp;AX$9,Calc!$AC$64:$AE$207,Settings!$H$29,0),"")</f>
        <v>1 - 1</v>
      </c>
      <c r="AY15" s="343"/>
      <c r="AZ15" s="344" t="str">
        <f ca="1">IFERROR(VLOOKUP($W15&amp;AZ$9,Calc!$AC$64:$AE$207,Settings!$H$29,0),"")</f>
        <v>0 - 2</v>
      </c>
      <c r="BA15" s="344" t="str">
        <f ca="1">IFERROR(VLOOKUP($W15&amp;BA$9,Calc!$AC$64:$AE$207,Settings!$H$29,0),"")</f>
        <v/>
      </c>
      <c r="BB15" s="345" t="str">
        <f ca="1">IFERROR(VLOOKUP($W15&amp;BB$9,Calc!$AC$64:$AE$207,Settings!$H$29,0),"")</f>
        <v/>
      </c>
      <c r="BC15" s="211" t="str">
        <f t="shared" ca="1" si="7"/>
        <v>SSV Wildbach</v>
      </c>
      <c r="BG15" s="449" t="b">
        <f t="shared" ca="1" si="1"/>
        <v>0</v>
      </c>
      <c r="BH15" s="449" t="b">
        <f t="shared" si="8"/>
        <v>0</v>
      </c>
      <c r="BI15" s="449" t="b">
        <f t="shared" si="9"/>
        <v>0</v>
      </c>
      <c r="BJ15" s="449" t="b">
        <f t="shared" si="10"/>
        <v>0</v>
      </c>
      <c r="BK15" s="449" t="b">
        <f t="shared" si="2"/>
        <v>0</v>
      </c>
      <c r="BL15" s="449" t="b">
        <f t="shared" si="3"/>
        <v>0</v>
      </c>
      <c r="BM15" s="449" t="b">
        <f t="shared" si="4"/>
        <v>0</v>
      </c>
    </row>
    <row r="16" spans="1:65" ht="24" customHeight="1" x14ac:dyDescent="0.2">
      <c r="B16" s="223">
        <v>7</v>
      </c>
      <c r="C16" s="224">
        <f ca="1">Planning!$I13</f>
        <v>0.40972222222222221</v>
      </c>
      <c r="D16" s="225">
        <f ca="1">Planning!$J13</f>
        <v>1</v>
      </c>
      <c r="E16" s="226" t="str">
        <f ca="1">Planning!$N13</f>
        <v>1. FC Riedwald</v>
      </c>
      <c r="F16" s="227" t="s">
        <v>4</v>
      </c>
      <c r="G16" s="226" t="str">
        <f ca="1">Planning!$P13</f>
        <v>Inter Mailand</v>
      </c>
      <c r="H16" s="228">
        <v>23</v>
      </c>
      <c r="I16" s="304" t="str">
        <f>Language!$E$90</f>
        <v xml:space="preserve"> - </v>
      </c>
      <c r="J16" s="325">
        <v>25</v>
      </c>
      <c r="K16" s="228">
        <v>25</v>
      </c>
      <c r="L16" s="437" t="str">
        <f>Language!$E$90</f>
        <v xml:space="preserve"> - </v>
      </c>
      <c r="M16" s="325">
        <v>23</v>
      </c>
      <c r="N16" s="228">
        <v>14</v>
      </c>
      <c r="O16" s="442" t="str">
        <f>Language!$E$90</f>
        <v xml:space="preserve"> - </v>
      </c>
      <c r="P16" s="443">
        <v>16</v>
      </c>
      <c r="Q16" s="444">
        <f t="shared" ca="1" si="5"/>
        <v>1</v>
      </c>
      <c r="R16" s="439" t="str">
        <f>Language!$E$90</f>
        <v xml:space="preserve"> - </v>
      </c>
      <c r="S16" s="440">
        <f t="shared" ca="1" si="6"/>
        <v>2</v>
      </c>
      <c r="T16" s="434" t="str">
        <f>IF(Planning!$Q13="","",Planning!$Q13)</f>
        <v/>
      </c>
      <c r="V16" s="206">
        <f ca="1">IF(Calc!$K$13=0,"",IF(VLOOKUP(Calc!B10,Calc!$C$4:$E$12,3,0)=MAX(V$10:V15),VLOOKUP(Calc!B10,Calc!$C$4:$E$12,3,0),Calc!B10))</f>
        <v>7</v>
      </c>
      <c r="W16" s="207" t="str">
        <f ca="1">IF(Calc!$K$13=0,Calc!$Q70,VLOOKUP(Calc!B10,Calc!$C$4:$N$12,4,0))</f>
        <v>Inter Mailand</v>
      </c>
      <c r="X16" s="208">
        <f ca="1">IF(Calc!$K$13=0,"",VLOOKUP(Calc!B10,Calc!$C$4:$N$12,9,0))</f>
        <v>12</v>
      </c>
      <c r="Y16" s="185">
        <f ca="1">IF(Calc!$K$13=0,"",VLOOKUP(Calc!B10,Calc!$C$4:$N$12,10,0))</f>
        <v>3</v>
      </c>
      <c r="Z16" s="185">
        <f ca="1">IF(Calc!$K$13=0,"",VLOOKUP(Calc!B10,Calc!$C$4:$N$12,11,0))</f>
        <v>4</v>
      </c>
      <c r="AA16" s="209">
        <f ca="1">IF(Calc!$K$13=0,"",VLOOKUP(Calc!B10,Calc!$C$4:$N$12,12,0))</f>
        <v>5</v>
      </c>
      <c r="AB16" s="496">
        <f ca="1">IF(Calc!$K$13=0,"",VLOOKUP(Calc!B10,Calc!$C$4:$AT$12,44,0))</f>
        <v>10</v>
      </c>
      <c r="AC16" s="514" t="str">
        <f>Language!$E$90</f>
        <v xml:space="preserve"> - </v>
      </c>
      <c r="AD16" s="497">
        <f ca="1">IF(Calc!$K$13=0,"",VLOOKUP(Calc!B10,Calc!$C$4:$AS$12,43,0))</f>
        <v>15</v>
      </c>
      <c r="AE16" s="492">
        <f ca="1">IF(Calc!$K$13=0,"",AB16-AD16)</f>
        <v>-5</v>
      </c>
      <c r="AF16" s="496">
        <f ca="1">IF(Calc!$K$13=0,"",VLOOKUP(Calc!B10,Calc!$C$4:$N$12,5,0))</f>
        <v>524</v>
      </c>
      <c r="AG16" s="514" t="str">
        <f>Language!$E$90</f>
        <v xml:space="preserve"> - </v>
      </c>
      <c r="AH16" s="497">
        <f ca="1">IF(Calc!$K$13=0,"",VLOOKUP(Calc!B10,Calc!$C$4:$N$12,6,0))</f>
        <v>559</v>
      </c>
      <c r="AI16" s="208">
        <f ca="1">IF(Calc!$K$13=0,"",IF(VLOOKUP(Calc!B10,Calc!$C$4:$AV$12,46,0)=Settings!$F$24,"max",VLOOKUP(Calc!B10,Calc!$C$4:$AV$12,46,0)))</f>
        <v>0.93700000000000006</v>
      </c>
      <c r="AJ16" s="210">
        <f ca="1">IF(Calc!$K$13=0,"",VLOOKUP(Calc!B10,Calc!$C$4:$AT$12,Settings!$H$9,0))</f>
        <v>10</v>
      </c>
      <c r="AK16" s="342" t="str">
        <f ca="1">IFERROR(VLOOKUP($W16&amp;AK$9,Calc!$Z$64:$AE$207,Settings!$G$29,0),"")</f>
        <v>1 - 1</v>
      </c>
      <c r="AL16" s="344" t="str">
        <f ca="1">IFERROR(VLOOKUP($W16&amp;AL$9,Calc!$Z$64:$AE$207,Settings!$G$29,0),"")</f>
        <v>2 - 1</v>
      </c>
      <c r="AM16" s="344" t="str">
        <f ca="1">IFERROR(VLOOKUP($W16&amp;AM$9,Calc!$Z$64:$AE$207,Settings!$G$29,0),"")</f>
        <v>1 - 1</v>
      </c>
      <c r="AN16" s="344" t="str">
        <f ca="1">IFERROR(VLOOKUP($W16&amp;AN$9,Calc!$Z$64:$AE$207,Settings!$G$29,0),"")</f>
        <v>2 - 0</v>
      </c>
      <c r="AO16" s="344" t="str">
        <f ca="1">IFERROR(VLOOKUP($W16&amp;AO$9,Calc!$Z$64:$AE$207,Settings!$G$29,0),"")</f>
        <v>0 - 2</v>
      </c>
      <c r="AP16" s="344" t="str">
        <f ca="1">IFERROR(VLOOKUP($W16&amp;AP$9,Calc!$Z$64:$AE$207,Settings!$G$29,0),"")</f>
        <v>0 - 2</v>
      </c>
      <c r="AQ16" s="343"/>
      <c r="AR16" s="344" t="str">
        <f ca="1">IFERROR(VLOOKUP($W16&amp;AR$9,Calc!$Z$64:$AE$207,Settings!$G$29,0),"")</f>
        <v/>
      </c>
      <c r="AS16" s="345" t="str">
        <f ca="1">IFERROR(VLOOKUP($W16&amp;AS$9,Calc!$Z$64:$AE$207,Settings!$G$29,0),"")</f>
        <v/>
      </c>
      <c r="AT16" s="342" t="str">
        <f ca="1">IFERROR(VLOOKUP($W16&amp;AT$9,Calc!$AC$64:$AE$207,Settings!$H$29,0),"")</f>
        <v>0 - 2</v>
      </c>
      <c r="AU16" s="344" t="str">
        <f ca="1">IFERROR(VLOOKUP($W16&amp;AU$9,Calc!$AC$64:$AE$207,Settings!$H$29,0),"")</f>
        <v>1 - 1</v>
      </c>
      <c r="AV16" s="344" t="str">
        <f ca="1">IFERROR(VLOOKUP($W16&amp;AV$9,Calc!$AC$64:$AE$207,Settings!$H$29,0),"")</f>
        <v>0 - 2</v>
      </c>
      <c r="AW16" s="344" t="str">
        <f ca="1">IFERROR(VLOOKUP($W16&amp;AW$9,Calc!$AC$64:$AE$207,Settings!$H$29,0),"")</f>
        <v>1 - 1</v>
      </c>
      <c r="AX16" s="344" t="str">
        <f ca="1">IFERROR(VLOOKUP($W16&amp;AX$9,Calc!$AC$64:$AE$207,Settings!$H$29,0),"")</f>
        <v>0 - 2</v>
      </c>
      <c r="AY16" s="344" t="str">
        <f ca="1">IFERROR(VLOOKUP($W16&amp;AY$9,Calc!$AC$64:$AE$207,Settings!$H$29,0),"")</f>
        <v>2 - 0</v>
      </c>
      <c r="AZ16" s="343"/>
      <c r="BA16" s="344" t="str">
        <f ca="1">IFERROR(VLOOKUP($W16&amp;BA$9,Calc!$AC$64:$AE$207,Settings!$H$29,0),"")</f>
        <v/>
      </c>
      <c r="BB16" s="345" t="str">
        <f ca="1">IFERROR(VLOOKUP($W16&amp;BB$9,Calc!$AC$64:$AE$207,Settings!$H$29,0),"")</f>
        <v/>
      </c>
      <c r="BC16" s="211" t="str">
        <f t="shared" ca="1" si="7"/>
        <v>Inter Mailand</v>
      </c>
      <c r="BG16" s="449" t="b">
        <f t="shared" ca="1" si="1"/>
        <v>0</v>
      </c>
      <c r="BH16" s="449" t="b">
        <f t="shared" si="8"/>
        <v>0</v>
      </c>
      <c r="BI16" s="449" t="b">
        <f t="shared" si="9"/>
        <v>0</v>
      </c>
      <c r="BJ16" s="449" t="b">
        <f t="shared" si="10"/>
        <v>0</v>
      </c>
      <c r="BK16" s="449" t="b">
        <f t="shared" si="2"/>
        <v>0</v>
      </c>
      <c r="BL16" s="449" t="b">
        <f t="shared" si="3"/>
        <v>0</v>
      </c>
      <c r="BM16" s="449" t="b">
        <f t="shared" si="4"/>
        <v>0</v>
      </c>
    </row>
    <row r="17" spans="2:65" ht="24" customHeight="1" x14ac:dyDescent="0.2">
      <c r="B17" s="223">
        <v>8</v>
      </c>
      <c r="C17" s="224">
        <f ca="1">Planning!$I14</f>
        <v>0.40972222222222221</v>
      </c>
      <c r="D17" s="225">
        <f ca="1">Planning!$J14</f>
        <v>2</v>
      </c>
      <c r="E17" s="226" t="str">
        <f ca="1">Planning!$N14</f>
        <v>VFB Essenheim</v>
      </c>
      <c r="F17" s="227" t="s">
        <v>4</v>
      </c>
      <c r="G17" s="226" t="str">
        <f ca="1">Planning!$P14</f>
        <v>SSV Wildbach</v>
      </c>
      <c r="H17" s="228">
        <v>19</v>
      </c>
      <c r="I17" s="304" t="str">
        <f>Language!$E$90</f>
        <v xml:space="preserve"> - </v>
      </c>
      <c r="J17" s="325">
        <v>25</v>
      </c>
      <c r="K17" s="228">
        <v>25</v>
      </c>
      <c r="L17" s="437" t="str">
        <f>Language!$E$90</f>
        <v xml:space="preserve"> - </v>
      </c>
      <c r="M17" s="325">
        <v>17</v>
      </c>
      <c r="N17" s="228"/>
      <c r="O17" s="442" t="str">
        <f>Language!$E$90</f>
        <v xml:space="preserve"> - </v>
      </c>
      <c r="P17" s="443"/>
      <c r="Q17" s="444">
        <f t="shared" ca="1" si="5"/>
        <v>1</v>
      </c>
      <c r="R17" s="439" t="str">
        <f>Language!$E$90</f>
        <v xml:space="preserve"> - </v>
      </c>
      <c r="S17" s="440">
        <f t="shared" ca="1" si="6"/>
        <v>1</v>
      </c>
      <c r="T17" s="434" t="str">
        <f>IF(Planning!$Q14="","",Planning!$Q14)</f>
        <v/>
      </c>
      <c r="V17" s="206">
        <f ca="1">IF(Calc!$K$13=0,"",IF(VLOOKUP(Calc!B11,Calc!$C$4:$E$12,3,0)=MAX(V$10:V16),VLOOKUP(Calc!B11,Calc!$C$4:$E$12,3,0),Calc!B11))</f>
        <v>8</v>
      </c>
      <c r="W17" s="207" t="str">
        <f ca="1">IF(Calc!$K$13=0,Calc!$Q71,VLOOKUP(Calc!B11,Calc!$C$4:$N$12,4,0))</f>
        <v/>
      </c>
      <c r="X17" s="208">
        <f ca="1">IF(Calc!$K$13=0,"",VLOOKUP(Calc!B11,Calc!$C$4:$N$12,9,0))</f>
        <v>0</v>
      </c>
      <c r="Y17" s="185">
        <f ca="1">IF(Calc!$K$13=0,"",VLOOKUP(Calc!B11,Calc!$C$4:$N$12,10,0))</f>
        <v>0</v>
      </c>
      <c r="Z17" s="185">
        <f ca="1">IF(Calc!$K$13=0,"",VLOOKUP(Calc!B11,Calc!$C$4:$N$12,11,0))</f>
        <v>0</v>
      </c>
      <c r="AA17" s="209">
        <f ca="1">IF(Calc!$K$13=0,"",VLOOKUP(Calc!B11,Calc!$C$4:$N$12,12,0))</f>
        <v>0</v>
      </c>
      <c r="AB17" s="496">
        <f ca="1">IF(Calc!$K$13=0,"",VLOOKUP(Calc!B11,Calc!$C$4:$AT$12,44,0))</f>
        <v>0</v>
      </c>
      <c r="AC17" s="514" t="str">
        <f>Language!$E$90</f>
        <v xml:space="preserve"> - </v>
      </c>
      <c r="AD17" s="497">
        <f ca="1">IF(Calc!$K$13=0,"",VLOOKUP(Calc!B11,Calc!$C$4:$AS$12,43,0))</f>
        <v>0</v>
      </c>
      <c r="AE17" s="492">
        <f ca="1">IF(Calc!$K$13=0,"",AB17-AD17)</f>
        <v>0</v>
      </c>
      <c r="AF17" s="496">
        <f ca="1">IF(Calc!$K$13=0,"",VLOOKUP(Calc!B11,Calc!$C$4:$N$12,5,0))</f>
        <v>0</v>
      </c>
      <c r="AG17" s="514" t="str">
        <f>Language!$E$90</f>
        <v xml:space="preserve"> - </v>
      </c>
      <c r="AH17" s="497">
        <f ca="1">IF(Calc!$K$13=0,"",VLOOKUP(Calc!B11,Calc!$C$4:$N$12,6,0))</f>
        <v>0</v>
      </c>
      <c r="AI17" s="208">
        <f ca="1">IF(Calc!$K$13=0,"",IF(VLOOKUP(Calc!B11,Calc!$C$4:$AV$12,46,0)=Settings!$F$24,"max",VLOOKUP(Calc!B11,Calc!$C$4:$AV$12,46,0)))</f>
        <v>0</v>
      </c>
      <c r="AJ17" s="210">
        <f ca="1">IF(Calc!$K$13=0,"",VLOOKUP(Calc!B11,Calc!$C$4:$AT$12,Settings!$H$9,0))</f>
        <v>0</v>
      </c>
      <c r="AK17" s="342" t="str">
        <f ca="1">IFERROR(VLOOKUP($W17&amp;AK$9,Calc!$Z$64:$AE$207,Settings!$G$29,0),"")</f>
        <v/>
      </c>
      <c r="AL17" s="344" t="str">
        <f ca="1">IFERROR(VLOOKUP($W17&amp;AL$9,Calc!$Z$64:$AE$207,Settings!$G$29,0),"")</f>
        <v/>
      </c>
      <c r="AM17" s="344" t="str">
        <f ca="1">IFERROR(VLOOKUP($W17&amp;AM$9,Calc!$Z$64:$AE$207,Settings!$G$29,0),"")</f>
        <v/>
      </c>
      <c r="AN17" s="344" t="str">
        <f ca="1">IFERROR(VLOOKUP($W17&amp;AN$9,Calc!$Z$64:$AE$207,Settings!$G$29,0),"")</f>
        <v/>
      </c>
      <c r="AO17" s="344" t="str">
        <f ca="1">IFERROR(VLOOKUP($W17&amp;AO$9,Calc!$Z$64:$AE$207,Settings!$G$29,0),"")</f>
        <v/>
      </c>
      <c r="AP17" s="344" t="str">
        <f ca="1">IFERROR(VLOOKUP($W17&amp;AP$9,Calc!$Z$64:$AE$207,Settings!$G$29,0),"")</f>
        <v/>
      </c>
      <c r="AQ17" s="344" t="str">
        <f ca="1">IFERROR(VLOOKUP($W17&amp;AQ$9,Calc!$Z$64:$AE$207,Settings!$G$29,0),"")</f>
        <v/>
      </c>
      <c r="AR17" s="343"/>
      <c r="AS17" s="345" t="str">
        <f ca="1">IFERROR(VLOOKUP($W17&amp;AS$9,Calc!$Z$64:$AE$207,Settings!$G$29,0),"")</f>
        <v>1 - 1</v>
      </c>
      <c r="AT17" s="342" t="str">
        <f ca="1">IFERROR(VLOOKUP($W17&amp;AT$9,Calc!$AC$64:$AE$207,Settings!$H$29,0),"")</f>
        <v/>
      </c>
      <c r="AU17" s="344" t="str">
        <f ca="1">IFERROR(VLOOKUP($W17&amp;AU$9,Calc!$AC$64:$AE$207,Settings!$H$29,0),"")</f>
        <v/>
      </c>
      <c r="AV17" s="344" t="str">
        <f ca="1">IFERROR(VLOOKUP($W17&amp;AV$9,Calc!$AC$64:$AE$207,Settings!$H$29,0),"")</f>
        <v/>
      </c>
      <c r="AW17" s="344" t="str">
        <f ca="1">IFERROR(VLOOKUP($W17&amp;AW$9,Calc!$AC$64:$AE$207,Settings!$H$29,0),"")</f>
        <v/>
      </c>
      <c r="AX17" s="344" t="str">
        <f ca="1">IFERROR(VLOOKUP($W17&amp;AX$9,Calc!$AC$64:$AE$207,Settings!$H$29,0),"")</f>
        <v/>
      </c>
      <c r="AY17" s="344" t="str">
        <f ca="1">IFERROR(VLOOKUP($W17&amp;AY$9,Calc!$AC$64:$AE$207,Settings!$H$29,0),"")</f>
        <v/>
      </c>
      <c r="AZ17" s="344" t="str">
        <f ca="1">IFERROR(VLOOKUP($W17&amp;AZ$9,Calc!$AC$64:$AE$207,Settings!$H$29,0),"")</f>
        <v/>
      </c>
      <c r="BA17" s="343"/>
      <c r="BB17" s="345" t="str">
        <f ca="1">IFERROR(VLOOKUP($W17&amp;BB$9,Calc!$AC$64:$AE$207,Settings!$H$29,0),"")</f>
        <v>2 - 1</v>
      </c>
      <c r="BC17" s="211" t="str">
        <f t="shared" ca="1" si="7"/>
        <v/>
      </c>
      <c r="BG17" s="449" t="b">
        <f t="shared" ca="1" si="1"/>
        <v>0</v>
      </c>
      <c r="BH17" s="449" t="b">
        <f t="shared" si="8"/>
        <v>0</v>
      </c>
      <c r="BI17" s="449" t="b">
        <f t="shared" si="9"/>
        <v>0</v>
      </c>
      <c r="BJ17" s="449" t="b">
        <f t="shared" si="10"/>
        <v>0</v>
      </c>
      <c r="BK17" s="449" t="b">
        <f t="shared" si="2"/>
        <v>0</v>
      </c>
      <c r="BL17" s="449" t="b">
        <f t="shared" si="3"/>
        <v>0</v>
      </c>
      <c r="BM17" s="449" t="b">
        <f t="shared" si="4"/>
        <v>0</v>
      </c>
    </row>
    <row r="18" spans="2:65" ht="24" customHeight="1" thickBot="1" x14ac:dyDescent="0.25">
      <c r="B18" s="223">
        <v>9</v>
      </c>
      <c r="C18" s="224">
        <f ca="1">Planning!$I15</f>
        <v>0.40972222222222221</v>
      </c>
      <c r="D18" s="225">
        <f ca="1">Planning!$J15</f>
        <v>3</v>
      </c>
      <c r="E18" s="226" t="str">
        <f ca="1">Planning!$N15</f>
        <v>Eintracht Frankfurt</v>
      </c>
      <c r="F18" s="227" t="s">
        <v>4</v>
      </c>
      <c r="G18" s="226" t="str">
        <f ca="1">Planning!$P15</f>
        <v>FC Barcelona</v>
      </c>
      <c r="H18" s="228">
        <v>16</v>
      </c>
      <c r="I18" s="304" t="str">
        <f>Language!$E$90</f>
        <v xml:space="preserve"> - </v>
      </c>
      <c r="J18" s="325">
        <v>25</v>
      </c>
      <c r="K18" s="228">
        <v>25</v>
      </c>
      <c r="L18" s="437" t="str">
        <f>Language!$E$90</f>
        <v xml:space="preserve"> - </v>
      </c>
      <c r="M18" s="325">
        <v>14</v>
      </c>
      <c r="N18" s="228"/>
      <c r="O18" s="442" t="str">
        <f>Language!$E$90</f>
        <v xml:space="preserve"> - </v>
      </c>
      <c r="P18" s="443"/>
      <c r="Q18" s="444">
        <f t="shared" ca="1" si="5"/>
        <v>1</v>
      </c>
      <c r="R18" s="439" t="str">
        <f>Language!$E$90</f>
        <v xml:space="preserve"> - </v>
      </c>
      <c r="S18" s="440">
        <f t="shared" ca="1" si="6"/>
        <v>1</v>
      </c>
      <c r="T18" s="434" t="str">
        <f>IF(Planning!$Q15="","",Planning!$Q15)</f>
        <v/>
      </c>
      <c r="V18" s="212">
        <f ca="1">IF(Calc!$K$13=0,"",IF(VLOOKUP(Calc!B12,Calc!$C$4:$E$12,3,0)=MAX(V$10:V17),VLOOKUP(Calc!B12,Calc!$C$4:$E$12,3,0),Calc!B12))</f>
        <v>8</v>
      </c>
      <c r="W18" s="213" t="str">
        <f ca="1">IF(Calc!$K$13=0,Calc!$Q72,VLOOKUP(Calc!B12,Calc!$C$4:$N$12,4,0))</f>
        <v/>
      </c>
      <c r="X18" s="214">
        <f ca="1">IF(Calc!$K$13=0,"",VLOOKUP(Calc!B12,Calc!$C$4:$N$12,9,0))</f>
        <v>0</v>
      </c>
      <c r="Y18" s="215">
        <f ca="1">IF(Calc!$K$13=0,"",VLOOKUP(Calc!B12,Calc!$C$4:$N$12,10,0))</f>
        <v>0</v>
      </c>
      <c r="Z18" s="215">
        <f ca="1">IF(Calc!$K$13=0,"",VLOOKUP(Calc!B12,Calc!$C$4:$N$12,11,0))</f>
        <v>0</v>
      </c>
      <c r="AA18" s="216">
        <f ca="1">IF(Calc!$K$13=0,"",VLOOKUP(Calc!B12,Calc!$C$4:$N$12,12,0))</f>
        <v>0</v>
      </c>
      <c r="AB18" s="498">
        <f ca="1">IF(Calc!$K$13=0,"",VLOOKUP(Calc!B12,Calc!$C$4:$AT$12,44,0))</f>
        <v>0</v>
      </c>
      <c r="AC18" s="515" t="str">
        <f>Language!$E$90</f>
        <v xml:space="preserve"> - </v>
      </c>
      <c r="AD18" s="499">
        <f ca="1">IF(Calc!$K$13=0,"",VLOOKUP(Calc!B12,Calc!$C$4:$AS$12,43,0))</f>
        <v>0</v>
      </c>
      <c r="AE18" s="493">
        <f ca="1">IF(Calc!$K$13=0,"",AB18-AD18)</f>
        <v>0</v>
      </c>
      <c r="AF18" s="498">
        <f ca="1">IF(Calc!$K$13=0,"",VLOOKUP(Calc!B12,Calc!$C$4:$N$12,5,0))</f>
        <v>0</v>
      </c>
      <c r="AG18" s="515" t="str">
        <f>Language!$E$90</f>
        <v xml:space="preserve"> - </v>
      </c>
      <c r="AH18" s="499">
        <f ca="1">IF(Calc!$K$13=0,"",VLOOKUP(Calc!B12,Calc!$C$4:$N$12,6,0))</f>
        <v>0</v>
      </c>
      <c r="AI18" s="214">
        <f ca="1">IF(Calc!$K$13=0,"",IF(VLOOKUP(Calc!B12,Calc!$C$4:$AV$12,46,0)=Settings!$F$24,"max",VLOOKUP(Calc!B12,Calc!$C$4:$AV$12,46,0)))</f>
        <v>0</v>
      </c>
      <c r="AJ18" s="217">
        <f ca="1">IF(Calc!$K$13=0,"",VLOOKUP(Calc!B12,Calc!$C$4:$AT$12,Settings!$H$9,0))</f>
        <v>0</v>
      </c>
      <c r="AK18" s="346" t="str">
        <f ca="1">IFERROR(VLOOKUP($W18&amp;AK$9,Calc!$Z$64:$AE$207,Settings!$G$29,0),"")</f>
        <v/>
      </c>
      <c r="AL18" s="347" t="str">
        <f ca="1">IFERROR(VLOOKUP($W18&amp;AL$9,Calc!$Z$64:$AE$207,Settings!$G$29,0),"")</f>
        <v/>
      </c>
      <c r="AM18" s="347" t="str">
        <f ca="1">IFERROR(VLOOKUP($W18&amp;AM$9,Calc!$Z$64:$AE$207,Settings!$G$29,0),"")</f>
        <v/>
      </c>
      <c r="AN18" s="347" t="str">
        <f ca="1">IFERROR(VLOOKUP($W18&amp;AN$9,Calc!$Z$64:$AE$207,Settings!$G$29,0),"")</f>
        <v/>
      </c>
      <c r="AO18" s="347" t="str">
        <f ca="1">IFERROR(VLOOKUP($W18&amp;AO$9,Calc!$Z$64:$AE$207,Settings!$G$29,0),"")</f>
        <v/>
      </c>
      <c r="AP18" s="347" t="str">
        <f ca="1">IFERROR(VLOOKUP($W18&amp;AP$9,Calc!$Z$64:$AE$207,Settings!$G$29,0),"")</f>
        <v/>
      </c>
      <c r="AQ18" s="347" t="str">
        <f ca="1">IFERROR(VLOOKUP($W18&amp;AQ$9,Calc!$Z$64:$AE$207,Settings!$G$29,0),"")</f>
        <v/>
      </c>
      <c r="AR18" s="347" t="str">
        <f ca="1">IFERROR(VLOOKUP($W18&amp;AR$9,Calc!$Z$64:$AE$207,Settings!$G$29,0),"")</f>
        <v>1 - 1</v>
      </c>
      <c r="AS18" s="348"/>
      <c r="AT18" s="346" t="str">
        <f ca="1">IFERROR(VLOOKUP($W18&amp;AT$9,Calc!$AC$64:$AE$207,Settings!$H$29,0),"")</f>
        <v/>
      </c>
      <c r="AU18" s="347" t="str">
        <f ca="1">IFERROR(VLOOKUP($W18&amp;AU$9,Calc!$AC$64:$AE$207,Settings!$H$29,0),"")</f>
        <v/>
      </c>
      <c r="AV18" s="347" t="str">
        <f ca="1">IFERROR(VLOOKUP($W18&amp;AV$9,Calc!$AC$64:$AE$207,Settings!$H$29,0),"")</f>
        <v/>
      </c>
      <c r="AW18" s="347" t="str">
        <f ca="1">IFERROR(VLOOKUP($W18&amp;AW$9,Calc!$AC$64:$AE$207,Settings!$H$29,0),"")</f>
        <v/>
      </c>
      <c r="AX18" s="347" t="str">
        <f ca="1">IFERROR(VLOOKUP($W18&amp;AX$9,Calc!$AC$64:$AE$207,Settings!$H$29,0),"")</f>
        <v/>
      </c>
      <c r="AY18" s="347" t="str">
        <f ca="1">IFERROR(VLOOKUP($W18&amp;AY$9,Calc!$AC$64:$AE$207,Settings!$H$29,0),"")</f>
        <v/>
      </c>
      <c r="AZ18" s="347" t="str">
        <f ca="1">IFERROR(VLOOKUP($W18&amp;AZ$9,Calc!$AC$64:$AE$207,Settings!$H$29,0),"")</f>
        <v/>
      </c>
      <c r="BA18" s="347" t="str">
        <f ca="1">IFERROR(VLOOKUP($W18&amp;BA$9,Calc!$AC$64:$AE$207,Settings!$H$29,0),"")</f>
        <v>2 - 1</v>
      </c>
      <c r="BB18" s="348"/>
      <c r="BC18" s="218" t="str">
        <f t="shared" ca="1" si="7"/>
        <v/>
      </c>
      <c r="BG18" s="449" t="b">
        <f t="shared" ca="1" si="1"/>
        <v>0</v>
      </c>
      <c r="BH18" s="449" t="b">
        <f t="shared" si="8"/>
        <v>0</v>
      </c>
      <c r="BI18" s="449" t="b">
        <f t="shared" si="9"/>
        <v>0</v>
      </c>
      <c r="BJ18" s="449" t="b">
        <f t="shared" si="10"/>
        <v>0</v>
      </c>
      <c r="BK18" s="449" t="b">
        <f t="shared" si="2"/>
        <v>0</v>
      </c>
      <c r="BL18" s="449" t="b">
        <f t="shared" si="3"/>
        <v>0</v>
      </c>
      <c r="BM18" s="449" t="b">
        <f t="shared" si="4"/>
        <v>0</v>
      </c>
    </row>
    <row r="19" spans="2:65" ht="24" customHeight="1" thickTop="1" x14ac:dyDescent="0.4">
      <c r="B19" s="223">
        <v>10</v>
      </c>
      <c r="C19" s="224">
        <f ca="1">Planning!$I16</f>
        <v>0.42708333333333331</v>
      </c>
      <c r="D19" s="225">
        <f ca="1">Planning!$J16</f>
        <v>1</v>
      </c>
      <c r="E19" s="226" t="str">
        <f ca="1">Planning!$N16</f>
        <v>VFB Essenheim</v>
      </c>
      <c r="F19" s="227" t="s">
        <v>4</v>
      </c>
      <c r="G19" s="226" t="str">
        <f ca="1">Planning!$P16</f>
        <v>1. FC Riedwald</v>
      </c>
      <c r="H19" s="228">
        <v>14</v>
      </c>
      <c r="I19" s="304" t="str">
        <f>Language!$E$90</f>
        <v xml:space="preserve"> - </v>
      </c>
      <c r="J19" s="325">
        <v>25</v>
      </c>
      <c r="K19" s="228">
        <v>25</v>
      </c>
      <c r="L19" s="437" t="str">
        <f>Language!$E$90</f>
        <v xml:space="preserve"> - </v>
      </c>
      <c r="M19" s="325">
        <v>19</v>
      </c>
      <c r="N19" s="228"/>
      <c r="O19" s="442" t="str">
        <f>Language!$E$90</f>
        <v xml:space="preserve"> - </v>
      </c>
      <c r="P19" s="443"/>
      <c r="Q19" s="444">
        <f t="shared" ca="1" si="5"/>
        <v>1</v>
      </c>
      <c r="R19" s="439" t="str">
        <f>Language!$E$90</f>
        <v xml:space="preserve"> - </v>
      </c>
      <c r="S19" s="440">
        <f t="shared" ca="1" si="6"/>
        <v>1</v>
      </c>
      <c r="T19" s="434" t="str">
        <f>IF(Planning!$Q16="","",Planning!$Q16)</f>
        <v/>
      </c>
      <c r="AK19" s="629" t="str">
        <f>Language!$E$29</f>
        <v>INVALID TABLE</v>
      </c>
      <c r="AL19" s="629"/>
      <c r="AM19" s="629"/>
      <c r="AN19" s="629"/>
      <c r="AO19" s="629"/>
      <c r="AP19" s="629"/>
      <c r="AQ19" s="629"/>
      <c r="AR19" s="629"/>
      <c r="AS19" s="629"/>
      <c r="AT19" s="629" t="str">
        <f>Language!$E$29</f>
        <v>INVALID TABLE</v>
      </c>
      <c r="AU19" s="629"/>
      <c r="AV19" s="629"/>
      <c r="AW19" s="629"/>
      <c r="AX19" s="629"/>
      <c r="AY19" s="629"/>
      <c r="AZ19" s="629"/>
      <c r="BA19" s="629"/>
      <c r="BB19" s="629"/>
      <c r="BG19" s="449" t="b">
        <f t="shared" ca="1" si="1"/>
        <v>0</v>
      </c>
      <c r="BH19" s="449" t="b">
        <f t="shared" si="8"/>
        <v>0</v>
      </c>
      <c r="BI19" s="449" t="b">
        <f t="shared" si="9"/>
        <v>0</v>
      </c>
      <c r="BJ19" s="449" t="b">
        <f t="shared" si="10"/>
        <v>0</v>
      </c>
      <c r="BK19" s="449" t="b">
        <f t="shared" si="2"/>
        <v>0</v>
      </c>
      <c r="BL19" s="449" t="b">
        <f t="shared" si="3"/>
        <v>0</v>
      </c>
      <c r="BM19" s="449" t="b">
        <f t="shared" si="4"/>
        <v>0</v>
      </c>
    </row>
    <row r="20" spans="2:65" ht="24" customHeight="1" x14ac:dyDescent="0.2">
      <c r="B20" s="223">
        <v>11</v>
      </c>
      <c r="C20" s="224">
        <f ca="1">Planning!$I17</f>
        <v>0.42708333333333331</v>
      </c>
      <c r="D20" s="225">
        <f ca="1">Planning!$J17</f>
        <v>2</v>
      </c>
      <c r="E20" s="226" t="str">
        <f ca="1">Planning!$N17</f>
        <v>Maibach 1822 eV</v>
      </c>
      <c r="F20" s="227" t="s">
        <v>4</v>
      </c>
      <c r="G20" s="226" t="str">
        <f ca="1">Planning!$P17</f>
        <v>Inter Mailand</v>
      </c>
      <c r="H20" s="228">
        <v>22</v>
      </c>
      <c r="I20" s="304" t="str">
        <f>Language!$E$90</f>
        <v xml:space="preserve"> - </v>
      </c>
      <c r="J20" s="325">
        <v>25</v>
      </c>
      <c r="K20" s="228">
        <v>25</v>
      </c>
      <c r="L20" s="437" t="str">
        <f>Language!$E$90</f>
        <v xml:space="preserve"> - </v>
      </c>
      <c r="M20" s="325">
        <v>20</v>
      </c>
      <c r="N20" s="228"/>
      <c r="O20" s="442" t="str">
        <f>Language!$E$90</f>
        <v xml:space="preserve"> - </v>
      </c>
      <c r="P20" s="443"/>
      <c r="Q20" s="444">
        <f t="shared" ca="1" si="5"/>
        <v>1</v>
      </c>
      <c r="R20" s="439" t="str">
        <f>Language!$E$90</f>
        <v xml:space="preserve"> - </v>
      </c>
      <c r="S20" s="440">
        <f t="shared" ca="1" si="6"/>
        <v>1</v>
      </c>
      <c r="T20" s="434" t="str">
        <f>IF(Planning!$Q17="","",Planning!$Q17)</f>
        <v/>
      </c>
      <c r="BG20" s="449" t="b">
        <f t="shared" ca="1" si="1"/>
        <v>0</v>
      </c>
      <c r="BH20" s="449" t="b">
        <f t="shared" si="8"/>
        <v>0</v>
      </c>
      <c r="BI20" s="449" t="b">
        <f t="shared" si="9"/>
        <v>0</v>
      </c>
      <c r="BJ20" s="449" t="b">
        <f t="shared" si="10"/>
        <v>0</v>
      </c>
      <c r="BK20" s="449" t="b">
        <f t="shared" si="2"/>
        <v>0</v>
      </c>
      <c r="BL20" s="449" t="b">
        <f t="shared" si="3"/>
        <v>0</v>
      </c>
      <c r="BM20" s="449" t="b">
        <f t="shared" si="4"/>
        <v>0</v>
      </c>
    </row>
    <row r="21" spans="2:65" ht="24" customHeight="1" x14ac:dyDescent="0.2">
      <c r="B21" s="223">
        <v>12</v>
      </c>
      <c r="C21" s="224">
        <f ca="1">Planning!$I18</f>
        <v>0.42708333333333331</v>
      </c>
      <c r="D21" s="225">
        <f ca="1">Planning!$J18</f>
        <v>3</v>
      </c>
      <c r="E21" s="226" t="str">
        <f ca="1">Planning!$N18</f>
        <v>SSV Wildbach</v>
      </c>
      <c r="F21" s="227" t="s">
        <v>4</v>
      </c>
      <c r="G21" s="226" t="str">
        <f ca="1">Planning!$P18</f>
        <v>Eintracht Frankfurt</v>
      </c>
      <c r="H21" s="228">
        <v>15</v>
      </c>
      <c r="I21" s="304" t="str">
        <f>Language!$E$90</f>
        <v xml:space="preserve"> - </v>
      </c>
      <c r="J21" s="325">
        <v>25</v>
      </c>
      <c r="K21" s="228">
        <v>25</v>
      </c>
      <c r="L21" s="437" t="str">
        <f>Language!$E$90</f>
        <v xml:space="preserve"> - </v>
      </c>
      <c r="M21" s="325">
        <v>21</v>
      </c>
      <c r="N21" s="228"/>
      <c r="O21" s="442" t="str">
        <f>Language!$E$90</f>
        <v xml:space="preserve"> - </v>
      </c>
      <c r="P21" s="443"/>
      <c r="Q21" s="444">
        <f t="shared" ca="1" si="5"/>
        <v>1</v>
      </c>
      <c r="R21" s="439" t="str">
        <f>Language!$E$90</f>
        <v xml:space="preserve"> - </v>
      </c>
      <c r="S21" s="440">
        <f t="shared" ca="1" si="6"/>
        <v>1</v>
      </c>
      <c r="T21" s="434" t="str">
        <f>IF(Planning!$Q18="","",Planning!$Q18)</f>
        <v/>
      </c>
      <c r="BG21" s="449" t="b">
        <f t="shared" ca="1" si="1"/>
        <v>0</v>
      </c>
      <c r="BH21" s="449" t="b">
        <f t="shared" si="8"/>
        <v>0</v>
      </c>
      <c r="BI21" s="449" t="b">
        <f t="shared" si="9"/>
        <v>0</v>
      </c>
      <c r="BJ21" s="449" t="b">
        <f t="shared" si="10"/>
        <v>0</v>
      </c>
      <c r="BK21" s="449" t="b">
        <f t="shared" si="2"/>
        <v>0</v>
      </c>
      <c r="BL21" s="449" t="b">
        <f t="shared" si="3"/>
        <v>0</v>
      </c>
      <c r="BM21" s="449" t="b">
        <f t="shared" si="4"/>
        <v>0</v>
      </c>
    </row>
    <row r="22" spans="2:65" ht="24" customHeight="1" x14ac:dyDescent="0.2">
      <c r="B22" s="223">
        <v>13</v>
      </c>
      <c r="C22" s="224">
        <f ca="1">Planning!$I19</f>
        <v>0.44444444444444442</v>
      </c>
      <c r="D22" s="225">
        <f ca="1">Planning!$J19</f>
        <v>1</v>
      </c>
      <c r="E22" s="226" t="str">
        <f ca="1">Planning!$N19</f>
        <v>1. FC Riedwald</v>
      </c>
      <c r="F22" s="227" t="s">
        <v>4</v>
      </c>
      <c r="G22" s="226" t="str">
        <f ca="1">Planning!$P19</f>
        <v>Maibach 1822 eV</v>
      </c>
      <c r="H22" s="228">
        <v>17</v>
      </c>
      <c r="I22" s="304" t="str">
        <f>Language!$E$90</f>
        <v xml:space="preserve"> - </v>
      </c>
      <c r="J22" s="325">
        <v>25</v>
      </c>
      <c r="K22" s="228">
        <v>12</v>
      </c>
      <c r="L22" s="437" t="str">
        <f>Language!$E$90</f>
        <v xml:space="preserve"> - </v>
      </c>
      <c r="M22" s="325">
        <v>25</v>
      </c>
      <c r="N22" s="228"/>
      <c r="O22" s="442" t="str">
        <f>Language!$E$90</f>
        <v xml:space="preserve"> - </v>
      </c>
      <c r="P22" s="443"/>
      <c r="Q22" s="444">
        <f t="shared" ca="1" si="5"/>
        <v>0</v>
      </c>
      <c r="R22" s="439" t="str">
        <f>Language!$E$90</f>
        <v xml:space="preserve"> - </v>
      </c>
      <c r="S22" s="440">
        <f t="shared" ca="1" si="6"/>
        <v>2</v>
      </c>
      <c r="T22" s="434" t="str">
        <f>IF(Planning!$Q19="","",Planning!$Q19)</f>
        <v/>
      </c>
      <c r="BG22" s="449" t="b">
        <f t="shared" ca="1" si="1"/>
        <v>0</v>
      </c>
      <c r="BH22" s="449" t="b">
        <f t="shared" si="8"/>
        <v>0</v>
      </c>
      <c r="BI22" s="449" t="b">
        <f t="shared" si="9"/>
        <v>0</v>
      </c>
      <c r="BJ22" s="449" t="b">
        <f t="shared" si="10"/>
        <v>0</v>
      </c>
      <c r="BK22" s="449" t="b">
        <f t="shared" si="2"/>
        <v>0</v>
      </c>
      <c r="BL22" s="449" t="b">
        <f t="shared" si="3"/>
        <v>0</v>
      </c>
      <c r="BM22" s="449" t="b">
        <f t="shared" si="4"/>
        <v>0</v>
      </c>
    </row>
    <row r="23" spans="2:65" ht="24" customHeight="1" x14ac:dyDescent="0.2">
      <c r="B23" s="223">
        <v>14</v>
      </c>
      <c r="C23" s="224">
        <f ca="1">Planning!$I20</f>
        <v>0.44444444444444442</v>
      </c>
      <c r="D23" s="225">
        <f ca="1">Planning!$J20</f>
        <v>2</v>
      </c>
      <c r="E23" s="226" t="str">
        <f ca="1">Planning!$N20</f>
        <v>Eintracht Frankfurt</v>
      </c>
      <c r="F23" s="227" t="s">
        <v>4</v>
      </c>
      <c r="G23" s="226" t="str">
        <f ca="1">Planning!$P20</f>
        <v>VFB Essenheim</v>
      </c>
      <c r="H23" s="228">
        <v>25</v>
      </c>
      <c r="I23" s="304" t="str">
        <f>Language!$E$90</f>
        <v xml:space="preserve"> - </v>
      </c>
      <c r="J23" s="325">
        <v>19</v>
      </c>
      <c r="K23" s="228">
        <v>20</v>
      </c>
      <c r="L23" s="437" t="str">
        <f>Language!$E$90</f>
        <v xml:space="preserve"> - </v>
      </c>
      <c r="M23" s="325">
        <v>25</v>
      </c>
      <c r="N23" s="228"/>
      <c r="O23" s="442" t="str">
        <f>Language!$E$90</f>
        <v xml:space="preserve"> - </v>
      </c>
      <c r="P23" s="443"/>
      <c r="Q23" s="444">
        <f t="shared" ca="1" si="5"/>
        <v>1</v>
      </c>
      <c r="R23" s="439" t="str">
        <f>Language!$E$90</f>
        <v xml:space="preserve"> - </v>
      </c>
      <c r="S23" s="440">
        <f t="shared" ca="1" si="6"/>
        <v>1</v>
      </c>
      <c r="T23" s="434" t="str">
        <f>IF(Planning!$Q20="","",Planning!$Q20)</f>
        <v/>
      </c>
      <c r="BG23" s="449" t="b">
        <f t="shared" ca="1" si="1"/>
        <v>0</v>
      </c>
      <c r="BH23" s="449" t="b">
        <f t="shared" si="8"/>
        <v>0</v>
      </c>
      <c r="BI23" s="449" t="b">
        <f t="shared" si="9"/>
        <v>0</v>
      </c>
      <c r="BJ23" s="449" t="b">
        <f t="shared" si="10"/>
        <v>0</v>
      </c>
      <c r="BK23" s="449" t="b">
        <f t="shared" si="2"/>
        <v>0</v>
      </c>
      <c r="BL23" s="449" t="b">
        <f t="shared" si="3"/>
        <v>0</v>
      </c>
      <c r="BM23" s="449" t="b">
        <f t="shared" si="4"/>
        <v>0</v>
      </c>
    </row>
    <row r="24" spans="2:65" ht="24" customHeight="1" x14ac:dyDescent="0.2">
      <c r="B24" s="223">
        <v>15</v>
      </c>
      <c r="C24" s="224">
        <f ca="1">Planning!$I21</f>
        <v>0.44444444444444442</v>
      </c>
      <c r="D24" s="225">
        <f ca="1">Planning!$J21</f>
        <v>3</v>
      </c>
      <c r="E24" s="226" t="str">
        <f ca="1">Planning!$N21</f>
        <v>Inter Mailand</v>
      </c>
      <c r="F24" s="227" t="s">
        <v>4</v>
      </c>
      <c r="G24" s="226" t="str">
        <f ca="1">Planning!$P21</f>
        <v>FC Barcelona</v>
      </c>
      <c r="H24" s="228">
        <v>23</v>
      </c>
      <c r="I24" s="304" t="str">
        <f>Language!$E$90</f>
        <v xml:space="preserve"> - </v>
      </c>
      <c r="J24" s="325">
        <v>25</v>
      </c>
      <c r="K24" s="228">
        <v>25</v>
      </c>
      <c r="L24" s="437" t="str">
        <f>Language!$E$90</f>
        <v xml:space="preserve"> - </v>
      </c>
      <c r="M24" s="325">
        <v>15</v>
      </c>
      <c r="N24" s="228"/>
      <c r="O24" s="442" t="str">
        <f>Language!$E$90</f>
        <v xml:space="preserve"> - </v>
      </c>
      <c r="P24" s="443"/>
      <c r="Q24" s="444">
        <f t="shared" ca="1" si="5"/>
        <v>1</v>
      </c>
      <c r="R24" s="439" t="str">
        <f>Language!$E$90</f>
        <v xml:space="preserve"> - </v>
      </c>
      <c r="S24" s="440">
        <f t="shared" ca="1" si="6"/>
        <v>1</v>
      </c>
      <c r="T24" s="434" t="str">
        <f>IF(Planning!$Q21="","",Planning!$Q21)</f>
        <v/>
      </c>
      <c r="BG24" s="449" t="b">
        <f t="shared" ca="1" si="1"/>
        <v>0</v>
      </c>
      <c r="BH24" s="449" t="b">
        <f t="shared" si="8"/>
        <v>0</v>
      </c>
      <c r="BI24" s="449" t="b">
        <f t="shared" si="9"/>
        <v>0</v>
      </c>
      <c r="BJ24" s="449" t="b">
        <f t="shared" si="10"/>
        <v>0</v>
      </c>
      <c r="BK24" s="449" t="b">
        <f t="shared" si="2"/>
        <v>0</v>
      </c>
      <c r="BL24" s="449" t="b">
        <f t="shared" si="3"/>
        <v>0</v>
      </c>
      <c r="BM24" s="449" t="b">
        <f t="shared" si="4"/>
        <v>0</v>
      </c>
    </row>
    <row r="25" spans="2:65" ht="24" customHeight="1" x14ac:dyDescent="0.2">
      <c r="B25" s="223">
        <v>16</v>
      </c>
      <c r="C25" s="224">
        <f ca="1">Planning!$I22</f>
        <v>0.46180555555555558</v>
      </c>
      <c r="D25" s="225">
        <f ca="1">Planning!$J22</f>
        <v>1</v>
      </c>
      <c r="E25" s="226" t="str">
        <f ca="1">Planning!$N22</f>
        <v>Eintracht Frankfurt</v>
      </c>
      <c r="F25" s="227" t="s">
        <v>4</v>
      </c>
      <c r="G25" s="226" t="str">
        <f ca="1">Planning!$P22</f>
        <v>1. FC Riedwald</v>
      </c>
      <c r="H25" s="228">
        <v>20</v>
      </c>
      <c r="I25" s="304" t="str">
        <f>Language!$E$90</f>
        <v xml:space="preserve"> - </v>
      </c>
      <c r="J25" s="325">
        <v>25</v>
      </c>
      <c r="K25" s="228">
        <v>21</v>
      </c>
      <c r="L25" s="437" t="str">
        <f>Language!$E$90</f>
        <v xml:space="preserve"> - </v>
      </c>
      <c r="M25" s="325">
        <v>25</v>
      </c>
      <c r="N25" s="228"/>
      <c r="O25" s="442" t="str">
        <f>Language!$E$90</f>
        <v xml:space="preserve"> - </v>
      </c>
      <c r="P25" s="443"/>
      <c r="Q25" s="444">
        <f t="shared" ca="1" si="5"/>
        <v>0</v>
      </c>
      <c r="R25" s="439" t="str">
        <f>Language!$E$90</f>
        <v xml:space="preserve"> - </v>
      </c>
      <c r="S25" s="440">
        <f t="shared" ca="1" si="6"/>
        <v>2</v>
      </c>
      <c r="T25" s="434" t="str">
        <f>IF(Planning!$Q22="","",Planning!$Q22)</f>
        <v/>
      </c>
      <c r="BG25" s="449" t="b">
        <f t="shared" ca="1" si="1"/>
        <v>0</v>
      </c>
      <c r="BH25" s="449" t="b">
        <f t="shared" si="8"/>
        <v>0</v>
      </c>
      <c r="BI25" s="449" t="b">
        <f t="shared" si="9"/>
        <v>0</v>
      </c>
      <c r="BJ25" s="449" t="b">
        <f t="shared" si="10"/>
        <v>0</v>
      </c>
      <c r="BK25" s="449" t="b">
        <f t="shared" si="2"/>
        <v>0</v>
      </c>
      <c r="BL25" s="449" t="b">
        <f t="shared" si="3"/>
        <v>0</v>
      </c>
      <c r="BM25" s="449" t="b">
        <f t="shared" si="4"/>
        <v>0</v>
      </c>
    </row>
    <row r="26" spans="2:65" ht="24" customHeight="1" x14ac:dyDescent="0.2">
      <c r="B26" s="223">
        <v>17</v>
      </c>
      <c r="C26" s="224">
        <f ca="1">Planning!$I23</f>
        <v>0.46180555555555558</v>
      </c>
      <c r="D26" s="225">
        <f ca="1">Planning!$J23</f>
        <v>2</v>
      </c>
      <c r="E26" s="226" t="str">
        <f ca="1">Planning!$N23</f>
        <v>FC Barcelona</v>
      </c>
      <c r="F26" s="227" t="s">
        <v>4</v>
      </c>
      <c r="G26" s="226" t="str">
        <f ca="1">Planning!$P23</f>
        <v>Maibach 1822 eV</v>
      </c>
      <c r="H26" s="228">
        <v>25</v>
      </c>
      <c r="I26" s="304" t="str">
        <f>Language!$E$90</f>
        <v xml:space="preserve"> - </v>
      </c>
      <c r="J26" s="325">
        <v>20</v>
      </c>
      <c r="K26" s="228">
        <v>25</v>
      </c>
      <c r="L26" s="437" t="str">
        <f>Language!$E$90</f>
        <v xml:space="preserve"> - </v>
      </c>
      <c r="M26" s="325">
        <v>19</v>
      </c>
      <c r="N26" s="228"/>
      <c r="O26" s="442" t="str">
        <f>Language!$E$90</f>
        <v xml:space="preserve"> - </v>
      </c>
      <c r="P26" s="443"/>
      <c r="Q26" s="444">
        <f t="shared" ca="1" si="5"/>
        <v>2</v>
      </c>
      <c r="R26" s="439" t="str">
        <f>Language!$E$90</f>
        <v xml:space="preserve"> - </v>
      </c>
      <c r="S26" s="440">
        <f t="shared" ca="1" si="6"/>
        <v>0</v>
      </c>
      <c r="T26" s="434" t="str">
        <f>IF(Planning!$Q23="","",Planning!$Q23)</f>
        <v/>
      </c>
      <c r="BG26" s="449" t="b">
        <f t="shared" ca="1" si="1"/>
        <v>0</v>
      </c>
      <c r="BH26" s="449" t="b">
        <f t="shared" si="8"/>
        <v>0</v>
      </c>
      <c r="BI26" s="449" t="b">
        <f t="shared" si="9"/>
        <v>0</v>
      </c>
      <c r="BJ26" s="449" t="b">
        <f t="shared" si="10"/>
        <v>0</v>
      </c>
      <c r="BK26" s="449" t="b">
        <f t="shared" si="2"/>
        <v>0</v>
      </c>
      <c r="BL26" s="449" t="b">
        <f t="shared" si="3"/>
        <v>0</v>
      </c>
      <c r="BM26" s="449" t="b">
        <f t="shared" si="4"/>
        <v>0</v>
      </c>
    </row>
    <row r="27" spans="2:65" ht="24" customHeight="1" x14ac:dyDescent="0.2">
      <c r="B27" s="223">
        <v>18</v>
      </c>
      <c r="C27" s="224">
        <f ca="1">Planning!$I24</f>
        <v>0.46180555555555558</v>
      </c>
      <c r="D27" s="225">
        <f ca="1">Planning!$J24</f>
        <v>3</v>
      </c>
      <c r="E27" s="226" t="str">
        <f ca="1">Planning!$N24</f>
        <v>SSV Wildbach</v>
      </c>
      <c r="F27" s="227" t="s">
        <v>4</v>
      </c>
      <c r="G27" s="226" t="str">
        <f ca="1">Planning!$P24</f>
        <v>Inter Mailand</v>
      </c>
      <c r="H27" s="228">
        <v>25</v>
      </c>
      <c r="I27" s="304" t="str">
        <f>Language!$E$90</f>
        <v xml:space="preserve"> - </v>
      </c>
      <c r="J27" s="325">
        <v>12</v>
      </c>
      <c r="K27" s="228">
        <v>25</v>
      </c>
      <c r="L27" s="437" t="str">
        <f>Language!$E$90</f>
        <v xml:space="preserve"> - </v>
      </c>
      <c r="M27" s="325">
        <v>20</v>
      </c>
      <c r="N27" s="228"/>
      <c r="O27" s="442" t="str">
        <f>Language!$E$90</f>
        <v xml:space="preserve"> - </v>
      </c>
      <c r="P27" s="443"/>
      <c r="Q27" s="444">
        <f t="shared" ca="1" si="5"/>
        <v>2</v>
      </c>
      <c r="R27" s="439" t="str">
        <f>Language!$E$90</f>
        <v xml:space="preserve"> - </v>
      </c>
      <c r="S27" s="440">
        <f t="shared" ca="1" si="6"/>
        <v>0</v>
      </c>
      <c r="T27" s="434" t="str">
        <f>IF(Planning!$Q24="","",Planning!$Q24)</f>
        <v/>
      </c>
      <c r="BG27" s="449" t="b">
        <f t="shared" ca="1" si="1"/>
        <v>0</v>
      </c>
      <c r="BH27" s="449" t="b">
        <f t="shared" si="8"/>
        <v>0</v>
      </c>
      <c r="BI27" s="449" t="b">
        <f t="shared" si="9"/>
        <v>0</v>
      </c>
      <c r="BJ27" s="449" t="b">
        <f t="shared" si="10"/>
        <v>0</v>
      </c>
      <c r="BK27" s="449" t="b">
        <f t="shared" si="2"/>
        <v>0</v>
      </c>
      <c r="BL27" s="449" t="b">
        <f t="shared" si="3"/>
        <v>0</v>
      </c>
      <c r="BM27" s="449" t="b">
        <f t="shared" si="4"/>
        <v>0</v>
      </c>
    </row>
    <row r="28" spans="2:65" ht="24" customHeight="1" x14ac:dyDescent="0.2">
      <c r="B28" s="223">
        <v>19</v>
      </c>
      <c r="C28" s="224">
        <f ca="1">Planning!$I25</f>
        <v>0.47916666666666669</v>
      </c>
      <c r="D28" s="225">
        <f ca="1">Planning!$J25</f>
        <v>1</v>
      </c>
      <c r="E28" s="226" t="str">
        <f ca="1">Planning!$N25</f>
        <v>1. FC Riedwald</v>
      </c>
      <c r="F28" s="227" t="s">
        <v>4</v>
      </c>
      <c r="G28" s="226" t="str">
        <f ca="1">Planning!$P25</f>
        <v>FC Barcelona</v>
      </c>
      <c r="H28" s="228">
        <v>25</v>
      </c>
      <c r="I28" s="304" t="str">
        <f>Language!$E$90</f>
        <v xml:space="preserve"> - </v>
      </c>
      <c r="J28" s="325">
        <v>21</v>
      </c>
      <c r="K28" s="228">
        <v>25</v>
      </c>
      <c r="L28" s="437" t="str">
        <f>Language!$E$90</f>
        <v xml:space="preserve"> - </v>
      </c>
      <c r="M28" s="325">
        <v>20</v>
      </c>
      <c r="N28" s="228"/>
      <c r="O28" s="442" t="str">
        <f>Language!$E$90</f>
        <v xml:space="preserve"> - </v>
      </c>
      <c r="P28" s="443"/>
      <c r="Q28" s="444">
        <f t="shared" ca="1" si="5"/>
        <v>2</v>
      </c>
      <c r="R28" s="439" t="str">
        <f>Language!$E$90</f>
        <v xml:space="preserve"> - </v>
      </c>
      <c r="S28" s="440">
        <f t="shared" ca="1" si="6"/>
        <v>0</v>
      </c>
      <c r="T28" s="434" t="str">
        <f>IF(Planning!$Q25="","",Planning!$Q25)</f>
        <v/>
      </c>
      <c r="BG28" s="449" t="b">
        <f t="shared" ca="1" si="1"/>
        <v>0</v>
      </c>
      <c r="BH28" s="449" t="b">
        <f t="shared" si="8"/>
        <v>0</v>
      </c>
      <c r="BI28" s="449" t="b">
        <f t="shared" si="9"/>
        <v>0</v>
      </c>
      <c r="BJ28" s="449" t="b">
        <f t="shared" si="10"/>
        <v>0</v>
      </c>
      <c r="BK28" s="449" t="b">
        <f t="shared" si="2"/>
        <v>0</v>
      </c>
      <c r="BL28" s="449" t="b">
        <f t="shared" si="3"/>
        <v>0</v>
      </c>
      <c r="BM28" s="449" t="b">
        <f t="shared" si="4"/>
        <v>0</v>
      </c>
    </row>
    <row r="29" spans="2:65" ht="24" customHeight="1" x14ac:dyDescent="0.2">
      <c r="B29" s="223">
        <v>20</v>
      </c>
      <c r="C29" s="224">
        <f ca="1">Planning!$I26</f>
        <v>0.47916666666666669</v>
      </c>
      <c r="D29" s="225">
        <f ca="1">Planning!$J26</f>
        <v>2</v>
      </c>
      <c r="E29" s="226" t="str">
        <f ca="1">Planning!$N26</f>
        <v>Maibach 1822 eV</v>
      </c>
      <c r="F29" s="227" t="s">
        <v>4</v>
      </c>
      <c r="G29" s="226" t="str">
        <f ca="1">Planning!$P26</f>
        <v>SSV Wildbach</v>
      </c>
      <c r="H29" s="228">
        <v>25</v>
      </c>
      <c r="I29" s="304" t="str">
        <f>Language!$E$90</f>
        <v xml:space="preserve"> - </v>
      </c>
      <c r="J29" s="325">
        <v>23</v>
      </c>
      <c r="K29" s="228">
        <v>25</v>
      </c>
      <c r="L29" s="437" t="str">
        <f>Language!$E$90</f>
        <v xml:space="preserve"> - </v>
      </c>
      <c r="M29" s="325">
        <v>22</v>
      </c>
      <c r="N29" s="228"/>
      <c r="O29" s="442" t="str">
        <f>Language!$E$90</f>
        <v xml:space="preserve"> - </v>
      </c>
      <c r="P29" s="443"/>
      <c r="Q29" s="444">
        <f t="shared" ca="1" si="5"/>
        <v>2</v>
      </c>
      <c r="R29" s="439" t="str">
        <f>Language!$E$90</f>
        <v xml:space="preserve"> - </v>
      </c>
      <c r="S29" s="440">
        <f t="shared" ca="1" si="6"/>
        <v>0</v>
      </c>
      <c r="T29" s="434" t="str">
        <f>IF(Planning!$Q26="","",Planning!$Q26)</f>
        <v/>
      </c>
      <c r="BG29" s="449" t="b">
        <f t="shared" ca="1" si="1"/>
        <v>0</v>
      </c>
      <c r="BH29" s="449" t="b">
        <f t="shared" si="8"/>
        <v>0</v>
      </c>
      <c r="BI29" s="449" t="b">
        <f t="shared" si="9"/>
        <v>0</v>
      </c>
      <c r="BJ29" s="449" t="b">
        <f t="shared" si="10"/>
        <v>0</v>
      </c>
      <c r="BK29" s="449" t="b">
        <f t="shared" si="2"/>
        <v>0</v>
      </c>
      <c r="BL29" s="449" t="b">
        <f t="shared" si="3"/>
        <v>0</v>
      </c>
      <c r="BM29" s="449" t="b">
        <f t="shared" si="4"/>
        <v>0</v>
      </c>
    </row>
    <row r="30" spans="2:65" ht="24" customHeight="1" x14ac:dyDescent="0.4">
      <c r="B30" s="223">
        <v>21</v>
      </c>
      <c r="C30" s="224">
        <f ca="1">Planning!$I27</f>
        <v>0.47916666666666669</v>
      </c>
      <c r="D30" s="225">
        <f ca="1">Planning!$J27</f>
        <v>3</v>
      </c>
      <c r="E30" s="226" t="str">
        <f ca="1">Planning!$N27</f>
        <v>Inter Mailand</v>
      </c>
      <c r="F30" s="227" t="s">
        <v>4</v>
      </c>
      <c r="G30" s="226" t="str">
        <f ca="1">Planning!$P27</f>
        <v>VFB Essenheim</v>
      </c>
      <c r="H30" s="228">
        <v>25</v>
      </c>
      <c r="I30" s="304" t="str">
        <f>Language!$E$90</f>
        <v xml:space="preserve"> - </v>
      </c>
      <c r="J30" s="325">
        <v>18</v>
      </c>
      <c r="K30" s="228">
        <v>25</v>
      </c>
      <c r="L30" s="437" t="str">
        <f>Language!$E$90</f>
        <v xml:space="preserve"> - </v>
      </c>
      <c r="M30" s="325">
        <v>11</v>
      </c>
      <c r="N30" s="228"/>
      <c r="O30" s="442" t="str">
        <f>Language!$E$90</f>
        <v xml:space="preserve"> - </v>
      </c>
      <c r="P30" s="443"/>
      <c r="Q30" s="444">
        <f t="shared" ca="1" si="5"/>
        <v>2</v>
      </c>
      <c r="R30" s="439" t="str">
        <f>Language!$E$90</f>
        <v xml:space="preserve"> - </v>
      </c>
      <c r="S30" s="440">
        <f t="shared" ca="1" si="6"/>
        <v>0</v>
      </c>
      <c r="T30" s="434" t="str">
        <f>IF(Planning!$Q27="","",Planning!$Q27)</f>
        <v/>
      </c>
      <c r="AK30" s="628" t="str">
        <f>$AK$7</f>
        <v>First legs</v>
      </c>
      <c r="AL30" s="628"/>
      <c r="AM30" s="628"/>
      <c r="AN30" s="628"/>
      <c r="AO30" s="628"/>
      <c r="AP30" s="628"/>
      <c r="AQ30" s="628"/>
      <c r="AR30" s="628"/>
      <c r="AS30" s="628"/>
      <c r="AT30" s="628" t="str">
        <f>$AT$7</f>
        <v>Second legs</v>
      </c>
      <c r="AU30" s="628"/>
      <c r="AV30" s="628"/>
      <c r="AW30" s="628"/>
      <c r="AX30" s="628"/>
      <c r="AY30" s="628"/>
      <c r="AZ30" s="628"/>
      <c r="BA30" s="628"/>
      <c r="BB30" s="628"/>
      <c r="BG30" s="449" t="b">
        <f t="shared" ca="1" si="1"/>
        <v>0</v>
      </c>
      <c r="BH30" s="449" t="b">
        <f t="shared" si="8"/>
        <v>0</v>
      </c>
      <c r="BI30" s="449" t="b">
        <f t="shared" si="9"/>
        <v>0</v>
      </c>
      <c r="BJ30" s="449" t="b">
        <f t="shared" si="10"/>
        <v>0</v>
      </c>
      <c r="BK30" s="449" t="b">
        <f t="shared" si="2"/>
        <v>0</v>
      </c>
      <c r="BL30" s="449" t="b">
        <f t="shared" si="3"/>
        <v>0</v>
      </c>
      <c r="BM30" s="449" t="b">
        <f t="shared" si="4"/>
        <v>0</v>
      </c>
    </row>
    <row r="31" spans="2:65" ht="24" customHeight="1" thickBot="1" x14ac:dyDescent="0.25">
      <c r="B31" s="223">
        <v>22</v>
      </c>
      <c r="C31" s="224">
        <f ca="1">Planning!$I28</f>
        <v>0.49652777777777779</v>
      </c>
      <c r="D31" s="225">
        <f ca="1">Planning!$J28</f>
        <v>1</v>
      </c>
      <c r="E31" s="226" t="str">
        <f ca="1">Planning!$N28</f>
        <v>FC Barcelona</v>
      </c>
      <c r="F31" s="227" t="s">
        <v>4</v>
      </c>
      <c r="G31" s="226" t="str">
        <f ca="1">Planning!$P28</f>
        <v>SSV Wildbach</v>
      </c>
      <c r="H31" s="228">
        <v>19</v>
      </c>
      <c r="I31" s="304" t="str">
        <f>Language!$E$90</f>
        <v xml:space="preserve"> - </v>
      </c>
      <c r="J31" s="325">
        <v>25</v>
      </c>
      <c r="K31" s="228">
        <v>25</v>
      </c>
      <c r="L31" s="437" t="str">
        <f>Language!$E$90</f>
        <v xml:space="preserve"> - </v>
      </c>
      <c r="M31" s="325">
        <v>19</v>
      </c>
      <c r="N31" s="228"/>
      <c r="O31" s="442" t="str">
        <f>Language!$E$90</f>
        <v xml:space="preserve"> - </v>
      </c>
      <c r="P31" s="443"/>
      <c r="Q31" s="444">
        <f t="shared" ca="1" si="5"/>
        <v>1</v>
      </c>
      <c r="R31" s="439" t="str">
        <f>Language!$E$90</f>
        <v xml:space="preserve"> - </v>
      </c>
      <c r="S31" s="440">
        <f t="shared" ca="1" si="6"/>
        <v>1</v>
      </c>
      <c r="T31" s="434" t="str">
        <f>IF(Planning!$Q28="","",Planning!$Q28)</f>
        <v/>
      </c>
      <c r="V31" s="65" t="str">
        <f>Language!$E$13</f>
        <v>Total table (copy)</v>
      </c>
      <c r="BG31" s="449" t="b">
        <f t="shared" ca="1" si="1"/>
        <v>0</v>
      </c>
      <c r="BH31" s="449" t="b">
        <f t="shared" si="8"/>
        <v>0</v>
      </c>
      <c r="BI31" s="449" t="b">
        <f t="shared" si="9"/>
        <v>0</v>
      </c>
      <c r="BJ31" s="449" t="b">
        <f t="shared" si="10"/>
        <v>0</v>
      </c>
      <c r="BK31" s="449" t="b">
        <f t="shared" si="2"/>
        <v>0</v>
      </c>
      <c r="BL31" s="449" t="b">
        <f t="shared" si="3"/>
        <v>0</v>
      </c>
      <c r="BM31" s="449" t="b">
        <f t="shared" si="4"/>
        <v>0</v>
      </c>
    </row>
    <row r="32" spans="2:65" ht="24" customHeight="1" thickBot="1" x14ac:dyDescent="0.25">
      <c r="B32" s="223">
        <v>23</v>
      </c>
      <c r="C32" s="224">
        <f ca="1">Planning!$I29</f>
        <v>0.49652777777777779</v>
      </c>
      <c r="D32" s="225">
        <f ca="1">Planning!$J29</f>
        <v>2</v>
      </c>
      <c r="E32" s="226" t="str">
        <f ca="1">Planning!$N29</f>
        <v>Inter Mailand</v>
      </c>
      <c r="F32" s="227" t="s">
        <v>4</v>
      </c>
      <c r="G32" s="226" t="str">
        <f ca="1">Planning!$P29</f>
        <v>Eintracht Frankfurt</v>
      </c>
      <c r="H32" s="228">
        <v>17</v>
      </c>
      <c r="I32" s="304" t="str">
        <f>Language!$E$90</f>
        <v xml:space="preserve"> - </v>
      </c>
      <c r="J32" s="325">
        <v>25</v>
      </c>
      <c r="K32" s="228">
        <v>23</v>
      </c>
      <c r="L32" s="437" t="str">
        <f>Language!$E$90</f>
        <v xml:space="preserve"> - </v>
      </c>
      <c r="M32" s="325">
        <v>25</v>
      </c>
      <c r="N32" s="228"/>
      <c r="O32" s="442" t="str">
        <f>Language!$E$90</f>
        <v xml:space="preserve"> - </v>
      </c>
      <c r="P32" s="443"/>
      <c r="Q32" s="444">
        <f t="shared" ca="1" si="5"/>
        <v>0</v>
      </c>
      <c r="R32" s="439" t="str">
        <f>Language!$E$90</f>
        <v xml:space="preserve"> - </v>
      </c>
      <c r="S32" s="440">
        <f t="shared" ca="1" si="6"/>
        <v>2</v>
      </c>
      <c r="T32" s="434" t="str">
        <f>IF(Planning!$Q29="","",Planning!$Q29)</f>
        <v/>
      </c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186"/>
      <c r="AG32" s="186"/>
      <c r="AH32" s="186"/>
      <c r="AI32" s="186"/>
      <c r="AJ32" s="186"/>
      <c r="AK32" s="219" t="str">
        <f ca="1">AK8</f>
        <v>Maibach.</v>
      </c>
      <c r="AL32" s="220" t="str">
        <f t="shared" ref="AL32:BB32" ca="1" si="11">AL8</f>
        <v>1. FC R.</v>
      </c>
      <c r="AM32" s="220" t="str">
        <f t="shared" ca="1" si="11"/>
        <v>FC Barc.</v>
      </c>
      <c r="AN32" s="220" t="str">
        <f t="shared" ca="1" si="11"/>
        <v>VFB Ess.</v>
      </c>
      <c r="AO32" s="220" t="str">
        <f t="shared" ca="1" si="11"/>
        <v>Eintrac.</v>
      </c>
      <c r="AP32" s="220" t="str">
        <f t="shared" ca="1" si="11"/>
        <v>SSV Wil.</v>
      </c>
      <c r="AQ32" s="220" t="str">
        <f t="shared" ca="1" si="11"/>
        <v>Inter M.</v>
      </c>
      <c r="AR32" s="220" t="str">
        <f t="shared" ca="1" si="11"/>
        <v/>
      </c>
      <c r="AS32" s="221" t="str">
        <f t="shared" ca="1" si="11"/>
        <v/>
      </c>
      <c r="AT32" s="219" t="str">
        <f ca="1">AT8</f>
        <v>Maibach.</v>
      </c>
      <c r="AU32" s="220" t="str">
        <f t="shared" ca="1" si="11"/>
        <v>1. FC R.</v>
      </c>
      <c r="AV32" s="220" t="str">
        <f t="shared" ca="1" si="11"/>
        <v>FC Barc.</v>
      </c>
      <c r="AW32" s="220" t="str">
        <f t="shared" ca="1" si="11"/>
        <v>VFB Ess.</v>
      </c>
      <c r="AX32" s="220" t="str">
        <f t="shared" ca="1" si="11"/>
        <v>Eintrac.</v>
      </c>
      <c r="AY32" s="220" t="str">
        <f t="shared" ca="1" si="11"/>
        <v>SSV Wil.</v>
      </c>
      <c r="AZ32" s="220" t="str">
        <f t="shared" ca="1" si="11"/>
        <v>Inter M.</v>
      </c>
      <c r="BA32" s="220" t="str">
        <f t="shared" ca="1" si="11"/>
        <v/>
      </c>
      <c r="BB32" s="222" t="str">
        <f t="shared" ca="1" si="11"/>
        <v/>
      </c>
      <c r="BC32" s="191"/>
      <c r="BG32" s="449" t="b">
        <f t="shared" ca="1" si="1"/>
        <v>0</v>
      </c>
      <c r="BH32" s="449" t="b">
        <f t="shared" si="8"/>
        <v>0</v>
      </c>
      <c r="BI32" s="449" t="b">
        <f t="shared" si="9"/>
        <v>0</v>
      </c>
      <c r="BJ32" s="449" t="b">
        <f t="shared" si="10"/>
        <v>0</v>
      </c>
      <c r="BK32" s="449" t="b">
        <f t="shared" si="2"/>
        <v>0</v>
      </c>
      <c r="BL32" s="449" t="b">
        <f t="shared" si="3"/>
        <v>0</v>
      </c>
      <c r="BM32" s="449" t="b">
        <f t="shared" si="4"/>
        <v>0</v>
      </c>
    </row>
    <row r="33" spans="2:65" ht="24" customHeight="1" thickTop="1" thickBot="1" x14ac:dyDescent="0.25">
      <c r="B33" s="223">
        <v>24</v>
      </c>
      <c r="C33" s="224">
        <f ca="1">Planning!$I30</f>
        <v>0.49652777777777779</v>
      </c>
      <c r="D33" s="225">
        <f ca="1">Planning!$J30</f>
        <v>3</v>
      </c>
      <c r="E33" s="226" t="str">
        <f ca="1">Planning!$N30</f>
        <v>Maibach 1822 eV</v>
      </c>
      <c r="F33" s="227" t="s">
        <v>4</v>
      </c>
      <c r="G33" s="226" t="str">
        <f ca="1">Planning!$P30</f>
        <v>VFB Essenheim</v>
      </c>
      <c r="H33" s="228">
        <v>14</v>
      </c>
      <c r="I33" s="304" t="str">
        <f>Language!$E$90</f>
        <v xml:space="preserve"> - </v>
      </c>
      <c r="J33" s="325">
        <v>25</v>
      </c>
      <c r="K33" s="228">
        <v>25</v>
      </c>
      <c r="L33" s="437" t="str">
        <f>Language!$E$90</f>
        <v xml:space="preserve"> - </v>
      </c>
      <c r="M33" s="325">
        <v>19</v>
      </c>
      <c r="N33" s="228"/>
      <c r="O33" s="442" t="str">
        <f>Language!$E$90</f>
        <v xml:space="preserve"> - </v>
      </c>
      <c r="P33" s="443"/>
      <c r="Q33" s="444">
        <f t="shared" ca="1" si="5"/>
        <v>1</v>
      </c>
      <c r="R33" s="439" t="str">
        <f>Language!$E$90</f>
        <v xml:space="preserve"> - </v>
      </c>
      <c r="S33" s="440">
        <f t="shared" ca="1" si="6"/>
        <v>1</v>
      </c>
      <c r="T33" s="434" t="str">
        <f>IF(Planning!$Q30="","",Planning!$Q30)</f>
        <v/>
      </c>
      <c r="V33" s="644" t="str">
        <f ca="1">$V$9</f>
        <v>Complete</v>
      </c>
      <c r="W33" s="645"/>
      <c r="X33" s="192" t="str">
        <f>X9</f>
        <v>Pld</v>
      </c>
      <c r="Y33" s="193" t="str">
        <f>Y9</f>
        <v>W</v>
      </c>
      <c r="Z33" s="193" t="str">
        <f t="shared" ref="Z33:AA33" si="12">Z9</f>
        <v>D</v>
      </c>
      <c r="AA33" s="193" t="str">
        <f t="shared" si="12"/>
        <v>L</v>
      </c>
      <c r="AB33" s="649" t="str">
        <f>AB9</f>
        <v>sets</v>
      </c>
      <c r="AC33" s="650"/>
      <c r="AD33" s="651"/>
      <c r="AE33" s="479" t="str">
        <f>AE9</f>
        <v>GD</v>
      </c>
      <c r="AF33" s="646" t="str">
        <f>AF9</f>
        <v>balls</v>
      </c>
      <c r="AG33" s="647"/>
      <c r="AH33" s="648"/>
      <c r="AI33" s="193" t="str">
        <f>AI9</f>
        <v>Quot.</v>
      </c>
      <c r="AJ33" s="195" t="str">
        <f>AJ9</f>
        <v>Setpts.</v>
      </c>
      <c r="AK33" s="196" t="str">
        <f ca="1">AK9</f>
        <v>Maibach 1822 eV</v>
      </c>
      <c r="AL33" s="197" t="str">
        <f t="shared" ref="AL33:AS33" ca="1" si="13">AL9</f>
        <v>1. FC Riedwald</v>
      </c>
      <c r="AM33" s="197" t="str">
        <f t="shared" ca="1" si="13"/>
        <v>FC Barcelona</v>
      </c>
      <c r="AN33" s="197" t="str">
        <f t="shared" ca="1" si="13"/>
        <v>VFB Essenheim</v>
      </c>
      <c r="AO33" s="197" t="str">
        <f t="shared" ca="1" si="13"/>
        <v>Eintracht Frankfurt</v>
      </c>
      <c r="AP33" s="197" t="str">
        <f t="shared" ca="1" si="13"/>
        <v>SSV Wildbach</v>
      </c>
      <c r="AQ33" s="197" t="str">
        <f t="shared" ca="1" si="13"/>
        <v>Inter Mailand</v>
      </c>
      <c r="AR33" s="197" t="str">
        <f t="shared" ca="1" si="13"/>
        <v/>
      </c>
      <c r="AS33" s="198" t="str">
        <f t="shared" ca="1" si="13"/>
        <v/>
      </c>
      <c r="AT33" s="196" t="str">
        <f ca="1">AT9</f>
        <v>Maibach 1822 eV</v>
      </c>
      <c r="AU33" s="197" t="str">
        <f t="shared" ref="AU33:BB33" ca="1" si="14">AU9</f>
        <v>1. FC Riedwald</v>
      </c>
      <c r="AV33" s="197" t="str">
        <f t="shared" ca="1" si="14"/>
        <v>FC Barcelona</v>
      </c>
      <c r="AW33" s="197" t="str">
        <f t="shared" ca="1" si="14"/>
        <v>VFB Essenheim</v>
      </c>
      <c r="AX33" s="197" t="str">
        <f t="shared" ca="1" si="14"/>
        <v>Eintracht Frankfurt</v>
      </c>
      <c r="AY33" s="197" t="str">
        <f t="shared" ca="1" si="14"/>
        <v>SSV Wildbach</v>
      </c>
      <c r="AZ33" s="197" t="str">
        <f t="shared" ca="1" si="14"/>
        <v>Inter Mailand</v>
      </c>
      <c r="BA33" s="197" t="str">
        <f t="shared" ca="1" si="14"/>
        <v/>
      </c>
      <c r="BB33" s="198" t="str">
        <f t="shared" ca="1" si="14"/>
        <v/>
      </c>
      <c r="BC33" s="191"/>
      <c r="BG33" s="449" t="b">
        <f t="shared" ca="1" si="1"/>
        <v>0</v>
      </c>
      <c r="BH33" s="449" t="b">
        <f t="shared" si="8"/>
        <v>0</v>
      </c>
      <c r="BI33" s="449" t="b">
        <f t="shared" si="9"/>
        <v>0</v>
      </c>
      <c r="BJ33" s="449" t="b">
        <f t="shared" si="10"/>
        <v>0</v>
      </c>
      <c r="BK33" s="449" t="b">
        <f t="shared" si="2"/>
        <v>0</v>
      </c>
      <c r="BL33" s="449" t="b">
        <f t="shared" si="3"/>
        <v>0</v>
      </c>
      <c r="BM33" s="449" t="b">
        <f t="shared" si="4"/>
        <v>0</v>
      </c>
    </row>
    <row r="34" spans="2:65" ht="24" customHeight="1" x14ac:dyDescent="0.2">
      <c r="B34" s="223">
        <v>25</v>
      </c>
      <c r="C34" s="224">
        <f ca="1">Planning!$I31</f>
        <v>0.51388888888888884</v>
      </c>
      <c r="D34" s="225">
        <f ca="1">Planning!$J31</f>
        <v>1</v>
      </c>
      <c r="E34" s="226" t="str">
        <f ca="1">Planning!$N31</f>
        <v>1. FC Riedwald</v>
      </c>
      <c r="F34" s="227" t="s">
        <v>4</v>
      </c>
      <c r="G34" s="226" t="str">
        <f ca="1">Planning!$P31</f>
        <v>SSV Wildbach</v>
      </c>
      <c r="H34" s="228">
        <v>20</v>
      </c>
      <c r="I34" s="304" t="str">
        <f>Language!$E$90</f>
        <v xml:space="preserve"> - </v>
      </c>
      <c r="J34" s="325">
        <v>25</v>
      </c>
      <c r="K34" s="228">
        <v>25</v>
      </c>
      <c r="L34" s="437" t="str">
        <f>Language!$E$90</f>
        <v xml:space="preserve"> - </v>
      </c>
      <c r="M34" s="325">
        <v>20</v>
      </c>
      <c r="N34" s="228"/>
      <c r="O34" s="442" t="str">
        <f>Language!$E$90</f>
        <v xml:space="preserve"> - </v>
      </c>
      <c r="P34" s="443"/>
      <c r="Q34" s="444">
        <f t="shared" ca="1" si="5"/>
        <v>1</v>
      </c>
      <c r="R34" s="439" t="str">
        <f>Language!$E$90</f>
        <v xml:space="preserve"> - </v>
      </c>
      <c r="S34" s="440">
        <f t="shared" ca="1" si="6"/>
        <v>1</v>
      </c>
      <c r="T34" s="434" t="str">
        <f>IF(Planning!$Q31="","",Planning!$Q31)</f>
        <v/>
      </c>
      <c r="V34" s="199">
        <f ca="1">V10</f>
        <v>1</v>
      </c>
      <c r="W34" s="200" t="str">
        <f ca="1">IF(W10="","",W10)</f>
        <v>Maibach 1822 eV</v>
      </c>
      <c r="X34" s="201">
        <f t="shared" ref="X34:AJ34" ca="1" si="15">IF(X10="","",X10)</f>
        <v>12</v>
      </c>
      <c r="Y34" s="202">
        <f t="shared" ca="1" si="15"/>
        <v>5</v>
      </c>
      <c r="Z34" s="202">
        <f t="shared" ca="1" si="15"/>
        <v>5</v>
      </c>
      <c r="AA34" s="203">
        <f t="shared" ca="1" si="15"/>
        <v>2</v>
      </c>
      <c r="AB34" s="494">
        <f t="shared" ref="AB34:AD34" ca="1" si="16">IF(AB10="","",AB10)</f>
        <v>15</v>
      </c>
      <c r="AC34" s="513" t="str">
        <f t="shared" si="16"/>
        <v xml:space="preserve"> - </v>
      </c>
      <c r="AD34" s="495">
        <f t="shared" ca="1" si="16"/>
        <v>9</v>
      </c>
      <c r="AE34" s="491">
        <f t="shared" ca="1" si="15"/>
        <v>6</v>
      </c>
      <c r="AF34" s="494">
        <f t="shared" ca="1" si="15"/>
        <v>552</v>
      </c>
      <c r="AG34" s="513" t="str">
        <f t="shared" si="15"/>
        <v xml:space="preserve"> - </v>
      </c>
      <c r="AH34" s="495">
        <f t="shared" ca="1" si="15"/>
        <v>496</v>
      </c>
      <c r="AI34" s="201">
        <f t="shared" ca="1" si="15"/>
        <v>1.113</v>
      </c>
      <c r="AJ34" s="204">
        <f t="shared" ca="1" si="15"/>
        <v>15</v>
      </c>
      <c r="AK34" s="340"/>
      <c r="AL34" s="339" t="str">
        <f ca="1">IF(AL10="","",AL10)</f>
        <v>2 - 0</v>
      </c>
      <c r="AM34" s="339" t="str">
        <f t="shared" ref="AM34:AS34" ca="1" si="17">IF(AM10="","",AM10)</f>
        <v>0 - 2</v>
      </c>
      <c r="AN34" s="339" t="str">
        <f t="shared" ca="1" si="17"/>
        <v>0 - 2</v>
      </c>
      <c r="AO34" s="339" t="str">
        <f t="shared" ca="1" si="17"/>
        <v>2 - 0</v>
      </c>
      <c r="AP34" s="339" t="str">
        <f t="shared" ca="1" si="17"/>
        <v>2 - 0</v>
      </c>
      <c r="AQ34" s="339" t="str">
        <f t="shared" ca="1" si="17"/>
        <v>1 - 1</v>
      </c>
      <c r="AR34" s="339" t="str">
        <f t="shared" ca="1" si="17"/>
        <v/>
      </c>
      <c r="AS34" s="341" t="str">
        <f t="shared" ca="1" si="17"/>
        <v/>
      </c>
      <c r="AT34" s="340"/>
      <c r="AU34" s="339" t="str">
        <f ca="1">IF(AU10="","",AU10)</f>
        <v>1 - 1</v>
      </c>
      <c r="AV34" s="339" t="str">
        <f t="shared" ref="AV34:BB34" ca="1" si="18">IF(AV10="","",AV10)</f>
        <v>2 - 0</v>
      </c>
      <c r="AW34" s="339" t="str">
        <f t="shared" ca="1" si="18"/>
        <v>1 - 1</v>
      </c>
      <c r="AX34" s="339" t="str">
        <f t="shared" ca="1" si="18"/>
        <v>1 - 1</v>
      </c>
      <c r="AY34" s="339" t="str">
        <f t="shared" ca="1" si="18"/>
        <v>1 - 1</v>
      </c>
      <c r="AZ34" s="339" t="str">
        <f t="shared" ca="1" si="18"/>
        <v>2 - 0</v>
      </c>
      <c r="BA34" s="339" t="str">
        <f t="shared" ca="1" si="18"/>
        <v/>
      </c>
      <c r="BB34" s="341" t="str">
        <f t="shared" ca="1" si="18"/>
        <v/>
      </c>
      <c r="BC34" s="205" t="str">
        <f ca="1">BC10</f>
        <v>Maibach 1822 eV</v>
      </c>
      <c r="BG34" s="449" t="b">
        <f t="shared" ca="1" si="1"/>
        <v>0</v>
      </c>
      <c r="BH34" s="449" t="b">
        <f t="shared" si="8"/>
        <v>0</v>
      </c>
      <c r="BI34" s="449" t="b">
        <f t="shared" si="9"/>
        <v>0</v>
      </c>
      <c r="BJ34" s="449" t="b">
        <f t="shared" si="10"/>
        <v>0</v>
      </c>
      <c r="BK34" s="449" t="b">
        <f t="shared" si="2"/>
        <v>0</v>
      </c>
      <c r="BL34" s="449" t="b">
        <f t="shared" si="3"/>
        <v>0</v>
      </c>
      <c r="BM34" s="449" t="b">
        <f t="shared" si="4"/>
        <v>0</v>
      </c>
    </row>
    <row r="35" spans="2:65" ht="24" customHeight="1" x14ac:dyDescent="0.2">
      <c r="B35" s="223">
        <v>26</v>
      </c>
      <c r="C35" s="224">
        <f ca="1">Planning!$I32</f>
        <v>0.51388888888888884</v>
      </c>
      <c r="D35" s="225">
        <f ca="1">Planning!$J32</f>
        <v>2</v>
      </c>
      <c r="E35" s="226" t="str">
        <f ca="1">Planning!$N32</f>
        <v>VFB Essenheim</v>
      </c>
      <c r="F35" s="227" t="s">
        <v>4</v>
      </c>
      <c r="G35" s="226" t="str">
        <f ca="1">Planning!$P32</f>
        <v>FC Barcelona</v>
      </c>
      <c r="H35" s="228">
        <v>19</v>
      </c>
      <c r="I35" s="304" t="str">
        <f>Language!$E$90</f>
        <v xml:space="preserve"> - </v>
      </c>
      <c r="J35" s="325">
        <v>25</v>
      </c>
      <c r="K35" s="228">
        <v>25</v>
      </c>
      <c r="L35" s="437" t="str">
        <f>Language!$E$90</f>
        <v xml:space="preserve"> - </v>
      </c>
      <c r="M35" s="325">
        <v>21</v>
      </c>
      <c r="N35" s="228"/>
      <c r="O35" s="442" t="str">
        <f>Language!$E$90</f>
        <v xml:space="preserve"> - </v>
      </c>
      <c r="P35" s="443"/>
      <c r="Q35" s="444">
        <f t="shared" ca="1" si="5"/>
        <v>1</v>
      </c>
      <c r="R35" s="439" t="str">
        <f>Language!$E$90</f>
        <v xml:space="preserve"> - </v>
      </c>
      <c r="S35" s="440">
        <f t="shared" ca="1" si="6"/>
        <v>1</v>
      </c>
      <c r="T35" s="434" t="str">
        <f>IF(Planning!$Q32="","",Planning!$Q32)</f>
        <v/>
      </c>
      <c r="V35" s="206">
        <f ca="1">V11</f>
        <v>2</v>
      </c>
      <c r="W35" s="207" t="str">
        <f t="shared" ref="W35" ca="1" si="19">IF(W11="","",W11)</f>
        <v>1. FC Riedwald</v>
      </c>
      <c r="X35" s="208">
        <f t="shared" ref="X35:AJ35" ca="1" si="20">IF(X11="","",X11)</f>
        <v>12</v>
      </c>
      <c r="Y35" s="185">
        <f t="shared" ca="1" si="20"/>
        <v>4</v>
      </c>
      <c r="Z35" s="185">
        <f t="shared" ca="1" si="20"/>
        <v>5</v>
      </c>
      <c r="AA35" s="209">
        <f t="shared" ca="1" si="20"/>
        <v>3</v>
      </c>
      <c r="AB35" s="496">
        <f t="shared" ca="1" si="20"/>
        <v>14</v>
      </c>
      <c r="AC35" s="514" t="str">
        <f t="shared" si="20"/>
        <v xml:space="preserve"> - </v>
      </c>
      <c r="AD35" s="497">
        <f t="shared" ca="1" si="20"/>
        <v>11</v>
      </c>
      <c r="AE35" s="492">
        <f t="shared" ca="1" si="20"/>
        <v>3</v>
      </c>
      <c r="AF35" s="496">
        <f t="shared" ca="1" si="20"/>
        <v>553</v>
      </c>
      <c r="AG35" s="514" t="str">
        <f t="shared" si="20"/>
        <v xml:space="preserve"> - </v>
      </c>
      <c r="AH35" s="497">
        <f t="shared" ca="1" si="20"/>
        <v>545</v>
      </c>
      <c r="AI35" s="208">
        <f t="shared" ca="1" si="20"/>
        <v>1.0149999999999999</v>
      </c>
      <c r="AJ35" s="210">
        <f t="shared" ca="1" si="20"/>
        <v>14</v>
      </c>
      <c r="AK35" s="342" t="str">
        <f t="shared" ref="AK35:AL42" ca="1" si="21">IF(AK11="","",AK11)</f>
        <v>0 - 2</v>
      </c>
      <c r="AL35" s="343"/>
      <c r="AM35" s="344" t="str">
        <f t="shared" ref="AM35:AT35" ca="1" si="22">IF(AM11="","",AM11)</f>
        <v>2 - 0</v>
      </c>
      <c r="AN35" s="344" t="str">
        <f t="shared" ca="1" si="22"/>
        <v>1 - 1</v>
      </c>
      <c r="AO35" s="344" t="str">
        <f t="shared" ca="1" si="22"/>
        <v>2 - 0</v>
      </c>
      <c r="AP35" s="344" t="str">
        <f t="shared" ca="1" si="22"/>
        <v>2 - 0</v>
      </c>
      <c r="AQ35" s="344" t="str">
        <f t="shared" ca="1" si="22"/>
        <v>1 - 2</v>
      </c>
      <c r="AR35" s="344" t="str">
        <f t="shared" ca="1" si="22"/>
        <v/>
      </c>
      <c r="AS35" s="345" t="str">
        <f t="shared" ca="1" si="22"/>
        <v/>
      </c>
      <c r="AT35" s="342" t="str">
        <f t="shared" ca="1" si="22"/>
        <v>1 - 1</v>
      </c>
      <c r="AU35" s="343"/>
      <c r="AV35" s="344" t="str">
        <f t="shared" ref="AV35:BB35" ca="1" si="23">IF(AV11="","",AV11)</f>
        <v>0 - 2</v>
      </c>
      <c r="AW35" s="344" t="str">
        <f t="shared" ca="1" si="23"/>
        <v>1 - 1</v>
      </c>
      <c r="AX35" s="344" t="str">
        <f t="shared" ca="1" si="23"/>
        <v>2 - 0</v>
      </c>
      <c r="AY35" s="344" t="str">
        <f t="shared" ca="1" si="23"/>
        <v>1 - 1</v>
      </c>
      <c r="AZ35" s="344" t="str">
        <f t="shared" ca="1" si="23"/>
        <v>1 - 1</v>
      </c>
      <c r="BA35" s="344" t="str">
        <f t="shared" ca="1" si="23"/>
        <v/>
      </c>
      <c r="BB35" s="345" t="str">
        <f t="shared" ca="1" si="23"/>
        <v/>
      </c>
      <c r="BC35" s="211" t="str">
        <f t="shared" ref="BC35:BC42" ca="1" si="24">BC11</f>
        <v>1. FC Riedwald</v>
      </c>
      <c r="BG35" s="449" t="b">
        <f t="shared" ca="1" si="1"/>
        <v>0</v>
      </c>
      <c r="BH35" s="449" t="b">
        <f t="shared" si="8"/>
        <v>0</v>
      </c>
      <c r="BI35" s="449" t="b">
        <f t="shared" si="9"/>
        <v>0</v>
      </c>
      <c r="BJ35" s="449" t="b">
        <f t="shared" si="10"/>
        <v>0</v>
      </c>
      <c r="BK35" s="449" t="b">
        <f t="shared" si="2"/>
        <v>0</v>
      </c>
      <c r="BL35" s="449" t="b">
        <f t="shared" si="3"/>
        <v>0</v>
      </c>
      <c r="BM35" s="449" t="b">
        <f t="shared" si="4"/>
        <v>0</v>
      </c>
    </row>
    <row r="36" spans="2:65" ht="24" customHeight="1" x14ac:dyDescent="0.2">
      <c r="B36" s="223">
        <v>27</v>
      </c>
      <c r="C36" s="224">
        <f ca="1">Planning!$I33</f>
        <v>0.51388888888888884</v>
      </c>
      <c r="D36" s="225">
        <f ca="1">Planning!$J33</f>
        <v>3</v>
      </c>
      <c r="E36" s="226" t="str">
        <f ca="1">Planning!$N33</f>
        <v>Eintracht Frankfurt</v>
      </c>
      <c r="F36" s="227" t="s">
        <v>4</v>
      </c>
      <c r="G36" s="226" t="str">
        <f ca="1">Planning!$P33</f>
        <v>Maibach 1822 eV</v>
      </c>
      <c r="H36" s="228">
        <v>17</v>
      </c>
      <c r="I36" s="304" t="str">
        <f>Language!$E$90</f>
        <v xml:space="preserve"> - </v>
      </c>
      <c r="J36" s="325">
        <v>25</v>
      </c>
      <c r="K36" s="228">
        <v>25</v>
      </c>
      <c r="L36" s="437" t="str">
        <f>Language!$E$90</f>
        <v xml:space="preserve"> - </v>
      </c>
      <c r="M36" s="325">
        <v>22</v>
      </c>
      <c r="N36" s="228"/>
      <c r="O36" s="442" t="str">
        <f>Language!$E$90</f>
        <v xml:space="preserve"> - </v>
      </c>
      <c r="P36" s="443"/>
      <c r="Q36" s="444">
        <f t="shared" ca="1" si="5"/>
        <v>1</v>
      </c>
      <c r="R36" s="439" t="str">
        <f>Language!$E$90</f>
        <v xml:space="preserve"> - </v>
      </c>
      <c r="S36" s="440">
        <f t="shared" ca="1" si="6"/>
        <v>1</v>
      </c>
      <c r="T36" s="434" t="str">
        <f>IF(Planning!$Q33="","",Planning!$Q33)</f>
        <v/>
      </c>
      <c r="V36" s="206">
        <f t="shared" ref="V36:V41" ca="1" si="25">V12</f>
        <v>3</v>
      </c>
      <c r="W36" s="207" t="str">
        <f t="shared" ref="W36" ca="1" si="26">IF(W12="","",W12)</f>
        <v>FC Barcelona</v>
      </c>
      <c r="X36" s="208">
        <f t="shared" ref="X36:AJ36" ca="1" si="27">IF(X12="","",X12)</f>
        <v>12</v>
      </c>
      <c r="Y36" s="185">
        <f t="shared" ca="1" si="27"/>
        <v>4</v>
      </c>
      <c r="Z36" s="185">
        <f t="shared" ca="1" si="27"/>
        <v>4</v>
      </c>
      <c r="AA36" s="209">
        <f t="shared" ca="1" si="27"/>
        <v>4</v>
      </c>
      <c r="AB36" s="496">
        <f t="shared" ca="1" si="27"/>
        <v>13</v>
      </c>
      <c r="AC36" s="514" t="str">
        <f t="shared" si="27"/>
        <v xml:space="preserve"> - </v>
      </c>
      <c r="AD36" s="497">
        <f t="shared" ca="1" si="27"/>
        <v>12</v>
      </c>
      <c r="AE36" s="492">
        <f t="shared" ca="1" si="27"/>
        <v>1</v>
      </c>
      <c r="AF36" s="496">
        <f t="shared" ca="1" si="27"/>
        <v>537</v>
      </c>
      <c r="AG36" s="514" t="str">
        <f t="shared" si="27"/>
        <v xml:space="preserve"> - </v>
      </c>
      <c r="AH36" s="497">
        <f t="shared" ca="1" si="27"/>
        <v>545</v>
      </c>
      <c r="AI36" s="208">
        <f t="shared" ca="1" si="27"/>
        <v>0.98499999999999999</v>
      </c>
      <c r="AJ36" s="210">
        <f t="shared" ca="1" si="27"/>
        <v>13</v>
      </c>
      <c r="AK36" s="342" t="str">
        <f t="shared" ca="1" si="21"/>
        <v>2 - 0</v>
      </c>
      <c r="AL36" s="344" t="str">
        <f t="shared" ca="1" si="21"/>
        <v>0 - 2</v>
      </c>
      <c r="AM36" s="343"/>
      <c r="AN36" s="344" t="str">
        <f t="shared" ref="AN36:AU36" ca="1" si="28">IF(AN12="","",AN12)</f>
        <v>2 - 0</v>
      </c>
      <c r="AO36" s="344" t="str">
        <f t="shared" ca="1" si="28"/>
        <v>1 - 1</v>
      </c>
      <c r="AP36" s="344" t="str">
        <f t="shared" ca="1" si="28"/>
        <v>1 - 2</v>
      </c>
      <c r="AQ36" s="344" t="str">
        <f t="shared" ca="1" si="28"/>
        <v>1 - 1</v>
      </c>
      <c r="AR36" s="344" t="str">
        <f t="shared" ca="1" si="28"/>
        <v/>
      </c>
      <c r="AS36" s="345" t="str">
        <f t="shared" ca="1" si="28"/>
        <v/>
      </c>
      <c r="AT36" s="342" t="str">
        <f t="shared" ca="1" si="28"/>
        <v>0 - 2</v>
      </c>
      <c r="AU36" s="344" t="str">
        <f t="shared" ca="1" si="28"/>
        <v>2 - 0</v>
      </c>
      <c r="AV36" s="343"/>
      <c r="AW36" s="344" t="str">
        <f t="shared" ref="AW36:BB36" ca="1" si="29">IF(AW12="","",AW12)</f>
        <v>1 - 1</v>
      </c>
      <c r="AX36" s="344" t="str">
        <f t="shared" ca="1" si="29"/>
        <v>0 - 2</v>
      </c>
      <c r="AY36" s="344" t="str">
        <f t="shared" ca="1" si="29"/>
        <v>1 - 1</v>
      </c>
      <c r="AZ36" s="344" t="str">
        <f t="shared" ca="1" si="29"/>
        <v>2 - 0</v>
      </c>
      <c r="BA36" s="344" t="str">
        <f t="shared" ca="1" si="29"/>
        <v/>
      </c>
      <c r="BB36" s="345" t="str">
        <f t="shared" ca="1" si="29"/>
        <v/>
      </c>
      <c r="BC36" s="211" t="str">
        <f t="shared" ca="1" si="24"/>
        <v>FC Barcelona</v>
      </c>
      <c r="BG36" s="449" t="b">
        <f t="shared" ca="1" si="1"/>
        <v>0</v>
      </c>
      <c r="BH36" s="449" t="b">
        <f t="shared" si="8"/>
        <v>0</v>
      </c>
      <c r="BI36" s="449" t="b">
        <f t="shared" si="9"/>
        <v>0</v>
      </c>
      <c r="BJ36" s="449" t="b">
        <f t="shared" si="10"/>
        <v>0</v>
      </c>
      <c r="BK36" s="449" t="b">
        <f t="shared" si="2"/>
        <v>0</v>
      </c>
      <c r="BL36" s="449" t="b">
        <f t="shared" si="3"/>
        <v>0</v>
      </c>
      <c r="BM36" s="449" t="b">
        <f t="shared" si="4"/>
        <v>0</v>
      </c>
    </row>
    <row r="37" spans="2:65" ht="24" customHeight="1" x14ac:dyDescent="0.2">
      <c r="B37" s="223">
        <v>28</v>
      </c>
      <c r="C37" s="224">
        <f ca="1">Planning!$I34</f>
        <v>0.53125</v>
      </c>
      <c r="D37" s="225">
        <f ca="1">Planning!$J34</f>
        <v>1</v>
      </c>
      <c r="E37" s="226" t="str">
        <f ca="1">Planning!$N34</f>
        <v>Inter Mailand</v>
      </c>
      <c r="F37" s="227" t="s">
        <v>4</v>
      </c>
      <c r="G37" s="226" t="str">
        <f ca="1">Planning!$P34</f>
        <v>1. FC Riedwald</v>
      </c>
      <c r="H37" s="228">
        <v>19</v>
      </c>
      <c r="I37" s="304" t="str">
        <f>Language!$E$90</f>
        <v xml:space="preserve"> - </v>
      </c>
      <c r="J37" s="325">
        <v>25</v>
      </c>
      <c r="K37" s="228">
        <v>25</v>
      </c>
      <c r="L37" s="437" t="str">
        <f>Language!$E$90</f>
        <v xml:space="preserve"> - </v>
      </c>
      <c r="M37" s="325">
        <v>23</v>
      </c>
      <c r="N37" s="228"/>
      <c r="O37" s="442" t="str">
        <f>Language!$E$90</f>
        <v xml:space="preserve"> - </v>
      </c>
      <c r="P37" s="443"/>
      <c r="Q37" s="444">
        <f t="shared" ca="1" si="5"/>
        <v>1</v>
      </c>
      <c r="R37" s="439" t="str">
        <f>Language!$E$90</f>
        <v xml:space="preserve"> - </v>
      </c>
      <c r="S37" s="440">
        <f t="shared" ca="1" si="6"/>
        <v>1</v>
      </c>
      <c r="T37" s="434" t="str">
        <f>IF(Planning!$Q34="","",Planning!$Q34)</f>
        <v/>
      </c>
      <c r="V37" s="206">
        <f t="shared" ca="1" si="25"/>
        <v>4</v>
      </c>
      <c r="W37" s="207" t="str">
        <f t="shared" ref="W37" ca="1" si="30">IF(W13="","",W13)</f>
        <v>VFB Essenheim</v>
      </c>
      <c r="X37" s="208">
        <f t="shared" ref="X37:AJ37" ca="1" si="31">IF(X13="","",X13)</f>
        <v>12</v>
      </c>
      <c r="Y37" s="185">
        <f t="shared" ca="1" si="31"/>
        <v>2</v>
      </c>
      <c r="Z37" s="185">
        <f t="shared" ca="1" si="31"/>
        <v>8</v>
      </c>
      <c r="AA37" s="209">
        <f t="shared" ca="1" si="31"/>
        <v>2</v>
      </c>
      <c r="AB37" s="496">
        <f t="shared" ca="1" si="31"/>
        <v>12</v>
      </c>
      <c r="AC37" s="514" t="str">
        <f t="shared" si="31"/>
        <v xml:space="preserve"> - </v>
      </c>
      <c r="AD37" s="497">
        <f t="shared" ca="1" si="31"/>
        <v>12</v>
      </c>
      <c r="AE37" s="492">
        <f t="shared" ca="1" si="31"/>
        <v>0</v>
      </c>
      <c r="AF37" s="496">
        <f t="shared" ca="1" si="31"/>
        <v>524</v>
      </c>
      <c r="AG37" s="514" t="str">
        <f t="shared" si="31"/>
        <v xml:space="preserve"> - </v>
      </c>
      <c r="AH37" s="497">
        <f t="shared" ca="1" si="31"/>
        <v>521</v>
      </c>
      <c r="AI37" s="208">
        <f t="shared" ca="1" si="31"/>
        <v>1.006</v>
      </c>
      <c r="AJ37" s="210">
        <f t="shared" ca="1" si="31"/>
        <v>12</v>
      </c>
      <c r="AK37" s="342" t="str">
        <f t="shared" ca="1" si="21"/>
        <v>2 - 0</v>
      </c>
      <c r="AL37" s="344" t="str">
        <f t="shared" ca="1" si="21"/>
        <v>1 - 1</v>
      </c>
      <c r="AM37" s="344" t="str">
        <f t="shared" ref="AM37:AU37" ca="1" si="32">IF(AM13="","",AM13)</f>
        <v>0 - 2</v>
      </c>
      <c r="AN37" s="343"/>
      <c r="AO37" s="344" t="str">
        <f t="shared" ca="1" si="32"/>
        <v>1 - 1</v>
      </c>
      <c r="AP37" s="344" t="str">
        <f t="shared" ca="1" si="32"/>
        <v>1 - 1</v>
      </c>
      <c r="AQ37" s="344" t="str">
        <f t="shared" ca="1" si="32"/>
        <v>0 - 2</v>
      </c>
      <c r="AR37" s="344" t="str">
        <f t="shared" ca="1" si="32"/>
        <v/>
      </c>
      <c r="AS37" s="345" t="str">
        <f t="shared" ca="1" si="32"/>
        <v/>
      </c>
      <c r="AT37" s="342" t="str">
        <f t="shared" ca="1" si="32"/>
        <v>1 - 1</v>
      </c>
      <c r="AU37" s="344" t="str">
        <f t="shared" ca="1" si="32"/>
        <v>1 - 1</v>
      </c>
      <c r="AV37" s="344" t="str">
        <f t="shared" ref="AV37" ca="1" si="33">IF(AV13="","",AV13)</f>
        <v>1 - 1</v>
      </c>
      <c r="AW37" s="343"/>
      <c r="AX37" s="344" t="str">
        <f t="shared" ref="AX37:BB37" ca="1" si="34">IF(AX13="","",AX13)</f>
        <v>1 - 1</v>
      </c>
      <c r="AY37" s="344" t="str">
        <f t="shared" ca="1" si="34"/>
        <v>2 - 0</v>
      </c>
      <c r="AZ37" s="344" t="str">
        <f t="shared" ca="1" si="34"/>
        <v>1 - 1</v>
      </c>
      <c r="BA37" s="344" t="str">
        <f t="shared" ca="1" si="34"/>
        <v/>
      </c>
      <c r="BB37" s="345" t="str">
        <f t="shared" ca="1" si="34"/>
        <v/>
      </c>
      <c r="BC37" s="211" t="str">
        <f t="shared" ca="1" si="24"/>
        <v>VFB Essenheim</v>
      </c>
      <c r="BG37" s="449" t="b">
        <f t="shared" ca="1" si="1"/>
        <v>0</v>
      </c>
      <c r="BH37" s="449" t="b">
        <f t="shared" si="8"/>
        <v>0</v>
      </c>
      <c r="BI37" s="449" t="b">
        <f t="shared" si="9"/>
        <v>0</v>
      </c>
      <c r="BJ37" s="449" t="b">
        <f t="shared" si="10"/>
        <v>0</v>
      </c>
      <c r="BK37" s="449" t="b">
        <f t="shared" si="2"/>
        <v>0</v>
      </c>
      <c r="BL37" s="449" t="b">
        <f t="shared" si="3"/>
        <v>0</v>
      </c>
      <c r="BM37" s="449" t="b">
        <f t="shared" si="4"/>
        <v>0</v>
      </c>
    </row>
    <row r="38" spans="2:65" ht="24" customHeight="1" x14ac:dyDescent="0.2">
      <c r="B38" s="223">
        <v>29</v>
      </c>
      <c r="C38" s="224">
        <f ca="1">Planning!$I35</f>
        <v>0.53125</v>
      </c>
      <c r="D38" s="225">
        <f ca="1">Planning!$J35</f>
        <v>2</v>
      </c>
      <c r="E38" s="226" t="str">
        <f ca="1">Planning!$N35</f>
        <v>SSV Wildbach</v>
      </c>
      <c r="F38" s="227" t="s">
        <v>4</v>
      </c>
      <c r="G38" s="226" t="str">
        <f ca="1">Planning!$P35</f>
        <v>VFB Essenheim</v>
      </c>
      <c r="H38" s="228">
        <v>17</v>
      </c>
      <c r="I38" s="304" t="str">
        <f>Language!$E$90</f>
        <v xml:space="preserve"> - </v>
      </c>
      <c r="J38" s="325">
        <v>25</v>
      </c>
      <c r="K38" s="228">
        <v>17</v>
      </c>
      <c r="L38" s="437" t="str">
        <f>Language!$E$90</f>
        <v xml:space="preserve"> - </v>
      </c>
      <c r="M38" s="325">
        <v>25</v>
      </c>
      <c r="N38" s="228"/>
      <c r="O38" s="442" t="str">
        <f>Language!$E$90</f>
        <v xml:space="preserve"> - </v>
      </c>
      <c r="P38" s="443"/>
      <c r="Q38" s="444">
        <f t="shared" ca="1" si="5"/>
        <v>0</v>
      </c>
      <c r="R38" s="439" t="str">
        <f>Language!$E$90</f>
        <v xml:space="preserve"> - </v>
      </c>
      <c r="S38" s="440">
        <f t="shared" ca="1" si="6"/>
        <v>2</v>
      </c>
      <c r="T38" s="434" t="str">
        <f>IF(Planning!$Q35="","",Planning!$Q35)</f>
        <v/>
      </c>
      <c r="V38" s="206">
        <f t="shared" ca="1" si="25"/>
        <v>5</v>
      </c>
      <c r="W38" s="207" t="str">
        <f t="shared" ref="W38" ca="1" si="35">IF(W14="","",W14)</f>
        <v>Eintracht Frankfurt</v>
      </c>
      <c r="X38" s="208">
        <f t="shared" ref="X38:AJ38" ca="1" si="36">IF(X14="","",X14)</f>
        <v>12</v>
      </c>
      <c r="Y38" s="185">
        <f t="shared" ca="1" si="36"/>
        <v>3</v>
      </c>
      <c r="Z38" s="185">
        <f t="shared" ca="1" si="36"/>
        <v>6</v>
      </c>
      <c r="AA38" s="209">
        <f t="shared" ca="1" si="36"/>
        <v>3</v>
      </c>
      <c r="AB38" s="496">
        <f t="shared" ca="1" si="36"/>
        <v>12</v>
      </c>
      <c r="AC38" s="514" t="str">
        <f t="shared" si="36"/>
        <v xml:space="preserve"> - </v>
      </c>
      <c r="AD38" s="497">
        <f t="shared" ca="1" si="36"/>
        <v>12</v>
      </c>
      <c r="AE38" s="492">
        <f t="shared" ca="1" si="36"/>
        <v>0</v>
      </c>
      <c r="AF38" s="496">
        <f t="shared" ca="1" si="36"/>
        <v>535</v>
      </c>
      <c r="AG38" s="514" t="str">
        <f t="shared" si="36"/>
        <v xml:space="preserve"> - </v>
      </c>
      <c r="AH38" s="497">
        <f t="shared" ca="1" si="36"/>
        <v>532</v>
      </c>
      <c r="AI38" s="208">
        <f t="shared" ca="1" si="36"/>
        <v>1.006</v>
      </c>
      <c r="AJ38" s="210">
        <f t="shared" ca="1" si="36"/>
        <v>12</v>
      </c>
      <c r="AK38" s="342" t="str">
        <f t="shared" ca="1" si="21"/>
        <v>0 - 2</v>
      </c>
      <c r="AL38" s="344" t="str">
        <f t="shared" ca="1" si="21"/>
        <v>0 - 2</v>
      </c>
      <c r="AM38" s="344" t="str">
        <f t="shared" ref="AM38:AU38" ca="1" si="37">IF(AM14="","",AM14)</f>
        <v>1 - 1</v>
      </c>
      <c r="AN38" s="344" t="str">
        <f t="shared" ca="1" si="37"/>
        <v>1 - 1</v>
      </c>
      <c r="AO38" s="343"/>
      <c r="AP38" s="344" t="str">
        <f t="shared" ca="1" si="37"/>
        <v>1 - 1</v>
      </c>
      <c r="AQ38" s="344" t="str">
        <f t="shared" ca="1" si="37"/>
        <v>2 - 0</v>
      </c>
      <c r="AR38" s="344" t="str">
        <f t="shared" ca="1" si="37"/>
        <v/>
      </c>
      <c r="AS38" s="345" t="str">
        <f t="shared" ca="1" si="37"/>
        <v/>
      </c>
      <c r="AT38" s="342" t="str">
        <f t="shared" ca="1" si="37"/>
        <v>1 - 1</v>
      </c>
      <c r="AU38" s="344" t="str">
        <f t="shared" ca="1" si="37"/>
        <v>0 - 2</v>
      </c>
      <c r="AV38" s="344" t="str">
        <f t="shared" ref="AV38:AW38" ca="1" si="38">IF(AV14="","",AV14)</f>
        <v>2 - 0</v>
      </c>
      <c r="AW38" s="344" t="str">
        <f t="shared" ca="1" si="38"/>
        <v>1 - 1</v>
      </c>
      <c r="AX38" s="343"/>
      <c r="AY38" s="344" t="str">
        <f t="shared" ref="AY38:BB38" ca="1" si="39">IF(AY14="","",AY14)</f>
        <v>1 - 1</v>
      </c>
      <c r="AZ38" s="344" t="str">
        <f t="shared" ca="1" si="39"/>
        <v>2 - 0</v>
      </c>
      <c r="BA38" s="344" t="str">
        <f t="shared" ca="1" si="39"/>
        <v/>
      </c>
      <c r="BB38" s="345" t="str">
        <f t="shared" ca="1" si="39"/>
        <v/>
      </c>
      <c r="BC38" s="211" t="str">
        <f t="shared" ca="1" si="24"/>
        <v>Eintracht Frankfurt</v>
      </c>
      <c r="BG38" s="449" t="b">
        <f t="shared" ca="1" si="1"/>
        <v>0</v>
      </c>
      <c r="BH38" s="449" t="b">
        <f t="shared" si="8"/>
        <v>0</v>
      </c>
      <c r="BI38" s="449" t="b">
        <f t="shared" si="9"/>
        <v>0</v>
      </c>
      <c r="BJ38" s="449" t="b">
        <f t="shared" si="10"/>
        <v>0</v>
      </c>
      <c r="BK38" s="449" t="b">
        <f t="shared" si="2"/>
        <v>0</v>
      </c>
      <c r="BL38" s="449" t="b">
        <f t="shared" si="3"/>
        <v>0</v>
      </c>
      <c r="BM38" s="449" t="b">
        <f t="shared" si="4"/>
        <v>0</v>
      </c>
    </row>
    <row r="39" spans="2:65" ht="24" customHeight="1" x14ac:dyDescent="0.2">
      <c r="B39" s="223">
        <v>30</v>
      </c>
      <c r="C39" s="224">
        <f ca="1">Planning!$I36</f>
        <v>0.53125</v>
      </c>
      <c r="D39" s="225">
        <f ca="1">Planning!$J36</f>
        <v>3</v>
      </c>
      <c r="E39" s="226" t="str">
        <f ca="1">Planning!$N36</f>
        <v>FC Barcelona</v>
      </c>
      <c r="F39" s="227" t="s">
        <v>4</v>
      </c>
      <c r="G39" s="226" t="str">
        <f ca="1">Planning!$P36</f>
        <v>Eintracht Frankfurt</v>
      </c>
      <c r="H39" s="228">
        <v>14</v>
      </c>
      <c r="I39" s="304" t="str">
        <f>Language!$E$90</f>
        <v xml:space="preserve"> - </v>
      </c>
      <c r="J39" s="325">
        <v>25</v>
      </c>
      <c r="K39" s="228">
        <v>22</v>
      </c>
      <c r="L39" s="437" t="str">
        <f>Language!$E$90</f>
        <v xml:space="preserve"> - </v>
      </c>
      <c r="M39" s="325">
        <v>25</v>
      </c>
      <c r="N39" s="228"/>
      <c r="O39" s="442" t="str">
        <f>Language!$E$90</f>
        <v xml:space="preserve"> - </v>
      </c>
      <c r="P39" s="443"/>
      <c r="Q39" s="444">
        <f t="shared" ca="1" si="5"/>
        <v>0</v>
      </c>
      <c r="R39" s="439" t="str">
        <f>Language!$E$90</f>
        <v xml:space="preserve"> - </v>
      </c>
      <c r="S39" s="440">
        <f t="shared" ca="1" si="6"/>
        <v>2</v>
      </c>
      <c r="T39" s="434" t="str">
        <f>IF(Planning!$Q36="","",Planning!$Q36)</f>
        <v/>
      </c>
      <c r="V39" s="206">
        <f t="shared" ca="1" si="25"/>
        <v>6</v>
      </c>
      <c r="W39" s="207" t="str">
        <f t="shared" ref="W39" ca="1" si="40">IF(W15="","",W15)</f>
        <v>SSV Wildbach</v>
      </c>
      <c r="X39" s="208">
        <f t="shared" ref="X39:AJ39" ca="1" si="41">IF(X15="","",X15)</f>
        <v>12</v>
      </c>
      <c r="Y39" s="185">
        <f t="shared" ca="1" si="41"/>
        <v>2</v>
      </c>
      <c r="Z39" s="185">
        <f t="shared" ca="1" si="41"/>
        <v>6</v>
      </c>
      <c r="AA39" s="209">
        <f t="shared" ca="1" si="41"/>
        <v>4</v>
      </c>
      <c r="AB39" s="496">
        <f t="shared" ca="1" si="41"/>
        <v>10</v>
      </c>
      <c r="AC39" s="514" t="str">
        <f t="shared" si="41"/>
        <v xml:space="preserve"> - </v>
      </c>
      <c r="AD39" s="497">
        <f t="shared" ca="1" si="41"/>
        <v>15</v>
      </c>
      <c r="AE39" s="492">
        <f t="shared" ca="1" si="41"/>
        <v>-5</v>
      </c>
      <c r="AF39" s="496">
        <f t="shared" ca="1" si="41"/>
        <v>519</v>
      </c>
      <c r="AG39" s="514" t="str">
        <f t="shared" si="41"/>
        <v xml:space="preserve"> - </v>
      </c>
      <c r="AH39" s="497">
        <f t="shared" ca="1" si="41"/>
        <v>546</v>
      </c>
      <c r="AI39" s="208">
        <f t="shared" ca="1" si="41"/>
        <v>0.95099999999999996</v>
      </c>
      <c r="AJ39" s="210">
        <f t="shared" ca="1" si="41"/>
        <v>10</v>
      </c>
      <c r="AK39" s="342" t="str">
        <f t="shared" ca="1" si="21"/>
        <v>0 - 2</v>
      </c>
      <c r="AL39" s="344" t="str">
        <f t="shared" ca="1" si="21"/>
        <v>0 - 2</v>
      </c>
      <c r="AM39" s="344" t="str">
        <f t="shared" ref="AM39:AU39" ca="1" si="42">IF(AM15="","",AM15)</f>
        <v>2 - 1</v>
      </c>
      <c r="AN39" s="344" t="str">
        <f t="shared" ca="1" si="42"/>
        <v>1 - 1</v>
      </c>
      <c r="AO39" s="344" t="str">
        <f t="shared" ca="1" si="42"/>
        <v>1 - 1</v>
      </c>
      <c r="AP39" s="343"/>
      <c r="AQ39" s="344" t="str">
        <f t="shared" ca="1" si="42"/>
        <v>2 - 0</v>
      </c>
      <c r="AR39" s="344" t="str">
        <f t="shared" ca="1" si="42"/>
        <v/>
      </c>
      <c r="AS39" s="345" t="str">
        <f t="shared" ca="1" si="42"/>
        <v/>
      </c>
      <c r="AT39" s="342" t="str">
        <f t="shared" ca="1" si="42"/>
        <v>1 - 1</v>
      </c>
      <c r="AU39" s="344" t="str">
        <f t="shared" ca="1" si="42"/>
        <v>1 - 1</v>
      </c>
      <c r="AV39" s="344" t="str">
        <f t="shared" ref="AV39:AX39" ca="1" si="43">IF(AV15="","",AV15)</f>
        <v>1 - 1</v>
      </c>
      <c r="AW39" s="344" t="str">
        <f t="shared" ca="1" si="43"/>
        <v>0 - 2</v>
      </c>
      <c r="AX39" s="344" t="str">
        <f t="shared" ca="1" si="43"/>
        <v>1 - 1</v>
      </c>
      <c r="AY39" s="343"/>
      <c r="AZ39" s="344" t="str">
        <f t="shared" ref="AZ39:BB39" ca="1" si="44">IF(AZ15="","",AZ15)</f>
        <v>0 - 2</v>
      </c>
      <c r="BA39" s="344" t="str">
        <f t="shared" ca="1" si="44"/>
        <v/>
      </c>
      <c r="BB39" s="345" t="str">
        <f t="shared" ca="1" si="44"/>
        <v/>
      </c>
      <c r="BC39" s="211" t="str">
        <f t="shared" ca="1" si="24"/>
        <v>SSV Wildbach</v>
      </c>
      <c r="BG39" s="449" t="b">
        <f t="shared" ca="1" si="1"/>
        <v>0</v>
      </c>
      <c r="BH39" s="449" t="b">
        <f t="shared" si="8"/>
        <v>0</v>
      </c>
      <c r="BI39" s="449" t="b">
        <f t="shared" si="9"/>
        <v>0</v>
      </c>
      <c r="BJ39" s="449" t="b">
        <f t="shared" si="10"/>
        <v>0</v>
      </c>
      <c r="BK39" s="449" t="b">
        <f t="shared" si="2"/>
        <v>0</v>
      </c>
      <c r="BL39" s="449" t="b">
        <f t="shared" si="3"/>
        <v>0</v>
      </c>
      <c r="BM39" s="449" t="b">
        <f t="shared" si="4"/>
        <v>0</v>
      </c>
    </row>
    <row r="40" spans="2:65" ht="24" customHeight="1" x14ac:dyDescent="0.2">
      <c r="B40" s="223">
        <v>31</v>
      </c>
      <c r="C40" s="224">
        <f ca="1">Planning!$I37</f>
        <v>0.54861111111111116</v>
      </c>
      <c r="D40" s="225">
        <f ca="1">Planning!$J37</f>
        <v>1</v>
      </c>
      <c r="E40" s="226" t="str">
        <f ca="1">Planning!$N37</f>
        <v>1. FC Riedwald</v>
      </c>
      <c r="F40" s="227" t="s">
        <v>4</v>
      </c>
      <c r="G40" s="226" t="str">
        <f ca="1">Planning!$P37</f>
        <v>VFB Essenheim</v>
      </c>
      <c r="H40" s="228">
        <v>19</v>
      </c>
      <c r="I40" s="304" t="str">
        <f>Language!$E$90</f>
        <v xml:space="preserve"> - </v>
      </c>
      <c r="J40" s="325">
        <v>25</v>
      </c>
      <c r="K40" s="228">
        <v>25</v>
      </c>
      <c r="L40" s="437" t="str">
        <f>Language!$E$90</f>
        <v xml:space="preserve"> - </v>
      </c>
      <c r="M40" s="325">
        <v>21</v>
      </c>
      <c r="N40" s="228"/>
      <c r="O40" s="442" t="str">
        <f>Language!$E$90</f>
        <v xml:space="preserve"> - </v>
      </c>
      <c r="P40" s="443"/>
      <c r="Q40" s="444">
        <f t="shared" ca="1" si="5"/>
        <v>1</v>
      </c>
      <c r="R40" s="439" t="str">
        <f>Language!$E$90</f>
        <v xml:space="preserve"> - </v>
      </c>
      <c r="S40" s="440">
        <f t="shared" ca="1" si="6"/>
        <v>1</v>
      </c>
      <c r="T40" s="434" t="str">
        <f>IF(Planning!$Q37="","",Planning!$Q37)</f>
        <v/>
      </c>
      <c r="V40" s="206">
        <f t="shared" ca="1" si="25"/>
        <v>7</v>
      </c>
      <c r="W40" s="207" t="str">
        <f t="shared" ref="W40" ca="1" si="45">IF(W16="","",W16)</f>
        <v>Inter Mailand</v>
      </c>
      <c r="X40" s="208">
        <f t="shared" ref="X40:AJ40" ca="1" si="46">IF(X16="","",X16)</f>
        <v>12</v>
      </c>
      <c r="Y40" s="185">
        <f t="shared" ca="1" si="46"/>
        <v>3</v>
      </c>
      <c r="Z40" s="185">
        <f t="shared" ca="1" si="46"/>
        <v>4</v>
      </c>
      <c r="AA40" s="209">
        <f t="shared" ca="1" si="46"/>
        <v>5</v>
      </c>
      <c r="AB40" s="496">
        <f t="shared" ca="1" si="46"/>
        <v>10</v>
      </c>
      <c r="AC40" s="514" t="str">
        <f t="shared" si="46"/>
        <v xml:space="preserve"> - </v>
      </c>
      <c r="AD40" s="497">
        <f t="shared" ca="1" si="46"/>
        <v>15</v>
      </c>
      <c r="AE40" s="492">
        <f t="shared" ca="1" si="46"/>
        <v>-5</v>
      </c>
      <c r="AF40" s="496">
        <f t="shared" ca="1" si="46"/>
        <v>524</v>
      </c>
      <c r="AG40" s="514" t="str">
        <f t="shared" si="46"/>
        <v xml:space="preserve"> - </v>
      </c>
      <c r="AH40" s="497">
        <f t="shared" ca="1" si="46"/>
        <v>559</v>
      </c>
      <c r="AI40" s="208">
        <f t="shared" ca="1" si="46"/>
        <v>0.93700000000000006</v>
      </c>
      <c r="AJ40" s="210">
        <f t="shared" ca="1" si="46"/>
        <v>10</v>
      </c>
      <c r="AK40" s="342" t="str">
        <f t="shared" ca="1" si="21"/>
        <v>1 - 1</v>
      </c>
      <c r="AL40" s="344" t="str">
        <f t="shared" ca="1" si="21"/>
        <v>2 - 1</v>
      </c>
      <c r="AM40" s="344" t="str">
        <f t="shared" ref="AM40:AU40" ca="1" si="47">IF(AM16="","",AM16)</f>
        <v>1 - 1</v>
      </c>
      <c r="AN40" s="344" t="str">
        <f t="shared" ca="1" si="47"/>
        <v>2 - 0</v>
      </c>
      <c r="AO40" s="344" t="str">
        <f t="shared" ca="1" si="47"/>
        <v>0 - 2</v>
      </c>
      <c r="AP40" s="344" t="str">
        <f t="shared" ca="1" si="47"/>
        <v>0 - 2</v>
      </c>
      <c r="AQ40" s="343"/>
      <c r="AR40" s="344" t="str">
        <f t="shared" ca="1" si="47"/>
        <v/>
      </c>
      <c r="AS40" s="345" t="str">
        <f t="shared" ca="1" si="47"/>
        <v/>
      </c>
      <c r="AT40" s="342" t="str">
        <f t="shared" ca="1" si="47"/>
        <v>0 - 2</v>
      </c>
      <c r="AU40" s="344" t="str">
        <f t="shared" ca="1" si="47"/>
        <v>1 - 1</v>
      </c>
      <c r="AV40" s="344" t="str">
        <f t="shared" ref="AV40:AY40" ca="1" si="48">IF(AV16="","",AV16)</f>
        <v>0 - 2</v>
      </c>
      <c r="AW40" s="344" t="str">
        <f t="shared" ca="1" si="48"/>
        <v>1 - 1</v>
      </c>
      <c r="AX40" s="344" t="str">
        <f t="shared" ca="1" si="48"/>
        <v>0 - 2</v>
      </c>
      <c r="AY40" s="344" t="str">
        <f t="shared" ca="1" si="48"/>
        <v>2 - 0</v>
      </c>
      <c r="AZ40" s="343"/>
      <c r="BA40" s="344" t="str">
        <f t="shared" ref="BA40:BB40" ca="1" si="49">IF(BA16="","",BA16)</f>
        <v/>
      </c>
      <c r="BB40" s="345" t="str">
        <f t="shared" ca="1" si="49"/>
        <v/>
      </c>
      <c r="BC40" s="211" t="str">
        <f t="shared" ca="1" si="24"/>
        <v>Inter Mailand</v>
      </c>
      <c r="BG40" s="449" t="b">
        <f t="shared" ca="1" si="1"/>
        <v>0</v>
      </c>
      <c r="BH40" s="449" t="b">
        <f t="shared" si="8"/>
        <v>0</v>
      </c>
      <c r="BI40" s="449" t="b">
        <f t="shared" si="9"/>
        <v>0</v>
      </c>
      <c r="BJ40" s="449" t="b">
        <f t="shared" si="10"/>
        <v>0</v>
      </c>
      <c r="BK40" s="449" t="b">
        <f t="shared" si="2"/>
        <v>0</v>
      </c>
      <c r="BL40" s="449" t="b">
        <f t="shared" si="3"/>
        <v>0</v>
      </c>
      <c r="BM40" s="449" t="b">
        <f t="shared" si="4"/>
        <v>0</v>
      </c>
    </row>
    <row r="41" spans="2:65" ht="24" customHeight="1" x14ac:dyDescent="0.2">
      <c r="B41" s="223">
        <v>32</v>
      </c>
      <c r="C41" s="224">
        <f ca="1">Planning!$I38</f>
        <v>0.54861111111111116</v>
      </c>
      <c r="D41" s="225">
        <f ca="1">Planning!$J38</f>
        <v>2</v>
      </c>
      <c r="E41" s="226" t="str">
        <f ca="1">Planning!$N38</f>
        <v>Inter Mailand</v>
      </c>
      <c r="F41" s="227" t="s">
        <v>4</v>
      </c>
      <c r="G41" s="226" t="str">
        <f ca="1">Planning!$P38</f>
        <v>Maibach 1822 eV</v>
      </c>
      <c r="H41" s="228">
        <v>17</v>
      </c>
      <c r="I41" s="304" t="str">
        <f>Language!$E$90</f>
        <v xml:space="preserve"> - </v>
      </c>
      <c r="J41" s="325">
        <v>25</v>
      </c>
      <c r="K41" s="228">
        <v>12</v>
      </c>
      <c r="L41" s="437" t="str">
        <f>Language!$E$90</f>
        <v xml:space="preserve"> - </v>
      </c>
      <c r="M41" s="325">
        <v>25</v>
      </c>
      <c r="N41" s="228"/>
      <c r="O41" s="442" t="str">
        <f>Language!$E$90</f>
        <v xml:space="preserve"> - </v>
      </c>
      <c r="P41" s="443"/>
      <c r="Q41" s="444">
        <f t="shared" ca="1" si="5"/>
        <v>0</v>
      </c>
      <c r="R41" s="439" t="str">
        <f>Language!$E$90</f>
        <v xml:space="preserve"> - </v>
      </c>
      <c r="S41" s="440">
        <f t="shared" ca="1" si="6"/>
        <v>2</v>
      </c>
      <c r="T41" s="434" t="str">
        <f>IF(Planning!$Q38="","",Planning!$Q38)</f>
        <v/>
      </c>
      <c r="V41" s="206">
        <f t="shared" ca="1" si="25"/>
        <v>8</v>
      </c>
      <c r="W41" s="207" t="str">
        <f t="shared" ref="W41" ca="1" si="50">IF(W17="","",W17)</f>
        <v/>
      </c>
      <c r="X41" s="208">
        <f t="shared" ref="X41:AJ41" ca="1" si="51">IF(X17="","",X17)</f>
        <v>0</v>
      </c>
      <c r="Y41" s="185">
        <f t="shared" ca="1" si="51"/>
        <v>0</v>
      </c>
      <c r="Z41" s="185">
        <f t="shared" ca="1" si="51"/>
        <v>0</v>
      </c>
      <c r="AA41" s="209">
        <f t="shared" ca="1" si="51"/>
        <v>0</v>
      </c>
      <c r="AB41" s="496">
        <f t="shared" ca="1" si="51"/>
        <v>0</v>
      </c>
      <c r="AC41" s="514" t="str">
        <f t="shared" si="51"/>
        <v xml:space="preserve"> - </v>
      </c>
      <c r="AD41" s="497">
        <f t="shared" ca="1" si="51"/>
        <v>0</v>
      </c>
      <c r="AE41" s="492">
        <f t="shared" ca="1" si="51"/>
        <v>0</v>
      </c>
      <c r="AF41" s="496">
        <f t="shared" ca="1" si="51"/>
        <v>0</v>
      </c>
      <c r="AG41" s="514" t="str">
        <f t="shared" si="51"/>
        <v xml:space="preserve"> - </v>
      </c>
      <c r="AH41" s="497">
        <f t="shared" ca="1" si="51"/>
        <v>0</v>
      </c>
      <c r="AI41" s="208">
        <f t="shared" ca="1" si="51"/>
        <v>0</v>
      </c>
      <c r="AJ41" s="210">
        <f t="shared" ca="1" si="51"/>
        <v>0</v>
      </c>
      <c r="AK41" s="342" t="str">
        <f t="shared" ca="1" si="21"/>
        <v/>
      </c>
      <c r="AL41" s="344" t="str">
        <f t="shared" ca="1" si="21"/>
        <v/>
      </c>
      <c r="AM41" s="344" t="str">
        <f t="shared" ref="AM41:AU41" ca="1" si="52">IF(AM17="","",AM17)</f>
        <v/>
      </c>
      <c r="AN41" s="344" t="str">
        <f t="shared" ca="1" si="52"/>
        <v/>
      </c>
      <c r="AO41" s="344" t="str">
        <f t="shared" ca="1" si="52"/>
        <v/>
      </c>
      <c r="AP41" s="344" t="str">
        <f t="shared" ca="1" si="52"/>
        <v/>
      </c>
      <c r="AQ41" s="344" t="str">
        <f t="shared" ca="1" si="52"/>
        <v/>
      </c>
      <c r="AR41" s="343"/>
      <c r="AS41" s="345" t="str">
        <f t="shared" ca="1" si="52"/>
        <v>1 - 1</v>
      </c>
      <c r="AT41" s="342" t="str">
        <f t="shared" ca="1" si="52"/>
        <v/>
      </c>
      <c r="AU41" s="344" t="str">
        <f t="shared" ca="1" si="52"/>
        <v/>
      </c>
      <c r="AV41" s="344" t="str">
        <f t="shared" ref="AV41:AZ41" ca="1" si="53">IF(AV17="","",AV17)</f>
        <v/>
      </c>
      <c r="AW41" s="344" t="str">
        <f t="shared" ca="1" si="53"/>
        <v/>
      </c>
      <c r="AX41" s="344" t="str">
        <f t="shared" ca="1" si="53"/>
        <v/>
      </c>
      <c r="AY41" s="344" t="str">
        <f t="shared" ca="1" si="53"/>
        <v/>
      </c>
      <c r="AZ41" s="344" t="str">
        <f t="shared" ca="1" si="53"/>
        <v/>
      </c>
      <c r="BA41" s="343"/>
      <c r="BB41" s="345" t="str">
        <f t="shared" ref="BB41" ca="1" si="54">IF(BB17="","",BB17)</f>
        <v>2 - 1</v>
      </c>
      <c r="BC41" s="211" t="str">
        <f t="shared" ca="1" si="24"/>
        <v/>
      </c>
      <c r="BG41" s="449" t="b">
        <f t="shared" ca="1" si="1"/>
        <v>0</v>
      </c>
      <c r="BH41" s="449" t="b">
        <f t="shared" si="8"/>
        <v>0</v>
      </c>
      <c r="BI41" s="449" t="b">
        <f t="shared" si="9"/>
        <v>0</v>
      </c>
      <c r="BJ41" s="449" t="b">
        <f t="shared" si="10"/>
        <v>0</v>
      </c>
      <c r="BK41" s="449" t="b">
        <f t="shared" si="2"/>
        <v>0</v>
      </c>
      <c r="BL41" s="449" t="b">
        <f t="shared" si="3"/>
        <v>0</v>
      </c>
      <c r="BM41" s="449" t="b">
        <f t="shared" si="4"/>
        <v>0</v>
      </c>
    </row>
    <row r="42" spans="2:65" ht="24" customHeight="1" thickBot="1" x14ac:dyDescent="0.25">
      <c r="B42" s="223">
        <v>33</v>
      </c>
      <c r="C42" s="224">
        <f ca="1">Planning!$I39</f>
        <v>0.54861111111111116</v>
      </c>
      <c r="D42" s="225">
        <f ca="1">Planning!$J39</f>
        <v>3</v>
      </c>
      <c r="E42" s="226" t="str">
        <f ca="1">Planning!$N39</f>
        <v>Eintracht Frankfurt</v>
      </c>
      <c r="F42" s="227" t="s">
        <v>4</v>
      </c>
      <c r="G42" s="226" t="str">
        <f ca="1">Planning!$P39</f>
        <v>SSV Wildbach</v>
      </c>
      <c r="H42" s="228">
        <v>14</v>
      </c>
      <c r="I42" s="304" t="str">
        <f>Language!$E$90</f>
        <v xml:space="preserve"> - </v>
      </c>
      <c r="J42" s="325">
        <v>25</v>
      </c>
      <c r="K42" s="228">
        <v>25</v>
      </c>
      <c r="L42" s="437" t="str">
        <f>Language!$E$90</f>
        <v xml:space="preserve"> - </v>
      </c>
      <c r="M42" s="325">
        <v>23</v>
      </c>
      <c r="N42" s="228"/>
      <c r="O42" s="442" t="str">
        <f>Language!$E$90</f>
        <v xml:space="preserve"> - </v>
      </c>
      <c r="P42" s="443"/>
      <c r="Q42" s="444">
        <f t="shared" ca="1" si="5"/>
        <v>1</v>
      </c>
      <c r="R42" s="439" t="str">
        <f>Language!$E$90</f>
        <v xml:space="preserve"> - </v>
      </c>
      <c r="S42" s="440">
        <f t="shared" ca="1" si="6"/>
        <v>1</v>
      </c>
      <c r="T42" s="434" t="str">
        <f>IF(Planning!$Q39="","",Planning!$Q39)</f>
        <v/>
      </c>
      <c r="V42" s="212">
        <f ca="1">V18</f>
        <v>8</v>
      </c>
      <c r="W42" s="213" t="str">
        <f t="shared" ref="W42" ca="1" si="55">IF(W18="","",W18)</f>
        <v/>
      </c>
      <c r="X42" s="214">
        <f t="shared" ref="X42:AJ42" ca="1" si="56">IF(X18="","",X18)</f>
        <v>0</v>
      </c>
      <c r="Y42" s="215">
        <f t="shared" ca="1" si="56"/>
        <v>0</v>
      </c>
      <c r="Z42" s="215">
        <f t="shared" ca="1" si="56"/>
        <v>0</v>
      </c>
      <c r="AA42" s="216">
        <f t="shared" ca="1" si="56"/>
        <v>0</v>
      </c>
      <c r="AB42" s="498">
        <f t="shared" ca="1" si="56"/>
        <v>0</v>
      </c>
      <c r="AC42" s="515" t="str">
        <f t="shared" si="56"/>
        <v xml:space="preserve"> - </v>
      </c>
      <c r="AD42" s="499">
        <f t="shared" ca="1" si="56"/>
        <v>0</v>
      </c>
      <c r="AE42" s="493">
        <f t="shared" ca="1" si="56"/>
        <v>0</v>
      </c>
      <c r="AF42" s="498">
        <f t="shared" ca="1" si="56"/>
        <v>0</v>
      </c>
      <c r="AG42" s="515" t="str">
        <f t="shared" si="56"/>
        <v xml:space="preserve"> - </v>
      </c>
      <c r="AH42" s="499">
        <f t="shared" ca="1" si="56"/>
        <v>0</v>
      </c>
      <c r="AI42" s="214">
        <f t="shared" ca="1" si="56"/>
        <v>0</v>
      </c>
      <c r="AJ42" s="217">
        <f t="shared" ca="1" si="56"/>
        <v>0</v>
      </c>
      <c r="AK42" s="346" t="str">
        <f t="shared" ca="1" si="21"/>
        <v/>
      </c>
      <c r="AL42" s="347" t="str">
        <f t="shared" ca="1" si="21"/>
        <v/>
      </c>
      <c r="AM42" s="347" t="str">
        <f t="shared" ref="AM42:AR42" ca="1" si="57">IF(AM18="","",AM18)</f>
        <v/>
      </c>
      <c r="AN42" s="347" t="str">
        <f t="shared" ca="1" si="57"/>
        <v/>
      </c>
      <c r="AO42" s="347" t="str">
        <f t="shared" ca="1" si="57"/>
        <v/>
      </c>
      <c r="AP42" s="347" t="str">
        <f t="shared" ca="1" si="57"/>
        <v/>
      </c>
      <c r="AQ42" s="347" t="str">
        <f t="shared" ca="1" si="57"/>
        <v/>
      </c>
      <c r="AR42" s="347" t="str">
        <f t="shared" ca="1" si="57"/>
        <v>1 - 1</v>
      </c>
      <c r="AS42" s="348"/>
      <c r="AT42" s="346" t="str">
        <f t="shared" ref="AT42:BA42" ca="1" si="58">IF(AT18="","",AT18)</f>
        <v/>
      </c>
      <c r="AU42" s="347" t="str">
        <f t="shared" ca="1" si="58"/>
        <v/>
      </c>
      <c r="AV42" s="347" t="str">
        <f t="shared" ca="1" si="58"/>
        <v/>
      </c>
      <c r="AW42" s="347" t="str">
        <f t="shared" ca="1" si="58"/>
        <v/>
      </c>
      <c r="AX42" s="347" t="str">
        <f t="shared" ca="1" si="58"/>
        <v/>
      </c>
      <c r="AY42" s="347" t="str">
        <f t="shared" ca="1" si="58"/>
        <v/>
      </c>
      <c r="AZ42" s="347" t="str">
        <f t="shared" ca="1" si="58"/>
        <v/>
      </c>
      <c r="BA42" s="347" t="str">
        <f t="shared" ca="1" si="58"/>
        <v>2 - 1</v>
      </c>
      <c r="BB42" s="348"/>
      <c r="BC42" s="218" t="str">
        <f t="shared" ca="1" si="24"/>
        <v/>
      </c>
      <c r="BG42" s="449" t="b">
        <f t="shared" ref="BG42:BG73" ca="1" si="59">OR(E42="",G42="",AND(OR(H42="",J42="",BH42),OR(K42="",M42="",BI42),OR(N42="",P42="",BJ42)))</f>
        <v>0</v>
      </c>
      <c r="BH42" s="449" t="b">
        <f t="shared" si="8"/>
        <v>0</v>
      </c>
      <c r="BI42" s="449" t="b">
        <f t="shared" si="9"/>
        <v>0</v>
      </c>
      <c r="BJ42" s="449" t="b">
        <f t="shared" si="10"/>
        <v>0</v>
      </c>
      <c r="BK42" s="449" t="b">
        <f t="shared" ref="BK42:BK73" si="60">AND(BH42,H42&lt;&gt;"",J42&lt;&gt;"")</f>
        <v>0</v>
      </c>
      <c r="BL42" s="449" t="b">
        <f t="shared" ref="BL42:BL73" si="61">AND(BI42,K42&lt;&gt;"",M42&lt;&gt;"")</f>
        <v>0</v>
      </c>
      <c r="BM42" s="449" t="b">
        <f t="shared" ref="BM42:BM73" si="62">AND(BJ42,N42&lt;&gt;"",P42&lt;&gt;"")</f>
        <v>0</v>
      </c>
    </row>
    <row r="43" spans="2:65" ht="24" customHeight="1" thickTop="1" x14ac:dyDescent="0.4">
      <c r="B43" s="223">
        <v>34</v>
      </c>
      <c r="C43" s="224">
        <f ca="1">Planning!$I40</f>
        <v>0.56597222222222221</v>
      </c>
      <c r="D43" s="225">
        <f ca="1">Planning!$J40</f>
        <v>1</v>
      </c>
      <c r="E43" s="226" t="str">
        <f ca="1">Planning!$N40</f>
        <v>Maibach 1822 eV</v>
      </c>
      <c r="F43" s="227" t="s">
        <v>4</v>
      </c>
      <c r="G43" s="226" t="str">
        <f ca="1">Planning!$P40</f>
        <v>1. FC Riedwald</v>
      </c>
      <c r="H43" s="228">
        <v>23</v>
      </c>
      <c r="I43" s="304" t="str">
        <f>Language!$E$90</f>
        <v xml:space="preserve"> - </v>
      </c>
      <c r="J43" s="325">
        <v>25</v>
      </c>
      <c r="K43" s="228">
        <v>25</v>
      </c>
      <c r="L43" s="437" t="str">
        <f>Language!$E$90</f>
        <v xml:space="preserve"> - </v>
      </c>
      <c r="M43" s="325">
        <v>17</v>
      </c>
      <c r="N43" s="228"/>
      <c r="O43" s="442" t="str">
        <f>Language!$E$90</f>
        <v xml:space="preserve"> - </v>
      </c>
      <c r="P43" s="443"/>
      <c r="Q43" s="444">
        <f t="shared" ca="1" si="5"/>
        <v>1</v>
      </c>
      <c r="R43" s="439" t="str">
        <f>Language!$E$90</f>
        <v xml:space="preserve"> - </v>
      </c>
      <c r="S43" s="440">
        <f t="shared" ca="1" si="6"/>
        <v>1</v>
      </c>
      <c r="T43" s="434" t="str">
        <f>IF(Planning!$Q40="","",Planning!$Q40)</f>
        <v/>
      </c>
      <c r="AK43" s="629" t="str">
        <f>$AK$19</f>
        <v>INVALID TABLE</v>
      </c>
      <c r="AL43" s="629"/>
      <c r="AM43" s="629"/>
      <c r="AN43" s="629"/>
      <c r="AO43" s="629"/>
      <c r="AP43" s="629"/>
      <c r="AQ43" s="629"/>
      <c r="AR43" s="629"/>
      <c r="AS43" s="629"/>
      <c r="AT43" s="629" t="str">
        <f>$AK$19</f>
        <v>INVALID TABLE</v>
      </c>
      <c r="AU43" s="629"/>
      <c r="AV43" s="629"/>
      <c r="AW43" s="629"/>
      <c r="AX43" s="629"/>
      <c r="AY43" s="629"/>
      <c r="AZ43" s="629"/>
      <c r="BA43" s="629"/>
      <c r="BB43" s="629"/>
      <c r="BG43" s="449" t="b">
        <f t="shared" ca="1" si="59"/>
        <v>0</v>
      </c>
      <c r="BH43" s="449" t="b">
        <f t="shared" si="8"/>
        <v>0</v>
      </c>
      <c r="BI43" s="449" t="b">
        <f t="shared" si="9"/>
        <v>0</v>
      </c>
      <c r="BJ43" s="449" t="b">
        <f t="shared" si="10"/>
        <v>0</v>
      </c>
      <c r="BK43" s="449" t="b">
        <f t="shared" si="60"/>
        <v>0</v>
      </c>
      <c r="BL43" s="449" t="b">
        <f t="shared" si="61"/>
        <v>0</v>
      </c>
      <c r="BM43" s="449" t="b">
        <f t="shared" si="62"/>
        <v>0</v>
      </c>
    </row>
    <row r="44" spans="2:65" ht="24" customHeight="1" x14ac:dyDescent="0.2">
      <c r="B44" s="223">
        <v>35</v>
      </c>
      <c r="C44" s="224">
        <f ca="1">Planning!$I41</f>
        <v>0.56597222222222221</v>
      </c>
      <c r="D44" s="225">
        <f ca="1">Planning!$J41</f>
        <v>2</v>
      </c>
      <c r="E44" s="226" t="str">
        <f ca="1">Planning!$N41</f>
        <v>VFB Essenheim</v>
      </c>
      <c r="F44" s="227" t="s">
        <v>4</v>
      </c>
      <c r="G44" s="226" t="str">
        <f ca="1">Planning!$P41</f>
        <v>Eintracht Frankfurt</v>
      </c>
      <c r="H44" s="228">
        <v>21</v>
      </c>
      <c r="I44" s="304" t="str">
        <f>Language!$E$90</f>
        <v xml:space="preserve"> - </v>
      </c>
      <c r="J44" s="325">
        <v>25</v>
      </c>
      <c r="K44" s="228">
        <v>25</v>
      </c>
      <c r="L44" s="437" t="str">
        <f>Language!$E$90</f>
        <v xml:space="preserve"> - </v>
      </c>
      <c r="M44" s="325">
        <v>21</v>
      </c>
      <c r="N44" s="228"/>
      <c r="O44" s="442" t="str">
        <f>Language!$E$90</f>
        <v xml:space="preserve"> - </v>
      </c>
      <c r="P44" s="443"/>
      <c r="Q44" s="444">
        <f t="shared" ca="1" si="5"/>
        <v>1</v>
      </c>
      <c r="R44" s="439" t="str">
        <f>Language!$E$90</f>
        <v xml:space="preserve"> - </v>
      </c>
      <c r="S44" s="440">
        <f t="shared" ca="1" si="6"/>
        <v>1</v>
      </c>
      <c r="T44" s="434" t="str">
        <f>IF(Planning!$Q41="","",Planning!$Q41)</f>
        <v/>
      </c>
      <c r="BG44" s="449" t="b">
        <f t="shared" ca="1" si="59"/>
        <v>0</v>
      </c>
      <c r="BH44" s="449" t="b">
        <f t="shared" si="8"/>
        <v>0</v>
      </c>
      <c r="BI44" s="449" t="b">
        <f t="shared" si="9"/>
        <v>0</v>
      </c>
      <c r="BJ44" s="449" t="b">
        <f t="shared" si="10"/>
        <v>0</v>
      </c>
      <c r="BK44" s="449" t="b">
        <f t="shared" si="60"/>
        <v>0</v>
      </c>
      <c r="BL44" s="449" t="b">
        <f t="shared" si="61"/>
        <v>0</v>
      </c>
      <c r="BM44" s="449" t="b">
        <f t="shared" si="62"/>
        <v>0</v>
      </c>
    </row>
    <row r="45" spans="2:65" ht="24" customHeight="1" x14ac:dyDescent="0.2">
      <c r="B45" s="223">
        <v>36</v>
      </c>
      <c r="C45" s="224">
        <f ca="1">Planning!$I42</f>
        <v>0.56597222222222221</v>
      </c>
      <c r="D45" s="225">
        <f ca="1">Planning!$J42</f>
        <v>3</v>
      </c>
      <c r="E45" s="226" t="str">
        <f ca="1">Planning!$N42</f>
        <v>FC Barcelona</v>
      </c>
      <c r="F45" s="227" t="s">
        <v>4</v>
      </c>
      <c r="G45" s="226" t="str">
        <f ca="1">Planning!$P42</f>
        <v>Inter Mailand</v>
      </c>
      <c r="H45" s="228">
        <v>25</v>
      </c>
      <c r="I45" s="304" t="str">
        <f>Language!$E$90</f>
        <v xml:space="preserve"> - </v>
      </c>
      <c r="J45" s="325">
        <v>20</v>
      </c>
      <c r="K45" s="228">
        <v>25</v>
      </c>
      <c r="L45" s="437" t="str">
        <f>Language!$E$90</f>
        <v xml:space="preserve"> - </v>
      </c>
      <c r="M45" s="325">
        <v>19</v>
      </c>
      <c r="N45" s="228"/>
      <c r="O45" s="442" t="str">
        <f>Language!$E$90</f>
        <v xml:space="preserve"> - </v>
      </c>
      <c r="P45" s="443"/>
      <c r="Q45" s="444">
        <f t="shared" ca="1" si="5"/>
        <v>2</v>
      </c>
      <c r="R45" s="439" t="str">
        <f>Language!$E$90</f>
        <v xml:space="preserve"> - </v>
      </c>
      <c r="S45" s="440">
        <f t="shared" ca="1" si="6"/>
        <v>0</v>
      </c>
      <c r="T45" s="434" t="str">
        <f>IF(Planning!$Q42="","",Planning!$Q42)</f>
        <v/>
      </c>
      <c r="BG45" s="449" t="b">
        <f t="shared" ca="1" si="59"/>
        <v>0</v>
      </c>
      <c r="BH45" s="449" t="b">
        <f t="shared" si="8"/>
        <v>0</v>
      </c>
      <c r="BI45" s="449" t="b">
        <f t="shared" si="9"/>
        <v>0</v>
      </c>
      <c r="BJ45" s="449" t="b">
        <f t="shared" si="10"/>
        <v>0</v>
      </c>
      <c r="BK45" s="449" t="b">
        <f t="shared" si="60"/>
        <v>0</v>
      </c>
      <c r="BL45" s="449" t="b">
        <f t="shared" si="61"/>
        <v>0</v>
      </c>
      <c r="BM45" s="449" t="b">
        <f t="shared" si="62"/>
        <v>0</v>
      </c>
    </row>
    <row r="46" spans="2:65" ht="24" customHeight="1" x14ac:dyDescent="0.2">
      <c r="B46" s="223">
        <v>37</v>
      </c>
      <c r="C46" s="224">
        <f ca="1">Planning!$I43</f>
        <v>0.58333333333333337</v>
      </c>
      <c r="D46" s="225">
        <f ca="1">Planning!$J43</f>
        <v>1</v>
      </c>
      <c r="E46" s="226" t="str">
        <f ca="1">Planning!$N43</f>
        <v>1. FC Riedwald</v>
      </c>
      <c r="F46" s="227" t="s">
        <v>4</v>
      </c>
      <c r="G46" s="226" t="str">
        <f ca="1">Planning!$P43</f>
        <v>Eintracht Frankfurt</v>
      </c>
      <c r="H46" s="228">
        <v>25</v>
      </c>
      <c r="I46" s="304" t="str">
        <f>Language!$E$90</f>
        <v xml:space="preserve"> - </v>
      </c>
      <c r="J46" s="325">
        <v>23</v>
      </c>
      <c r="K46" s="228">
        <v>25</v>
      </c>
      <c r="L46" s="437" t="str">
        <f>Language!$E$90</f>
        <v xml:space="preserve"> - </v>
      </c>
      <c r="M46" s="325">
        <v>23</v>
      </c>
      <c r="N46" s="228"/>
      <c r="O46" s="442" t="str">
        <f>Language!$E$90</f>
        <v xml:space="preserve"> - </v>
      </c>
      <c r="P46" s="443"/>
      <c r="Q46" s="444">
        <f t="shared" ca="1" si="5"/>
        <v>2</v>
      </c>
      <c r="R46" s="439" t="str">
        <f>Language!$E$90</f>
        <v xml:space="preserve"> - </v>
      </c>
      <c r="S46" s="440">
        <f t="shared" ca="1" si="6"/>
        <v>0</v>
      </c>
      <c r="T46" s="434" t="str">
        <f>IF(Planning!$Q43="","",Planning!$Q43)</f>
        <v/>
      </c>
      <c r="BG46" s="449" t="b">
        <f t="shared" ca="1" si="59"/>
        <v>0</v>
      </c>
      <c r="BH46" s="449" t="b">
        <f t="shared" si="8"/>
        <v>0</v>
      </c>
      <c r="BI46" s="449" t="b">
        <f t="shared" si="9"/>
        <v>0</v>
      </c>
      <c r="BJ46" s="449" t="b">
        <f t="shared" si="10"/>
        <v>0</v>
      </c>
      <c r="BK46" s="449" t="b">
        <f t="shared" si="60"/>
        <v>0</v>
      </c>
      <c r="BL46" s="449" t="b">
        <f t="shared" si="61"/>
        <v>0</v>
      </c>
      <c r="BM46" s="449" t="b">
        <f t="shared" si="62"/>
        <v>0</v>
      </c>
    </row>
    <row r="47" spans="2:65" ht="24" customHeight="1" x14ac:dyDescent="0.2">
      <c r="B47" s="223">
        <v>38</v>
      </c>
      <c r="C47" s="224">
        <f ca="1">Planning!$I44</f>
        <v>0.58333333333333337</v>
      </c>
      <c r="D47" s="225">
        <f ca="1">Planning!$J44</f>
        <v>2</v>
      </c>
      <c r="E47" s="226" t="str">
        <f ca="1">Planning!$N44</f>
        <v>Maibach 1822 eV</v>
      </c>
      <c r="F47" s="227" t="s">
        <v>4</v>
      </c>
      <c r="G47" s="226" t="str">
        <f ca="1">Planning!$P44</f>
        <v>FC Barcelona</v>
      </c>
      <c r="H47" s="228">
        <v>25</v>
      </c>
      <c r="I47" s="304" t="str">
        <f>Language!$E$90</f>
        <v xml:space="preserve"> - </v>
      </c>
      <c r="J47" s="325">
        <v>16</v>
      </c>
      <c r="K47" s="228">
        <v>25</v>
      </c>
      <c r="L47" s="437" t="str">
        <f>Language!$E$90</f>
        <v xml:space="preserve"> - </v>
      </c>
      <c r="M47" s="325">
        <v>21</v>
      </c>
      <c r="N47" s="228"/>
      <c r="O47" s="442" t="str">
        <f>Language!$E$90</f>
        <v xml:space="preserve"> - </v>
      </c>
      <c r="P47" s="443"/>
      <c r="Q47" s="444">
        <f t="shared" ca="1" si="5"/>
        <v>2</v>
      </c>
      <c r="R47" s="439" t="str">
        <f>Language!$E$90</f>
        <v xml:space="preserve"> - </v>
      </c>
      <c r="S47" s="440">
        <f t="shared" ca="1" si="6"/>
        <v>0</v>
      </c>
      <c r="T47" s="434" t="str">
        <f>IF(Planning!$Q44="","",Planning!$Q44)</f>
        <v/>
      </c>
      <c r="BG47" s="449" t="b">
        <f t="shared" ca="1" si="59"/>
        <v>0</v>
      </c>
      <c r="BH47" s="449" t="b">
        <f t="shared" si="8"/>
        <v>0</v>
      </c>
      <c r="BI47" s="449" t="b">
        <f t="shared" si="9"/>
        <v>0</v>
      </c>
      <c r="BJ47" s="449" t="b">
        <f t="shared" si="10"/>
        <v>0</v>
      </c>
      <c r="BK47" s="449" t="b">
        <f t="shared" si="60"/>
        <v>0</v>
      </c>
      <c r="BL47" s="449" t="b">
        <f t="shared" si="61"/>
        <v>0</v>
      </c>
      <c r="BM47" s="449" t="b">
        <f t="shared" si="62"/>
        <v>0</v>
      </c>
    </row>
    <row r="48" spans="2:65" ht="24" customHeight="1" x14ac:dyDescent="0.2">
      <c r="B48" s="223">
        <v>39</v>
      </c>
      <c r="C48" s="224">
        <f ca="1">Planning!$I45</f>
        <v>0.58333333333333337</v>
      </c>
      <c r="D48" s="225">
        <f ca="1">Planning!$J45</f>
        <v>3</v>
      </c>
      <c r="E48" s="226" t="str">
        <f ca="1">Planning!$N45</f>
        <v>Inter Mailand</v>
      </c>
      <c r="F48" s="227" t="s">
        <v>4</v>
      </c>
      <c r="G48" s="226" t="str">
        <f ca="1">Planning!$P45</f>
        <v>SSV Wildbach</v>
      </c>
      <c r="H48" s="228">
        <v>25</v>
      </c>
      <c r="I48" s="304" t="str">
        <f>Language!$E$90</f>
        <v xml:space="preserve"> - </v>
      </c>
      <c r="J48" s="325">
        <v>19</v>
      </c>
      <c r="K48" s="228">
        <v>25</v>
      </c>
      <c r="L48" s="437" t="str">
        <f>Language!$E$90</f>
        <v xml:space="preserve"> - </v>
      </c>
      <c r="M48" s="325">
        <v>22</v>
      </c>
      <c r="N48" s="228"/>
      <c r="O48" s="442" t="str">
        <f>Language!$E$90</f>
        <v xml:space="preserve"> - </v>
      </c>
      <c r="P48" s="443"/>
      <c r="Q48" s="444">
        <f t="shared" ca="1" si="5"/>
        <v>2</v>
      </c>
      <c r="R48" s="439" t="str">
        <f>Language!$E$90</f>
        <v xml:space="preserve"> - </v>
      </c>
      <c r="S48" s="440">
        <f t="shared" ca="1" si="6"/>
        <v>0</v>
      </c>
      <c r="T48" s="434" t="str">
        <f>IF(Planning!$Q45="","",Planning!$Q45)</f>
        <v/>
      </c>
      <c r="BG48" s="449" t="b">
        <f t="shared" ca="1" si="59"/>
        <v>0</v>
      </c>
      <c r="BH48" s="449" t="b">
        <f t="shared" si="8"/>
        <v>0</v>
      </c>
      <c r="BI48" s="449" t="b">
        <f t="shared" si="9"/>
        <v>0</v>
      </c>
      <c r="BJ48" s="449" t="b">
        <f t="shared" si="10"/>
        <v>0</v>
      </c>
      <c r="BK48" s="449" t="b">
        <f t="shared" si="60"/>
        <v>0</v>
      </c>
      <c r="BL48" s="449" t="b">
        <f t="shared" si="61"/>
        <v>0</v>
      </c>
      <c r="BM48" s="449" t="b">
        <f t="shared" si="62"/>
        <v>0</v>
      </c>
    </row>
    <row r="49" spans="2:65" ht="24" customHeight="1" x14ac:dyDescent="0.2">
      <c r="B49" s="223">
        <v>40</v>
      </c>
      <c r="C49" s="224">
        <f ca="1">Planning!$I46</f>
        <v>0.60069444444444442</v>
      </c>
      <c r="D49" s="225">
        <f ca="1">Planning!$J46</f>
        <v>1</v>
      </c>
      <c r="E49" s="226" t="str">
        <f ca="1">Planning!$N46</f>
        <v>FC Barcelona</v>
      </c>
      <c r="F49" s="227" t="s">
        <v>4</v>
      </c>
      <c r="G49" s="226" t="str">
        <f ca="1">Planning!$P46</f>
        <v>1. FC Riedwald</v>
      </c>
      <c r="H49" s="228">
        <v>25</v>
      </c>
      <c r="I49" s="304" t="str">
        <f>Language!$E$90</f>
        <v xml:space="preserve"> - </v>
      </c>
      <c r="J49" s="325">
        <v>20</v>
      </c>
      <c r="K49" s="228">
        <v>25</v>
      </c>
      <c r="L49" s="437" t="str">
        <f>Language!$E$90</f>
        <v xml:space="preserve"> - </v>
      </c>
      <c r="M49" s="325">
        <v>19</v>
      </c>
      <c r="N49" s="228"/>
      <c r="O49" s="442" t="str">
        <f>Language!$E$90</f>
        <v xml:space="preserve"> - </v>
      </c>
      <c r="P49" s="443"/>
      <c r="Q49" s="444">
        <f t="shared" ca="1" si="5"/>
        <v>2</v>
      </c>
      <c r="R49" s="439" t="str">
        <f>Language!$E$90</f>
        <v xml:space="preserve"> - </v>
      </c>
      <c r="S49" s="440">
        <f t="shared" ca="1" si="6"/>
        <v>0</v>
      </c>
      <c r="T49" s="434" t="str">
        <f>IF(Planning!$Q46="","",Planning!$Q46)</f>
        <v/>
      </c>
      <c r="BG49" s="449" t="b">
        <f t="shared" ca="1" si="59"/>
        <v>0</v>
      </c>
      <c r="BH49" s="449" t="b">
        <f t="shared" si="8"/>
        <v>0</v>
      </c>
      <c r="BI49" s="449" t="b">
        <f t="shared" si="9"/>
        <v>0</v>
      </c>
      <c r="BJ49" s="449" t="b">
        <f t="shared" si="10"/>
        <v>0</v>
      </c>
      <c r="BK49" s="449" t="b">
        <f t="shared" si="60"/>
        <v>0</v>
      </c>
      <c r="BL49" s="449" t="b">
        <f t="shared" si="61"/>
        <v>0</v>
      </c>
      <c r="BM49" s="449" t="b">
        <f t="shared" si="62"/>
        <v>0</v>
      </c>
    </row>
    <row r="50" spans="2:65" ht="24" customHeight="1" x14ac:dyDescent="0.2">
      <c r="B50" s="223">
        <v>41</v>
      </c>
      <c r="C50" s="224">
        <f ca="1">Planning!$I47</f>
        <v>0.60069444444444442</v>
      </c>
      <c r="D50" s="225">
        <f ca="1">Planning!$J47</f>
        <v>2</v>
      </c>
      <c r="E50" s="226" t="str">
        <f ca="1">Planning!$N47</f>
        <v>SSV Wildbach</v>
      </c>
      <c r="F50" s="227" t="s">
        <v>4</v>
      </c>
      <c r="G50" s="226" t="str">
        <f ca="1">Planning!$P47</f>
        <v>Maibach 1822 eV</v>
      </c>
      <c r="H50" s="228">
        <v>19</v>
      </c>
      <c r="I50" s="304" t="str">
        <f>Language!$E$90</f>
        <v xml:space="preserve"> - </v>
      </c>
      <c r="J50" s="325">
        <v>25</v>
      </c>
      <c r="K50" s="228">
        <v>25</v>
      </c>
      <c r="L50" s="437" t="str">
        <f>Language!$E$90</f>
        <v xml:space="preserve"> - </v>
      </c>
      <c r="M50" s="325">
        <v>17</v>
      </c>
      <c r="N50" s="228"/>
      <c r="O50" s="442" t="str">
        <f>Language!$E$90</f>
        <v xml:space="preserve"> - </v>
      </c>
      <c r="P50" s="443"/>
      <c r="Q50" s="444">
        <f t="shared" ca="1" si="5"/>
        <v>1</v>
      </c>
      <c r="R50" s="439" t="str">
        <f>Language!$E$90</f>
        <v xml:space="preserve"> - </v>
      </c>
      <c r="S50" s="440">
        <f t="shared" ca="1" si="6"/>
        <v>1</v>
      </c>
      <c r="T50" s="434" t="str">
        <f>IF(Planning!$Q47="","",Planning!$Q47)</f>
        <v/>
      </c>
      <c r="BG50" s="449" t="b">
        <f t="shared" ca="1" si="59"/>
        <v>0</v>
      </c>
      <c r="BH50" s="449" t="b">
        <f t="shared" si="8"/>
        <v>0</v>
      </c>
      <c r="BI50" s="449" t="b">
        <f t="shared" si="9"/>
        <v>0</v>
      </c>
      <c r="BJ50" s="449" t="b">
        <f t="shared" si="10"/>
        <v>0</v>
      </c>
      <c r="BK50" s="449" t="b">
        <f t="shared" si="60"/>
        <v>0</v>
      </c>
      <c r="BL50" s="449" t="b">
        <f t="shared" si="61"/>
        <v>0</v>
      </c>
      <c r="BM50" s="449" t="b">
        <f t="shared" si="62"/>
        <v>0</v>
      </c>
    </row>
    <row r="51" spans="2:65" ht="24" customHeight="1" x14ac:dyDescent="0.2">
      <c r="B51" s="223">
        <v>42</v>
      </c>
      <c r="C51" s="224">
        <f ca="1">Planning!$I48</f>
        <v>0.60069444444444442</v>
      </c>
      <c r="D51" s="225">
        <f ca="1">Planning!$J48</f>
        <v>3</v>
      </c>
      <c r="E51" s="226" t="str">
        <f ca="1">Planning!$N48</f>
        <v>VFB Essenheim</v>
      </c>
      <c r="F51" s="227" t="s">
        <v>4</v>
      </c>
      <c r="G51" s="226" t="str">
        <f ca="1">Planning!$P48</f>
        <v>Inter Mailand</v>
      </c>
      <c r="H51" s="228">
        <v>17</v>
      </c>
      <c r="I51" s="304" t="str">
        <f>Language!$E$90</f>
        <v xml:space="preserve"> - </v>
      </c>
      <c r="J51" s="325">
        <v>25</v>
      </c>
      <c r="K51" s="228">
        <v>25</v>
      </c>
      <c r="L51" s="437" t="str">
        <f>Language!$E$90</f>
        <v xml:space="preserve"> - </v>
      </c>
      <c r="M51" s="325">
        <v>16</v>
      </c>
      <c r="N51" s="228"/>
      <c r="O51" s="442" t="str">
        <f>Language!$E$90</f>
        <v xml:space="preserve"> - </v>
      </c>
      <c r="P51" s="443"/>
      <c r="Q51" s="444">
        <f t="shared" ca="1" si="5"/>
        <v>1</v>
      </c>
      <c r="R51" s="439" t="str">
        <f>Language!$E$90</f>
        <v xml:space="preserve"> - </v>
      </c>
      <c r="S51" s="440">
        <f t="shared" ca="1" si="6"/>
        <v>1</v>
      </c>
      <c r="T51" s="434" t="str">
        <f>IF(Planning!$Q48="","",Planning!$Q48)</f>
        <v/>
      </c>
      <c r="BG51" s="449" t="b">
        <f t="shared" ca="1" si="59"/>
        <v>0</v>
      </c>
      <c r="BH51" s="449" t="b">
        <f t="shared" si="8"/>
        <v>0</v>
      </c>
      <c r="BI51" s="449" t="b">
        <f t="shared" si="9"/>
        <v>0</v>
      </c>
      <c r="BJ51" s="449" t="b">
        <f t="shared" si="10"/>
        <v>0</v>
      </c>
      <c r="BK51" s="449" t="b">
        <f t="shared" si="60"/>
        <v>0</v>
      </c>
      <c r="BL51" s="449" t="b">
        <f t="shared" si="61"/>
        <v>0</v>
      </c>
      <c r="BM51" s="449" t="b">
        <f t="shared" si="62"/>
        <v>0</v>
      </c>
    </row>
    <row r="52" spans="2:65" ht="24" customHeight="1" x14ac:dyDescent="0.2">
      <c r="B52" s="223">
        <v>43</v>
      </c>
      <c r="C52" s="224" t="str">
        <f ca="1">Planning!$I49</f>
        <v/>
      </c>
      <c r="D52" s="225" t="str">
        <f ca="1">Planning!$J49</f>
        <v/>
      </c>
      <c r="E52" s="226" t="str">
        <f ca="1">Planning!$N49</f>
        <v/>
      </c>
      <c r="F52" s="227" t="s">
        <v>4</v>
      </c>
      <c r="G52" s="226" t="str">
        <f ca="1">Planning!$P49</f>
        <v/>
      </c>
      <c r="H52" s="228"/>
      <c r="I52" s="304" t="str">
        <f>Language!$E$90</f>
        <v xml:space="preserve"> - </v>
      </c>
      <c r="J52" s="325"/>
      <c r="K52" s="228"/>
      <c r="L52" s="437" t="str">
        <f>Language!$E$90</f>
        <v xml:space="preserve"> - </v>
      </c>
      <c r="M52" s="325"/>
      <c r="N52" s="228"/>
      <c r="O52" s="442" t="str">
        <f>Language!$E$90</f>
        <v xml:space="preserve"> - </v>
      </c>
      <c r="P52" s="443"/>
      <c r="Q52" s="444" t="str">
        <f t="shared" ca="1" si="5"/>
        <v/>
      </c>
      <c r="R52" s="439" t="str">
        <f>Language!$E$90</f>
        <v xml:space="preserve"> - </v>
      </c>
      <c r="S52" s="440" t="str">
        <f t="shared" ca="1" si="6"/>
        <v/>
      </c>
      <c r="T52" s="434" t="str">
        <f>IF(Planning!$Q49="","",Planning!$Q49)</f>
        <v/>
      </c>
      <c r="BG52" s="449" t="b">
        <f t="shared" ca="1" si="59"/>
        <v>1</v>
      </c>
      <c r="BH52" s="449" t="b">
        <f t="shared" si="8"/>
        <v>0</v>
      </c>
      <c r="BI52" s="449" t="b">
        <f t="shared" si="9"/>
        <v>0</v>
      </c>
      <c r="BJ52" s="449" t="b">
        <f t="shared" si="10"/>
        <v>0</v>
      </c>
      <c r="BK52" s="449" t="b">
        <f t="shared" si="60"/>
        <v>0</v>
      </c>
      <c r="BL52" s="449" t="b">
        <f t="shared" si="61"/>
        <v>0</v>
      </c>
      <c r="BM52" s="449" t="b">
        <f t="shared" si="62"/>
        <v>0</v>
      </c>
    </row>
    <row r="53" spans="2:65" ht="24" customHeight="1" x14ac:dyDescent="0.2">
      <c r="B53" s="223">
        <v>44</v>
      </c>
      <c r="C53" s="224" t="str">
        <f ca="1">Planning!$I50</f>
        <v/>
      </c>
      <c r="D53" s="225" t="str">
        <f ca="1">Planning!$J50</f>
        <v/>
      </c>
      <c r="E53" s="226" t="str">
        <f ca="1">Planning!$N50</f>
        <v/>
      </c>
      <c r="F53" s="227" t="s">
        <v>4</v>
      </c>
      <c r="G53" s="226" t="str">
        <f ca="1">Planning!$P50</f>
        <v/>
      </c>
      <c r="H53" s="228"/>
      <c r="I53" s="304" t="str">
        <f>Language!$E$90</f>
        <v xml:space="preserve"> - </v>
      </c>
      <c r="J53" s="325"/>
      <c r="K53" s="228"/>
      <c r="L53" s="437" t="str">
        <f>Language!$E$90</f>
        <v xml:space="preserve"> - </v>
      </c>
      <c r="M53" s="325"/>
      <c r="N53" s="228"/>
      <c r="O53" s="442" t="str">
        <f>Language!$E$90</f>
        <v xml:space="preserve"> - </v>
      </c>
      <c r="P53" s="443"/>
      <c r="Q53" s="444" t="str">
        <f t="shared" ca="1" si="5"/>
        <v/>
      </c>
      <c r="R53" s="439" t="str">
        <f>Language!$E$90</f>
        <v xml:space="preserve"> - </v>
      </c>
      <c r="S53" s="440" t="str">
        <f t="shared" ca="1" si="6"/>
        <v/>
      </c>
      <c r="T53" s="434" t="str">
        <f>IF(Planning!$Q50="","",Planning!$Q50)</f>
        <v/>
      </c>
      <c r="BG53" s="449" t="b">
        <f t="shared" ca="1" si="59"/>
        <v>1</v>
      </c>
      <c r="BH53" s="449" t="b">
        <f t="shared" si="8"/>
        <v>0</v>
      </c>
      <c r="BI53" s="449" t="b">
        <f t="shared" si="9"/>
        <v>0</v>
      </c>
      <c r="BJ53" s="449" t="b">
        <f t="shared" si="10"/>
        <v>0</v>
      </c>
      <c r="BK53" s="449" t="b">
        <f t="shared" si="60"/>
        <v>0</v>
      </c>
      <c r="BL53" s="449" t="b">
        <f t="shared" si="61"/>
        <v>0</v>
      </c>
      <c r="BM53" s="449" t="b">
        <f t="shared" si="62"/>
        <v>0</v>
      </c>
    </row>
    <row r="54" spans="2:65" ht="24" customHeight="1" x14ac:dyDescent="0.4">
      <c r="B54" s="223">
        <v>45</v>
      </c>
      <c r="C54" s="224" t="str">
        <f ca="1">Planning!$I51</f>
        <v/>
      </c>
      <c r="D54" s="225" t="str">
        <f ca="1">Planning!$J51</f>
        <v/>
      </c>
      <c r="E54" s="226" t="str">
        <f ca="1">Planning!$N51</f>
        <v/>
      </c>
      <c r="F54" s="227" t="s">
        <v>4</v>
      </c>
      <c r="G54" s="226" t="str">
        <f ca="1">Planning!$P51</f>
        <v/>
      </c>
      <c r="H54" s="228"/>
      <c r="I54" s="304" t="str">
        <f>Language!$E$90</f>
        <v xml:space="preserve"> - </v>
      </c>
      <c r="J54" s="325"/>
      <c r="K54" s="228"/>
      <c r="L54" s="437" t="str">
        <f>Language!$E$90</f>
        <v xml:space="preserve"> - </v>
      </c>
      <c r="M54" s="325"/>
      <c r="N54" s="228"/>
      <c r="O54" s="442" t="str">
        <f>Language!$E$90</f>
        <v xml:space="preserve"> - </v>
      </c>
      <c r="P54" s="443"/>
      <c r="Q54" s="444" t="str">
        <f t="shared" ca="1" si="5"/>
        <v/>
      </c>
      <c r="R54" s="439" t="str">
        <f>Language!$E$90</f>
        <v xml:space="preserve"> - </v>
      </c>
      <c r="S54" s="440" t="str">
        <f t="shared" ca="1" si="6"/>
        <v/>
      </c>
      <c r="T54" s="434" t="str">
        <f>IF(Planning!$Q51="","",Planning!$Q51)</f>
        <v/>
      </c>
      <c r="AK54" s="628" t="str">
        <f>$AK$7</f>
        <v>First legs</v>
      </c>
      <c r="AL54" s="628"/>
      <c r="AM54" s="628"/>
      <c r="AN54" s="628"/>
      <c r="AO54" s="628"/>
      <c r="AP54" s="628"/>
      <c r="AQ54" s="628"/>
      <c r="AR54" s="628"/>
      <c r="AS54" s="628"/>
      <c r="AT54" s="628" t="str">
        <f>$AT$7</f>
        <v>Second legs</v>
      </c>
      <c r="AU54" s="628"/>
      <c r="AV54" s="628"/>
      <c r="AW54" s="628"/>
      <c r="AX54" s="628"/>
      <c r="AY54" s="628"/>
      <c r="AZ54" s="628"/>
      <c r="BA54" s="628"/>
      <c r="BB54" s="628"/>
      <c r="BG54" s="449" t="b">
        <f t="shared" ca="1" si="59"/>
        <v>1</v>
      </c>
      <c r="BH54" s="449" t="b">
        <f t="shared" si="8"/>
        <v>0</v>
      </c>
      <c r="BI54" s="449" t="b">
        <f t="shared" si="9"/>
        <v>0</v>
      </c>
      <c r="BJ54" s="449" t="b">
        <f t="shared" si="10"/>
        <v>0</v>
      </c>
      <c r="BK54" s="449" t="b">
        <f t="shared" si="60"/>
        <v>0</v>
      </c>
      <c r="BL54" s="449" t="b">
        <f t="shared" si="61"/>
        <v>0</v>
      </c>
      <c r="BM54" s="449" t="b">
        <f t="shared" si="62"/>
        <v>0</v>
      </c>
    </row>
    <row r="55" spans="2:65" ht="24" customHeight="1" thickBot="1" x14ac:dyDescent="0.25">
      <c r="B55" s="223">
        <v>46</v>
      </c>
      <c r="C55" s="224" t="str">
        <f ca="1">Planning!$I52</f>
        <v/>
      </c>
      <c r="D55" s="225" t="str">
        <f ca="1">Planning!$J52</f>
        <v/>
      </c>
      <c r="E55" s="226" t="str">
        <f ca="1">Planning!$N52</f>
        <v/>
      </c>
      <c r="F55" s="227" t="s">
        <v>4</v>
      </c>
      <c r="G55" s="226" t="str">
        <f ca="1">Planning!$P52</f>
        <v/>
      </c>
      <c r="H55" s="228"/>
      <c r="I55" s="304" t="str">
        <f>Language!$E$90</f>
        <v xml:space="preserve"> - </v>
      </c>
      <c r="J55" s="325"/>
      <c r="K55" s="228"/>
      <c r="L55" s="437" t="str">
        <f>Language!$E$90</f>
        <v xml:space="preserve"> - </v>
      </c>
      <c r="M55" s="325"/>
      <c r="N55" s="228"/>
      <c r="O55" s="442" t="str">
        <f>Language!$E$90</f>
        <v xml:space="preserve"> - </v>
      </c>
      <c r="P55" s="443"/>
      <c r="Q55" s="444" t="str">
        <f t="shared" ca="1" si="5"/>
        <v/>
      </c>
      <c r="R55" s="439" t="str">
        <f>Language!$E$90</f>
        <v xml:space="preserve"> - </v>
      </c>
      <c r="S55" s="440" t="str">
        <f t="shared" ca="1" si="6"/>
        <v/>
      </c>
      <c r="T55" s="434" t="str">
        <f>IF(Planning!$Q52="","",Planning!$Q52)</f>
        <v/>
      </c>
      <c r="V55" s="65" t="str">
        <f>Language!$E$13</f>
        <v>Total table (copy)</v>
      </c>
      <c r="BG55" s="449" t="b">
        <f t="shared" ca="1" si="59"/>
        <v>1</v>
      </c>
      <c r="BH55" s="449" t="b">
        <f t="shared" si="8"/>
        <v>0</v>
      </c>
      <c r="BI55" s="449" t="b">
        <f t="shared" si="9"/>
        <v>0</v>
      </c>
      <c r="BJ55" s="449" t="b">
        <f t="shared" si="10"/>
        <v>0</v>
      </c>
      <c r="BK55" s="449" t="b">
        <f t="shared" si="60"/>
        <v>0</v>
      </c>
      <c r="BL55" s="449" t="b">
        <f t="shared" si="61"/>
        <v>0</v>
      </c>
      <c r="BM55" s="449" t="b">
        <f t="shared" si="62"/>
        <v>0</v>
      </c>
    </row>
    <row r="56" spans="2:65" ht="24" customHeight="1" thickBot="1" x14ac:dyDescent="0.25">
      <c r="B56" s="223">
        <v>47</v>
      </c>
      <c r="C56" s="224" t="str">
        <f ca="1">Planning!$I53</f>
        <v/>
      </c>
      <c r="D56" s="225" t="str">
        <f ca="1">Planning!$J53</f>
        <v/>
      </c>
      <c r="E56" s="226" t="str">
        <f ca="1">Planning!$N53</f>
        <v/>
      </c>
      <c r="F56" s="227" t="s">
        <v>4</v>
      </c>
      <c r="G56" s="226" t="str">
        <f ca="1">Planning!$P53</f>
        <v/>
      </c>
      <c r="H56" s="228"/>
      <c r="I56" s="304" t="str">
        <f>Language!$E$90</f>
        <v xml:space="preserve"> - </v>
      </c>
      <c r="J56" s="325"/>
      <c r="K56" s="228"/>
      <c r="L56" s="437" t="str">
        <f>Language!$E$90</f>
        <v xml:space="preserve"> - </v>
      </c>
      <c r="M56" s="325"/>
      <c r="N56" s="228"/>
      <c r="O56" s="442" t="str">
        <f>Language!$E$90</f>
        <v xml:space="preserve"> - </v>
      </c>
      <c r="P56" s="443"/>
      <c r="Q56" s="444" t="str">
        <f t="shared" ca="1" si="5"/>
        <v/>
      </c>
      <c r="R56" s="439" t="str">
        <f>Language!$E$90</f>
        <v xml:space="preserve"> - </v>
      </c>
      <c r="S56" s="440" t="str">
        <f t="shared" ca="1" si="6"/>
        <v/>
      </c>
      <c r="T56" s="434" t="str">
        <f>IF(Planning!$Q53="","",Planning!$Q53)</f>
        <v/>
      </c>
      <c r="V56" s="186"/>
      <c r="W56" s="186"/>
      <c r="X56" s="186"/>
      <c r="Y56" s="186"/>
      <c r="Z56" s="186"/>
      <c r="AA56" s="186"/>
      <c r="AB56" s="186"/>
      <c r="AC56" s="186"/>
      <c r="AD56" s="186"/>
      <c r="AE56" s="186"/>
      <c r="AF56" s="186"/>
      <c r="AG56" s="186"/>
      <c r="AH56" s="186"/>
      <c r="AI56" s="186"/>
      <c r="AJ56" s="186"/>
      <c r="AK56" s="219" t="str">
        <f ca="1">AK8</f>
        <v>Maibach.</v>
      </c>
      <c r="AL56" s="220" t="str">
        <f t="shared" ref="AL56:BB56" ca="1" si="63">AL8</f>
        <v>1. FC R.</v>
      </c>
      <c r="AM56" s="220" t="str">
        <f t="shared" ca="1" si="63"/>
        <v>FC Barc.</v>
      </c>
      <c r="AN56" s="220" t="str">
        <f t="shared" ca="1" si="63"/>
        <v>VFB Ess.</v>
      </c>
      <c r="AO56" s="220" t="str">
        <f t="shared" ca="1" si="63"/>
        <v>Eintrac.</v>
      </c>
      <c r="AP56" s="220" t="str">
        <f t="shared" ca="1" si="63"/>
        <v>SSV Wil.</v>
      </c>
      <c r="AQ56" s="220" t="str">
        <f t="shared" ca="1" si="63"/>
        <v>Inter M.</v>
      </c>
      <c r="AR56" s="220" t="str">
        <f t="shared" ca="1" si="63"/>
        <v/>
      </c>
      <c r="AS56" s="221" t="str">
        <f t="shared" ca="1" si="63"/>
        <v/>
      </c>
      <c r="AT56" s="219" t="str">
        <f t="shared" ca="1" si="63"/>
        <v>Maibach.</v>
      </c>
      <c r="AU56" s="220" t="str">
        <f t="shared" ca="1" si="63"/>
        <v>1. FC R.</v>
      </c>
      <c r="AV56" s="220" t="str">
        <f t="shared" ca="1" si="63"/>
        <v>FC Barc.</v>
      </c>
      <c r="AW56" s="220" t="str">
        <f t="shared" ca="1" si="63"/>
        <v>VFB Ess.</v>
      </c>
      <c r="AX56" s="220" t="str">
        <f t="shared" ca="1" si="63"/>
        <v>Eintrac.</v>
      </c>
      <c r="AY56" s="220" t="str">
        <f t="shared" ca="1" si="63"/>
        <v>SSV Wil.</v>
      </c>
      <c r="AZ56" s="220" t="str">
        <f t="shared" ca="1" si="63"/>
        <v>Inter M.</v>
      </c>
      <c r="BA56" s="220" t="str">
        <f t="shared" ca="1" si="63"/>
        <v/>
      </c>
      <c r="BB56" s="222" t="str">
        <f t="shared" ca="1" si="63"/>
        <v/>
      </c>
      <c r="BC56" s="191"/>
      <c r="BG56" s="449" t="b">
        <f t="shared" ca="1" si="59"/>
        <v>1</v>
      </c>
      <c r="BH56" s="449" t="b">
        <f t="shared" si="8"/>
        <v>0</v>
      </c>
      <c r="BI56" s="449" t="b">
        <f t="shared" si="9"/>
        <v>0</v>
      </c>
      <c r="BJ56" s="449" t="b">
        <f t="shared" si="10"/>
        <v>0</v>
      </c>
      <c r="BK56" s="449" t="b">
        <f t="shared" si="60"/>
        <v>0</v>
      </c>
      <c r="BL56" s="449" t="b">
        <f t="shared" si="61"/>
        <v>0</v>
      </c>
      <c r="BM56" s="449" t="b">
        <f t="shared" si="62"/>
        <v>0</v>
      </c>
    </row>
    <row r="57" spans="2:65" ht="24" customHeight="1" thickTop="1" thickBot="1" x14ac:dyDescent="0.25">
      <c r="B57" s="223">
        <v>48</v>
      </c>
      <c r="C57" s="224" t="str">
        <f ca="1">Planning!$I54</f>
        <v/>
      </c>
      <c r="D57" s="225" t="str">
        <f ca="1">Planning!$J54</f>
        <v/>
      </c>
      <c r="E57" s="226" t="str">
        <f ca="1">Planning!$N54</f>
        <v/>
      </c>
      <c r="F57" s="227" t="s">
        <v>4</v>
      </c>
      <c r="G57" s="226" t="str">
        <f ca="1">Planning!$P54</f>
        <v/>
      </c>
      <c r="H57" s="228"/>
      <c r="I57" s="304" t="str">
        <f>Language!$E$90</f>
        <v xml:space="preserve"> - </v>
      </c>
      <c r="J57" s="325"/>
      <c r="K57" s="228"/>
      <c r="L57" s="437" t="str">
        <f>Language!$E$90</f>
        <v xml:space="preserve"> - </v>
      </c>
      <c r="M57" s="325"/>
      <c r="N57" s="228"/>
      <c r="O57" s="442" t="str">
        <f>Language!$E$90</f>
        <v xml:space="preserve"> - </v>
      </c>
      <c r="P57" s="443"/>
      <c r="Q57" s="444" t="str">
        <f t="shared" ca="1" si="5"/>
        <v/>
      </c>
      <c r="R57" s="439" t="str">
        <f>Language!$E$90</f>
        <v xml:space="preserve"> - </v>
      </c>
      <c r="S57" s="440" t="str">
        <f t="shared" ca="1" si="6"/>
        <v/>
      </c>
      <c r="T57" s="434" t="str">
        <f>IF(Planning!$Q54="","",Planning!$Q54)</f>
        <v/>
      </c>
      <c r="V57" s="644" t="str">
        <f ca="1">$V$9</f>
        <v>Complete</v>
      </c>
      <c r="W57" s="645"/>
      <c r="X57" s="192" t="str">
        <f>X33</f>
        <v>Pld</v>
      </c>
      <c r="Y57" s="193" t="str">
        <f>Y33</f>
        <v>W</v>
      </c>
      <c r="Z57" s="193" t="str">
        <f t="shared" ref="Z57:AA57" si="64">Z33</f>
        <v>D</v>
      </c>
      <c r="AA57" s="193" t="str">
        <f t="shared" si="64"/>
        <v>L</v>
      </c>
      <c r="AB57" s="649" t="str">
        <f>AB33</f>
        <v>sets</v>
      </c>
      <c r="AC57" s="650"/>
      <c r="AD57" s="651"/>
      <c r="AE57" s="479" t="str">
        <f>AE33</f>
        <v>GD</v>
      </c>
      <c r="AF57" s="646" t="str">
        <f>AF33</f>
        <v>balls</v>
      </c>
      <c r="AG57" s="647"/>
      <c r="AH57" s="648"/>
      <c r="AI57" s="193" t="str">
        <f>AI33</f>
        <v>Quot.</v>
      </c>
      <c r="AJ57" s="195" t="str">
        <f>AJ33</f>
        <v>Setpts.</v>
      </c>
      <c r="AK57" s="196" t="str">
        <f ca="1">AK9</f>
        <v>Maibach 1822 eV</v>
      </c>
      <c r="AL57" s="197" t="str">
        <f t="shared" ref="AL57:AS57" ca="1" si="65">AL9</f>
        <v>1. FC Riedwald</v>
      </c>
      <c r="AM57" s="197" t="str">
        <f t="shared" ca="1" si="65"/>
        <v>FC Barcelona</v>
      </c>
      <c r="AN57" s="197" t="str">
        <f t="shared" ca="1" si="65"/>
        <v>VFB Essenheim</v>
      </c>
      <c r="AO57" s="197" t="str">
        <f t="shared" ca="1" si="65"/>
        <v>Eintracht Frankfurt</v>
      </c>
      <c r="AP57" s="197" t="str">
        <f t="shared" ca="1" si="65"/>
        <v>SSV Wildbach</v>
      </c>
      <c r="AQ57" s="197" t="str">
        <f t="shared" ca="1" si="65"/>
        <v>Inter Mailand</v>
      </c>
      <c r="AR57" s="197" t="str">
        <f t="shared" ca="1" si="65"/>
        <v/>
      </c>
      <c r="AS57" s="198" t="str">
        <f t="shared" ca="1" si="65"/>
        <v/>
      </c>
      <c r="AT57" s="196" t="str">
        <f ca="1">AT9</f>
        <v>Maibach 1822 eV</v>
      </c>
      <c r="AU57" s="197" t="str">
        <f t="shared" ref="AU57:BB57" ca="1" si="66">AU9</f>
        <v>1. FC Riedwald</v>
      </c>
      <c r="AV57" s="197" t="str">
        <f t="shared" ca="1" si="66"/>
        <v>FC Barcelona</v>
      </c>
      <c r="AW57" s="197" t="str">
        <f t="shared" ca="1" si="66"/>
        <v>VFB Essenheim</v>
      </c>
      <c r="AX57" s="197" t="str">
        <f t="shared" ca="1" si="66"/>
        <v>Eintracht Frankfurt</v>
      </c>
      <c r="AY57" s="197" t="str">
        <f t="shared" ca="1" si="66"/>
        <v>SSV Wildbach</v>
      </c>
      <c r="AZ57" s="197" t="str">
        <f t="shared" ca="1" si="66"/>
        <v>Inter Mailand</v>
      </c>
      <c r="BA57" s="197" t="str">
        <f t="shared" ca="1" si="66"/>
        <v/>
      </c>
      <c r="BB57" s="198" t="str">
        <f t="shared" ca="1" si="66"/>
        <v/>
      </c>
      <c r="BC57" s="191"/>
      <c r="BG57" s="449" t="b">
        <f t="shared" ca="1" si="59"/>
        <v>1</v>
      </c>
      <c r="BH57" s="449" t="b">
        <f t="shared" si="8"/>
        <v>0</v>
      </c>
      <c r="BI57" s="449" t="b">
        <f t="shared" si="9"/>
        <v>0</v>
      </c>
      <c r="BJ57" s="449" t="b">
        <f t="shared" si="10"/>
        <v>0</v>
      </c>
      <c r="BK57" s="449" t="b">
        <f t="shared" si="60"/>
        <v>0</v>
      </c>
      <c r="BL57" s="449" t="b">
        <f t="shared" si="61"/>
        <v>0</v>
      </c>
      <c r="BM57" s="449" t="b">
        <f t="shared" si="62"/>
        <v>0</v>
      </c>
    </row>
    <row r="58" spans="2:65" ht="24" customHeight="1" x14ac:dyDescent="0.2">
      <c r="B58" s="223">
        <v>49</v>
      </c>
      <c r="C58" s="224" t="str">
        <f ca="1">Planning!$I55</f>
        <v/>
      </c>
      <c r="D58" s="225" t="str">
        <f ca="1">Planning!$J55</f>
        <v/>
      </c>
      <c r="E58" s="226" t="str">
        <f ca="1">Planning!$N55</f>
        <v/>
      </c>
      <c r="F58" s="227" t="s">
        <v>4</v>
      </c>
      <c r="G58" s="226" t="str">
        <f ca="1">Planning!$P55</f>
        <v/>
      </c>
      <c r="H58" s="228"/>
      <c r="I58" s="304" t="str">
        <f>Language!$E$90</f>
        <v xml:space="preserve"> - </v>
      </c>
      <c r="J58" s="325"/>
      <c r="K58" s="228"/>
      <c r="L58" s="437" t="str">
        <f>Language!$E$90</f>
        <v xml:space="preserve"> - </v>
      </c>
      <c r="M58" s="325"/>
      <c r="N58" s="228"/>
      <c r="O58" s="442" t="str">
        <f>Language!$E$90</f>
        <v xml:space="preserve"> - </v>
      </c>
      <c r="P58" s="443"/>
      <c r="Q58" s="444" t="str">
        <f t="shared" ca="1" si="5"/>
        <v/>
      </c>
      <c r="R58" s="439" t="str">
        <f>Language!$E$90</f>
        <v xml:space="preserve"> - </v>
      </c>
      <c r="S58" s="440" t="str">
        <f t="shared" ca="1" si="6"/>
        <v/>
      </c>
      <c r="T58" s="434" t="str">
        <f>IF(Planning!$Q55="","",Planning!$Q55)</f>
        <v/>
      </c>
      <c r="V58" s="199">
        <f ca="1">V34</f>
        <v>1</v>
      </c>
      <c r="W58" s="200" t="str">
        <f ca="1">IF(W34="","",W34)</f>
        <v>Maibach 1822 eV</v>
      </c>
      <c r="X58" s="201">
        <f t="shared" ref="X58:AJ58" ca="1" si="67">IF(X34="","",X34)</f>
        <v>12</v>
      </c>
      <c r="Y58" s="202">
        <f t="shared" ca="1" si="67"/>
        <v>5</v>
      </c>
      <c r="Z58" s="202">
        <f t="shared" ca="1" si="67"/>
        <v>5</v>
      </c>
      <c r="AA58" s="203">
        <f t="shared" ca="1" si="67"/>
        <v>2</v>
      </c>
      <c r="AB58" s="494">
        <f t="shared" ca="1" si="67"/>
        <v>15</v>
      </c>
      <c r="AC58" s="513" t="str">
        <f t="shared" si="67"/>
        <v xml:space="preserve"> - </v>
      </c>
      <c r="AD58" s="495">
        <f t="shared" ca="1" si="67"/>
        <v>9</v>
      </c>
      <c r="AE58" s="491">
        <f t="shared" ca="1" si="67"/>
        <v>6</v>
      </c>
      <c r="AF58" s="494">
        <f t="shared" ca="1" si="67"/>
        <v>552</v>
      </c>
      <c r="AG58" s="513" t="str">
        <f t="shared" si="67"/>
        <v xml:space="preserve"> - </v>
      </c>
      <c r="AH58" s="495">
        <f t="shared" ca="1" si="67"/>
        <v>496</v>
      </c>
      <c r="AI58" s="201">
        <f t="shared" ca="1" si="67"/>
        <v>1.113</v>
      </c>
      <c r="AJ58" s="204">
        <f t="shared" ca="1" si="67"/>
        <v>15</v>
      </c>
      <c r="AK58" s="340"/>
      <c r="AL58" s="339" t="str">
        <f t="shared" ref="AL58:AS58" ca="1" si="68">IF(AL34="","",AL34)</f>
        <v>2 - 0</v>
      </c>
      <c r="AM58" s="339" t="str">
        <f t="shared" ca="1" si="68"/>
        <v>0 - 2</v>
      </c>
      <c r="AN58" s="339" t="str">
        <f t="shared" ca="1" si="68"/>
        <v>0 - 2</v>
      </c>
      <c r="AO58" s="339" t="str">
        <f t="shared" ca="1" si="68"/>
        <v>2 - 0</v>
      </c>
      <c r="AP58" s="339" t="str">
        <f t="shared" ca="1" si="68"/>
        <v>2 - 0</v>
      </c>
      <c r="AQ58" s="339" t="str">
        <f t="shared" ca="1" si="68"/>
        <v>1 - 1</v>
      </c>
      <c r="AR58" s="339" t="str">
        <f t="shared" ca="1" si="68"/>
        <v/>
      </c>
      <c r="AS58" s="341" t="str">
        <f t="shared" ca="1" si="68"/>
        <v/>
      </c>
      <c r="AT58" s="340"/>
      <c r="AU58" s="339" t="str">
        <f t="shared" ref="AU58:BB58" ca="1" si="69">IF(AU34="","",AU34)</f>
        <v>1 - 1</v>
      </c>
      <c r="AV58" s="339" t="str">
        <f t="shared" ca="1" si="69"/>
        <v>2 - 0</v>
      </c>
      <c r="AW58" s="339" t="str">
        <f t="shared" ca="1" si="69"/>
        <v>1 - 1</v>
      </c>
      <c r="AX58" s="339" t="str">
        <f t="shared" ca="1" si="69"/>
        <v>1 - 1</v>
      </c>
      <c r="AY58" s="339" t="str">
        <f t="shared" ca="1" si="69"/>
        <v>1 - 1</v>
      </c>
      <c r="AZ58" s="339" t="str">
        <f t="shared" ca="1" si="69"/>
        <v>2 - 0</v>
      </c>
      <c r="BA58" s="339" t="str">
        <f t="shared" ca="1" si="69"/>
        <v/>
      </c>
      <c r="BB58" s="341" t="str">
        <f t="shared" ca="1" si="69"/>
        <v/>
      </c>
      <c r="BC58" s="205" t="str">
        <f ca="1">BC10</f>
        <v>Maibach 1822 eV</v>
      </c>
      <c r="BG58" s="449" t="b">
        <f t="shared" ca="1" si="59"/>
        <v>1</v>
      </c>
      <c r="BH58" s="449" t="b">
        <f t="shared" si="8"/>
        <v>0</v>
      </c>
      <c r="BI58" s="449" t="b">
        <f t="shared" si="9"/>
        <v>0</v>
      </c>
      <c r="BJ58" s="449" t="b">
        <f t="shared" si="10"/>
        <v>0</v>
      </c>
      <c r="BK58" s="449" t="b">
        <f t="shared" si="60"/>
        <v>0</v>
      </c>
      <c r="BL58" s="449" t="b">
        <f t="shared" si="61"/>
        <v>0</v>
      </c>
      <c r="BM58" s="449" t="b">
        <f t="shared" si="62"/>
        <v>0</v>
      </c>
    </row>
    <row r="59" spans="2:65" ht="24" customHeight="1" x14ac:dyDescent="0.2">
      <c r="B59" s="223">
        <v>50</v>
      </c>
      <c r="C59" s="224" t="str">
        <f ca="1">Planning!$I56</f>
        <v/>
      </c>
      <c r="D59" s="225" t="str">
        <f ca="1">Planning!$J56</f>
        <v/>
      </c>
      <c r="E59" s="226" t="str">
        <f ca="1">Planning!$N56</f>
        <v/>
      </c>
      <c r="F59" s="227" t="s">
        <v>4</v>
      </c>
      <c r="G59" s="226" t="str">
        <f ca="1">Planning!$P56</f>
        <v/>
      </c>
      <c r="H59" s="228"/>
      <c r="I59" s="304" t="str">
        <f>Language!$E$90</f>
        <v xml:space="preserve"> - </v>
      </c>
      <c r="J59" s="325"/>
      <c r="K59" s="228"/>
      <c r="L59" s="437" t="str">
        <f>Language!$E$90</f>
        <v xml:space="preserve"> - </v>
      </c>
      <c r="M59" s="325"/>
      <c r="N59" s="228"/>
      <c r="O59" s="442" t="str">
        <f>Language!$E$90</f>
        <v xml:space="preserve"> - </v>
      </c>
      <c r="P59" s="443"/>
      <c r="Q59" s="444" t="str">
        <f t="shared" ca="1" si="5"/>
        <v/>
      </c>
      <c r="R59" s="439" t="str">
        <f>Language!$E$90</f>
        <v xml:space="preserve"> - </v>
      </c>
      <c r="S59" s="440" t="str">
        <f t="shared" ca="1" si="6"/>
        <v/>
      </c>
      <c r="T59" s="434" t="str">
        <f>IF(Planning!$Q56="","",Planning!$Q56)</f>
        <v/>
      </c>
      <c r="V59" s="206">
        <f ca="1">V35</f>
        <v>2</v>
      </c>
      <c r="W59" s="207" t="str">
        <f t="shared" ref="W59:W66" ca="1" si="70">IF(W35="","",W35)</f>
        <v>1. FC Riedwald</v>
      </c>
      <c r="X59" s="208">
        <f t="shared" ref="X59:AJ59" ca="1" si="71">IF(X35="","",X35)</f>
        <v>12</v>
      </c>
      <c r="Y59" s="185">
        <f t="shared" ca="1" si="71"/>
        <v>4</v>
      </c>
      <c r="Z59" s="185">
        <f t="shared" ca="1" si="71"/>
        <v>5</v>
      </c>
      <c r="AA59" s="209">
        <f t="shared" ca="1" si="71"/>
        <v>3</v>
      </c>
      <c r="AB59" s="496">
        <f t="shared" ca="1" si="71"/>
        <v>14</v>
      </c>
      <c r="AC59" s="514" t="str">
        <f t="shared" si="71"/>
        <v xml:space="preserve"> - </v>
      </c>
      <c r="AD59" s="497">
        <f t="shared" ca="1" si="71"/>
        <v>11</v>
      </c>
      <c r="AE59" s="492">
        <f t="shared" ca="1" si="71"/>
        <v>3</v>
      </c>
      <c r="AF59" s="496">
        <f t="shared" ca="1" si="71"/>
        <v>553</v>
      </c>
      <c r="AG59" s="514" t="str">
        <f t="shared" si="71"/>
        <v xml:space="preserve"> - </v>
      </c>
      <c r="AH59" s="497">
        <f t="shared" ca="1" si="71"/>
        <v>545</v>
      </c>
      <c r="AI59" s="208">
        <f t="shared" ca="1" si="71"/>
        <v>1.0149999999999999</v>
      </c>
      <c r="AJ59" s="210">
        <f t="shared" ca="1" si="71"/>
        <v>14</v>
      </c>
      <c r="AK59" s="342" t="str">
        <f t="shared" ref="AK59:AK66" ca="1" si="72">IF(AK35="","",AK35)</f>
        <v>0 - 2</v>
      </c>
      <c r="AL59" s="343"/>
      <c r="AM59" s="344" t="str">
        <f t="shared" ref="AM59:AV66" ca="1" si="73">IF(AM35="","",AM35)</f>
        <v>2 - 0</v>
      </c>
      <c r="AN59" s="344" t="str">
        <f t="shared" ca="1" si="73"/>
        <v>1 - 1</v>
      </c>
      <c r="AO59" s="344" t="str">
        <f t="shared" ca="1" si="73"/>
        <v>2 - 0</v>
      </c>
      <c r="AP59" s="344" t="str">
        <f t="shared" ca="1" si="73"/>
        <v>2 - 0</v>
      </c>
      <c r="AQ59" s="344" t="str">
        <f t="shared" ca="1" si="73"/>
        <v>1 - 2</v>
      </c>
      <c r="AR59" s="344" t="str">
        <f t="shared" ca="1" si="73"/>
        <v/>
      </c>
      <c r="AS59" s="345" t="str">
        <f t="shared" ca="1" si="73"/>
        <v/>
      </c>
      <c r="AT59" s="342" t="str">
        <f t="shared" ca="1" si="73"/>
        <v>1 - 1</v>
      </c>
      <c r="AU59" s="343"/>
      <c r="AV59" s="344" t="str">
        <f t="shared" ref="AV59:BB59" ca="1" si="74">IF(AV35="","",AV35)</f>
        <v>0 - 2</v>
      </c>
      <c r="AW59" s="344" t="str">
        <f t="shared" ca="1" si="74"/>
        <v>1 - 1</v>
      </c>
      <c r="AX59" s="344" t="str">
        <f t="shared" ca="1" si="74"/>
        <v>2 - 0</v>
      </c>
      <c r="AY59" s="344" t="str">
        <f t="shared" ca="1" si="74"/>
        <v>1 - 1</v>
      </c>
      <c r="AZ59" s="344" t="str">
        <f t="shared" ca="1" si="74"/>
        <v>1 - 1</v>
      </c>
      <c r="BA59" s="344" t="str">
        <f t="shared" ca="1" si="74"/>
        <v/>
      </c>
      <c r="BB59" s="345" t="str">
        <f t="shared" ca="1" si="74"/>
        <v/>
      </c>
      <c r="BC59" s="211" t="str">
        <f t="shared" ref="BC59:BC66" ca="1" si="75">BC11</f>
        <v>1. FC Riedwald</v>
      </c>
      <c r="BG59" s="449" t="b">
        <f t="shared" ca="1" si="59"/>
        <v>1</v>
      </c>
      <c r="BH59" s="449" t="b">
        <f t="shared" si="8"/>
        <v>0</v>
      </c>
      <c r="BI59" s="449" t="b">
        <f t="shared" si="9"/>
        <v>0</v>
      </c>
      <c r="BJ59" s="449" t="b">
        <f t="shared" si="10"/>
        <v>0</v>
      </c>
      <c r="BK59" s="449" t="b">
        <f t="shared" si="60"/>
        <v>0</v>
      </c>
      <c r="BL59" s="449" t="b">
        <f t="shared" si="61"/>
        <v>0</v>
      </c>
      <c r="BM59" s="449" t="b">
        <f t="shared" si="62"/>
        <v>0</v>
      </c>
    </row>
    <row r="60" spans="2:65" ht="24" customHeight="1" x14ac:dyDescent="0.2">
      <c r="B60" s="223">
        <v>51</v>
      </c>
      <c r="C60" s="224" t="str">
        <f ca="1">Planning!$I57</f>
        <v/>
      </c>
      <c r="D60" s="225" t="str">
        <f ca="1">Planning!$J57</f>
        <v/>
      </c>
      <c r="E60" s="226" t="str">
        <f ca="1">Planning!$N57</f>
        <v/>
      </c>
      <c r="F60" s="227" t="s">
        <v>4</v>
      </c>
      <c r="G60" s="226" t="str">
        <f ca="1">Planning!$P57</f>
        <v/>
      </c>
      <c r="H60" s="228"/>
      <c r="I60" s="304" t="str">
        <f>Language!$E$90</f>
        <v xml:space="preserve"> - </v>
      </c>
      <c r="J60" s="325"/>
      <c r="K60" s="228"/>
      <c r="L60" s="437" t="str">
        <f>Language!$E$90</f>
        <v xml:space="preserve"> - </v>
      </c>
      <c r="M60" s="325"/>
      <c r="N60" s="228"/>
      <c r="O60" s="442" t="str">
        <f>Language!$E$90</f>
        <v xml:space="preserve"> - </v>
      </c>
      <c r="P60" s="443"/>
      <c r="Q60" s="444" t="str">
        <f t="shared" ca="1" si="5"/>
        <v/>
      </c>
      <c r="R60" s="439" t="str">
        <f>Language!$E$90</f>
        <v xml:space="preserve"> - </v>
      </c>
      <c r="S60" s="440" t="str">
        <f t="shared" ca="1" si="6"/>
        <v/>
      </c>
      <c r="T60" s="434" t="str">
        <f>IF(Planning!$Q57="","",Planning!$Q57)</f>
        <v/>
      </c>
      <c r="V60" s="206">
        <f t="shared" ref="V60:V65" ca="1" si="76">V36</f>
        <v>3</v>
      </c>
      <c r="W60" s="207" t="str">
        <f t="shared" ca="1" si="70"/>
        <v>FC Barcelona</v>
      </c>
      <c r="X60" s="208">
        <f t="shared" ref="X60:AJ60" ca="1" si="77">IF(X36="","",X36)</f>
        <v>12</v>
      </c>
      <c r="Y60" s="185">
        <f t="shared" ca="1" si="77"/>
        <v>4</v>
      </c>
      <c r="Z60" s="185">
        <f t="shared" ca="1" si="77"/>
        <v>4</v>
      </c>
      <c r="AA60" s="209">
        <f t="shared" ca="1" si="77"/>
        <v>4</v>
      </c>
      <c r="AB60" s="496">
        <f t="shared" ca="1" si="77"/>
        <v>13</v>
      </c>
      <c r="AC60" s="514" t="str">
        <f t="shared" si="77"/>
        <v xml:space="preserve"> - </v>
      </c>
      <c r="AD60" s="497">
        <f t="shared" ca="1" si="77"/>
        <v>12</v>
      </c>
      <c r="AE60" s="492">
        <f t="shared" ca="1" si="77"/>
        <v>1</v>
      </c>
      <c r="AF60" s="496">
        <f t="shared" ca="1" si="77"/>
        <v>537</v>
      </c>
      <c r="AG60" s="514" t="str">
        <f t="shared" si="77"/>
        <v xml:space="preserve"> - </v>
      </c>
      <c r="AH60" s="497">
        <f t="shared" ca="1" si="77"/>
        <v>545</v>
      </c>
      <c r="AI60" s="208">
        <f t="shared" ca="1" si="77"/>
        <v>0.98499999999999999</v>
      </c>
      <c r="AJ60" s="210">
        <f t="shared" ca="1" si="77"/>
        <v>13</v>
      </c>
      <c r="AK60" s="342" t="str">
        <f t="shared" ca="1" si="72"/>
        <v>2 - 0</v>
      </c>
      <c r="AL60" s="344" t="str">
        <f t="shared" ref="AL60:AL66" ca="1" si="78">IF(AL36="","",AL36)</f>
        <v>0 - 2</v>
      </c>
      <c r="AM60" s="343"/>
      <c r="AN60" s="344" t="str">
        <f t="shared" ref="AN60:AS60" ca="1" si="79">IF(AN36="","",AN36)</f>
        <v>2 - 0</v>
      </c>
      <c r="AO60" s="344" t="str">
        <f t="shared" ca="1" si="79"/>
        <v>1 - 1</v>
      </c>
      <c r="AP60" s="344" t="str">
        <f t="shared" ca="1" si="79"/>
        <v>1 - 2</v>
      </c>
      <c r="AQ60" s="344" t="str">
        <f t="shared" ca="1" si="79"/>
        <v>1 - 1</v>
      </c>
      <c r="AR60" s="344" t="str">
        <f t="shared" ca="1" si="79"/>
        <v/>
      </c>
      <c r="AS60" s="345" t="str">
        <f t="shared" ca="1" si="79"/>
        <v/>
      </c>
      <c r="AT60" s="342" t="str">
        <f t="shared" ca="1" si="73"/>
        <v>0 - 2</v>
      </c>
      <c r="AU60" s="344" t="str">
        <f t="shared" ca="1" si="73"/>
        <v>2 - 0</v>
      </c>
      <c r="AV60" s="343"/>
      <c r="AW60" s="344" t="str">
        <f t="shared" ref="AW60:BB60" ca="1" si="80">IF(AW36="","",AW36)</f>
        <v>1 - 1</v>
      </c>
      <c r="AX60" s="344" t="str">
        <f t="shared" ca="1" si="80"/>
        <v>0 - 2</v>
      </c>
      <c r="AY60" s="344" t="str">
        <f t="shared" ca="1" si="80"/>
        <v>1 - 1</v>
      </c>
      <c r="AZ60" s="344" t="str">
        <f t="shared" ca="1" si="80"/>
        <v>2 - 0</v>
      </c>
      <c r="BA60" s="344" t="str">
        <f t="shared" ca="1" si="80"/>
        <v/>
      </c>
      <c r="BB60" s="345" t="str">
        <f t="shared" ca="1" si="80"/>
        <v/>
      </c>
      <c r="BC60" s="211" t="str">
        <f t="shared" ca="1" si="75"/>
        <v>FC Barcelona</v>
      </c>
      <c r="BG60" s="449" t="b">
        <f t="shared" ca="1" si="59"/>
        <v>1</v>
      </c>
      <c r="BH60" s="449" t="b">
        <f t="shared" si="8"/>
        <v>0</v>
      </c>
      <c r="BI60" s="449" t="b">
        <f t="shared" si="9"/>
        <v>0</v>
      </c>
      <c r="BJ60" s="449" t="b">
        <f t="shared" si="10"/>
        <v>0</v>
      </c>
      <c r="BK60" s="449" t="b">
        <f t="shared" si="60"/>
        <v>0</v>
      </c>
      <c r="BL60" s="449" t="b">
        <f t="shared" si="61"/>
        <v>0</v>
      </c>
      <c r="BM60" s="449" t="b">
        <f t="shared" si="62"/>
        <v>0</v>
      </c>
    </row>
    <row r="61" spans="2:65" ht="24" customHeight="1" x14ac:dyDescent="0.2">
      <c r="B61" s="223">
        <v>52</v>
      </c>
      <c r="C61" s="224" t="str">
        <f ca="1">Planning!$I58</f>
        <v/>
      </c>
      <c r="D61" s="225" t="str">
        <f ca="1">Planning!$J58</f>
        <v/>
      </c>
      <c r="E61" s="226" t="str">
        <f ca="1">Planning!$N58</f>
        <v/>
      </c>
      <c r="F61" s="227" t="s">
        <v>4</v>
      </c>
      <c r="G61" s="226" t="str">
        <f ca="1">Planning!$P58</f>
        <v/>
      </c>
      <c r="H61" s="228"/>
      <c r="I61" s="304" t="str">
        <f>Language!$E$90</f>
        <v xml:space="preserve"> - </v>
      </c>
      <c r="J61" s="325"/>
      <c r="K61" s="228"/>
      <c r="L61" s="437" t="str">
        <f>Language!$E$90</f>
        <v xml:space="preserve"> - </v>
      </c>
      <c r="M61" s="325"/>
      <c r="N61" s="228"/>
      <c r="O61" s="442" t="str">
        <f>Language!$E$90</f>
        <v xml:space="preserve"> - </v>
      </c>
      <c r="P61" s="443"/>
      <c r="Q61" s="444" t="str">
        <f t="shared" ca="1" si="5"/>
        <v/>
      </c>
      <c r="R61" s="439" t="str">
        <f>Language!$E$90</f>
        <v xml:space="preserve"> - </v>
      </c>
      <c r="S61" s="440" t="str">
        <f t="shared" ca="1" si="6"/>
        <v/>
      </c>
      <c r="T61" s="434" t="str">
        <f>IF(Planning!$Q58="","",Planning!$Q58)</f>
        <v/>
      </c>
      <c r="V61" s="206">
        <f t="shared" ca="1" si="76"/>
        <v>4</v>
      </c>
      <c r="W61" s="207" t="str">
        <f t="shared" ca="1" si="70"/>
        <v>VFB Essenheim</v>
      </c>
      <c r="X61" s="208">
        <f t="shared" ref="X61:AJ61" ca="1" si="81">IF(X37="","",X37)</f>
        <v>12</v>
      </c>
      <c r="Y61" s="185">
        <f t="shared" ca="1" si="81"/>
        <v>2</v>
      </c>
      <c r="Z61" s="185">
        <f t="shared" ca="1" si="81"/>
        <v>8</v>
      </c>
      <c r="AA61" s="209">
        <f t="shared" ca="1" si="81"/>
        <v>2</v>
      </c>
      <c r="AB61" s="496">
        <f t="shared" ca="1" si="81"/>
        <v>12</v>
      </c>
      <c r="AC61" s="514" t="str">
        <f t="shared" si="81"/>
        <v xml:space="preserve"> - </v>
      </c>
      <c r="AD61" s="497">
        <f t="shared" ca="1" si="81"/>
        <v>12</v>
      </c>
      <c r="AE61" s="492">
        <f t="shared" ca="1" si="81"/>
        <v>0</v>
      </c>
      <c r="AF61" s="496">
        <f t="shared" ca="1" si="81"/>
        <v>524</v>
      </c>
      <c r="AG61" s="514" t="str">
        <f t="shared" si="81"/>
        <v xml:space="preserve"> - </v>
      </c>
      <c r="AH61" s="497">
        <f t="shared" ca="1" si="81"/>
        <v>521</v>
      </c>
      <c r="AI61" s="208">
        <f t="shared" ca="1" si="81"/>
        <v>1.006</v>
      </c>
      <c r="AJ61" s="210">
        <f t="shared" ca="1" si="81"/>
        <v>12</v>
      </c>
      <c r="AK61" s="342" t="str">
        <f t="shared" ca="1" si="72"/>
        <v>2 - 0</v>
      </c>
      <c r="AL61" s="344" t="str">
        <f t="shared" ca="1" si="78"/>
        <v>1 - 1</v>
      </c>
      <c r="AM61" s="344" t="str">
        <f t="shared" ref="AM61:AM66" ca="1" si="82">IF(AM37="","",AM37)</f>
        <v>0 - 2</v>
      </c>
      <c r="AN61" s="343"/>
      <c r="AO61" s="344" t="str">
        <f ca="1">IF(AO37="","",AO37)</f>
        <v>1 - 1</v>
      </c>
      <c r="AP61" s="344" t="str">
        <f ca="1">IF(AP37="","",AP37)</f>
        <v>1 - 1</v>
      </c>
      <c r="AQ61" s="344" t="str">
        <f ca="1">IF(AQ37="","",AQ37)</f>
        <v>0 - 2</v>
      </c>
      <c r="AR61" s="344" t="str">
        <f ca="1">IF(AR37="","",AR37)</f>
        <v/>
      </c>
      <c r="AS61" s="345" t="str">
        <f ca="1">IF(AS37="","",AS37)</f>
        <v/>
      </c>
      <c r="AT61" s="342" t="str">
        <f t="shared" ca="1" si="73"/>
        <v>1 - 1</v>
      </c>
      <c r="AU61" s="344" t="str">
        <f t="shared" ca="1" si="73"/>
        <v>1 - 1</v>
      </c>
      <c r="AV61" s="344" t="str">
        <f t="shared" ca="1" si="73"/>
        <v>1 - 1</v>
      </c>
      <c r="AW61" s="343"/>
      <c r="AX61" s="344" t="str">
        <f ca="1">IF(AX37="","",AX37)</f>
        <v>1 - 1</v>
      </c>
      <c r="AY61" s="344" t="str">
        <f ca="1">IF(AY37="","",AY37)</f>
        <v>2 - 0</v>
      </c>
      <c r="AZ61" s="344" t="str">
        <f ca="1">IF(AZ37="","",AZ37)</f>
        <v>1 - 1</v>
      </c>
      <c r="BA61" s="344" t="str">
        <f ca="1">IF(BA37="","",BA37)</f>
        <v/>
      </c>
      <c r="BB61" s="345" t="str">
        <f ca="1">IF(BB37="","",BB37)</f>
        <v/>
      </c>
      <c r="BC61" s="211" t="str">
        <f t="shared" ca="1" si="75"/>
        <v>VFB Essenheim</v>
      </c>
      <c r="BG61" s="449" t="b">
        <f t="shared" ca="1" si="59"/>
        <v>1</v>
      </c>
      <c r="BH61" s="449" t="b">
        <f t="shared" si="8"/>
        <v>0</v>
      </c>
      <c r="BI61" s="449" t="b">
        <f t="shared" si="9"/>
        <v>0</v>
      </c>
      <c r="BJ61" s="449" t="b">
        <f t="shared" si="10"/>
        <v>0</v>
      </c>
      <c r="BK61" s="449" t="b">
        <f t="shared" si="60"/>
        <v>0</v>
      </c>
      <c r="BL61" s="449" t="b">
        <f t="shared" si="61"/>
        <v>0</v>
      </c>
      <c r="BM61" s="449" t="b">
        <f t="shared" si="62"/>
        <v>0</v>
      </c>
    </row>
    <row r="62" spans="2:65" ht="24" customHeight="1" x14ac:dyDescent="0.2">
      <c r="B62" s="223">
        <v>53</v>
      </c>
      <c r="C62" s="224" t="str">
        <f ca="1">Planning!$I59</f>
        <v/>
      </c>
      <c r="D62" s="225" t="str">
        <f ca="1">Planning!$J59</f>
        <v/>
      </c>
      <c r="E62" s="226" t="str">
        <f ca="1">Planning!$N59</f>
        <v/>
      </c>
      <c r="F62" s="227" t="s">
        <v>4</v>
      </c>
      <c r="G62" s="226" t="str">
        <f ca="1">Planning!$P59</f>
        <v/>
      </c>
      <c r="H62" s="228"/>
      <c r="I62" s="304" t="str">
        <f>Language!$E$90</f>
        <v xml:space="preserve"> - </v>
      </c>
      <c r="J62" s="325"/>
      <c r="K62" s="228"/>
      <c r="L62" s="437" t="str">
        <f>Language!$E$90</f>
        <v xml:space="preserve"> - </v>
      </c>
      <c r="M62" s="325"/>
      <c r="N62" s="228"/>
      <c r="O62" s="442" t="str">
        <f>Language!$E$90</f>
        <v xml:space="preserve"> - </v>
      </c>
      <c r="P62" s="443"/>
      <c r="Q62" s="444" t="str">
        <f t="shared" ca="1" si="5"/>
        <v/>
      </c>
      <c r="R62" s="439" t="str">
        <f>Language!$E$90</f>
        <v xml:space="preserve"> - </v>
      </c>
      <c r="S62" s="440" t="str">
        <f t="shared" ca="1" si="6"/>
        <v/>
      </c>
      <c r="T62" s="434" t="str">
        <f>IF(Planning!$Q59="","",Planning!$Q59)</f>
        <v/>
      </c>
      <c r="V62" s="206">
        <f t="shared" ca="1" si="76"/>
        <v>5</v>
      </c>
      <c r="W62" s="207" t="str">
        <f t="shared" ca="1" si="70"/>
        <v>Eintracht Frankfurt</v>
      </c>
      <c r="X62" s="208">
        <f t="shared" ref="X62:AJ62" ca="1" si="83">IF(X38="","",X38)</f>
        <v>12</v>
      </c>
      <c r="Y62" s="185">
        <f t="shared" ca="1" si="83"/>
        <v>3</v>
      </c>
      <c r="Z62" s="185">
        <f t="shared" ca="1" si="83"/>
        <v>6</v>
      </c>
      <c r="AA62" s="209">
        <f t="shared" ca="1" si="83"/>
        <v>3</v>
      </c>
      <c r="AB62" s="496">
        <f t="shared" ca="1" si="83"/>
        <v>12</v>
      </c>
      <c r="AC62" s="514" t="str">
        <f t="shared" si="83"/>
        <v xml:space="preserve"> - </v>
      </c>
      <c r="AD62" s="497">
        <f t="shared" ca="1" si="83"/>
        <v>12</v>
      </c>
      <c r="AE62" s="492">
        <f t="shared" ca="1" si="83"/>
        <v>0</v>
      </c>
      <c r="AF62" s="496">
        <f t="shared" ca="1" si="83"/>
        <v>535</v>
      </c>
      <c r="AG62" s="514" t="str">
        <f t="shared" si="83"/>
        <v xml:space="preserve"> - </v>
      </c>
      <c r="AH62" s="497">
        <f t="shared" ca="1" si="83"/>
        <v>532</v>
      </c>
      <c r="AI62" s="208">
        <f t="shared" ca="1" si="83"/>
        <v>1.006</v>
      </c>
      <c r="AJ62" s="210">
        <f t="shared" ca="1" si="83"/>
        <v>12</v>
      </c>
      <c r="AK62" s="342" t="str">
        <f t="shared" ca="1" si="72"/>
        <v>0 - 2</v>
      </c>
      <c r="AL62" s="344" t="str">
        <f t="shared" ca="1" si="78"/>
        <v>0 - 2</v>
      </c>
      <c r="AM62" s="344" t="str">
        <f t="shared" ca="1" si="82"/>
        <v>1 - 1</v>
      </c>
      <c r="AN62" s="344" t="str">
        <f ca="1">IF(AN38="","",AN38)</f>
        <v>1 - 1</v>
      </c>
      <c r="AO62" s="343"/>
      <c r="AP62" s="344" t="str">
        <f ca="1">IF(AP38="","",AP38)</f>
        <v>1 - 1</v>
      </c>
      <c r="AQ62" s="344" t="str">
        <f ca="1">IF(AQ38="","",AQ38)</f>
        <v>2 - 0</v>
      </c>
      <c r="AR62" s="344" t="str">
        <f ca="1">IF(AR38="","",AR38)</f>
        <v/>
      </c>
      <c r="AS62" s="345" t="str">
        <f ca="1">IF(AS38="","",AS38)</f>
        <v/>
      </c>
      <c r="AT62" s="342" t="str">
        <f t="shared" ca="1" si="73"/>
        <v>1 - 1</v>
      </c>
      <c r="AU62" s="344" t="str">
        <f t="shared" ca="1" si="73"/>
        <v>0 - 2</v>
      </c>
      <c r="AV62" s="344" t="str">
        <f t="shared" ca="1" si="73"/>
        <v>2 - 0</v>
      </c>
      <c r="AW62" s="344" t="str">
        <f ca="1">IF(AW38="","",AW38)</f>
        <v>1 - 1</v>
      </c>
      <c r="AX62" s="343"/>
      <c r="AY62" s="344" t="str">
        <f ca="1">IF(AY38="","",AY38)</f>
        <v>1 - 1</v>
      </c>
      <c r="AZ62" s="344" t="str">
        <f ca="1">IF(AZ38="","",AZ38)</f>
        <v>2 - 0</v>
      </c>
      <c r="BA62" s="344" t="str">
        <f ca="1">IF(BA38="","",BA38)</f>
        <v/>
      </c>
      <c r="BB62" s="345" t="str">
        <f ca="1">IF(BB38="","",BB38)</f>
        <v/>
      </c>
      <c r="BC62" s="211" t="str">
        <f t="shared" ca="1" si="75"/>
        <v>Eintracht Frankfurt</v>
      </c>
      <c r="BG62" s="449" t="b">
        <f t="shared" ca="1" si="59"/>
        <v>1</v>
      </c>
      <c r="BH62" s="449" t="b">
        <f t="shared" si="8"/>
        <v>0</v>
      </c>
      <c r="BI62" s="449" t="b">
        <f t="shared" si="9"/>
        <v>0</v>
      </c>
      <c r="BJ62" s="449" t="b">
        <f t="shared" si="10"/>
        <v>0</v>
      </c>
      <c r="BK62" s="449" t="b">
        <f t="shared" si="60"/>
        <v>0</v>
      </c>
      <c r="BL62" s="449" t="b">
        <f t="shared" si="61"/>
        <v>0</v>
      </c>
      <c r="BM62" s="449" t="b">
        <f t="shared" si="62"/>
        <v>0</v>
      </c>
    </row>
    <row r="63" spans="2:65" ht="24" customHeight="1" x14ac:dyDescent="0.2">
      <c r="B63" s="223">
        <v>54</v>
      </c>
      <c r="C63" s="224" t="str">
        <f ca="1">Planning!$I60</f>
        <v/>
      </c>
      <c r="D63" s="225" t="str">
        <f ca="1">Planning!$J60</f>
        <v/>
      </c>
      <c r="E63" s="226" t="str">
        <f ca="1">Planning!$N60</f>
        <v/>
      </c>
      <c r="F63" s="227" t="s">
        <v>4</v>
      </c>
      <c r="G63" s="226" t="str">
        <f ca="1">Planning!$P60</f>
        <v/>
      </c>
      <c r="H63" s="228"/>
      <c r="I63" s="304" t="str">
        <f>Language!$E$90</f>
        <v xml:space="preserve"> - </v>
      </c>
      <c r="J63" s="325"/>
      <c r="K63" s="228"/>
      <c r="L63" s="437" t="str">
        <f>Language!$E$90</f>
        <v xml:space="preserve"> - </v>
      </c>
      <c r="M63" s="325"/>
      <c r="N63" s="228"/>
      <c r="O63" s="442" t="str">
        <f>Language!$E$90</f>
        <v xml:space="preserve"> - </v>
      </c>
      <c r="P63" s="443"/>
      <c r="Q63" s="444" t="str">
        <f t="shared" ca="1" si="5"/>
        <v/>
      </c>
      <c r="R63" s="439" t="str">
        <f>Language!$E$90</f>
        <v xml:space="preserve"> - </v>
      </c>
      <c r="S63" s="440" t="str">
        <f t="shared" ca="1" si="6"/>
        <v/>
      </c>
      <c r="T63" s="434" t="str">
        <f>IF(Planning!$Q60="","",Planning!$Q60)</f>
        <v/>
      </c>
      <c r="V63" s="206">
        <f t="shared" ca="1" si="76"/>
        <v>6</v>
      </c>
      <c r="W63" s="207" t="str">
        <f t="shared" ca="1" si="70"/>
        <v>SSV Wildbach</v>
      </c>
      <c r="X63" s="208">
        <f t="shared" ref="X63:AJ63" ca="1" si="84">IF(X39="","",X39)</f>
        <v>12</v>
      </c>
      <c r="Y63" s="185">
        <f t="shared" ca="1" si="84"/>
        <v>2</v>
      </c>
      <c r="Z63" s="185">
        <f t="shared" ca="1" si="84"/>
        <v>6</v>
      </c>
      <c r="AA63" s="209">
        <f t="shared" ca="1" si="84"/>
        <v>4</v>
      </c>
      <c r="AB63" s="496">
        <f t="shared" ca="1" si="84"/>
        <v>10</v>
      </c>
      <c r="AC63" s="514" t="str">
        <f t="shared" si="84"/>
        <v xml:space="preserve"> - </v>
      </c>
      <c r="AD63" s="497">
        <f t="shared" ca="1" si="84"/>
        <v>15</v>
      </c>
      <c r="AE63" s="492">
        <f t="shared" ca="1" si="84"/>
        <v>-5</v>
      </c>
      <c r="AF63" s="496">
        <f t="shared" ca="1" si="84"/>
        <v>519</v>
      </c>
      <c r="AG63" s="514" t="str">
        <f t="shared" si="84"/>
        <v xml:space="preserve"> - </v>
      </c>
      <c r="AH63" s="497">
        <f t="shared" ca="1" si="84"/>
        <v>546</v>
      </c>
      <c r="AI63" s="208">
        <f t="shared" ca="1" si="84"/>
        <v>0.95099999999999996</v>
      </c>
      <c r="AJ63" s="210">
        <f t="shared" ca="1" si="84"/>
        <v>10</v>
      </c>
      <c r="AK63" s="342" t="str">
        <f t="shared" ca="1" si="72"/>
        <v>0 - 2</v>
      </c>
      <c r="AL63" s="344" t="str">
        <f t="shared" ca="1" si="78"/>
        <v>0 - 2</v>
      </c>
      <c r="AM63" s="344" t="str">
        <f t="shared" ca="1" si="82"/>
        <v>2 - 1</v>
      </c>
      <c r="AN63" s="344" t="str">
        <f ca="1">IF(AN39="","",AN39)</f>
        <v>1 - 1</v>
      </c>
      <c r="AO63" s="344" t="str">
        <f ca="1">IF(AO39="","",AO39)</f>
        <v>1 - 1</v>
      </c>
      <c r="AP63" s="343"/>
      <c r="AQ63" s="344" t="str">
        <f ca="1">IF(AQ39="","",AQ39)</f>
        <v>2 - 0</v>
      </c>
      <c r="AR63" s="344" t="str">
        <f ca="1">IF(AR39="","",AR39)</f>
        <v/>
      </c>
      <c r="AS63" s="345" t="str">
        <f ca="1">IF(AS39="","",AS39)</f>
        <v/>
      </c>
      <c r="AT63" s="342" t="str">
        <f t="shared" ca="1" si="73"/>
        <v>1 - 1</v>
      </c>
      <c r="AU63" s="344" t="str">
        <f t="shared" ca="1" si="73"/>
        <v>1 - 1</v>
      </c>
      <c r="AV63" s="344" t="str">
        <f t="shared" ca="1" si="73"/>
        <v>1 - 1</v>
      </c>
      <c r="AW63" s="344" t="str">
        <f ca="1">IF(AW39="","",AW39)</f>
        <v>0 - 2</v>
      </c>
      <c r="AX63" s="344" t="str">
        <f ca="1">IF(AX39="","",AX39)</f>
        <v>1 - 1</v>
      </c>
      <c r="AY63" s="343"/>
      <c r="AZ63" s="344" t="str">
        <f ca="1">IF(AZ39="","",AZ39)</f>
        <v>0 - 2</v>
      </c>
      <c r="BA63" s="344" t="str">
        <f ca="1">IF(BA39="","",BA39)</f>
        <v/>
      </c>
      <c r="BB63" s="345" t="str">
        <f ca="1">IF(BB39="","",BB39)</f>
        <v/>
      </c>
      <c r="BC63" s="211" t="str">
        <f t="shared" ca="1" si="75"/>
        <v>SSV Wildbach</v>
      </c>
      <c r="BG63" s="449" t="b">
        <f t="shared" ca="1" si="59"/>
        <v>1</v>
      </c>
      <c r="BH63" s="449" t="b">
        <f t="shared" si="8"/>
        <v>0</v>
      </c>
      <c r="BI63" s="449" t="b">
        <f t="shared" si="9"/>
        <v>0</v>
      </c>
      <c r="BJ63" s="449" t="b">
        <f t="shared" si="10"/>
        <v>0</v>
      </c>
      <c r="BK63" s="449" t="b">
        <f t="shared" si="60"/>
        <v>0</v>
      </c>
      <c r="BL63" s="449" t="b">
        <f t="shared" si="61"/>
        <v>0</v>
      </c>
      <c r="BM63" s="449" t="b">
        <f t="shared" si="62"/>
        <v>0</v>
      </c>
    </row>
    <row r="64" spans="2:65" ht="24" customHeight="1" x14ac:dyDescent="0.2">
      <c r="B64" s="223">
        <v>55</v>
      </c>
      <c r="C64" s="224" t="str">
        <f ca="1">Planning!$I61</f>
        <v/>
      </c>
      <c r="D64" s="225" t="str">
        <f ca="1">Planning!$J61</f>
        <v/>
      </c>
      <c r="E64" s="226" t="str">
        <f ca="1">Planning!$N61</f>
        <v/>
      </c>
      <c r="F64" s="227" t="s">
        <v>4</v>
      </c>
      <c r="G64" s="226" t="str">
        <f ca="1">Planning!$P61</f>
        <v/>
      </c>
      <c r="H64" s="228"/>
      <c r="I64" s="304" t="str">
        <f>Language!$E$90</f>
        <v xml:space="preserve"> - </v>
      </c>
      <c r="J64" s="325"/>
      <c r="K64" s="228"/>
      <c r="L64" s="437" t="str">
        <f>Language!$E$90</f>
        <v xml:space="preserve"> - </v>
      </c>
      <c r="M64" s="325"/>
      <c r="N64" s="228"/>
      <c r="O64" s="442" t="str">
        <f>Language!$E$90</f>
        <v xml:space="preserve"> - </v>
      </c>
      <c r="P64" s="443"/>
      <c r="Q64" s="444" t="str">
        <f t="shared" ca="1" si="5"/>
        <v/>
      </c>
      <c r="R64" s="439" t="str">
        <f>Language!$E$90</f>
        <v xml:space="preserve"> - </v>
      </c>
      <c r="S64" s="440" t="str">
        <f t="shared" ca="1" si="6"/>
        <v/>
      </c>
      <c r="T64" s="434" t="str">
        <f>IF(Planning!$Q61="","",Planning!$Q61)</f>
        <v/>
      </c>
      <c r="V64" s="206">
        <f t="shared" ca="1" si="76"/>
        <v>7</v>
      </c>
      <c r="W64" s="207" t="str">
        <f t="shared" ca="1" si="70"/>
        <v>Inter Mailand</v>
      </c>
      <c r="X64" s="208">
        <f t="shared" ref="X64:AJ64" ca="1" si="85">IF(X40="","",X40)</f>
        <v>12</v>
      </c>
      <c r="Y64" s="185">
        <f t="shared" ca="1" si="85"/>
        <v>3</v>
      </c>
      <c r="Z64" s="185">
        <f t="shared" ca="1" si="85"/>
        <v>4</v>
      </c>
      <c r="AA64" s="209">
        <f t="shared" ca="1" si="85"/>
        <v>5</v>
      </c>
      <c r="AB64" s="496">
        <f t="shared" ca="1" si="85"/>
        <v>10</v>
      </c>
      <c r="AC64" s="514" t="str">
        <f t="shared" si="85"/>
        <v xml:space="preserve"> - </v>
      </c>
      <c r="AD64" s="497">
        <f t="shared" ca="1" si="85"/>
        <v>15</v>
      </c>
      <c r="AE64" s="492">
        <f t="shared" ca="1" si="85"/>
        <v>-5</v>
      </c>
      <c r="AF64" s="496">
        <f t="shared" ca="1" si="85"/>
        <v>524</v>
      </c>
      <c r="AG64" s="514" t="str">
        <f t="shared" si="85"/>
        <v xml:space="preserve"> - </v>
      </c>
      <c r="AH64" s="497">
        <f t="shared" ca="1" si="85"/>
        <v>559</v>
      </c>
      <c r="AI64" s="208">
        <f t="shared" ca="1" si="85"/>
        <v>0.93700000000000006</v>
      </c>
      <c r="AJ64" s="210">
        <f t="shared" ca="1" si="85"/>
        <v>10</v>
      </c>
      <c r="AK64" s="342" t="str">
        <f t="shared" ca="1" si="72"/>
        <v>1 - 1</v>
      </c>
      <c r="AL64" s="344" t="str">
        <f t="shared" ca="1" si="78"/>
        <v>2 - 1</v>
      </c>
      <c r="AM64" s="344" t="str">
        <f t="shared" ca="1" si="82"/>
        <v>1 - 1</v>
      </c>
      <c r="AN64" s="344" t="str">
        <f ca="1">IF(AN40="","",AN40)</f>
        <v>2 - 0</v>
      </c>
      <c r="AO64" s="344" t="str">
        <f ca="1">IF(AO40="","",AO40)</f>
        <v>0 - 2</v>
      </c>
      <c r="AP64" s="344" t="str">
        <f ca="1">IF(AP40="","",AP40)</f>
        <v>0 - 2</v>
      </c>
      <c r="AQ64" s="343"/>
      <c r="AR64" s="344" t="str">
        <f ca="1">IF(AR40="","",AR40)</f>
        <v/>
      </c>
      <c r="AS64" s="345" t="str">
        <f ca="1">IF(AS40="","",AS40)</f>
        <v/>
      </c>
      <c r="AT64" s="342" t="str">
        <f t="shared" ca="1" si="73"/>
        <v>0 - 2</v>
      </c>
      <c r="AU64" s="344" t="str">
        <f t="shared" ca="1" si="73"/>
        <v>1 - 1</v>
      </c>
      <c r="AV64" s="344" t="str">
        <f t="shared" ca="1" si="73"/>
        <v>0 - 2</v>
      </c>
      <c r="AW64" s="344" t="str">
        <f ca="1">IF(AW40="","",AW40)</f>
        <v>1 - 1</v>
      </c>
      <c r="AX64" s="344" t="str">
        <f ca="1">IF(AX40="","",AX40)</f>
        <v>0 - 2</v>
      </c>
      <c r="AY64" s="344" t="str">
        <f ca="1">IF(AY40="","",AY40)</f>
        <v>2 - 0</v>
      </c>
      <c r="AZ64" s="343"/>
      <c r="BA64" s="344" t="str">
        <f ca="1">IF(BA40="","",BA40)</f>
        <v/>
      </c>
      <c r="BB64" s="345" t="str">
        <f ca="1">IF(BB40="","",BB40)</f>
        <v/>
      </c>
      <c r="BC64" s="211" t="str">
        <f t="shared" ca="1" si="75"/>
        <v>Inter Mailand</v>
      </c>
      <c r="BG64" s="449" t="b">
        <f t="shared" ca="1" si="59"/>
        <v>1</v>
      </c>
      <c r="BH64" s="449" t="b">
        <f t="shared" si="8"/>
        <v>0</v>
      </c>
      <c r="BI64" s="449" t="b">
        <f t="shared" si="9"/>
        <v>0</v>
      </c>
      <c r="BJ64" s="449" t="b">
        <f t="shared" si="10"/>
        <v>0</v>
      </c>
      <c r="BK64" s="449" t="b">
        <f t="shared" si="60"/>
        <v>0</v>
      </c>
      <c r="BL64" s="449" t="b">
        <f t="shared" si="61"/>
        <v>0</v>
      </c>
      <c r="BM64" s="449" t="b">
        <f t="shared" si="62"/>
        <v>0</v>
      </c>
    </row>
    <row r="65" spans="2:65" ht="24" customHeight="1" x14ac:dyDescent="0.2">
      <c r="B65" s="223">
        <v>56</v>
      </c>
      <c r="C65" s="224" t="str">
        <f ca="1">Planning!$I62</f>
        <v/>
      </c>
      <c r="D65" s="225" t="str">
        <f ca="1">Planning!$J62</f>
        <v/>
      </c>
      <c r="E65" s="226" t="str">
        <f ca="1">Planning!$N62</f>
        <v/>
      </c>
      <c r="F65" s="227" t="s">
        <v>4</v>
      </c>
      <c r="G65" s="226" t="str">
        <f ca="1">Planning!$P62</f>
        <v/>
      </c>
      <c r="H65" s="228"/>
      <c r="I65" s="304" t="str">
        <f>Language!$E$90</f>
        <v xml:space="preserve"> - </v>
      </c>
      <c r="J65" s="325"/>
      <c r="K65" s="228"/>
      <c r="L65" s="437" t="str">
        <f>Language!$E$90</f>
        <v xml:space="preserve"> - </v>
      </c>
      <c r="M65" s="325"/>
      <c r="N65" s="228"/>
      <c r="O65" s="442" t="str">
        <f>Language!$E$90</f>
        <v xml:space="preserve"> - </v>
      </c>
      <c r="P65" s="443"/>
      <c r="Q65" s="444" t="str">
        <f t="shared" ca="1" si="5"/>
        <v/>
      </c>
      <c r="R65" s="439" t="str">
        <f>Language!$E$90</f>
        <v xml:space="preserve"> - </v>
      </c>
      <c r="S65" s="440" t="str">
        <f t="shared" ca="1" si="6"/>
        <v/>
      </c>
      <c r="T65" s="434" t="str">
        <f>IF(Planning!$Q62="","",Planning!$Q62)</f>
        <v/>
      </c>
      <c r="V65" s="206">
        <f t="shared" ca="1" si="76"/>
        <v>8</v>
      </c>
      <c r="W65" s="207" t="str">
        <f t="shared" ca="1" si="70"/>
        <v/>
      </c>
      <c r="X65" s="208">
        <f t="shared" ref="X65:AJ65" ca="1" si="86">IF(X41="","",X41)</f>
        <v>0</v>
      </c>
      <c r="Y65" s="185">
        <f t="shared" ca="1" si="86"/>
        <v>0</v>
      </c>
      <c r="Z65" s="185">
        <f t="shared" ca="1" si="86"/>
        <v>0</v>
      </c>
      <c r="AA65" s="209">
        <f t="shared" ca="1" si="86"/>
        <v>0</v>
      </c>
      <c r="AB65" s="496">
        <f t="shared" ca="1" si="86"/>
        <v>0</v>
      </c>
      <c r="AC65" s="514" t="str">
        <f t="shared" si="86"/>
        <v xml:space="preserve"> - </v>
      </c>
      <c r="AD65" s="497">
        <f t="shared" ca="1" si="86"/>
        <v>0</v>
      </c>
      <c r="AE65" s="492">
        <f t="shared" ca="1" si="86"/>
        <v>0</v>
      </c>
      <c r="AF65" s="496">
        <f t="shared" ca="1" si="86"/>
        <v>0</v>
      </c>
      <c r="AG65" s="514" t="str">
        <f t="shared" si="86"/>
        <v xml:space="preserve"> - </v>
      </c>
      <c r="AH65" s="497">
        <f t="shared" ca="1" si="86"/>
        <v>0</v>
      </c>
      <c r="AI65" s="208">
        <f t="shared" ca="1" si="86"/>
        <v>0</v>
      </c>
      <c r="AJ65" s="210">
        <f t="shared" ca="1" si="86"/>
        <v>0</v>
      </c>
      <c r="AK65" s="342" t="str">
        <f t="shared" ca="1" si="72"/>
        <v/>
      </c>
      <c r="AL65" s="344" t="str">
        <f t="shared" ca="1" si="78"/>
        <v/>
      </c>
      <c r="AM65" s="344" t="str">
        <f t="shared" ca="1" si="82"/>
        <v/>
      </c>
      <c r="AN65" s="344" t="str">
        <f ca="1">IF(AN41="","",AN41)</f>
        <v/>
      </c>
      <c r="AO65" s="344" t="str">
        <f ca="1">IF(AO41="","",AO41)</f>
        <v/>
      </c>
      <c r="AP65" s="344" t="str">
        <f ca="1">IF(AP41="","",AP41)</f>
        <v/>
      </c>
      <c r="AQ65" s="344" t="str">
        <f ca="1">IF(AQ41="","",AQ41)</f>
        <v/>
      </c>
      <c r="AR65" s="343"/>
      <c r="AS65" s="345" t="str">
        <f ca="1">IF(AS41="","",AS41)</f>
        <v>1 - 1</v>
      </c>
      <c r="AT65" s="342" t="str">
        <f t="shared" ca="1" si="73"/>
        <v/>
      </c>
      <c r="AU65" s="344" t="str">
        <f t="shared" ca="1" si="73"/>
        <v/>
      </c>
      <c r="AV65" s="344" t="str">
        <f t="shared" ca="1" si="73"/>
        <v/>
      </c>
      <c r="AW65" s="344" t="str">
        <f ca="1">IF(AW41="","",AW41)</f>
        <v/>
      </c>
      <c r="AX65" s="344" t="str">
        <f ca="1">IF(AX41="","",AX41)</f>
        <v/>
      </c>
      <c r="AY65" s="344" t="str">
        <f ca="1">IF(AY41="","",AY41)</f>
        <v/>
      </c>
      <c r="AZ65" s="344" t="str">
        <f ca="1">IF(AZ41="","",AZ41)</f>
        <v/>
      </c>
      <c r="BA65" s="343"/>
      <c r="BB65" s="345" t="str">
        <f ca="1">IF(BB41="","",BB41)</f>
        <v>2 - 1</v>
      </c>
      <c r="BC65" s="211" t="str">
        <f t="shared" ca="1" si="75"/>
        <v/>
      </c>
      <c r="BG65" s="449" t="b">
        <f t="shared" ca="1" si="59"/>
        <v>1</v>
      </c>
      <c r="BH65" s="449" t="b">
        <f t="shared" si="8"/>
        <v>0</v>
      </c>
      <c r="BI65" s="449" t="b">
        <f t="shared" si="9"/>
        <v>0</v>
      </c>
      <c r="BJ65" s="449" t="b">
        <f t="shared" si="10"/>
        <v>0</v>
      </c>
      <c r="BK65" s="449" t="b">
        <f t="shared" si="60"/>
        <v>0</v>
      </c>
      <c r="BL65" s="449" t="b">
        <f t="shared" si="61"/>
        <v>0</v>
      </c>
      <c r="BM65" s="449" t="b">
        <f t="shared" si="62"/>
        <v>0</v>
      </c>
    </row>
    <row r="66" spans="2:65" ht="24" customHeight="1" thickBot="1" x14ac:dyDescent="0.25">
      <c r="B66" s="223">
        <v>57</v>
      </c>
      <c r="C66" s="224" t="str">
        <f ca="1">Planning!$I63</f>
        <v/>
      </c>
      <c r="D66" s="225" t="str">
        <f ca="1">Planning!$J63</f>
        <v/>
      </c>
      <c r="E66" s="226" t="str">
        <f ca="1">Planning!$N63</f>
        <v/>
      </c>
      <c r="F66" s="227" t="s">
        <v>4</v>
      </c>
      <c r="G66" s="226" t="str">
        <f ca="1">Planning!$P63</f>
        <v/>
      </c>
      <c r="H66" s="228"/>
      <c r="I66" s="304" t="str">
        <f>Language!$E$90</f>
        <v xml:space="preserve"> - </v>
      </c>
      <c r="J66" s="325"/>
      <c r="K66" s="228"/>
      <c r="L66" s="437" t="str">
        <f>Language!$E$90</f>
        <v xml:space="preserve"> - </v>
      </c>
      <c r="M66" s="325"/>
      <c r="N66" s="228"/>
      <c r="O66" s="442" t="str">
        <f>Language!$E$90</f>
        <v xml:space="preserve"> - </v>
      </c>
      <c r="P66" s="443"/>
      <c r="Q66" s="444" t="str">
        <f t="shared" ca="1" si="5"/>
        <v/>
      </c>
      <c r="R66" s="439" t="str">
        <f>Language!$E$90</f>
        <v xml:space="preserve"> - </v>
      </c>
      <c r="S66" s="440" t="str">
        <f t="shared" ca="1" si="6"/>
        <v/>
      </c>
      <c r="T66" s="434" t="str">
        <f>IF(Planning!$Q63="","",Planning!$Q63)</f>
        <v/>
      </c>
      <c r="V66" s="212">
        <f ca="1">V42</f>
        <v>8</v>
      </c>
      <c r="W66" s="213" t="str">
        <f t="shared" ca="1" si="70"/>
        <v/>
      </c>
      <c r="X66" s="214">
        <f t="shared" ref="X66:AJ66" ca="1" si="87">IF(X42="","",X42)</f>
        <v>0</v>
      </c>
      <c r="Y66" s="215">
        <f t="shared" ca="1" si="87"/>
        <v>0</v>
      </c>
      <c r="Z66" s="215">
        <f t="shared" ca="1" si="87"/>
        <v>0</v>
      </c>
      <c r="AA66" s="216">
        <f t="shared" ca="1" si="87"/>
        <v>0</v>
      </c>
      <c r="AB66" s="498">
        <f t="shared" ca="1" si="87"/>
        <v>0</v>
      </c>
      <c r="AC66" s="515" t="str">
        <f t="shared" si="87"/>
        <v xml:space="preserve"> - </v>
      </c>
      <c r="AD66" s="499">
        <f t="shared" ca="1" si="87"/>
        <v>0</v>
      </c>
      <c r="AE66" s="493">
        <f t="shared" ca="1" si="87"/>
        <v>0</v>
      </c>
      <c r="AF66" s="498">
        <f t="shared" ca="1" si="87"/>
        <v>0</v>
      </c>
      <c r="AG66" s="515" t="str">
        <f t="shared" si="87"/>
        <v xml:space="preserve"> - </v>
      </c>
      <c r="AH66" s="499">
        <f t="shared" ca="1" si="87"/>
        <v>0</v>
      </c>
      <c r="AI66" s="214">
        <f t="shared" ca="1" si="87"/>
        <v>0</v>
      </c>
      <c r="AJ66" s="217">
        <f t="shared" ca="1" si="87"/>
        <v>0</v>
      </c>
      <c r="AK66" s="346" t="str">
        <f t="shared" ca="1" si="72"/>
        <v/>
      </c>
      <c r="AL66" s="347" t="str">
        <f t="shared" ca="1" si="78"/>
        <v/>
      </c>
      <c r="AM66" s="347" t="str">
        <f t="shared" ca="1" si="82"/>
        <v/>
      </c>
      <c r="AN66" s="347" t="str">
        <f ca="1">IF(AN42="","",AN42)</f>
        <v/>
      </c>
      <c r="AO66" s="347" t="str">
        <f ca="1">IF(AO42="","",AO42)</f>
        <v/>
      </c>
      <c r="AP66" s="347" t="str">
        <f ca="1">IF(AP42="","",AP42)</f>
        <v/>
      </c>
      <c r="AQ66" s="347" t="str">
        <f ca="1">IF(AQ42="","",AQ42)</f>
        <v/>
      </c>
      <c r="AR66" s="347" t="str">
        <f ca="1">IF(AR42="","",AR42)</f>
        <v>1 - 1</v>
      </c>
      <c r="AS66" s="348"/>
      <c r="AT66" s="346" t="str">
        <f t="shared" ca="1" si="73"/>
        <v/>
      </c>
      <c r="AU66" s="347" t="str">
        <f t="shared" ca="1" si="73"/>
        <v/>
      </c>
      <c r="AV66" s="347" t="str">
        <f t="shared" ca="1" si="73"/>
        <v/>
      </c>
      <c r="AW66" s="347" t="str">
        <f ca="1">IF(AW42="","",AW42)</f>
        <v/>
      </c>
      <c r="AX66" s="347" t="str">
        <f ca="1">IF(AX42="","",AX42)</f>
        <v/>
      </c>
      <c r="AY66" s="347" t="str">
        <f ca="1">IF(AY42="","",AY42)</f>
        <v/>
      </c>
      <c r="AZ66" s="347" t="str">
        <f ca="1">IF(AZ42="","",AZ42)</f>
        <v/>
      </c>
      <c r="BA66" s="347" t="str">
        <f ca="1">IF(BA42="","",BA42)</f>
        <v>2 - 1</v>
      </c>
      <c r="BB66" s="348"/>
      <c r="BC66" s="218" t="str">
        <f t="shared" ca="1" si="75"/>
        <v/>
      </c>
      <c r="BG66" s="449" t="b">
        <f t="shared" ca="1" si="59"/>
        <v>1</v>
      </c>
      <c r="BH66" s="449" t="b">
        <f t="shared" si="8"/>
        <v>0</v>
      </c>
      <c r="BI66" s="449" t="b">
        <f t="shared" si="9"/>
        <v>0</v>
      </c>
      <c r="BJ66" s="449" t="b">
        <f t="shared" si="10"/>
        <v>0</v>
      </c>
      <c r="BK66" s="449" t="b">
        <f t="shared" si="60"/>
        <v>0</v>
      </c>
      <c r="BL66" s="449" t="b">
        <f t="shared" si="61"/>
        <v>0</v>
      </c>
      <c r="BM66" s="449" t="b">
        <f t="shared" si="62"/>
        <v>0</v>
      </c>
    </row>
    <row r="67" spans="2:65" ht="24" customHeight="1" thickTop="1" x14ac:dyDescent="0.4">
      <c r="B67" s="223">
        <v>58</v>
      </c>
      <c r="C67" s="224" t="str">
        <f ca="1">Planning!$I64</f>
        <v/>
      </c>
      <c r="D67" s="225" t="str">
        <f ca="1">Planning!$J64</f>
        <v/>
      </c>
      <c r="E67" s="226" t="str">
        <f ca="1">Planning!$N64</f>
        <v/>
      </c>
      <c r="F67" s="227" t="s">
        <v>4</v>
      </c>
      <c r="G67" s="226" t="str">
        <f ca="1">Planning!$P64</f>
        <v/>
      </c>
      <c r="H67" s="228"/>
      <c r="I67" s="304" t="str">
        <f>Language!$E$90</f>
        <v xml:space="preserve"> - </v>
      </c>
      <c r="J67" s="325"/>
      <c r="K67" s="228"/>
      <c r="L67" s="437" t="str">
        <f>Language!$E$90</f>
        <v xml:space="preserve"> - </v>
      </c>
      <c r="M67" s="325"/>
      <c r="N67" s="228"/>
      <c r="O67" s="442" t="str">
        <f>Language!$E$90</f>
        <v xml:space="preserve"> - </v>
      </c>
      <c r="P67" s="443"/>
      <c r="Q67" s="444" t="str">
        <f t="shared" ca="1" si="5"/>
        <v/>
      </c>
      <c r="R67" s="439" t="str">
        <f>Language!$E$90</f>
        <v xml:space="preserve"> - </v>
      </c>
      <c r="S67" s="440" t="str">
        <f t="shared" ca="1" si="6"/>
        <v/>
      </c>
      <c r="T67" s="434" t="str">
        <f>IF(Planning!$Q64="","",Planning!$Q64)</f>
        <v/>
      </c>
      <c r="AK67" s="629" t="str">
        <f>$AK$19</f>
        <v>INVALID TABLE</v>
      </c>
      <c r="AL67" s="629"/>
      <c r="AM67" s="629"/>
      <c r="AN67" s="629"/>
      <c r="AO67" s="629"/>
      <c r="AP67" s="629"/>
      <c r="AQ67" s="629"/>
      <c r="AR67" s="629"/>
      <c r="AS67" s="629"/>
      <c r="AT67" s="629" t="str">
        <f>$AK$19</f>
        <v>INVALID TABLE</v>
      </c>
      <c r="AU67" s="629"/>
      <c r="AV67" s="629"/>
      <c r="AW67" s="629"/>
      <c r="AX67" s="629"/>
      <c r="AY67" s="629"/>
      <c r="AZ67" s="629"/>
      <c r="BA67" s="629"/>
      <c r="BB67" s="629"/>
      <c r="BG67" s="449" t="b">
        <f t="shared" ca="1" si="59"/>
        <v>1</v>
      </c>
      <c r="BH67" s="449" t="b">
        <f t="shared" si="8"/>
        <v>0</v>
      </c>
      <c r="BI67" s="449" t="b">
        <f t="shared" si="9"/>
        <v>0</v>
      </c>
      <c r="BJ67" s="449" t="b">
        <f t="shared" si="10"/>
        <v>0</v>
      </c>
      <c r="BK67" s="449" t="b">
        <f t="shared" si="60"/>
        <v>0</v>
      </c>
      <c r="BL67" s="449" t="b">
        <f t="shared" si="61"/>
        <v>0</v>
      </c>
      <c r="BM67" s="449" t="b">
        <f t="shared" si="62"/>
        <v>0</v>
      </c>
    </row>
    <row r="68" spans="2:65" ht="24" customHeight="1" x14ac:dyDescent="0.2">
      <c r="B68" s="223">
        <v>59</v>
      </c>
      <c r="C68" s="224" t="str">
        <f ca="1">Planning!$I65</f>
        <v/>
      </c>
      <c r="D68" s="225" t="str">
        <f ca="1">Planning!$J65</f>
        <v/>
      </c>
      <c r="E68" s="226" t="str">
        <f ca="1">Planning!$N65</f>
        <v/>
      </c>
      <c r="F68" s="227" t="s">
        <v>4</v>
      </c>
      <c r="G68" s="226" t="str">
        <f ca="1">Planning!$P65</f>
        <v/>
      </c>
      <c r="H68" s="228"/>
      <c r="I68" s="304" t="str">
        <f>Language!$E$90</f>
        <v xml:space="preserve"> - </v>
      </c>
      <c r="J68" s="325"/>
      <c r="K68" s="228"/>
      <c r="L68" s="437" t="str">
        <f>Language!$E$90</f>
        <v xml:space="preserve"> - </v>
      </c>
      <c r="M68" s="325"/>
      <c r="N68" s="228"/>
      <c r="O68" s="442" t="str">
        <f>Language!$E$90</f>
        <v xml:space="preserve"> - </v>
      </c>
      <c r="P68" s="443"/>
      <c r="Q68" s="444" t="str">
        <f t="shared" ca="1" si="5"/>
        <v/>
      </c>
      <c r="R68" s="439" t="str">
        <f>Language!$E$90</f>
        <v xml:space="preserve"> - </v>
      </c>
      <c r="S68" s="440" t="str">
        <f t="shared" ca="1" si="6"/>
        <v/>
      </c>
      <c r="T68" s="434" t="str">
        <f>IF(Planning!$Q65="","",Planning!$Q65)</f>
        <v/>
      </c>
      <c r="BG68" s="449" t="b">
        <f t="shared" ca="1" si="59"/>
        <v>1</v>
      </c>
      <c r="BH68" s="449" t="b">
        <f t="shared" si="8"/>
        <v>0</v>
      </c>
      <c r="BI68" s="449" t="b">
        <f t="shared" si="9"/>
        <v>0</v>
      </c>
      <c r="BJ68" s="449" t="b">
        <f t="shared" si="10"/>
        <v>0</v>
      </c>
      <c r="BK68" s="449" t="b">
        <f t="shared" si="60"/>
        <v>0</v>
      </c>
      <c r="BL68" s="449" t="b">
        <f t="shared" si="61"/>
        <v>0</v>
      </c>
      <c r="BM68" s="449" t="b">
        <f t="shared" si="62"/>
        <v>0</v>
      </c>
    </row>
    <row r="69" spans="2:65" ht="24" customHeight="1" x14ac:dyDescent="0.2">
      <c r="B69" s="223">
        <v>60</v>
      </c>
      <c r="C69" s="224" t="str">
        <f ca="1">Planning!$I66</f>
        <v/>
      </c>
      <c r="D69" s="225" t="str">
        <f ca="1">Planning!$J66</f>
        <v/>
      </c>
      <c r="E69" s="226" t="str">
        <f ca="1">Planning!$N66</f>
        <v/>
      </c>
      <c r="F69" s="227" t="s">
        <v>4</v>
      </c>
      <c r="G69" s="226" t="str">
        <f ca="1">Planning!$P66</f>
        <v/>
      </c>
      <c r="H69" s="228"/>
      <c r="I69" s="304" t="str">
        <f>Language!$E$90</f>
        <v xml:space="preserve"> - </v>
      </c>
      <c r="J69" s="325"/>
      <c r="K69" s="228"/>
      <c r="L69" s="437" t="str">
        <f>Language!$E$90</f>
        <v xml:space="preserve"> - </v>
      </c>
      <c r="M69" s="325"/>
      <c r="N69" s="228"/>
      <c r="O69" s="442" t="str">
        <f>Language!$E$90</f>
        <v xml:space="preserve"> - </v>
      </c>
      <c r="P69" s="443"/>
      <c r="Q69" s="444" t="str">
        <f t="shared" ca="1" si="5"/>
        <v/>
      </c>
      <c r="R69" s="439" t="str">
        <f>Language!$E$90</f>
        <v xml:space="preserve"> - </v>
      </c>
      <c r="S69" s="440" t="str">
        <f t="shared" ca="1" si="6"/>
        <v/>
      </c>
      <c r="T69" s="434" t="str">
        <f>IF(Planning!$Q66="","",Planning!$Q66)</f>
        <v/>
      </c>
      <c r="BG69" s="449" t="b">
        <f t="shared" ca="1" si="59"/>
        <v>1</v>
      </c>
      <c r="BH69" s="449" t="b">
        <f t="shared" si="8"/>
        <v>0</v>
      </c>
      <c r="BI69" s="449" t="b">
        <f t="shared" si="9"/>
        <v>0</v>
      </c>
      <c r="BJ69" s="449" t="b">
        <f t="shared" si="10"/>
        <v>0</v>
      </c>
      <c r="BK69" s="449" t="b">
        <f t="shared" si="60"/>
        <v>0</v>
      </c>
      <c r="BL69" s="449" t="b">
        <f t="shared" si="61"/>
        <v>0</v>
      </c>
      <c r="BM69" s="449" t="b">
        <f t="shared" si="62"/>
        <v>0</v>
      </c>
    </row>
    <row r="70" spans="2:65" ht="24" customHeight="1" x14ac:dyDescent="0.2">
      <c r="B70" s="223">
        <v>61</v>
      </c>
      <c r="C70" s="224" t="str">
        <f ca="1">Planning!$I67</f>
        <v/>
      </c>
      <c r="D70" s="225" t="str">
        <f ca="1">Planning!$J67</f>
        <v/>
      </c>
      <c r="E70" s="226" t="str">
        <f ca="1">Planning!$N67</f>
        <v/>
      </c>
      <c r="F70" s="227" t="s">
        <v>4</v>
      </c>
      <c r="G70" s="226" t="str">
        <f ca="1">Planning!$P67</f>
        <v/>
      </c>
      <c r="H70" s="228"/>
      <c r="I70" s="304" t="str">
        <f>Language!$E$90</f>
        <v xml:space="preserve"> - </v>
      </c>
      <c r="J70" s="325"/>
      <c r="K70" s="228"/>
      <c r="L70" s="437" t="str">
        <f>Language!$E$90</f>
        <v xml:space="preserve"> - </v>
      </c>
      <c r="M70" s="325"/>
      <c r="N70" s="228"/>
      <c r="O70" s="442" t="str">
        <f>Language!$E$90</f>
        <v xml:space="preserve"> - </v>
      </c>
      <c r="P70" s="443"/>
      <c r="Q70" s="444" t="str">
        <f t="shared" ca="1" si="5"/>
        <v/>
      </c>
      <c r="R70" s="439" t="str">
        <f>Language!$E$90</f>
        <v xml:space="preserve"> - </v>
      </c>
      <c r="S70" s="440" t="str">
        <f t="shared" ca="1" si="6"/>
        <v/>
      </c>
      <c r="T70" s="434" t="str">
        <f>IF(Planning!$Q67="","",Planning!$Q67)</f>
        <v/>
      </c>
      <c r="BG70" s="449" t="b">
        <f t="shared" ca="1" si="59"/>
        <v>1</v>
      </c>
      <c r="BH70" s="449" t="b">
        <f t="shared" si="8"/>
        <v>0</v>
      </c>
      <c r="BI70" s="449" t="b">
        <f t="shared" si="9"/>
        <v>0</v>
      </c>
      <c r="BJ70" s="449" t="b">
        <f t="shared" si="10"/>
        <v>0</v>
      </c>
      <c r="BK70" s="449" t="b">
        <f t="shared" si="60"/>
        <v>0</v>
      </c>
      <c r="BL70" s="449" t="b">
        <f t="shared" si="61"/>
        <v>0</v>
      </c>
      <c r="BM70" s="449" t="b">
        <f t="shared" si="62"/>
        <v>0</v>
      </c>
    </row>
    <row r="71" spans="2:65" ht="24" customHeight="1" x14ac:dyDescent="0.2">
      <c r="B71" s="223">
        <v>62</v>
      </c>
      <c r="C71" s="224" t="str">
        <f ca="1">Planning!$I68</f>
        <v/>
      </c>
      <c r="D71" s="225" t="str">
        <f ca="1">Planning!$J68</f>
        <v/>
      </c>
      <c r="E71" s="226" t="str">
        <f ca="1">Planning!$N68</f>
        <v/>
      </c>
      <c r="F71" s="227" t="s">
        <v>4</v>
      </c>
      <c r="G71" s="226" t="str">
        <f ca="1">Planning!$P68</f>
        <v/>
      </c>
      <c r="H71" s="228"/>
      <c r="I71" s="304" t="str">
        <f>Language!$E$90</f>
        <v xml:space="preserve"> - </v>
      </c>
      <c r="J71" s="325"/>
      <c r="K71" s="228"/>
      <c r="L71" s="437" t="str">
        <f>Language!$E$90</f>
        <v xml:space="preserve"> - </v>
      </c>
      <c r="M71" s="325"/>
      <c r="N71" s="228"/>
      <c r="O71" s="442" t="str">
        <f>Language!$E$90</f>
        <v xml:space="preserve"> - </v>
      </c>
      <c r="P71" s="443"/>
      <c r="Q71" s="444" t="str">
        <f t="shared" ca="1" si="5"/>
        <v/>
      </c>
      <c r="R71" s="439" t="str">
        <f>Language!$E$90</f>
        <v xml:space="preserve"> - </v>
      </c>
      <c r="S71" s="440" t="str">
        <f t="shared" ca="1" si="6"/>
        <v/>
      </c>
      <c r="T71" s="434" t="str">
        <f>IF(Planning!$Q68="","",Planning!$Q68)</f>
        <v/>
      </c>
      <c r="BG71" s="449" t="b">
        <f t="shared" ca="1" si="59"/>
        <v>1</v>
      </c>
      <c r="BH71" s="449" t="b">
        <f t="shared" si="8"/>
        <v>0</v>
      </c>
      <c r="BI71" s="449" t="b">
        <f t="shared" si="9"/>
        <v>0</v>
      </c>
      <c r="BJ71" s="449" t="b">
        <f t="shared" si="10"/>
        <v>0</v>
      </c>
      <c r="BK71" s="449" t="b">
        <f t="shared" si="60"/>
        <v>0</v>
      </c>
      <c r="BL71" s="449" t="b">
        <f t="shared" si="61"/>
        <v>0</v>
      </c>
      <c r="BM71" s="449" t="b">
        <f t="shared" si="62"/>
        <v>0</v>
      </c>
    </row>
    <row r="72" spans="2:65" ht="24" customHeight="1" x14ac:dyDescent="0.2">
      <c r="B72" s="223">
        <v>63</v>
      </c>
      <c r="C72" s="224" t="str">
        <f ca="1">Planning!$I69</f>
        <v/>
      </c>
      <c r="D72" s="225" t="str">
        <f ca="1">Planning!$J69</f>
        <v/>
      </c>
      <c r="E72" s="226" t="str">
        <f ca="1">Planning!$N69</f>
        <v/>
      </c>
      <c r="F72" s="227" t="s">
        <v>4</v>
      </c>
      <c r="G72" s="226" t="str">
        <f ca="1">Planning!$P69</f>
        <v/>
      </c>
      <c r="H72" s="228"/>
      <c r="I72" s="304" t="str">
        <f>Language!$E$90</f>
        <v xml:space="preserve"> - </v>
      </c>
      <c r="J72" s="325"/>
      <c r="K72" s="228"/>
      <c r="L72" s="437" t="str">
        <f>Language!$E$90</f>
        <v xml:space="preserve"> - </v>
      </c>
      <c r="M72" s="325"/>
      <c r="N72" s="228"/>
      <c r="O72" s="442" t="str">
        <f>Language!$E$90</f>
        <v xml:space="preserve"> - </v>
      </c>
      <c r="P72" s="443"/>
      <c r="Q72" s="444" t="str">
        <f t="shared" ca="1" si="5"/>
        <v/>
      </c>
      <c r="R72" s="439" t="str">
        <f>Language!$E$90</f>
        <v xml:space="preserve"> - </v>
      </c>
      <c r="S72" s="440" t="str">
        <f t="shared" ca="1" si="6"/>
        <v/>
      </c>
      <c r="T72" s="434" t="str">
        <f>IF(Planning!$Q69="","",Planning!$Q69)</f>
        <v/>
      </c>
      <c r="BG72" s="449" t="b">
        <f t="shared" ca="1" si="59"/>
        <v>1</v>
      </c>
      <c r="BH72" s="449" t="b">
        <f t="shared" si="8"/>
        <v>0</v>
      </c>
      <c r="BI72" s="449" t="b">
        <f t="shared" si="9"/>
        <v>0</v>
      </c>
      <c r="BJ72" s="449" t="b">
        <f t="shared" si="10"/>
        <v>0</v>
      </c>
      <c r="BK72" s="449" t="b">
        <f t="shared" si="60"/>
        <v>0</v>
      </c>
      <c r="BL72" s="449" t="b">
        <f t="shared" si="61"/>
        <v>0</v>
      </c>
      <c r="BM72" s="449" t="b">
        <f t="shared" si="62"/>
        <v>0</v>
      </c>
    </row>
    <row r="73" spans="2:65" ht="24" customHeight="1" x14ac:dyDescent="0.2">
      <c r="B73" s="223">
        <v>64</v>
      </c>
      <c r="C73" s="224" t="str">
        <f ca="1">Planning!$I70</f>
        <v/>
      </c>
      <c r="D73" s="225" t="str">
        <f ca="1">Planning!$J70</f>
        <v/>
      </c>
      <c r="E73" s="226" t="str">
        <f ca="1">Planning!$N70</f>
        <v/>
      </c>
      <c r="F73" s="227" t="s">
        <v>4</v>
      </c>
      <c r="G73" s="226" t="str">
        <f ca="1">Planning!$P70</f>
        <v/>
      </c>
      <c r="H73" s="228"/>
      <c r="I73" s="304" t="str">
        <f>Language!$E$90</f>
        <v xml:space="preserve"> - </v>
      </c>
      <c r="J73" s="325"/>
      <c r="K73" s="228"/>
      <c r="L73" s="437" t="str">
        <f>Language!$E$90</f>
        <v xml:space="preserve"> - </v>
      </c>
      <c r="M73" s="325"/>
      <c r="N73" s="228"/>
      <c r="O73" s="442" t="str">
        <f>Language!$E$90</f>
        <v xml:space="preserve"> - </v>
      </c>
      <c r="P73" s="443"/>
      <c r="Q73" s="444" t="str">
        <f t="shared" ca="1" si="5"/>
        <v/>
      </c>
      <c r="R73" s="439" t="str">
        <f>Language!$E$90</f>
        <v xml:space="preserve"> - </v>
      </c>
      <c r="S73" s="440" t="str">
        <f t="shared" ca="1" si="6"/>
        <v/>
      </c>
      <c r="T73" s="434" t="str">
        <f>IF(Planning!$Q70="","",Planning!$Q70)</f>
        <v/>
      </c>
      <c r="BG73" s="449" t="b">
        <f t="shared" ca="1" si="59"/>
        <v>1</v>
      </c>
      <c r="BH73" s="449" t="b">
        <f t="shared" si="8"/>
        <v>0</v>
      </c>
      <c r="BI73" s="449" t="b">
        <f t="shared" si="9"/>
        <v>0</v>
      </c>
      <c r="BJ73" s="449" t="b">
        <f t="shared" si="10"/>
        <v>0</v>
      </c>
      <c r="BK73" s="449" t="b">
        <f t="shared" si="60"/>
        <v>0</v>
      </c>
      <c r="BL73" s="449" t="b">
        <f t="shared" si="61"/>
        <v>0</v>
      </c>
      <c r="BM73" s="449" t="b">
        <f t="shared" si="62"/>
        <v>0</v>
      </c>
    </row>
    <row r="74" spans="2:65" ht="24" customHeight="1" x14ac:dyDescent="0.2">
      <c r="B74" s="223">
        <v>65</v>
      </c>
      <c r="C74" s="224" t="str">
        <f ca="1">Planning!$I71</f>
        <v/>
      </c>
      <c r="D74" s="225" t="str">
        <f ca="1">Planning!$J71</f>
        <v/>
      </c>
      <c r="E74" s="226" t="str">
        <f ca="1">Planning!$N71</f>
        <v/>
      </c>
      <c r="F74" s="227" t="s">
        <v>4</v>
      </c>
      <c r="G74" s="226" t="str">
        <f ca="1">Planning!$P71</f>
        <v/>
      </c>
      <c r="H74" s="228"/>
      <c r="I74" s="304" t="str">
        <f>Language!$E$90</f>
        <v xml:space="preserve"> - </v>
      </c>
      <c r="J74" s="325"/>
      <c r="K74" s="228"/>
      <c r="L74" s="437" t="str">
        <f>Language!$E$90</f>
        <v xml:space="preserve"> - </v>
      </c>
      <c r="M74" s="325"/>
      <c r="N74" s="228"/>
      <c r="O74" s="442" t="str">
        <f>Language!$E$90</f>
        <v xml:space="preserve"> - </v>
      </c>
      <c r="P74" s="443"/>
      <c r="Q74" s="444" t="str">
        <f t="shared" ca="1" si="5"/>
        <v/>
      </c>
      <c r="R74" s="439" t="str">
        <f>Language!$E$90</f>
        <v xml:space="preserve"> - </v>
      </c>
      <c r="S74" s="440" t="str">
        <f t="shared" ca="1" si="6"/>
        <v/>
      </c>
      <c r="T74" s="434" t="str">
        <f>IF(Planning!$Q71="","",Planning!$Q71)</f>
        <v/>
      </c>
      <c r="BG74" s="449" t="b">
        <f t="shared" ref="BG74:BG81" ca="1" si="88">OR(E74="",G74="",AND(OR(H74="",J74="",BH74),OR(K74="",M74="",BI74),OR(N74="",P74="",BJ74)))</f>
        <v>1</v>
      </c>
      <c r="BH74" s="449" t="b">
        <f t="shared" si="8"/>
        <v>0</v>
      </c>
      <c r="BI74" s="449" t="b">
        <f t="shared" si="9"/>
        <v>0</v>
      </c>
      <c r="BJ74" s="449" t="b">
        <f t="shared" si="10"/>
        <v>0</v>
      </c>
      <c r="BK74" s="449" t="b">
        <f t="shared" ref="BK74:BK81" si="89">AND(BH74,H74&lt;&gt;"",J74&lt;&gt;"")</f>
        <v>0</v>
      </c>
      <c r="BL74" s="449" t="b">
        <f t="shared" ref="BL74:BL81" si="90">AND(BI74,K74&lt;&gt;"",M74&lt;&gt;"")</f>
        <v>0</v>
      </c>
      <c r="BM74" s="449" t="b">
        <f t="shared" ref="BM74:BM81" si="91">AND(BJ74,N74&lt;&gt;"",P74&lt;&gt;"")</f>
        <v>0</v>
      </c>
    </row>
    <row r="75" spans="2:65" ht="24" customHeight="1" x14ac:dyDescent="0.2">
      <c r="B75" s="223">
        <v>66</v>
      </c>
      <c r="C75" s="224" t="str">
        <f ca="1">Planning!$I72</f>
        <v/>
      </c>
      <c r="D75" s="225" t="str">
        <f ca="1">Planning!$J72</f>
        <v/>
      </c>
      <c r="E75" s="226" t="str">
        <f ca="1">Planning!$N72</f>
        <v/>
      </c>
      <c r="F75" s="227" t="s">
        <v>4</v>
      </c>
      <c r="G75" s="226" t="str">
        <f ca="1">Planning!$P72</f>
        <v/>
      </c>
      <c r="H75" s="228"/>
      <c r="I75" s="304" t="str">
        <f>Language!$E$90</f>
        <v xml:space="preserve"> - </v>
      </c>
      <c r="J75" s="325"/>
      <c r="K75" s="228"/>
      <c r="L75" s="437" t="str">
        <f>Language!$E$90</f>
        <v xml:space="preserve"> - </v>
      </c>
      <c r="M75" s="325"/>
      <c r="N75" s="228"/>
      <c r="O75" s="442" t="str">
        <f>Language!$E$90</f>
        <v xml:space="preserve"> - </v>
      </c>
      <c r="P75" s="443"/>
      <c r="Q75" s="444" t="str">
        <f t="shared" ref="Q75:Q81" ca="1" si="92">IF(BG75,"",(H75&lt;&gt;"")*(J75&lt;&gt;"")*NOT(BH75)*((H75&gt;J75)+(H75=J75)*0.5)+(K75&lt;&gt;"")*(M75&lt;&gt;"")*NOT(BI75)*((K75&gt;M75)+(K75=M75)*0.5)+(N75&lt;&gt;"")*(P75&lt;&gt;"")*NOT(BJ75)*((N75&gt;P75)+(N75=P75)*0.5))</f>
        <v/>
      </c>
      <c r="R75" s="439" t="str">
        <f>Language!$E$90</f>
        <v xml:space="preserve"> - </v>
      </c>
      <c r="S75" s="440" t="str">
        <f t="shared" ref="S75:S81" ca="1" si="93">IF(BG75,"",(H75&lt;&gt;"")*(J75&lt;&gt;"")*NOT(BH75)*((H75&lt;J75)+(H75=J75)*0.5)+(K75&lt;&gt;"")*(M75&lt;&gt;"")*NOT(BI75)*((K75&lt;M75)+(K75=M75)*0.5)+(N75&lt;&gt;"")*(P75&lt;&gt;"")*NOT(BJ75)*((N75&lt;P75)+(N75=P75)*0.5))</f>
        <v/>
      </c>
      <c r="T75" s="434" t="str">
        <f>IF(Planning!$Q72="","",Planning!$Q72)</f>
        <v/>
      </c>
      <c r="BG75" s="449" t="b">
        <f t="shared" ca="1" si="88"/>
        <v>1</v>
      </c>
      <c r="BH75" s="449" t="b">
        <f t="shared" ref="BH75:BH81" si="94">ABS(H75-J75)&lt;2*$BG$7</f>
        <v>0</v>
      </c>
      <c r="BI75" s="449" t="b">
        <f t="shared" ref="BI75:BI81" si="95">ABS(K75-M75)&lt;2*$BG$7</f>
        <v>0</v>
      </c>
      <c r="BJ75" s="449" t="b">
        <f t="shared" ref="BJ75:BJ81" si="96">ABS(N75-P75)&lt;2*$BG$7</f>
        <v>0</v>
      </c>
      <c r="BK75" s="449" t="b">
        <f t="shared" si="89"/>
        <v>0</v>
      </c>
      <c r="BL75" s="449" t="b">
        <f t="shared" si="90"/>
        <v>0</v>
      </c>
      <c r="BM75" s="449" t="b">
        <f t="shared" si="91"/>
        <v>0</v>
      </c>
    </row>
    <row r="76" spans="2:65" ht="24" customHeight="1" x14ac:dyDescent="0.2">
      <c r="B76" s="223">
        <v>67</v>
      </c>
      <c r="C76" s="224" t="str">
        <f ca="1">Planning!$I73</f>
        <v/>
      </c>
      <c r="D76" s="225" t="str">
        <f ca="1">Planning!$J73</f>
        <v/>
      </c>
      <c r="E76" s="226" t="str">
        <f ca="1">Planning!$N73</f>
        <v/>
      </c>
      <c r="F76" s="227" t="s">
        <v>4</v>
      </c>
      <c r="G76" s="226" t="str">
        <f ca="1">Planning!$P73</f>
        <v/>
      </c>
      <c r="H76" s="228"/>
      <c r="I76" s="304" t="str">
        <f>Language!$E$90</f>
        <v xml:space="preserve"> - </v>
      </c>
      <c r="J76" s="325"/>
      <c r="K76" s="228"/>
      <c r="L76" s="437" t="str">
        <f>Language!$E$90</f>
        <v xml:space="preserve"> - </v>
      </c>
      <c r="M76" s="325"/>
      <c r="N76" s="228"/>
      <c r="O76" s="442" t="str">
        <f>Language!$E$90</f>
        <v xml:space="preserve"> - </v>
      </c>
      <c r="P76" s="443"/>
      <c r="Q76" s="444" t="str">
        <f t="shared" ca="1" si="92"/>
        <v/>
      </c>
      <c r="R76" s="439" t="str">
        <f>Language!$E$90</f>
        <v xml:space="preserve"> - </v>
      </c>
      <c r="S76" s="440" t="str">
        <f t="shared" ca="1" si="93"/>
        <v/>
      </c>
      <c r="T76" s="434" t="str">
        <f>IF(Planning!$Q73="","",Planning!$Q73)</f>
        <v/>
      </c>
      <c r="BG76" s="449" t="b">
        <f t="shared" ca="1" si="88"/>
        <v>1</v>
      </c>
      <c r="BH76" s="449" t="b">
        <f t="shared" si="94"/>
        <v>0</v>
      </c>
      <c r="BI76" s="449" t="b">
        <f t="shared" si="95"/>
        <v>0</v>
      </c>
      <c r="BJ76" s="449" t="b">
        <f t="shared" si="96"/>
        <v>0</v>
      </c>
      <c r="BK76" s="449" t="b">
        <f t="shared" si="89"/>
        <v>0</v>
      </c>
      <c r="BL76" s="449" t="b">
        <f t="shared" si="90"/>
        <v>0</v>
      </c>
      <c r="BM76" s="449" t="b">
        <f t="shared" si="91"/>
        <v>0</v>
      </c>
    </row>
    <row r="77" spans="2:65" ht="24" customHeight="1" x14ac:dyDescent="0.2">
      <c r="B77" s="223">
        <v>68</v>
      </c>
      <c r="C77" s="224" t="str">
        <f ca="1">Planning!$I74</f>
        <v/>
      </c>
      <c r="D77" s="225" t="str">
        <f ca="1">Planning!$J74</f>
        <v/>
      </c>
      <c r="E77" s="226" t="str">
        <f ca="1">Planning!$N74</f>
        <v/>
      </c>
      <c r="F77" s="227" t="s">
        <v>4</v>
      </c>
      <c r="G77" s="226" t="str">
        <f ca="1">Planning!$P74</f>
        <v/>
      </c>
      <c r="H77" s="228"/>
      <c r="I77" s="304" t="str">
        <f>Language!$E$90</f>
        <v xml:space="preserve"> - </v>
      </c>
      <c r="J77" s="325"/>
      <c r="K77" s="228"/>
      <c r="L77" s="437" t="str">
        <f>Language!$E$90</f>
        <v xml:space="preserve"> - </v>
      </c>
      <c r="M77" s="325"/>
      <c r="N77" s="228"/>
      <c r="O77" s="442" t="str">
        <f>Language!$E$90</f>
        <v xml:space="preserve"> - </v>
      </c>
      <c r="P77" s="443"/>
      <c r="Q77" s="444" t="str">
        <f t="shared" ca="1" si="92"/>
        <v/>
      </c>
      <c r="R77" s="439" t="str">
        <f>Language!$E$90</f>
        <v xml:space="preserve"> - </v>
      </c>
      <c r="S77" s="440" t="str">
        <f t="shared" ca="1" si="93"/>
        <v/>
      </c>
      <c r="T77" s="434" t="str">
        <f>IF(Planning!$Q74="","",Planning!$Q74)</f>
        <v/>
      </c>
      <c r="BG77" s="449" t="b">
        <f t="shared" ca="1" si="88"/>
        <v>1</v>
      </c>
      <c r="BH77" s="449" t="b">
        <f t="shared" si="94"/>
        <v>0</v>
      </c>
      <c r="BI77" s="449" t="b">
        <f t="shared" si="95"/>
        <v>0</v>
      </c>
      <c r="BJ77" s="449" t="b">
        <f t="shared" si="96"/>
        <v>0</v>
      </c>
      <c r="BK77" s="449" t="b">
        <f t="shared" si="89"/>
        <v>0</v>
      </c>
      <c r="BL77" s="449" t="b">
        <f t="shared" si="90"/>
        <v>0</v>
      </c>
      <c r="BM77" s="449" t="b">
        <f t="shared" si="91"/>
        <v>0</v>
      </c>
    </row>
    <row r="78" spans="2:65" ht="24" customHeight="1" x14ac:dyDescent="0.2">
      <c r="B78" s="223">
        <v>69</v>
      </c>
      <c r="C78" s="224" t="str">
        <f ca="1">Planning!$I75</f>
        <v/>
      </c>
      <c r="D78" s="225" t="str">
        <f ca="1">Planning!$J75</f>
        <v/>
      </c>
      <c r="E78" s="226" t="str">
        <f ca="1">Planning!$N75</f>
        <v/>
      </c>
      <c r="F78" s="227" t="s">
        <v>4</v>
      </c>
      <c r="G78" s="226" t="str">
        <f ca="1">Planning!$P75</f>
        <v/>
      </c>
      <c r="H78" s="228"/>
      <c r="I78" s="304" t="str">
        <f>Language!$E$90</f>
        <v xml:space="preserve"> - </v>
      </c>
      <c r="J78" s="325"/>
      <c r="K78" s="228"/>
      <c r="L78" s="437" t="str">
        <f>Language!$E$90</f>
        <v xml:space="preserve"> - </v>
      </c>
      <c r="M78" s="325"/>
      <c r="N78" s="228"/>
      <c r="O78" s="442" t="str">
        <f>Language!$E$90</f>
        <v xml:space="preserve"> - </v>
      </c>
      <c r="P78" s="443"/>
      <c r="Q78" s="444" t="str">
        <f t="shared" ca="1" si="92"/>
        <v/>
      </c>
      <c r="R78" s="439" t="str">
        <f>Language!$E$90</f>
        <v xml:space="preserve"> - </v>
      </c>
      <c r="S78" s="440" t="str">
        <f t="shared" ca="1" si="93"/>
        <v/>
      </c>
      <c r="T78" s="434" t="str">
        <f>IF(Planning!$Q75="","",Planning!$Q75)</f>
        <v/>
      </c>
      <c r="BG78" s="449" t="b">
        <f t="shared" ca="1" si="88"/>
        <v>1</v>
      </c>
      <c r="BH78" s="449" t="b">
        <f t="shared" si="94"/>
        <v>0</v>
      </c>
      <c r="BI78" s="449" t="b">
        <f t="shared" si="95"/>
        <v>0</v>
      </c>
      <c r="BJ78" s="449" t="b">
        <f t="shared" si="96"/>
        <v>0</v>
      </c>
      <c r="BK78" s="449" t="b">
        <f t="shared" si="89"/>
        <v>0</v>
      </c>
      <c r="BL78" s="449" t="b">
        <f t="shared" si="90"/>
        <v>0</v>
      </c>
      <c r="BM78" s="449" t="b">
        <f t="shared" si="91"/>
        <v>0</v>
      </c>
    </row>
    <row r="79" spans="2:65" ht="24" customHeight="1" x14ac:dyDescent="0.2">
      <c r="B79" s="223">
        <v>70</v>
      </c>
      <c r="C79" s="224" t="str">
        <f ca="1">Planning!$I76</f>
        <v/>
      </c>
      <c r="D79" s="225" t="str">
        <f ca="1">Planning!$J76</f>
        <v/>
      </c>
      <c r="E79" s="226" t="str">
        <f ca="1">Planning!$N76</f>
        <v/>
      </c>
      <c r="F79" s="227" t="s">
        <v>4</v>
      </c>
      <c r="G79" s="226" t="str">
        <f ca="1">Planning!$P76</f>
        <v/>
      </c>
      <c r="H79" s="228"/>
      <c r="I79" s="304" t="str">
        <f>Language!$E$90</f>
        <v xml:space="preserve"> - </v>
      </c>
      <c r="J79" s="325"/>
      <c r="K79" s="228"/>
      <c r="L79" s="437" t="str">
        <f>Language!$E$90</f>
        <v xml:space="preserve"> - </v>
      </c>
      <c r="M79" s="325"/>
      <c r="N79" s="228"/>
      <c r="O79" s="442" t="str">
        <f>Language!$E$90</f>
        <v xml:space="preserve"> - </v>
      </c>
      <c r="P79" s="443"/>
      <c r="Q79" s="444" t="str">
        <f t="shared" ca="1" si="92"/>
        <v/>
      </c>
      <c r="R79" s="439" t="str">
        <f>Language!$E$90</f>
        <v xml:space="preserve"> - </v>
      </c>
      <c r="S79" s="440" t="str">
        <f t="shared" ca="1" si="93"/>
        <v/>
      </c>
      <c r="T79" s="434" t="str">
        <f>IF(Planning!$Q76="","",Planning!$Q76)</f>
        <v/>
      </c>
      <c r="BG79" s="449" t="b">
        <f t="shared" ca="1" si="88"/>
        <v>1</v>
      </c>
      <c r="BH79" s="449" t="b">
        <f t="shared" si="94"/>
        <v>0</v>
      </c>
      <c r="BI79" s="449" t="b">
        <f t="shared" si="95"/>
        <v>0</v>
      </c>
      <c r="BJ79" s="449" t="b">
        <f t="shared" si="96"/>
        <v>0</v>
      </c>
      <c r="BK79" s="449" t="b">
        <f t="shared" si="89"/>
        <v>0</v>
      </c>
      <c r="BL79" s="449" t="b">
        <f t="shared" si="90"/>
        <v>0</v>
      </c>
      <c r="BM79" s="449" t="b">
        <f t="shared" si="91"/>
        <v>0</v>
      </c>
    </row>
    <row r="80" spans="2:65" ht="24" customHeight="1" x14ac:dyDescent="0.2">
      <c r="B80" s="223">
        <v>71</v>
      </c>
      <c r="C80" s="224" t="str">
        <f ca="1">Planning!$I77</f>
        <v/>
      </c>
      <c r="D80" s="225" t="str">
        <f ca="1">Planning!$J77</f>
        <v/>
      </c>
      <c r="E80" s="226" t="str">
        <f ca="1">Planning!$N77</f>
        <v/>
      </c>
      <c r="F80" s="227" t="s">
        <v>4</v>
      </c>
      <c r="G80" s="226" t="str">
        <f ca="1">Planning!$P77</f>
        <v/>
      </c>
      <c r="H80" s="228"/>
      <c r="I80" s="304" t="str">
        <f>Language!$E$90</f>
        <v xml:space="preserve"> - </v>
      </c>
      <c r="J80" s="325"/>
      <c r="K80" s="228"/>
      <c r="L80" s="437" t="str">
        <f>Language!$E$90</f>
        <v xml:space="preserve"> - </v>
      </c>
      <c r="M80" s="325"/>
      <c r="N80" s="228"/>
      <c r="O80" s="442" t="str">
        <f>Language!$E$90</f>
        <v xml:space="preserve"> - </v>
      </c>
      <c r="P80" s="443"/>
      <c r="Q80" s="444" t="str">
        <f t="shared" ca="1" si="92"/>
        <v/>
      </c>
      <c r="R80" s="439" t="str">
        <f>Language!$E$90</f>
        <v xml:space="preserve"> - </v>
      </c>
      <c r="S80" s="440" t="str">
        <f t="shared" ca="1" si="93"/>
        <v/>
      </c>
      <c r="T80" s="434" t="str">
        <f>IF(Planning!$Q77="","",Planning!$Q77)</f>
        <v/>
      </c>
      <c r="BG80" s="449" t="b">
        <f t="shared" ca="1" si="88"/>
        <v>1</v>
      </c>
      <c r="BH80" s="449" t="b">
        <f t="shared" si="94"/>
        <v>0</v>
      </c>
      <c r="BI80" s="449" t="b">
        <f t="shared" si="95"/>
        <v>0</v>
      </c>
      <c r="BJ80" s="449" t="b">
        <f t="shared" si="96"/>
        <v>0</v>
      </c>
      <c r="BK80" s="449" t="b">
        <f t="shared" si="89"/>
        <v>0</v>
      </c>
      <c r="BL80" s="449" t="b">
        <f t="shared" si="90"/>
        <v>0</v>
      </c>
      <c r="BM80" s="449" t="b">
        <f t="shared" si="91"/>
        <v>0</v>
      </c>
    </row>
    <row r="81" spans="2:65" ht="24" customHeight="1" thickBot="1" x14ac:dyDescent="0.25">
      <c r="B81" s="229">
        <v>72</v>
      </c>
      <c r="C81" s="230" t="str">
        <f ca="1">Planning!$I78</f>
        <v/>
      </c>
      <c r="D81" s="231" t="str">
        <f ca="1">Planning!$J78</f>
        <v/>
      </c>
      <c r="E81" s="232" t="str">
        <f ca="1">Planning!$N78</f>
        <v/>
      </c>
      <c r="F81" s="233" t="s">
        <v>4</v>
      </c>
      <c r="G81" s="232" t="str">
        <f ca="1">Planning!$P78</f>
        <v/>
      </c>
      <c r="H81" s="234"/>
      <c r="I81" s="305" t="str">
        <f>Language!$E$90</f>
        <v xml:space="preserve"> - </v>
      </c>
      <c r="J81" s="326"/>
      <c r="K81" s="234"/>
      <c r="L81" s="438" t="str">
        <f>Language!$E$90</f>
        <v xml:space="preserve"> - </v>
      </c>
      <c r="M81" s="326"/>
      <c r="N81" s="234"/>
      <c r="O81" s="438" t="str">
        <f>Language!$E$90</f>
        <v xml:space="preserve"> - </v>
      </c>
      <c r="P81" s="445"/>
      <c r="Q81" s="446" t="str">
        <f t="shared" ca="1" si="92"/>
        <v/>
      </c>
      <c r="R81" s="450" t="str">
        <f>Language!$E$90</f>
        <v xml:space="preserve"> - </v>
      </c>
      <c r="S81" s="441" t="str">
        <f t="shared" ca="1" si="93"/>
        <v/>
      </c>
      <c r="T81" s="435" t="str">
        <f>IF(Planning!$Q78="","",Planning!$Q78)</f>
        <v/>
      </c>
      <c r="BG81" s="449" t="b">
        <f t="shared" ca="1" si="88"/>
        <v>1</v>
      </c>
      <c r="BH81" s="449" t="b">
        <f t="shared" si="94"/>
        <v>0</v>
      </c>
      <c r="BI81" s="449" t="b">
        <f t="shared" si="95"/>
        <v>0</v>
      </c>
      <c r="BJ81" s="449" t="b">
        <f t="shared" si="96"/>
        <v>0</v>
      </c>
      <c r="BK81" s="449" t="b">
        <f t="shared" si="89"/>
        <v>0</v>
      </c>
      <c r="BL81" s="449" t="b">
        <f t="shared" si="90"/>
        <v>0</v>
      </c>
      <c r="BM81" s="449" t="b">
        <f t="shared" si="91"/>
        <v>0</v>
      </c>
    </row>
    <row r="82" spans="2:65" ht="13.5" thickTop="1" x14ac:dyDescent="0.2"/>
    <row r="83" spans="2:65" x14ac:dyDescent="0.2"/>
    <row r="84" spans="2:65" x14ac:dyDescent="0.2"/>
  </sheetData>
  <sheetProtection sheet="1" selectLockedCells="1"/>
  <mergeCells count="33">
    <mergeCell ref="AT67:BB67"/>
    <mergeCell ref="AT7:BB7"/>
    <mergeCell ref="AT19:BB19"/>
    <mergeCell ref="AT30:BB30"/>
    <mergeCell ref="AT43:BB43"/>
    <mergeCell ref="AT54:BB54"/>
    <mergeCell ref="V57:W57"/>
    <mergeCell ref="AF57:AH57"/>
    <mergeCell ref="K9:M9"/>
    <mergeCell ref="AK67:AS67"/>
    <mergeCell ref="AF9:AH9"/>
    <mergeCell ref="AF33:AH33"/>
    <mergeCell ref="V33:W33"/>
    <mergeCell ref="V9:W9"/>
    <mergeCell ref="AK54:AS54"/>
    <mergeCell ref="AK43:AS43"/>
    <mergeCell ref="AB9:AD9"/>
    <mergeCell ref="AB33:AD33"/>
    <mergeCell ref="AB57:AD57"/>
    <mergeCell ref="N9:P9"/>
    <mergeCell ref="Q9:S9"/>
    <mergeCell ref="V1:W1"/>
    <mergeCell ref="B1:J1"/>
    <mergeCell ref="AK7:AS7"/>
    <mergeCell ref="AK30:AS30"/>
    <mergeCell ref="AK19:AS19"/>
    <mergeCell ref="E9:G9"/>
    <mergeCell ref="H9:J9"/>
    <mergeCell ref="AK2:AL2"/>
    <mergeCell ref="H2:AA2"/>
    <mergeCell ref="H3:AA3"/>
    <mergeCell ref="H4:AA4"/>
    <mergeCell ref="H5:AA5"/>
  </mergeCells>
  <conditionalFormatting sqref="V10:BC18 V34:AA42 V58:AA66 AI34:BC42 AI58:BC66">
    <cfRule type="expression" dxfId="47" priority="69">
      <formula>$W10=""</formula>
    </cfRule>
  </conditionalFormatting>
  <conditionalFormatting sqref="V18:BC18 V42:AA42 V66:AA66 AI42:BC42 AI66:BC66">
    <cfRule type="expression" dxfId="46" priority="64">
      <formula>AND($V18=$V17,$W17&lt;&gt;"")</formula>
    </cfRule>
  </conditionalFormatting>
  <conditionalFormatting sqref="V10:BC10 V34:AA34 V58:AA58 AI34:BC34 AI58:BC58">
    <cfRule type="expression" dxfId="45" priority="70">
      <formula>AND($V10=$V11,$W11&lt;&gt;"")</formula>
    </cfRule>
  </conditionalFormatting>
  <conditionalFormatting sqref="V11:BC17 V35:AA41 V59:AA65 AI35:BC41 AI59:BC65">
    <cfRule type="expression" dxfId="44" priority="23">
      <formula>OR(AND($V11=$V10,$W10&lt;&gt;""),AND($V11=$V12,$W12&lt;&gt;""))</formula>
    </cfRule>
  </conditionalFormatting>
  <conditionalFormatting sqref="AB34:AH42">
    <cfRule type="expression" dxfId="43" priority="11">
      <formula>$W34=""</formula>
    </cfRule>
  </conditionalFormatting>
  <conditionalFormatting sqref="AB42:AH42">
    <cfRule type="expression" dxfId="42" priority="10">
      <formula>AND($V42=$V41,$W41&lt;&gt;"")</formula>
    </cfRule>
  </conditionalFormatting>
  <conditionalFormatting sqref="AB34:AH34">
    <cfRule type="expression" dxfId="41" priority="12">
      <formula>AND($V34=$V35,$W35&lt;&gt;"")</formula>
    </cfRule>
  </conditionalFormatting>
  <conditionalFormatting sqref="AB35:AH41">
    <cfRule type="expression" dxfId="40" priority="9">
      <formula>OR(AND($V35=$V34,$W34&lt;&gt;""),AND($V35=$V36,$W36&lt;&gt;""))</formula>
    </cfRule>
  </conditionalFormatting>
  <conditionalFormatting sqref="AB58:AH66">
    <cfRule type="expression" dxfId="39" priority="7">
      <formula>$W58=""</formula>
    </cfRule>
  </conditionalFormatting>
  <conditionalFormatting sqref="AB66:AH66">
    <cfRule type="expression" dxfId="38" priority="6">
      <formula>AND($V66=$V65,$W65&lt;&gt;"")</formula>
    </cfRule>
  </conditionalFormatting>
  <conditionalFormatting sqref="AB58:AH58">
    <cfRule type="expression" dxfId="37" priority="8">
      <formula>AND($V58=$V59,$W59&lt;&gt;"")</formula>
    </cfRule>
  </conditionalFormatting>
  <conditionalFormatting sqref="AB59:AH65">
    <cfRule type="expression" dxfId="36" priority="5">
      <formula>OR(AND($V59=$V58,$W58&lt;&gt;""),AND($V59=$V60,$W60&lt;&gt;""))</formula>
    </cfRule>
  </conditionalFormatting>
  <conditionalFormatting sqref="H10:S81">
    <cfRule type="expression" dxfId="35" priority="4">
      <formula>OR($E10="",$G10="")</formula>
    </cfRule>
  </conditionalFormatting>
  <conditionalFormatting sqref="H10:H81 J10:J81">
    <cfRule type="expression" dxfId="34" priority="3">
      <formula>$BK10</formula>
    </cfRule>
  </conditionalFormatting>
  <conditionalFormatting sqref="K10:K81 M10:M81">
    <cfRule type="expression" dxfId="33" priority="2">
      <formula>$BL10</formula>
    </cfRule>
  </conditionalFormatting>
  <conditionalFormatting sqref="N10:N81 P10:P81">
    <cfRule type="expression" dxfId="32" priority="1">
      <formula>$BM10</formula>
    </cfRule>
  </conditionalFormatting>
  <dataValidations count="2">
    <dataValidation type="whole" allowBlank="1" showErrorMessage="1" errorTitle="Error" error="Maximal 999 !" sqref="H10:H81 J10:S81" xr:uid="{D9E07FCF-67B7-4BAF-9BC8-AE233331B860}">
      <formula1>0</formula1>
      <formula2>999</formula2>
    </dataValidation>
    <dataValidation allowBlank="1" showErrorMessage="1" errorTitle="Unzulässige Anzahl" error="Es können Zahlen von 1 bis 20 eingetragen werden!" sqref="H2:H5 A2:E5 AK2 A1:AS1 AK3:AS5 AM2:AN2" xr:uid="{B935BB05-BD26-42B8-AB5B-BED2EF462410}"/>
  </dataValidations>
  <pageMargins left="0.7" right="0.7" top="0.78740157499999996" bottom="0.78740157499999996" header="0.3" footer="0.3"/>
  <pageSetup paperSize="9" orientation="portrait" horizontalDpi="0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9" id="{B09CA390-E639-48FB-8761-B3350CDE6AA8}">
            <xm:f>Planning!$D$6=2</xm:f>
            <x14:dxf>
              <font>
                <color rgb="FF00B050"/>
              </font>
              <numFmt numFmtId="30" formatCode="@"/>
            </x14:dxf>
          </x14:cfRule>
          <xm:sqref>AK7:BB7 AK30:BB30 AK54:BB54</xm:sqref>
        </x14:conditionalFormatting>
        <x14:conditionalFormatting xmlns:xm="http://schemas.microsoft.com/office/excel/2006/main">
          <x14:cfRule type="expression" priority="151" id="{F4F10527-B686-4CA2-80FD-18E51A3B22D2}">
            <xm:f>OR(Planning!$D$6&gt;2,Planning!$A$6&gt;1)</xm:f>
            <x14:dxf>
              <numFmt numFmtId="30" formatCode="@"/>
            </x14:dxf>
          </x14:cfRule>
          <xm:sqref>AK19:BB19 AK43:BB43 AK67:BB67</xm:sqref>
        </x14:conditionalFormatting>
        <x14:conditionalFormatting xmlns:xm="http://schemas.microsoft.com/office/excel/2006/main">
          <x14:cfRule type="expression" priority="161" id="{7674D2FA-AB32-4497-B4DD-EC64900B9578}">
            <xm:f>$B10=Planning!$F$5</xm:f>
            <x14:dxf>
              <border>
                <bottom style="dashDot">
                  <color rgb="FFDA0000"/>
                </bottom>
                <vertical/>
                <horizontal/>
              </border>
            </x14:dxf>
          </x14:cfRule>
          <xm:sqref>B10:S81</xm:sqref>
        </x14:conditionalFormatting>
        <x14:conditionalFormatting xmlns:xm="http://schemas.microsoft.com/office/excel/2006/main">
          <x14:cfRule type="expression" priority="162" id="{25D4D9D2-4239-4FF0-AA6A-EB03B31C3656}">
            <xm:f>$B10=Planning!$E$5</xm:f>
            <x14:dxf>
              <border>
                <bottom style="thin">
                  <color rgb="FFDA0000"/>
                </bottom>
                <vertical/>
                <horizontal/>
              </border>
            </x14:dxf>
          </x14:cfRule>
          <xm:sqref>B10:S80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C18CA-20E0-481C-BCB6-FDA2BFC3701A}">
  <dimension ref="A1:E22"/>
  <sheetViews>
    <sheetView showGridLines="0" showRowColHeaders="0" workbookViewId="0">
      <selection activeCell="D7" sqref="D7"/>
    </sheetView>
  </sheetViews>
  <sheetFormatPr baseColWidth="10" defaultColWidth="0" defaultRowHeight="12.75" customHeight="1" zeroHeight="1" x14ac:dyDescent="0.2"/>
  <cols>
    <col min="1" max="2" width="11.42578125" style="349" customWidth="1"/>
    <col min="3" max="3" width="34.7109375" style="349" customWidth="1"/>
    <col min="4" max="5" width="11.42578125" style="349" customWidth="1"/>
    <col min="6" max="16384" width="11.42578125" style="349" hidden="1"/>
  </cols>
  <sheetData>
    <row r="1" spans="2:4" x14ac:dyDescent="0.2"/>
    <row r="2" spans="2:4" ht="33.75" x14ac:dyDescent="0.2">
      <c r="B2" s="655" t="str">
        <f>Language!$E$6</f>
        <v>Tie break</v>
      </c>
      <c r="C2" s="655"/>
      <c r="D2" s="655"/>
    </row>
    <row r="3" spans="2:4" x14ac:dyDescent="0.2"/>
    <row r="4" spans="2:4" ht="66.75" customHeight="1" x14ac:dyDescent="0.2">
      <c r="B4" s="656" t="str">
        <f>Language!$E$82</f>
        <v>If two or more teams cannot be distinguished and fair play or lot decides, it is sufficient to enter a bonus point for the preferred team.</v>
      </c>
      <c r="C4" s="656"/>
      <c r="D4" s="656"/>
    </row>
    <row r="5" spans="2:4" ht="13.5" thickBot="1" x14ac:dyDescent="0.25"/>
    <row r="6" spans="2:4" ht="27.95" customHeight="1" thickTop="1" x14ac:dyDescent="0.2">
      <c r="B6" s="451" t="str">
        <f>Language!$E$9</f>
        <v>No.</v>
      </c>
      <c r="C6" s="452" t="str">
        <f>Language!$E$10</f>
        <v>Participant or team</v>
      </c>
      <c r="D6" s="453" t="str">
        <f>Language!$E$49</f>
        <v>bonus</v>
      </c>
    </row>
    <row r="7" spans="2:4" ht="27.95" customHeight="1" x14ac:dyDescent="0.2">
      <c r="B7" s="454" t="s">
        <v>6</v>
      </c>
      <c r="C7" s="455" t="str">
        <f>IF(Planning!$C$8="","",Planning!$C$8)</f>
        <v>1. FC Riedwald</v>
      </c>
      <c r="D7" s="456"/>
    </row>
    <row r="8" spans="2:4" ht="27.95" customHeight="1" x14ac:dyDescent="0.2">
      <c r="B8" s="457" t="s">
        <v>7</v>
      </c>
      <c r="C8" s="458" t="str">
        <f>IF(Planning!$C$10="","",Planning!$C$10)</f>
        <v>FC Barcelona</v>
      </c>
      <c r="D8" s="459"/>
    </row>
    <row r="9" spans="2:4" ht="27.95" customHeight="1" x14ac:dyDescent="0.2">
      <c r="B9" s="457" t="s">
        <v>8</v>
      </c>
      <c r="C9" s="458" t="str">
        <f>IF(Planning!$C$12="","",Planning!$C$12)</f>
        <v>Eintracht Frankfurt</v>
      </c>
      <c r="D9" s="459"/>
    </row>
    <row r="10" spans="2:4" ht="27.95" customHeight="1" x14ac:dyDescent="0.2">
      <c r="B10" s="457" t="s">
        <v>9</v>
      </c>
      <c r="C10" s="458" t="str">
        <f>IF(Planning!$C$14="","",Planning!$C$14)</f>
        <v>Maibach 1822 eV</v>
      </c>
      <c r="D10" s="459"/>
    </row>
    <row r="11" spans="2:4" ht="27.95" customHeight="1" x14ac:dyDescent="0.2">
      <c r="B11" s="457" t="s">
        <v>10</v>
      </c>
      <c r="C11" s="458" t="str">
        <f>IF(Planning!$C$16="","",Planning!$C$16)</f>
        <v>VFB Essenheim</v>
      </c>
      <c r="D11" s="459"/>
    </row>
    <row r="12" spans="2:4" ht="27.95" customHeight="1" x14ac:dyDescent="0.2">
      <c r="B12" s="457" t="s">
        <v>11</v>
      </c>
      <c r="C12" s="458" t="str">
        <f>IF(Planning!$C$18="","",Planning!$C$18)</f>
        <v>Inter Mailand</v>
      </c>
      <c r="D12" s="459"/>
    </row>
    <row r="13" spans="2:4" ht="27.95" customHeight="1" x14ac:dyDescent="0.2">
      <c r="B13" s="457" t="s">
        <v>16</v>
      </c>
      <c r="C13" s="458" t="str">
        <f>IF(Planning!$C$20="","",Planning!$C$20)</f>
        <v>SSV Wildbach</v>
      </c>
      <c r="D13" s="459"/>
    </row>
    <row r="14" spans="2:4" ht="27.95" customHeight="1" x14ac:dyDescent="0.2">
      <c r="B14" s="457" t="s">
        <v>17</v>
      </c>
      <c r="C14" s="458" t="str">
        <f>IF(Planning!$C$22="","",Planning!$C$22)</f>
        <v/>
      </c>
      <c r="D14" s="459"/>
    </row>
    <row r="15" spans="2:4" ht="27.95" customHeight="1" thickBot="1" x14ac:dyDescent="0.25">
      <c r="B15" s="460" t="s">
        <v>18</v>
      </c>
      <c r="C15" s="461" t="str">
        <f>IF(Planning!$C$24="","",Planning!$C$24)</f>
        <v/>
      </c>
      <c r="D15" s="462"/>
    </row>
    <row r="16" spans="2:4" ht="27.95" customHeight="1" thickTop="1" x14ac:dyDescent="0.2">
      <c r="B16" s="463"/>
      <c r="C16" s="464"/>
      <c r="D16" s="465"/>
    </row>
    <row r="17" x14ac:dyDescent="0.2"/>
    <row r="18" hidden="1" x14ac:dyDescent="0.2"/>
    <row r="19" hidden="1" x14ac:dyDescent="0.2"/>
    <row r="20" hidden="1" x14ac:dyDescent="0.2"/>
    <row r="21" ht="12.75" hidden="1" customHeight="1" x14ac:dyDescent="0.2"/>
    <row r="22" ht="12.75" hidden="1" customHeight="1" x14ac:dyDescent="0.2"/>
  </sheetData>
  <sheetProtection sheet="1" selectLockedCells="1"/>
  <mergeCells count="2">
    <mergeCell ref="B2:D2"/>
    <mergeCell ref="B4:D4"/>
  </mergeCells>
  <dataValidations count="1">
    <dataValidation type="whole" allowBlank="1" showInputMessage="1" showErrorMessage="1" errorTitle="Unzulässiger Wert für den Bonus" error="Es können Zahlen von 0 bis 9 eingetragen werden!" sqref="D7:D16" xr:uid="{87FF9B16-089F-466A-85DC-E33D6A45E54D}">
      <formula1>0</formula1>
      <formula2>9</formula2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22CB3-B9E4-4B77-B807-84F7640D1915}">
  <sheetPr codeName="Tabelle3"/>
  <dimension ref="A1:AE23"/>
  <sheetViews>
    <sheetView showGridLines="0" showRowColHeaders="0" workbookViewId="0">
      <selection activeCell="D12" sqref="D12"/>
    </sheetView>
  </sheetViews>
  <sheetFormatPr baseColWidth="10" defaultColWidth="0" defaultRowHeight="12.75" zeroHeight="1" x14ac:dyDescent="0.2"/>
  <cols>
    <col min="1" max="1" width="5.28515625" customWidth="1"/>
    <col min="2" max="2" width="6.5703125" customWidth="1"/>
    <col min="3" max="3" width="10.85546875" customWidth="1"/>
    <col min="4" max="4" width="11.42578125" customWidth="1"/>
    <col min="5" max="5" width="7.85546875" customWidth="1"/>
    <col min="6" max="6" width="8.7109375" customWidth="1"/>
    <col min="7" max="7" width="2.28515625" customWidth="1"/>
    <col min="8" max="8" width="8.7109375" customWidth="1"/>
    <col min="9" max="9" width="24.7109375" customWidth="1"/>
    <col min="10" max="10" width="2.28515625" customWidth="1"/>
    <col min="11" max="11" width="24.7109375" customWidth="1"/>
    <col min="12" max="12" width="5.7109375" customWidth="1"/>
    <col min="13" max="13" width="2.28515625" customWidth="1"/>
    <col min="14" max="15" width="5.7109375" customWidth="1"/>
    <col min="16" max="16" width="2.28515625" customWidth="1"/>
    <col min="17" max="18" width="5.7109375" customWidth="1"/>
    <col min="19" max="19" width="2.28515625" customWidth="1"/>
    <col min="20" max="20" width="5.7109375" customWidth="1"/>
    <col min="21" max="21" width="24.7109375" customWidth="1"/>
    <col min="22" max="22" width="11.42578125" customWidth="1"/>
    <col min="23" max="23" width="9.7109375" hidden="1" customWidth="1"/>
    <col min="24" max="24" width="6" hidden="1" customWidth="1"/>
    <col min="25" max="25" width="5.140625" hidden="1" customWidth="1"/>
    <col min="26" max="26" width="5.42578125" hidden="1" customWidth="1"/>
    <col min="27" max="27" width="6.42578125" hidden="1" customWidth="1"/>
    <col min="28" max="28" width="3.42578125" hidden="1" customWidth="1"/>
    <col min="29" max="31" width="0" hidden="1" customWidth="1"/>
    <col min="32" max="16384" width="11.42578125" hidden="1"/>
  </cols>
  <sheetData>
    <row r="1" spans="1:31" ht="13.5" thickBot="1" x14ac:dyDescent="0.25">
      <c r="A1" s="349"/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50"/>
      <c r="Q1" s="349"/>
      <c r="R1" s="349"/>
      <c r="S1" s="349"/>
      <c r="T1" s="349"/>
      <c r="U1" s="349"/>
      <c r="V1" s="349"/>
      <c r="W1" s="349"/>
      <c r="X1" s="349"/>
      <c r="Y1" s="349"/>
      <c r="Z1" s="349"/>
      <c r="AA1" s="349"/>
      <c r="AB1" s="349"/>
      <c r="AC1" s="349"/>
      <c r="AD1" s="349"/>
      <c r="AE1" s="349"/>
    </row>
    <row r="2" spans="1:31" ht="36" customHeight="1" thickTop="1" x14ac:dyDescent="0.2">
      <c r="A2" s="349"/>
      <c r="B2" s="349"/>
      <c r="C2" s="349"/>
      <c r="D2" s="349"/>
      <c r="E2" s="349"/>
      <c r="F2" s="666" t="str">
        <f>Results!$H$2</f>
        <v>International tournament U10 on Jan. 27th, 2026</v>
      </c>
      <c r="G2" s="667"/>
      <c r="H2" s="667"/>
      <c r="I2" s="667"/>
      <c r="J2" s="667"/>
      <c r="K2" s="667"/>
      <c r="L2" s="667"/>
      <c r="M2" s="667"/>
      <c r="N2" s="667"/>
      <c r="O2" s="667"/>
      <c r="P2" s="667"/>
      <c r="Q2" s="667"/>
      <c r="R2" s="667"/>
      <c r="S2" s="667"/>
      <c r="T2" s="667"/>
      <c r="U2" s="668"/>
      <c r="V2" s="349"/>
      <c r="W2" s="349"/>
      <c r="X2" s="349"/>
      <c r="Y2" s="349"/>
      <c r="Z2" s="349"/>
      <c r="AA2" s="349"/>
      <c r="AB2" s="349"/>
      <c r="AC2" s="349"/>
      <c r="AD2" s="349"/>
      <c r="AE2" s="349"/>
    </row>
    <row r="3" spans="1:31" ht="30" customHeight="1" x14ac:dyDescent="0.2">
      <c r="A3" s="349"/>
      <c r="B3" s="349"/>
      <c r="C3" s="349"/>
      <c r="D3" s="349"/>
      <c r="E3" s="349"/>
      <c r="F3" s="669" t="str">
        <f>Results!$H$3</f>
        <v>Organizer:  1. FC Riedwald</v>
      </c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  <c r="S3" s="670"/>
      <c r="T3" s="670"/>
      <c r="U3" s="671"/>
      <c r="V3" s="349"/>
      <c r="W3" s="349"/>
      <c r="X3" s="349"/>
      <c r="Y3" s="349"/>
      <c r="Z3" s="349"/>
      <c r="AA3" s="349"/>
      <c r="AB3" s="349"/>
      <c r="AC3" s="349"/>
      <c r="AD3" s="349"/>
      <c r="AE3" s="349"/>
    </row>
    <row r="4" spans="1:31" ht="30" customHeight="1" x14ac:dyDescent="0.2">
      <c r="A4" s="349"/>
      <c r="B4" s="349"/>
      <c r="C4" s="349"/>
      <c r="D4" s="349"/>
      <c r="E4" s="349"/>
      <c r="F4" s="672" t="str">
        <f>Results!$H$4</f>
        <v>Sports hall Wiesengrund, Wendiger Str. 51, 65432 Riedwald</v>
      </c>
      <c r="G4" s="673"/>
      <c r="H4" s="673"/>
      <c r="I4" s="673"/>
      <c r="J4" s="673"/>
      <c r="K4" s="673"/>
      <c r="L4" s="673"/>
      <c r="M4" s="673"/>
      <c r="N4" s="673"/>
      <c r="O4" s="673"/>
      <c r="P4" s="673"/>
      <c r="Q4" s="673"/>
      <c r="R4" s="673"/>
      <c r="S4" s="673"/>
      <c r="T4" s="673"/>
      <c r="U4" s="674"/>
      <c r="V4" s="349"/>
      <c r="W4" s="349"/>
      <c r="X4" s="349"/>
      <c r="Y4" s="349"/>
      <c r="Z4" s="349"/>
      <c r="AA4" s="349"/>
      <c r="AB4" s="349"/>
      <c r="AC4" s="349"/>
      <c r="AD4" s="349"/>
      <c r="AE4" s="349"/>
    </row>
    <row r="5" spans="1:31" ht="30" customHeight="1" thickBot="1" x14ac:dyDescent="0.25">
      <c r="A5" s="349"/>
      <c r="B5" s="349"/>
      <c r="C5" s="349"/>
      <c r="D5" s="349"/>
      <c r="E5" s="349"/>
      <c r="F5" s="675" t="str">
        <f>Results!$H$5</f>
        <v>Start:  9:00 Uhr</v>
      </c>
      <c r="G5" s="676"/>
      <c r="H5" s="676"/>
      <c r="I5" s="676"/>
      <c r="J5" s="676"/>
      <c r="K5" s="676"/>
      <c r="L5" s="676"/>
      <c r="M5" s="676"/>
      <c r="N5" s="676"/>
      <c r="O5" s="676"/>
      <c r="P5" s="676"/>
      <c r="Q5" s="676"/>
      <c r="R5" s="676"/>
      <c r="S5" s="676"/>
      <c r="T5" s="676"/>
      <c r="U5" s="677"/>
      <c r="V5" s="349"/>
      <c r="W5" s="349"/>
      <c r="X5" s="349"/>
      <c r="Y5" s="349"/>
      <c r="Z5" s="349"/>
      <c r="AA5" s="349"/>
      <c r="AB5" s="349"/>
      <c r="AC5" s="349"/>
      <c r="AD5" s="349"/>
      <c r="AE5" s="349"/>
    </row>
    <row r="6" spans="1:31" ht="40.5" customHeight="1" thickTop="1" x14ac:dyDescent="0.2">
      <c r="A6" s="349"/>
      <c r="B6" s="349"/>
      <c r="C6" s="349"/>
      <c r="D6" s="349"/>
      <c r="E6" s="349"/>
      <c r="F6" s="349"/>
      <c r="G6" s="349"/>
      <c r="H6" s="349"/>
      <c r="I6" s="349"/>
      <c r="J6" s="349"/>
      <c r="K6" s="349"/>
      <c r="L6" s="349"/>
      <c r="M6" s="349"/>
      <c r="N6" s="349"/>
      <c r="O6" s="349"/>
      <c r="P6" s="350"/>
      <c r="Q6" s="349"/>
      <c r="R6" s="349"/>
      <c r="S6" s="349"/>
      <c r="T6" s="349"/>
      <c r="U6" s="349"/>
      <c r="V6" s="349"/>
      <c r="W6" s="349"/>
      <c r="X6" s="349"/>
      <c r="Y6" s="349"/>
      <c r="Z6" s="349"/>
      <c r="AA6" s="349"/>
      <c r="AB6" s="349"/>
      <c r="AC6" s="349"/>
      <c r="AD6" s="349"/>
      <c r="AE6" s="349"/>
    </row>
    <row r="7" spans="1:31" ht="30" customHeight="1" x14ac:dyDescent="0.2">
      <c r="A7" s="349"/>
      <c r="B7" s="349"/>
      <c r="C7" s="349"/>
      <c r="D7" s="349"/>
      <c r="E7" s="349"/>
      <c r="F7" s="349"/>
      <c r="G7" s="349"/>
      <c r="H7" s="678" t="str">
        <f>Language!$E$6</f>
        <v>Tie break</v>
      </c>
      <c r="I7" s="678"/>
      <c r="J7" s="678"/>
      <c r="K7" s="678"/>
      <c r="L7" s="678"/>
      <c r="M7" s="678"/>
      <c r="N7" s="678"/>
      <c r="O7" s="678"/>
      <c r="P7" s="678"/>
      <c r="Q7" s="678"/>
      <c r="R7" s="678"/>
      <c r="S7" s="678"/>
      <c r="T7" s="678"/>
      <c r="U7" s="349"/>
      <c r="V7" s="349"/>
      <c r="W7" s="349"/>
      <c r="X7" s="349"/>
      <c r="Y7" s="349"/>
      <c r="Z7" s="349"/>
      <c r="AA7" s="349"/>
      <c r="AB7" s="349"/>
      <c r="AC7" s="349"/>
      <c r="AD7" s="349"/>
      <c r="AE7" s="349"/>
    </row>
    <row r="8" spans="1:31" ht="30" customHeight="1" x14ac:dyDescent="0.2">
      <c r="A8" s="349"/>
      <c r="B8" s="349"/>
      <c r="C8" s="349"/>
      <c r="D8" s="349"/>
      <c r="E8" s="349"/>
      <c r="F8" s="349"/>
      <c r="G8" s="349"/>
      <c r="H8" s="678"/>
      <c r="I8" s="678"/>
      <c r="J8" s="678"/>
      <c r="K8" s="678"/>
      <c r="L8" s="678"/>
      <c r="M8" s="678"/>
      <c r="N8" s="678"/>
      <c r="O8" s="678"/>
      <c r="P8" s="678"/>
      <c r="Q8" s="678"/>
      <c r="R8" s="678"/>
      <c r="S8" s="678"/>
      <c r="T8" s="678"/>
      <c r="U8" s="349"/>
      <c r="V8" s="349"/>
      <c r="W8" s="349"/>
      <c r="X8" s="349"/>
      <c r="Y8" s="349"/>
      <c r="Z8" s="349"/>
      <c r="AA8" s="349"/>
      <c r="AB8" s="349"/>
      <c r="AC8" s="349"/>
      <c r="AD8" s="349"/>
      <c r="AE8" s="349"/>
    </row>
    <row r="9" spans="1:31" x14ac:dyDescent="0.2">
      <c r="A9" s="349"/>
      <c r="B9" s="349"/>
      <c r="C9" s="349"/>
      <c r="D9" s="349"/>
      <c r="E9" s="349"/>
      <c r="F9" s="349"/>
      <c r="G9" s="349"/>
      <c r="H9" s="349"/>
      <c r="I9" s="349"/>
      <c r="J9" s="349"/>
      <c r="K9" s="349"/>
      <c r="L9" s="349"/>
      <c r="M9" s="349"/>
      <c r="N9" s="349"/>
      <c r="O9" s="349"/>
      <c r="P9" s="350"/>
      <c r="Q9" s="349"/>
      <c r="R9" s="349"/>
      <c r="S9" s="349"/>
      <c r="T9" s="349"/>
      <c r="U9" s="349"/>
      <c r="V9" s="349"/>
      <c r="W9" s="349"/>
      <c r="X9" s="349"/>
      <c r="Y9" s="349"/>
      <c r="Z9" s="349"/>
      <c r="AA9" s="349"/>
      <c r="AB9" s="349"/>
      <c r="AC9" s="349"/>
      <c r="AD9" s="349"/>
      <c r="AE9" s="349"/>
    </row>
    <row r="10" spans="1:31" ht="24" customHeight="1" thickBot="1" x14ac:dyDescent="0.3">
      <c r="A10" s="349"/>
      <c r="B10" s="349"/>
      <c r="C10" s="664"/>
      <c r="D10" s="664"/>
      <c r="E10" s="351"/>
      <c r="F10" s="665" t="str">
        <f>Language!$E$106</f>
        <v>e.g.  2 - 4</v>
      </c>
      <c r="G10" s="665"/>
      <c r="H10" s="665"/>
      <c r="I10" s="351"/>
      <c r="J10" s="351"/>
      <c r="K10" s="351"/>
      <c r="L10" s="352"/>
      <c r="M10" s="352"/>
      <c r="N10" s="352"/>
      <c r="O10" s="353"/>
      <c r="P10" s="354"/>
      <c r="Q10" s="355"/>
      <c r="R10" s="355"/>
      <c r="S10" s="355"/>
      <c r="T10" s="355"/>
      <c r="U10" s="356"/>
      <c r="V10" s="349"/>
      <c r="W10" s="349"/>
      <c r="X10" s="349"/>
      <c r="Y10" s="349"/>
      <c r="Z10" s="349"/>
      <c r="AA10" s="349"/>
      <c r="AB10" s="349"/>
      <c r="AC10" s="349"/>
      <c r="AD10" s="349"/>
      <c r="AE10" s="349"/>
    </row>
    <row r="11" spans="1:31" ht="24" customHeight="1" thickTop="1" x14ac:dyDescent="0.2">
      <c r="A11" s="349"/>
      <c r="B11" s="349"/>
      <c r="C11" s="357" t="str">
        <f>Language!$E$33</f>
        <v>Game no.</v>
      </c>
      <c r="D11" s="411" t="str">
        <f>Language!$E$39</f>
        <v>Start</v>
      </c>
      <c r="E11" s="411" t="str">
        <f>Language!$E$48</f>
        <v>Field</v>
      </c>
      <c r="F11" s="657" t="str">
        <f>Language!$E$105</f>
        <v>Team numbers</v>
      </c>
      <c r="G11" s="658"/>
      <c r="H11" s="659"/>
      <c r="I11" s="657" t="str">
        <f>Language!$E$14</f>
        <v>Match pairing</v>
      </c>
      <c r="J11" s="658"/>
      <c r="K11" s="659"/>
      <c r="L11" s="660" t="str">
        <f>Language!$E$54</f>
        <v>1st set</v>
      </c>
      <c r="M11" s="661"/>
      <c r="N11" s="662"/>
      <c r="O11" s="660" t="str">
        <f>Language!$E$55</f>
        <v>2nd set</v>
      </c>
      <c r="P11" s="661"/>
      <c r="Q11" s="662"/>
      <c r="R11" s="660" t="str">
        <f>Language!$E$56</f>
        <v>3rd set</v>
      </c>
      <c r="S11" s="661"/>
      <c r="T11" s="663"/>
      <c r="U11" s="358" t="str">
        <f>Language!$E$58</f>
        <v>Winner</v>
      </c>
      <c r="V11" s="349"/>
      <c r="W11" s="359" t="str">
        <f>Language!$E$56&amp;"?"</f>
        <v>3rd set?</v>
      </c>
      <c r="X11" s="349"/>
      <c r="Y11" s="349"/>
      <c r="Z11" s="349"/>
      <c r="AA11" s="349"/>
      <c r="AB11" s="349"/>
      <c r="AC11" s="359" t="s">
        <v>260</v>
      </c>
      <c r="AD11" s="359" t="s">
        <v>261</v>
      </c>
      <c r="AE11" s="359" t="s">
        <v>262</v>
      </c>
    </row>
    <row r="12" spans="1:31" ht="24" customHeight="1" x14ac:dyDescent="0.2">
      <c r="A12" s="349"/>
      <c r="B12" s="360"/>
      <c r="C12" s="361" t="s">
        <v>6</v>
      </c>
      <c r="D12" s="362"/>
      <c r="E12" s="363"/>
      <c r="F12" s="364"/>
      <c r="G12" s="365" t="s">
        <v>4</v>
      </c>
      <c r="H12" s="366"/>
      <c r="I12" s="367" t="str">
        <f>IF($F12="","",IFERROR(VLOOKUP($F12,Planning!$B$8:$C$25,2,0),""))</f>
        <v/>
      </c>
      <c r="J12" s="368" t="s">
        <v>4</v>
      </c>
      <c r="K12" s="369" t="str">
        <f>IF($H12="","",IFERROR(VLOOKUP($H12,Planning!$B$8:$C$25,2,0),""))</f>
        <v/>
      </c>
      <c r="L12" s="370"/>
      <c r="M12" s="371" t="str">
        <f>Language!$E$90</f>
        <v xml:space="preserve"> - </v>
      </c>
      <c r="N12" s="372"/>
      <c r="O12" s="370"/>
      <c r="P12" s="371" t="str">
        <f>Language!$E$90</f>
        <v xml:space="preserve"> - </v>
      </c>
      <c r="Q12" s="372"/>
      <c r="R12" s="373"/>
      <c r="S12" s="371" t="str">
        <f>Language!$E$90</f>
        <v xml:space="preserve"> - </v>
      </c>
      <c r="T12" s="374"/>
      <c r="U12" s="375" t="str">
        <f>IF(OR($AC12,AND($AD12,OR($O12&lt;&gt;"",$Q12&lt;&gt;""))),"",IF($X12+$Z12&gt;$Y12+$AA12,$I12,IF($X12+$Z12&lt;$Y12+$AA12,$K12,"")))</f>
        <v/>
      </c>
      <c r="V12" s="376"/>
      <c r="W12" s="377" t="b">
        <f t="shared" ref="W12:W16" si="0">AND(NOT(OR($AC12,$AD12)),$X12=1,$Y12=1)</f>
        <v>0</v>
      </c>
      <c r="X12" s="377">
        <f t="shared" ref="X12:X16" si="1">IF($AC12,0,($L12&gt;$N12)+IF($AD12,0,$O12&gt;$Q12))</f>
        <v>0</v>
      </c>
      <c r="Y12" s="377">
        <f t="shared" ref="Y12:Y16" si="2">IF($AC12,0,($L12&lt;$N12)+IF($AD12,0,$O12&lt;$Q12))</f>
        <v>0</v>
      </c>
      <c r="Z12" s="377">
        <f t="shared" ref="Z12:Z16" si="3">($O12&lt;&gt;"")*($Q12&lt;&gt;"")*($R12&lt;&gt;"")*($T12&lt;&gt;"")*(X12=1)*(Y12=1)*($R12&gt;$T12)</f>
        <v>0</v>
      </c>
      <c r="AA12" s="377">
        <f t="shared" ref="AA12:AA16" si="4">($O12&lt;&gt;"")*($Q12&lt;&gt;"")*($R12&lt;&gt;"")*($T12&lt;&gt;"")*(X12=1)*(Y12=1)*($R12&lt;$T12)</f>
        <v>0</v>
      </c>
      <c r="AB12" s="378"/>
      <c r="AC12" s="377" t="b">
        <f t="shared" ref="AC12:AC16" si="5">OR($I12="",$K12="",$L12="",$N12="",AND($L12&lt;&gt;"",$L12=$N12))</f>
        <v>1</v>
      </c>
      <c r="AD12" s="377" t="b">
        <f t="shared" ref="AD12:AD16" si="6">OR(AC12,$O12="",$Q12="",AND($O12&lt;&gt;"",$O12=$Q12))</f>
        <v>1</v>
      </c>
      <c r="AE12" s="377" t="b">
        <f t="shared" ref="AE12:AE16" si="7">OR($R12="",$T12="",$R12=$T12)</f>
        <v>1</v>
      </c>
    </row>
    <row r="13" spans="1:31" ht="24" customHeight="1" x14ac:dyDescent="0.2">
      <c r="A13" s="349"/>
      <c r="B13" s="360"/>
      <c r="C13" s="379" t="s">
        <v>7</v>
      </c>
      <c r="D13" s="380"/>
      <c r="E13" s="380"/>
      <c r="F13" s="364"/>
      <c r="G13" s="365" t="s">
        <v>4</v>
      </c>
      <c r="H13" s="366"/>
      <c r="I13" s="381" t="str">
        <f>IF($F13="","",IFERROR(VLOOKUP($F13,Planning!$B$8:$C$25,2,0),""))</f>
        <v/>
      </c>
      <c r="J13" s="382" t="s">
        <v>4</v>
      </c>
      <c r="K13" s="383" t="str">
        <f>IF($H13="","",IFERROR(VLOOKUP($H13,Planning!$B$8:$C$25,2,0),""))</f>
        <v/>
      </c>
      <c r="L13" s="364"/>
      <c r="M13" s="384" t="str">
        <f>Language!$E$90</f>
        <v xml:space="preserve"> - </v>
      </c>
      <c r="N13" s="366"/>
      <c r="O13" s="364"/>
      <c r="P13" s="384" t="str">
        <f>Language!$E$90</f>
        <v xml:space="preserve"> - </v>
      </c>
      <c r="Q13" s="366"/>
      <c r="R13" s="364"/>
      <c r="S13" s="384" t="str">
        <f>Language!$E$90</f>
        <v xml:space="preserve"> - </v>
      </c>
      <c r="T13" s="385"/>
      <c r="U13" s="386" t="str">
        <f t="shared" ref="U13:U17" si="8">IF(OR($AC13,AND($AD13,OR($O13&lt;&gt;"",$Q13&lt;&gt;""))),"",IF($X13+$Z13&gt;$Y13+$AA13,$I13,IF($X13+$Z13&lt;$Y13+$AA13,$K13,"")))</f>
        <v/>
      </c>
      <c r="V13" s="376"/>
      <c r="W13" s="377" t="b">
        <f t="shared" si="0"/>
        <v>0</v>
      </c>
      <c r="X13" s="377">
        <f t="shared" si="1"/>
        <v>0</v>
      </c>
      <c r="Y13" s="377">
        <f t="shared" si="2"/>
        <v>0</v>
      </c>
      <c r="Z13" s="377">
        <f t="shared" si="3"/>
        <v>0</v>
      </c>
      <c r="AA13" s="377">
        <f t="shared" si="4"/>
        <v>0</v>
      </c>
      <c r="AB13" s="378"/>
      <c r="AC13" s="377" t="b">
        <f t="shared" si="5"/>
        <v>1</v>
      </c>
      <c r="AD13" s="377" t="b">
        <f t="shared" si="6"/>
        <v>1</v>
      </c>
      <c r="AE13" s="377" t="b">
        <f t="shared" si="7"/>
        <v>1</v>
      </c>
    </row>
    <row r="14" spans="1:31" ht="24" customHeight="1" x14ac:dyDescent="0.2">
      <c r="A14" s="349"/>
      <c r="B14" s="360"/>
      <c r="C14" s="379" t="s">
        <v>8</v>
      </c>
      <c r="D14" s="380"/>
      <c r="E14" s="380"/>
      <c r="F14" s="364"/>
      <c r="G14" s="365" t="s">
        <v>4</v>
      </c>
      <c r="H14" s="366"/>
      <c r="I14" s="381" t="str">
        <f>IF($F14="","",IFERROR(VLOOKUP($F14,Planning!$B$8:$C$25,2,0),""))</f>
        <v/>
      </c>
      <c r="J14" s="382" t="s">
        <v>4</v>
      </c>
      <c r="K14" s="383" t="str">
        <f>IF($H14="","",IFERROR(VLOOKUP($H14,Planning!$B$8:$C$25,2,0),""))</f>
        <v/>
      </c>
      <c r="L14" s="364"/>
      <c r="M14" s="384" t="str">
        <f>Language!$E$90</f>
        <v xml:space="preserve"> - </v>
      </c>
      <c r="N14" s="366"/>
      <c r="O14" s="364"/>
      <c r="P14" s="384" t="str">
        <f>Language!$E$90</f>
        <v xml:space="preserve"> - </v>
      </c>
      <c r="Q14" s="366"/>
      <c r="R14" s="364"/>
      <c r="S14" s="384" t="str">
        <f>Language!$E$90</f>
        <v xml:space="preserve"> - </v>
      </c>
      <c r="T14" s="385"/>
      <c r="U14" s="386" t="str">
        <f t="shared" si="8"/>
        <v/>
      </c>
      <c r="V14" s="376"/>
      <c r="W14" s="377" t="b">
        <f t="shared" si="0"/>
        <v>0</v>
      </c>
      <c r="X14" s="377">
        <f t="shared" si="1"/>
        <v>0</v>
      </c>
      <c r="Y14" s="377">
        <f t="shared" si="2"/>
        <v>0</v>
      </c>
      <c r="Z14" s="377">
        <f t="shared" si="3"/>
        <v>0</v>
      </c>
      <c r="AA14" s="377">
        <f t="shared" si="4"/>
        <v>0</v>
      </c>
      <c r="AB14" s="378"/>
      <c r="AC14" s="377" t="b">
        <f t="shared" si="5"/>
        <v>1</v>
      </c>
      <c r="AD14" s="377" t="b">
        <f t="shared" si="6"/>
        <v>1</v>
      </c>
      <c r="AE14" s="377" t="b">
        <f t="shared" si="7"/>
        <v>1</v>
      </c>
    </row>
    <row r="15" spans="1:31" ht="24" customHeight="1" x14ac:dyDescent="0.2">
      <c r="A15" s="349"/>
      <c r="B15" s="360"/>
      <c r="C15" s="379" t="s">
        <v>9</v>
      </c>
      <c r="D15" s="380"/>
      <c r="E15" s="380"/>
      <c r="F15" s="364"/>
      <c r="G15" s="365" t="s">
        <v>4</v>
      </c>
      <c r="H15" s="366"/>
      <c r="I15" s="381" t="str">
        <f>IF($F15="","",IFERROR(VLOOKUP($F15,Planning!$B$8:$C$25,2,0),""))</f>
        <v/>
      </c>
      <c r="J15" s="382" t="s">
        <v>4</v>
      </c>
      <c r="K15" s="383" t="str">
        <f>IF($H15="","",IFERROR(VLOOKUP($H15,Planning!$B$8:$C$25,2,0),""))</f>
        <v/>
      </c>
      <c r="L15" s="364"/>
      <c r="M15" s="384" t="str">
        <f>Language!$E$90</f>
        <v xml:space="preserve"> - </v>
      </c>
      <c r="N15" s="366"/>
      <c r="O15" s="364"/>
      <c r="P15" s="384" t="str">
        <f>Language!$E$90</f>
        <v xml:space="preserve"> - </v>
      </c>
      <c r="Q15" s="366"/>
      <c r="R15" s="364"/>
      <c r="S15" s="384" t="str">
        <f>Language!$E$90</f>
        <v xml:space="preserve"> - </v>
      </c>
      <c r="T15" s="385"/>
      <c r="U15" s="386" t="str">
        <f t="shared" si="8"/>
        <v/>
      </c>
      <c r="V15" s="376"/>
      <c r="W15" s="377" t="b">
        <f t="shared" si="0"/>
        <v>0</v>
      </c>
      <c r="X15" s="377">
        <f t="shared" si="1"/>
        <v>0</v>
      </c>
      <c r="Y15" s="377">
        <f t="shared" si="2"/>
        <v>0</v>
      </c>
      <c r="Z15" s="377">
        <f t="shared" si="3"/>
        <v>0</v>
      </c>
      <c r="AA15" s="377">
        <f t="shared" si="4"/>
        <v>0</v>
      </c>
      <c r="AB15" s="378"/>
      <c r="AC15" s="377" t="b">
        <f t="shared" si="5"/>
        <v>1</v>
      </c>
      <c r="AD15" s="377" t="b">
        <f t="shared" si="6"/>
        <v>1</v>
      </c>
      <c r="AE15" s="377" t="b">
        <f t="shared" si="7"/>
        <v>1</v>
      </c>
    </row>
    <row r="16" spans="1:31" ht="24" customHeight="1" x14ac:dyDescent="0.2">
      <c r="A16" s="349"/>
      <c r="B16" s="360"/>
      <c r="C16" s="379" t="s">
        <v>10</v>
      </c>
      <c r="D16" s="380"/>
      <c r="E16" s="380"/>
      <c r="F16" s="364"/>
      <c r="G16" s="365" t="s">
        <v>4</v>
      </c>
      <c r="H16" s="366"/>
      <c r="I16" s="381" t="str">
        <f>IF($F16="","",IFERROR(VLOOKUP($F16,Planning!$B$8:$C$25,2,0),""))</f>
        <v/>
      </c>
      <c r="J16" s="382" t="s">
        <v>4</v>
      </c>
      <c r="K16" s="383" t="str">
        <f>IF($H16="","",IFERROR(VLOOKUP($H16,Planning!$B$8:$C$25,2,0),""))</f>
        <v/>
      </c>
      <c r="L16" s="364"/>
      <c r="M16" s="384" t="str">
        <f>Language!$E$90</f>
        <v xml:space="preserve"> - </v>
      </c>
      <c r="N16" s="366"/>
      <c r="O16" s="364"/>
      <c r="P16" s="384" t="str">
        <f>Language!$E$90</f>
        <v xml:space="preserve"> - </v>
      </c>
      <c r="Q16" s="366"/>
      <c r="R16" s="364"/>
      <c r="S16" s="384" t="str">
        <f>Language!$E$90</f>
        <v xml:space="preserve"> - </v>
      </c>
      <c r="T16" s="385"/>
      <c r="U16" s="386" t="str">
        <f t="shared" si="8"/>
        <v/>
      </c>
      <c r="V16" s="376"/>
      <c r="W16" s="377" t="b">
        <f t="shared" si="0"/>
        <v>0</v>
      </c>
      <c r="X16" s="377">
        <f t="shared" si="1"/>
        <v>0</v>
      </c>
      <c r="Y16" s="377">
        <f t="shared" si="2"/>
        <v>0</v>
      </c>
      <c r="Z16" s="377">
        <f t="shared" si="3"/>
        <v>0</v>
      </c>
      <c r="AA16" s="377">
        <f t="shared" si="4"/>
        <v>0</v>
      </c>
      <c r="AB16" s="378"/>
      <c r="AC16" s="377" t="b">
        <f t="shared" si="5"/>
        <v>1</v>
      </c>
      <c r="AD16" s="377" t="b">
        <f t="shared" si="6"/>
        <v>1</v>
      </c>
      <c r="AE16" s="377" t="b">
        <f t="shared" si="7"/>
        <v>1</v>
      </c>
    </row>
    <row r="17" spans="1:31" ht="24" customHeight="1" thickBot="1" x14ac:dyDescent="0.25">
      <c r="A17" s="349"/>
      <c r="B17" s="360"/>
      <c r="C17" s="387" t="s">
        <v>11</v>
      </c>
      <c r="D17" s="388"/>
      <c r="E17" s="388"/>
      <c r="F17" s="389"/>
      <c r="G17" s="390" t="s">
        <v>4</v>
      </c>
      <c r="H17" s="391"/>
      <c r="I17" s="392" t="str">
        <f>IF($F17="","",IFERROR(VLOOKUP($F17,Planning!$B$8:$C$25,2,0),""))</f>
        <v/>
      </c>
      <c r="J17" s="393" t="s">
        <v>4</v>
      </c>
      <c r="K17" s="394" t="str">
        <f>IF($H17="","",IFERROR(VLOOKUP($H17,Planning!$B$8:$C$25,2,0),""))</f>
        <v/>
      </c>
      <c r="L17" s="389"/>
      <c r="M17" s="395" t="str">
        <f>Language!$E$90</f>
        <v xml:space="preserve"> - </v>
      </c>
      <c r="N17" s="391"/>
      <c r="O17" s="389"/>
      <c r="P17" s="395" t="str">
        <f>Language!$E$90</f>
        <v xml:space="preserve"> - </v>
      </c>
      <c r="Q17" s="391"/>
      <c r="R17" s="389"/>
      <c r="S17" s="395" t="str">
        <f>Language!$E$90</f>
        <v xml:space="preserve"> - </v>
      </c>
      <c r="T17" s="396"/>
      <c r="U17" s="397" t="str">
        <f t="shared" si="8"/>
        <v/>
      </c>
      <c r="V17" s="376"/>
      <c r="W17" s="377" t="b">
        <f>AND(NOT(OR($AC17,$AD17)),$X17=1,$Y17=1)</f>
        <v>0</v>
      </c>
      <c r="X17" s="377">
        <f>IF($AC17,0,($L17&gt;$N17)+IF($AD17,0,$O17&gt;$Q17))</f>
        <v>0</v>
      </c>
      <c r="Y17" s="377">
        <f>IF($AC17,0,($L17&lt;$N17)+IF($AD17,0,$O17&lt;$Q17))</f>
        <v>0</v>
      </c>
      <c r="Z17" s="377">
        <f>($O17&lt;&gt;"")*($Q17&lt;&gt;"")*($R17&lt;&gt;"")*($T17&lt;&gt;"")*(X17=1)*(Y17=1)*($R17&gt;$T17)</f>
        <v>0</v>
      </c>
      <c r="AA17" s="377">
        <f>($O17&lt;&gt;"")*($Q17&lt;&gt;"")*($R17&lt;&gt;"")*($T17&lt;&gt;"")*(X17=1)*(Y17=1)*($R17&lt;$T17)</f>
        <v>0</v>
      </c>
      <c r="AB17" s="378"/>
      <c r="AC17" s="377" t="b">
        <f>OR($I17="",$K17="",$L17="",$N17="",AND($L17&lt;&gt;"",$L17=$N17))</f>
        <v>1</v>
      </c>
      <c r="AD17" s="377" t="b">
        <f>OR(AC17,$O17="",$Q17="",AND($O17&lt;&gt;"",$O17=$Q17))</f>
        <v>1</v>
      </c>
      <c r="AE17" s="377" t="b">
        <f>OR($R17="",$T17="",$R17=$T17)</f>
        <v>1</v>
      </c>
    </row>
    <row r="18" spans="1:31" ht="24" customHeight="1" thickTop="1" x14ac:dyDescent="0.25">
      <c r="A18" s="349"/>
      <c r="B18" s="398"/>
      <c r="C18" s="399"/>
      <c r="D18" s="400"/>
      <c r="E18" s="401"/>
      <c r="F18" s="402"/>
      <c r="G18" s="403"/>
      <c r="H18" s="404"/>
      <c r="I18" s="405" t="s">
        <v>263</v>
      </c>
      <c r="J18" s="406"/>
      <c r="K18" s="405" t="s">
        <v>263</v>
      </c>
      <c r="L18" s="407"/>
      <c r="M18" s="408"/>
      <c r="N18" s="409"/>
      <c r="O18" s="410"/>
      <c r="P18" s="410"/>
      <c r="Q18" s="410"/>
      <c r="R18" s="410"/>
      <c r="S18" s="410"/>
      <c r="T18" s="410"/>
      <c r="U18" s="376"/>
      <c r="V18" s="376"/>
      <c r="W18" s="349"/>
      <c r="X18" s="349"/>
      <c r="Y18" s="349"/>
      <c r="Z18" s="349"/>
      <c r="AA18" s="349"/>
      <c r="AB18" s="349"/>
      <c r="AC18" s="349"/>
      <c r="AD18" s="349"/>
      <c r="AE18" s="349"/>
    </row>
    <row r="19" spans="1:31" x14ac:dyDescent="0.2"/>
    <row r="20" spans="1:31" x14ac:dyDescent="0.2"/>
    <row r="21" spans="1:31" x14ac:dyDescent="0.2"/>
    <row r="22" spans="1:31" x14ac:dyDescent="0.2"/>
    <row r="23" spans="1:31" x14ac:dyDescent="0.2"/>
  </sheetData>
  <sheetProtection sheet="1" selectLockedCells="1"/>
  <mergeCells count="12">
    <mergeCell ref="C10:D10"/>
    <mergeCell ref="F10:H10"/>
    <mergeCell ref="F2:U2"/>
    <mergeCell ref="F3:U3"/>
    <mergeCell ref="F4:U4"/>
    <mergeCell ref="F5:U5"/>
    <mergeCell ref="H7:T8"/>
    <mergeCell ref="F11:H11"/>
    <mergeCell ref="I11:K11"/>
    <mergeCell ref="L11:N11"/>
    <mergeCell ref="O11:Q11"/>
    <mergeCell ref="R11:T11"/>
  </mergeCells>
  <conditionalFormatting sqref="R12:T17">
    <cfRule type="expression" dxfId="27" priority="1">
      <formula>NOT($W12)</formula>
    </cfRule>
  </conditionalFormatting>
  <dataValidations count="1">
    <dataValidation allowBlank="1" showInputMessage="1" showErrorMessage="1" errorTitle="Unzulässige Teilnehmernummer" error="Es müssen Zahlen von 1 bis 9 eingetragen werden!" sqref="F12:F18 H12:H18" xr:uid="{F2534F37-C6EB-49A3-9C41-59FA3CC7A7C0}"/>
  </dataValidations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8595C-73FB-4DB9-A102-D5DD8C25EE3A}">
  <dimension ref="A1:AA56"/>
  <sheetViews>
    <sheetView showGridLines="0" showRowColHeaders="0" zoomScaleNormal="100" workbookViewId="0">
      <selection activeCell="AB1" sqref="AB1:XFD1048576"/>
    </sheetView>
  </sheetViews>
  <sheetFormatPr baseColWidth="10" defaultColWidth="0" defaultRowHeight="12.75" zeroHeight="1" x14ac:dyDescent="0.2"/>
  <cols>
    <col min="1" max="1" width="4.28515625" style="349" customWidth="1"/>
    <col min="2" max="2" width="4.5703125" style="349" customWidth="1"/>
    <col min="3" max="3" width="32.7109375" style="349" customWidth="1"/>
    <col min="4" max="7" width="11.7109375" style="349" customWidth="1"/>
    <col min="8" max="25" width="6.85546875" style="349" customWidth="1"/>
    <col min="26" max="26" width="25.5703125" style="349" customWidth="1"/>
    <col min="27" max="27" width="11.42578125" style="349" customWidth="1"/>
    <col min="28" max="16384" width="11.42578125" style="349" hidden="1"/>
  </cols>
  <sheetData>
    <row r="1" spans="2:26" x14ac:dyDescent="0.2"/>
    <row r="2" spans="2:26" ht="33.75" x14ac:dyDescent="0.2">
      <c r="B2" s="655" t="str">
        <f>Language!$E$7</f>
        <v>Direct comparisons</v>
      </c>
      <c r="C2" s="655"/>
      <c r="D2" s="655"/>
      <c r="E2" s="655"/>
      <c r="F2" s="655"/>
      <c r="G2" s="655"/>
      <c r="H2" s="655"/>
      <c r="I2" s="655"/>
      <c r="J2" s="655"/>
      <c r="K2" s="655"/>
      <c r="L2" s="655"/>
      <c r="M2" s="655"/>
      <c r="N2" s="655"/>
      <c r="O2" s="655"/>
      <c r="P2" s="655"/>
      <c r="Q2" s="655"/>
      <c r="R2" s="655"/>
      <c r="S2" s="655"/>
      <c r="T2" s="655"/>
      <c r="U2" s="655"/>
      <c r="V2" s="655"/>
      <c r="W2" s="655"/>
      <c r="X2" s="655"/>
      <c r="Y2" s="655"/>
    </row>
    <row r="3" spans="2:26" ht="12" customHeight="1" x14ac:dyDescent="0.2">
      <c r="C3" s="512"/>
      <c r="D3" s="512"/>
      <c r="E3" s="512"/>
      <c r="F3" s="512"/>
      <c r="G3" s="512"/>
      <c r="H3" s="512"/>
      <c r="I3" s="512"/>
      <c r="J3" s="512"/>
      <c r="K3" s="512"/>
      <c r="L3" s="512"/>
      <c r="M3" s="512"/>
      <c r="N3" s="512"/>
      <c r="O3" s="512"/>
      <c r="P3" s="512"/>
      <c r="Q3" s="512"/>
      <c r="R3" s="512"/>
      <c r="S3" s="512"/>
      <c r="T3" s="512"/>
      <c r="U3" s="512"/>
      <c r="V3" s="512"/>
      <c r="W3" s="512"/>
      <c r="X3" s="512"/>
      <c r="Y3" s="512"/>
    </row>
    <row r="4" spans="2:26" ht="17.25" customHeight="1" x14ac:dyDescent="0.2">
      <c r="B4" s="679" t="str">
        <f>Language!$E$88</f>
        <v>Red font means that the ranking is not clear even with the direct comparison. A playoff match or drawing of lots must decide here.</v>
      </c>
      <c r="C4" s="679"/>
      <c r="D4" s="679"/>
      <c r="E4" s="679"/>
      <c r="F4" s="679"/>
      <c r="G4" s="679"/>
      <c r="H4" s="679"/>
      <c r="I4" s="679"/>
      <c r="J4" s="679"/>
      <c r="K4" s="679"/>
      <c r="L4" s="679"/>
      <c r="M4" s="679"/>
      <c r="N4" s="679"/>
      <c r="O4" s="679"/>
      <c r="P4" s="679"/>
      <c r="Q4" s="679"/>
      <c r="R4" s="679"/>
      <c r="S4" s="679"/>
      <c r="T4" s="679"/>
      <c r="U4" s="679"/>
      <c r="V4" s="679"/>
      <c r="W4" s="679"/>
      <c r="X4" s="679"/>
      <c r="Y4" s="679"/>
    </row>
    <row r="5" spans="2:26" ht="17.25" customHeight="1" thickBot="1" x14ac:dyDescent="0.25">
      <c r="B5" s="516"/>
      <c r="C5" s="516"/>
      <c r="D5" s="516"/>
      <c r="E5" s="516"/>
      <c r="F5" s="516"/>
      <c r="G5" s="516"/>
      <c r="H5" s="516"/>
      <c r="I5" s="516"/>
      <c r="J5" s="516"/>
      <c r="K5" s="516"/>
      <c r="L5" s="516"/>
      <c r="M5" s="516"/>
      <c r="N5" s="516"/>
      <c r="O5" s="516"/>
      <c r="P5" s="516"/>
      <c r="Q5" s="516"/>
      <c r="R5" s="516"/>
      <c r="S5" s="516"/>
      <c r="T5" s="516"/>
      <c r="U5" s="516"/>
      <c r="V5" s="516"/>
      <c r="W5" s="516"/>
      <c r="X5" s="516"/>
      <c r="Y5" s="516"/>
    </row>
    <row r="6" spans="2:26" ht="21.95" customHeight="1" thickBot="1" x14ac:dyDescent="0.25">
      <c r="H6" s="517" t="str">
        <f ca="1">IF(LEN(H7)&gt;Settings!$C$33,LEFT(H7,Settings!$C$33)&amp;".",H7)</f>
        <v/>
      </c>
      <c r="I6" s="518" t="str">
        <f ca="1">IF(LEN(I7)&gt;Settings!$C$33,LEFT(I7,Settings!$C$33)&amp;".",I7)</f>
        <v/>
      </c>
      <c r="J6" s="518" t="str">
        <f ca="1">IF(LEN(J7)&gt;Settings!$C$33,LEFT(J7,Settings!$C$33)&amp;".",J7)</f>
        <v/>
      </c>
      <c r="K6" s="518" t="str">
        <f ca="1">IF(LEN(K7)&gt;Settings!$C$33,LEFT(K7,Settings!$C$33)&amp;".",K7)</f>
        <v/>
      </c>
      <c r="L6" s="518" t="str">
        <f ca="1">IF(LEN(L7)&gt;Settings!$C$33,LEFT(L7,Settings!$C$33)&amp;".",L7)</f>
        <v/>
      </c>
      <c r="M6" s="518" t="str">
        <f ca="1">IF(LEN(M7)&gt;Settings!$C$33,LEFT(M7,Settings!$C$33)&amp;".",M7)</f>
        <v/>
      </c>
      <c r="N6" s="518" t="str">
        <f ca="1">IF(LEN(N7)&gt;Settings!$C$33,LEFT(N7,Settings!$C$33)&amp;".",N7)</f>
        <v/>
      </c>
      <c r="O6" s="518" t="str">
        <f ca="1">IF(LEN(O7)&gt;Settings!$C$33,LEFT(O7,Settings!$C$33)&amp;".",O7)</f>
        <v/>
      </c>
      <c r="P6" s="519" t="str">
        <f ca="1">IF(LEN(P7)&gt;Settings!$C$33,LEFT(P7,Settings!$C$33)&amp;".",P7)</f>
        <v/>
      </c>
      <c r="Q6" s="520" t="str">
        <f ca="1">H6</f>
        <v/>
      </c>
      <c r="R6" s="518" t="str">
        <f t="shared" ref="R6:Y6" ca="1" si="0">I6</f>
        <v/>
      </c>
      <c r="S6" s="518" t="str">
        <f t="shared" ca="1" si="0"/>
        <v/>
      </c>
      <c r="T6" s="518" t="str">
        <f t="shared" ca="1" si="0"/>
        <v/>
      </c>
      <c r="U6" s="518" t="str">
        <f t="shared" ca="1" si="0"/>
        <v/>
      </c>
      <c r="V6" s="518" t="str">
        <f t="shared" ca="1" si="0"/>
        <v/>
      </c>
      <c r="W6" s="518" t="str">
        <f t="shared" ca="1" si="0"/>
        <v/>
      </c>
      <c r="X6" s="518" t="str">
        <f t="shared" ca="1" si="0"/>
        <v/>
      </c>
      <c r="Y6" s="519" t="str">
        <f t="shared" ca="1" si="0"/>
        <v/>
      </c>
    </row>
    <row r="7" spans="2:26" ht="21.95" customHeight="1" thickTop="1" thickBot="1" x14ac:dyDescent="0.25">
      <c r="B7" s="521"/>
      <c r="C7" s="522" t="str">
        <f>Language!$E$10</f>
        <v>Participant or team</v>
      </c>
      <c r="D7" s="523" t="str">
        <f>Language!$E$71</f>
        <v>Setpts.</v>
      </c>
      <c r="E7" s="523" t="str">
        <f>Language!$E$57</f>
        <v>balls</v>
      </c>
      <c r="F7" s="524" t="str">
        <f>Language!$E$26</f>
        <v>GD</v>
      </c>
      <c r="G7" s="525" t="str">
        <f>Language!$E$6</f>
        <v>Tie break</v>
      </c>
      <c r="H7" s="526" t="str">
        <f ca="1">C8</f>
        <v/>
      </c>
      <c r="I7" s="527" t="str">
        <f ca="1">C9</f>
        <v/>
      </c>
      <c r="J7" s="527" t="str">
        <f ca="1">C10</f>
        <v/>
      </c>
      <c r="K7" s="527" t="str">
        <f ca="1">C11</f>
        <v/>
      </c>
      <c r="L7" s="527" t="str">
        <f ca="1">C12</f>
        <v/>
      </c>
      <c r="M7" s="527" t="str">
        <f ca="1">C13</f>
        <v/>
      </c>
      <c r="N7" s="527" t="str">
        <f ca="1">C14</f>
        <v/>
      </c>
      <c r="O7" s="527" t="str">
        <f ca="1">C15</f>
        <v/>
      </c>
      <c r="P7" s="528" t="str">
        <f ca="1">C16</f>
        <v/>
      </c>
      <c r="Q7" s="526" t="str">
        <f ca="1">C8</f>
        <v/>
      </c>
      <c r="R7" s="527" t="str">
        <f ca="1">C9</f>
        <v/>
      </c>
      <c r="S7" s="527" t="str">
        <f ca="1">C10</f>
        <v/>
      </c>
      <c r="T7" s="527" t="str">
        <f ca="1">C11</f>
        <v/>
      </c>
      <c r="U7" s="527" t="str">
        <f ca="1">C12</f>
        <v/>
      </c>
      <c r="V7" s="527" t="str">
        <f ca="1">C13</f>
        <v/>
      </c>
      <c r="W7" s="527" t="str">
        <f ca="1">C14</f>
        <v/>
      </c>
      <c r="X7" s="527" t="str">
        <f ca="1">C15</f>
        <v/>
      </c>
      <c r="Y7" s="529" t="str">
        <f ca="1">C16</f>
        <v/>
      </c>
    </row>
    <row r="8" spans="2:26" ht="21.95" customHeight="1" x14ac:dyDescent="0.2">
      <c r="B8" s="530" t="str">
        <f ca="1">IF($C8="","",INDEX(Results!$V$10:$V$18,MATCH($C8,Results!$W$10:$W$18,0)))</f>
        <v/>
      </c>
      <c r="C8" s="531" t="str">
        <f ca="1">IF(Calc!$K$13=0,"",Calc!$X4)</f>
        <v/>
      </c>
      <c r="D8" s="532" t="str">
        <f ca="1">IF($C8="","",VLOOKUP($C8,Calc!$C$17:$AD$25,25,0))</f>
        <v/>
      </c>
      <c r="E8" s="583" t="str">
        <f ca="1">IF($C8="","",VLOOKUP($C8,Calc!$C$17:$AF$25,27,0)&amp;Language!$E$90&amp;(VLOOKUP($C8,Calc!$C$17:$AF$25,27,0)-$F8))</f>
        <v/>
      </c>
      <c r="F8" s="533" t="str">
        <f ca="1">IF($C8="","",VLOOKUP($C8,Calc!$C$17:$AD$25,26,0))</f>
        <v/>
      </c>
      <c r="G8" s="534" t="str">
        <f ca="1">IF(C8="","",VLOOKUP(C8,Calc!$C$17:$AB$25,23,0))</f>
        <v/>
      </c>
      <c r="H8" s="535"/>
      <c r="I8" s="536" t="str">
        <f ca="1">IFERROR(VLOOKUP($C8&amp;I$7,Calc!$Z$64:$AB$207,3,0),"")</f>
        <v/>
      </c>
      <c r="J8" s="536" t="str">
        <f ca="1">IFERROR(VLOOKUP($C8&amp;J$7,Calc!$Z$64:$AB$207,3,0),"")</f>
        <v/>
      </c>
      <c r="K8" s="536" t="str">
        <f ca="1">IFERROR(VLOOKUP($C8&amp;K$7,Calc!$Z$64:$AB$207,3,0),"")</f>
        <v/>
      </c>
      <c r="L8" s="536" t="str">
        <f ca="1">IFERROR(VLOOKUP($C8&amp;L$7,Calc!$Z$64:$AB$207,3,0),"")</f>
        <v/>
      </c>
      <c r="M8" s="536" t="str">
        <f ca="1">IFERROR(VLOOKUP($C8&amp;M$7,Calc!$Z$64:$AB$207,3,0),"")</f>
        <v/>
      </c>
      <c r="N8" s="536" t="str">
        <f ca="1">IFERROR(VLOOKUP($C8&amp;N$7,Calc!$Z$64:$AB$207,3,0),"")</f>
        <v/>
      </c>
      <c r="O8" s="536" t="str">
        <f ca="1">IFERROR(VLOOKUP($C8&amp;O$7,Calc!$Z$64:$AB$207,3,0),"")</f>
        <v/>
      </c>
      <c r="P8" s="537" t="str">
        <f ca="1">IFERROR(VLOOKUP($C8&amp;P$7,Calc!$Z$64:$AB$207,3,0),"")</f>
        <v/>
      </c>
      <c r="Q8" s="538"/>
      <c r="R8" s="536" t="str">
        <f ca="1">IFERROR(VLOOKUP($C8&amp;R$7,Calc!$AC$64:$AD$207,2,0),"")</f>
        <v/>
      </c>
      <c r="S8" s="536" t="str">
        <f ca="1">IFERROR(VLOOKUP($C8&amp;S$7,Calc!$AC$64:$AD$207,2,0),"")</f>
        <v/>
      </c>
      <c r="T8" s="536" t="str">
        <f ca="1">IFERROR(VLOOKUP($C8&amp;T$7,Calc!$AC$64:$AD$207,2,0),"")</f>
        <v/>
      </c>
      <c r="U8" s="536" t="str">
        <f ca="1">IFERROR(VLOOKUP($C8&amp;U$7,Calc!$AC$64:$AD$207,2,0),"")</f>
        <v/>
      </c>
      <c r="V8" s="536" t="str">
        <f ca="1">IFERROR(VLOOKUP($C8&amp;V$7,Calc!$AC$64:$AD$207,2,0),"")</f>
        <v/>
      </c>
      <c r="W8" s="536" t="str">
        <f ca="1">IFERROR(VLOOKUP($C8&amp;W$7,Calc!$AC$64:$AD$207,2,0),"")</f>
        <v/>
      </c>
      <c r="X8" s="536" t="str">
        <f ca="1">IFERROR(VLOOKUP($C8&amp;X$7,Calc!$AC$64:$AD$207,2,0),"")</f>
        <v/>
      </c>
      <c r="Y8" s="539" t="str">
        <f ca="1">IFERROR(VLOOKUP($C8&amp;Y$7,Calc!$AC$64:$AD$207,2,0),"")</f>
        <v/>
      </c>
      <c r="Z8" s="540" t="str">
        <f ca="1">C8</f>
        <v/>
      </c>
    </row>
    <row r="9" spans="2:26" ht="21.95" customHeight="1" x14ac:dyDescent="0.2">
      <c r="B9" s="530" t="str">
        <f ca="1">IF($C9="","",INDEX(Results!$V$10:$V$18,MATCH($C9,Results!$W$10:$W$18,0)))</f>
        <v/>
      </c>
      <c r="C9" s="541" t="str">
        <f ca="1">IF(Calc!$K$13=0,"",Calc!$X5)</f>
        <v/>
      </c>
      <c r="D9" s="542" t="str">
        <f ca="1">IF($C9="","",VLOOKUP($C9,Calc!$C$17:$AD$25,25,0))</f>
        <v/>
      </c>
      <c r="E9" s="577" t="str">
        <f ca="1">IF($C9="","",VLOOKUP($C9,Calc!$C$17:$AF$25,27,0)&amp;Language!$E$90&amp;(VLOOKUP($C9,Calc!$C$17:$AF$25,27,0)-$F9))</f>
        <v/>
      </c>
      <c r="F9" s="543" t="str">
        <f ca="1">IF($C9="","",VLOOKUP($C9,Calc!$C$17:$AD$25,26,0))</f>
        <v/>
      </c>
      <c r="G9" s="544" t="str">
        <f ca="1">IF(C9="","",VLOOKUP(C9,Calc!$C$17:$AB$25,23,0))</f>
        <v/>
      </c>
      <c r="H9" s="545" t="str">
        <f ca="1">IFERROR(VLOOKUP($C9&amp;H$7,Calc!$Z$64:$AB$207,3,0),"")</f>
        <v/>
      </c>
      <c r="I9" s="546"/>
      <c r="J9" s="547" t="str">
        <f ca="1">IFERROR(VLOOKUP($C9&amp;J$7,Calc!$Z$64:$AB$207,3,0),"")</f>
        <v/>
      </c>
      <c r="K9" s="547" t="str">
        <f ca="1">IFERROR(VLOOKUP($C9&amp;K$7,Calc!$Z$64:$AB$207,3,0),"")</f>
        <v/>
      </c>
      <c r="L9" s="547" t="str">
        <f ca="1">IFERROR(VLOOKUP($C9&amp;L$7,Calc!$Z$64:$AB$207,3,0),"")</f>
        <v/>
      </c>
      <c r="M9" s="547" t="str">
        <f ca="1">IFERROR(VLOOKUP($C9&amp;M$7,Calc!$Z$64:$AB$207,3,0),"")</f>
        <v/>
      </c>
      <c r="N9" s="547" t="str">
        <f ca="1">IFERROR(VLOOKUP($C9&amp;N$7,Calc!$Z$64:$AB$207,3,0),"")</f>
        <v/>
      </c>
      <c r="O9" s="547" t="str">
        <f ca="1">IFERROR(VLOOKUP($C9&amp;O$7,Calc!$Z$64:$AB$207,3,0),"")</f>
        <v/>
      </c>
      <c r="P9" s="548" t="str">
        <f ca="1">IFERROR(VLOOKUP($C9&amp;P$7,Calc!$Z$64:$AB$207,3,0),"")</f>
        <v/>
      </c>
      <c r="Q9" s="549" t="str">
        <f ca="1">IFERROR(VLOOKUP($C9&amp;Q$7,Calc!$AC$64:$AD$207,2,0),"")</f>
        <v/>
      </c>
      <c r="R9" s="546"/>
      <c r="S9" s="547" t="str">
        <f ca="1">IFERROR(VLOOKUP($C9&amp;S$7,Calc!$AC$64:$AD$207,2,0),"")</f>
        <v/>
      </c>
      <c r="T9" s="547" t="str">
        <f ca="1">IFERROR(VLOOKUP($C9&amp;T$7,Calc!$AC$64:$AD$207,2,0),"")</f>
        <v/>
      </c>
      <c r="U9" s="547" t="str">
        <f ca="1">IFERROR(VLOOKUP($C9&amp;U$7,Calc!$AC$64:$AD$207,2,0),"")</f>
        <v/>
      </c>
      <c r="V9" s="547" t="str">
        <f ca="1">IFERROR(VLOOKUP($C9&amp;V$7,Calc!$AC$64:$AD$207,2,0),"")</f>
        <v/>
      </c>
      <c r="W9" s="547" t="str">
        <f ca="1">IFERROR(VLOOKUP($C9&amp;W$7,Calc!$AC$64:$AD$207,2,0),"")</f>
        <v/>
      </c>
      <c r="X9" s="547" t="str">
        <f ca="1">IFERROR(VLOOKUP($C9&amp;X$7,Calc!$AC$64:$AD$207,2,0),"")</f>
        <v/>
      </c>
      <c r="Y9" s="550" t="str">
        <f ca="1">IFERROR(VLOOKUP($C9&amp;Y$7,Calc!$AC$64:$AD$207,2,0),"")</f>
        <v/>
      </c>
      <c r="Z9" s="551" t="str">
        <f t="shared" ref="Z9:Z16" ca="1" si="1">C9</f>
        <v/>
      </c>
    </row>
    <row r="10" spans="2:26" ht="21.95" customHeight="1" x14ac:dyDescent="0.2">
      <c r="B10" s="530" t="str">
        <f ca="1">IF($C10="","",INDEX(Results!$V$10:$V$18,MATCH($C10,Results!$W$10:$W$18,0)))</f>
        <v/>
      </c>
      <c r="C10" s="541" t="str">
        <f ca="1">IF(Calc!$K$13=0,"",Calc!$X6)</f>
        <v/>
      </c>
      <c r="D10" s="542" t="str">
        <f ca="1">IF($C10="","",VLOOKUP($C10,Calc!$C$17:$AD$25,25,0))</f>
        <v/>
      </c>
      <c r="E10" s="577" t="str">
        <f ca="1">IF($C10="","",VLOOKUP($C10,Calc!$C$17:$AF$25,27,0)&amp;Language!$E$90&amp;(VLOOKUP($C10,Calc!$C$17:$AF$25,27,0)-$F10))</f>
        <v/>
      </c>
      <c r="F10" s="543" t="str">
        <f ca="1">IF($C10="","",VLOOKUP($C10,Calc!$C$17:$AD$25,26,0))</f>
        <v/>
      </c>
      <c r="G10" s="544" t="str">
        <f ca="1">IF(C10="","",VLOOKUP(C10,Calc!$C$17:$AB$25,23,0))</f>
        <v/>
      </c>
      <c r="H10" s="545" t="str">
        <f ca="1">IFERROR(VLOOKUP($C10&amp;H$7,Calc!$Z$64:$AB$207,3,0),"")</f>
        <v/>
      </c>
      <c r="I10" s="547" t="str">
        <f ca="1">IFERROR(VLOOKUP($C10&amp;I$7,Calc!$Z$64:$AB$207,3,0),"")</f>
        <v/>
      </c>
      <c r="J10" s="546"/>
      <c r="K10" s="547" t="str">
        <f ca="1">IFERROR(VLOOKUP($C10&amp;K$7,Calc!$Z$64:$AB$207,3,0),"")</f>
        <v/>
      </c>
      <c r="L10" s="547" t="str">
        <f ca="1">IFERROR(VLOOKUP($C10&amp;L$7,Calc!$Z$64:$AB$207,3,0),"")</f>
        <v/>
      </c>
      <c r="M10" s="547" t="str">
        <f ca="1">IFERROR(VLOOKUP($C10&amp;M$7,Calc!$Z$64:$AB$207,3,0),"")</f>
        <v/>
      </c>
      <c r="N10" s="547" t="str">
        <f ca="1">IFERROR(VLOOKUP($C10&amp;N$7,Calc!$Z$64:$AB$207,3,0),"")</f>
        <v/>
      </c>
      <c r="O10" s="547" t="str">
        <f ca="1">IFERROR(VLOOKUP($C10&amp;O$7,Calc!$Z$64:$AB$207,3,0),"")</f>
        <v/>
      </c>
      <c r="P10" s="548" t="str">
        <f ca="1">IFERROR(VLOOKUP($C10&amp;P$7,Calc!$Z$64:$AB$207,3,0),"")</f>
        <v/>
      </c>
      <c r="Q10" s="549" t="str">
        <f ca="1">IFERROR(VLOOKUP($C10&amp;Q$7,Calc!$AC$64:$AD$207,2,0),"")</f>
        <v/>
      </c>
      <c r="R10" s="547" t="str">
        <f ca="1">IFERROR(VLOOKUP($C10&amp;R$7,Calc!$AC$64:$AD$207,2,0),"")</f>
        <v/>
      </c>
      <c r="S10" s="546"/>
      <c r="T10" s="547" t="str">
        <f ca="1">IFERROR(VLOOKUP($C10&amp;T$7,Calc!$AC$64:$AD$207,2,0),"")</f>
        <v/>
      </c>
      <c r="U10" s="547" t="str">
        <f ca="1">IFERROR(VLOOKUP($C10&amp;U$7,Calc!$AC$64:$AD$207,2,0),"")</f>
        <v/>
      </c>
      <c r="V10" s="547" t="str">
        <f ca="1">IFERROR(VLOOKUP($C10&amp;V$7,Calc!$AC$64:$AD$207,2,0),"")</f>
        <v/>
      </c>
      <c r="W10" s="547" t="str">
        <f ca="1">IFERROR(VLOOKUP($C10&amp;W$7,Calc!$AC$64:$AD$207,2,0),"")</f>
        <v/>
      </c>
      <c r="X10" s="547" t="str">
        <f ca="1">IFERROR(VLOOKUP($C10&amp;X$7,Calc!$AC$64:$AD$207,2,0),"")</f>
        <v/>
      </c>
      <c r="Y10" s="550" t="str">
        <f ca="1">IFERROR(VLOOKUP($C10&amp;Y$7,Calc!$AC$64:$AD$207,2,0),"")</f>
        <v/>
      </c>
      <c r="Z10" s="551" t="str">
        <f t="shared" ca="1" si="1"/>
        <v/>
      </c>
    </row>
    <row r="11" spans="2:26" ht="21.95" customHeight="1" x14ac:dyDescent="0.2">
      <c r="B11" s="530" t="str">
        <f ca="1">IF($C11="","",INDEX(Results!$V$10:$V$18,MATCH($C11,Results!$W$10:$W$18,0)))</f>
        <v/>
      </c>
      <c r="C11" s="541" t="str">
        <f ca="1">IF(Calc!$K$13=0,"",Calc!$X7)</f>
        <v/>
      </c>
      <c r="D11" s="542" t="str">
        <f ca="1">IF($C11="","",VLOOKUP($C11,Calc!$C$17:$AD$25,25,0))</f>
        <v/>
      </c>
      <c r="E11" s="577" t="str">
        <f ca="1">IF($C11="","",VLOOKUP($C11,Calc!$C$17:$AF$25,27,0)&amp;Language!$E$90&amp;(VLOOKUP($C11,Calc!$C$17:$AF$25,27,0)-$F11))</f>
        <v/>
      </c>
      <c r="F11" s="543" t="str">
        <f ca="1">IF($C11="","",VLOOKUP($C11,Calc!$C$17:$AD$25,26,0))</f>
        <v/>
      </c>
      <c r="G11" s="544" t="str">
        <f ca="1">IF(C11="","",VLOOKUP(C11,Calc!$C$17:$AB$25,23,0))</f>
        <v/>
      </c>
      <c r="H11" s="545" t="str">
        <f ca="1">IFERROR(VLOOKUP($C11&amp;H$7,Calc!$Z$64:$AB$207,3,0),"")</f>
        <v/>
      </c>
      <c r="I11" s="547" t="str">
        <f ca="1">IFERROR(VLOOKUP($C11&amp;I$7,Calc!$Z$64:$AB$207,3,0),"")</f>
        <v/>
      </c>
      <c r="J11" s="547" t="str">
        <f ca="1">IFERROR(VLOOKUP($C11&amp;J$7,Calc!$Z$64:$AB$207,3,0),"")</f>
        <v/>
      </c>
      <c r="K11" s="546"/>
      <c r="L11" s="547" t="str">
        <f ca="1">IFERROR(VLOOKUP($C11&amp;L$7,Calc!$Z$64:$AB$207,3,0),"")</f>
        <v/>
      </c>
      <c r="M11" s="547" t="str">
        <f ca="1">IFERROR(VLOOKUP($C11&amp;M$7,Calc!$Z$64:$AB$207,3,0),"")</f>
        <v/>
      </c>
      <c r="N11" s="547" t="str">
        <f ca="1">IFERROR(VLOOKUP($C11&amp;N$7,Calc!$Z$64:$AB$207,3,0),"")</f>
        <v/>
      </c>
      <c r="O11" s="547" t="str">
        <f ca="1">IFERROR(VLOOKUP($C11&amp;O$7,Calc!$Z$64:$AB$207,3,0),"")</f>
        <v/>
      </c>
      <c r="P11" s="548" t="str">
        <f ca="1">IFERROR(VLOOKUP($C11&amp;P$7,Calc!$Z$64:$AB$207,3,0),"")</f>
        <v/>
      </c>
      <c r="Q11" s="549" t="str">
        <f ca="1">IFERROR(VLOOKUP($C11&amp;Q$7,Calc!$AC$64:$AD$207,2,0),"")</f>
        <v/>
      </c>
      <c r="R11" s="547" t="str">
        <f ca="1">IFERROR(VLOOKUP($C11&amp;R$7,Calc!$AC$64:$AD$207,2,0),"")</f>
        <v/>
      </c>
      <c r="S11" s="547" t="str">
        <f ca="1">IFERROR(VLOOKUP($C11&amp;S$7,Calc!$AC$64:$AD$207,2,0),"")</f>
        <v/>
      </c>
      <c r="T11" s="546"/>
      <c r="U11" s="547" t="str">
        <f ca="1">IFERROR(VLOOKUP($C11&amp;U$7,Calc!$AC$64:$AD$207,2,0),"")</f>
        <v/>
      </c>
      <c r="V11" s="547" t="str">
        <f ca="1">IFERROR(VLOOKUP($C11&amp;V$7,Calc!$AC$64:$AD$207,2,0),"")</f>
        <v/>
      </c>
      <c r="W11" s="547" t="str">
        <f ca="1">IFERROR(VLOOKUP($C11&amp;W$7,Calc!$AC$64:$AD$207,2,0),"")</f>
        <v/>
      </c>
      <c r="X11" s="547" t="str">
        <f ca="1">IFERROR(VLOOKUP($C11&amp;X$7,Calc!$AC$64:$AD$207,2,0),"")</f>
        <v/>
      </c>
      <c r="Y11" s="550" t="str">
        <f ca="1">IFERROR(VLOOKUP($C11&amp;Y$7,Calc!$AC$64:$AD$207,2,0),"")</f>
        <v/>
      </c>
      <c r="Z11" s="551" t="str">
        <f t="shared" ca="1" si="1"/>
        <v/>
      </c>
    </row>
    <row r="12" spans="2:26" ht="21.95" customHeight="1" x14ac:dyDescent="0.2">
      <c r="B12" s="530" t="str">
        <f ca="1">IF($C12="","",INDEX(Results!$V$10:$V$18,MATCH($C12,Results!$W$10:$W$18,0)))</f>
        <v/>
      </c>
      <c r="C12" s="541" t="str">
        <f ca="1">IF(Calc!$K$13=0,"",Calc!$X8)</f>
        <v/>
      </c>
      <c r="D12" s="542" t="str">
        <f ca="1">IF($C12="","",VLOOKUP($C12,Calc!$C$17:$AD$25,25,0))</f>
        <v/>
      </c>
      <c r="E12" s="577" t="str">
        <f ca="1">IF($C12="","",VLOOKUP($C12,Calc!$C$17:$AF$25,27,0)&amp;Language!$E$90&amp;(VLOOKUP($C12,Calc!$C$17:$AF$25,27,0)-$F12))</f>
        <v/>
      </c>
      <c r="F12" s="543" t="str">
        <f ca="1">IF($C12="","",VLOOKUP($C12,Calc!$C$17:$AD$25,26,0))</f>
        <v/>
      </c>
      <c r="G12" s="544" t="str">
        <f ca="1">IF(C12="","",VLOOKUP(C12,Calc!$C$17:$AB$25,23,0))</f>
        <v/>
      </c>
      <c r="H12" s="545" t="str">
        <f ca="1">IFERROR(VLOOKUP($C12&amp;H$7,Calc!$Z$64:$AB$207,3,0),"")</f>
        <v/>
      </c>
      <c r="I12" s="547" t="str">
        <f ca="1">IFERROR(VLOOKUP($C12&amp;I$7,Calc!$Z$64:$AB$207,3,0),"")</f>
        <v/>
      </c>
      <c r="J12" s="547" t="str">
        <f ca="1">IFERROR(VLOOKUP($C12&amp;J$7,Calc!$Z$64:$AB$207,3,0),"")</f>
        <v/>
      </c>
      <c r="K12" s="547" t="str">
        <f ca="1">IFERROR(VLOOKUP($C12&amp;K$7,Calc!$Z$64:$AB$207,3,0),"")</f>
        <v/>
      </c>
      <c r="L12" s="546"/>
      <c r="M12" s="547" t="str">
        <f ca="1">IFERROR(VLOOKUP($C12&amp;M$7,Calc!$Z$64:$AB$207,3,0),"")</f>
        <v/>
      </c>
      <c r="N12" s="547" t="str">
        <f ca="1">IFERROR(VLOOKUP($C12&amp;N$7,Calc!$Z$64:$AB$207,3,0),"")</f>
        <v/>
      </c>
      <c r="O12" s="547" t="str">
        <f ca="1">IFERROR(VLOOKUP($C12&amp;O$7,Calc!$Z$64:$AB$207,3,0),"")</f>
        <v/>
      </c>
      <c r="P12" s="548" t="str">
        <f ca="1">IFERROR(VLOOKUP($C12&amp;P$7,Calc!$Z$64:$AB$207,3,0),"")</f>
        <v/>
      </c>
      <c r="Q12" s="549" t="str">
        <f ca="1">IFERROR(VLOOKUP($C12&amp;Q$7,Calc!$AC$64:$AD$207,2,0),"")</f>
        <v/>
      </c>
      <c r="R12" s="547" t="str">
        <f ca="1">IFERROR(VLOOKUP($C12&amp;R$7,Calc!$AC$64:$AD$207,2,0),"")</f>
        <v/>
      </c>
      <c r="S12" s="547" t="str">
        <f ca="1">IFERROR(VLOOKUP($C12&amp;S$7,Calc!$AC$64:$AD$207,2,0),"")</f>
        <v/>
      </c>
      <c r="T12" s="547" t="str">
        <f ca="1">IFERROR(VLOOKUP($C12&amp;T$7,Calc!$AC$64:$AD$207,2,0),"")</f>
        <v/>
      </c>
      <c r="U12" s="546"/>
      <c r="V12" s="547" t="str">
        <f ca="1">IFERROR(VLOOKUP($C12&amp;V$7,Calc!$AC$64:$AD$207,2,0),"")</f>
        <v/>
      </c>
      <c r="W12" s="547" t="str">
        <f ca="1">IFERROR(VLOOKUP($C12&amp;W$7,Calc!$AC$64:$AD$207,2,0),"")</f>
        <v/>
      </c>
      <c r="X12" s="547" t="str">
        <f ca="1">IFERROR(VLOOKUP($C12&amp;X$7,Calc!$AC$64:$AD$207,2,0),"")</f>
        <v/>
      </c>
      <c r="Y12" s="550" t="str">
        <f ca="1">IFERROR(VLOOKUP($C12&amp;Y$7,Calc!$AC$64:$AD$207,2,0),"")</f>
        <v/>
      </c>
      <c r="Z12" s="551" t="str">
        <f t="shared" ca="1" si="1"/>
        <v/>
      </c>
    </row>
    <row r="13" spans="2:26" ht="21.95" customHeight="1" x14ac:dyDescent="0.2">
      <c r="B13" s="530" t="str">
        <f ca="1">IF($C13="","",INDEX(Results!$V$10:$V$18,MATCH($C13,Results!$W$10:$W$18,0)))</f>
        <v/>
      </c>
      <c r="C13" s="541" t="str">
        <f ca="1">IF(Calc!$K$13=0,"",Calc!$X9)</f>
        <v/>
      </c>
      <c r="D13" s="542" t="str">
        <f ca="1">IF($C13="","",VLOOKUP($C13,Calc!$C$17:$AD$25,25,0))</f>
        <v/>
      </c>
      <c r="E13" s="577" t="str">
        <f ca="1">IF($C13="","",VLOOKUP($C13,Calc!$C$17:$AF$25,27,0)&amp;Language!$E$90&amp;(VLOOKUP($C13,Calc!$C$17:$AF$25,27,0)-$F13))</f>
        <v/>
      </c>
      <c r="F13" s="543" t="str">
        <f ca="1">IF($C13="","",VLOOKUP($C13,Calc!$C$17:$AD$25,26,0))</f>
        <v/>
      </c>
      <c r="G13" s="544" t="str">
        <f ca="1">IF(C13="","",VLOOKUP(C13,Calc!$C$17:$AB$25,23,0))</f>
        <v/>
      </c>
      <c r="H13" s="545" t="str">
        <f ca="1">IFERROR(VLOOKUP($C13&amp;H$7,Calc!$Z$64:$AB$207,3,0),"")</f>
        <v/>
      </c>
      <c r="I13" s="547" t="str">
        <f ca="1">IFERROR(VLOOKUP($C13&amp;I$7,Calc!$Z$64:$AB$207,3,0),"")</f>
        <v/>
      </c>
      <c r="J13" s="547" t="str">
        <f ca="1">IFERROR(VLOOKUP($C13&amp;J$7,Calc!$Z$64:$AB$207,3,0),"")</f>
        <v/>
      </c>
      <c r="K13" s="547" t="str">
        <f ca="1">IFERROR(VLOOKUP($C13&amp;K$7,Calc!$Z$64:$AB$207,3,0),"")</f>
        <v/>
      </c>
      <c r="L13" s="547" t="str">
        <f ca="1">IFERROR(VLOOKUP($C13&amp;L$7,Calc!$Z$64:$AB$207,3,0),"")</f>
        <v/>
      </c>
      <c r="M13" s="546"/>
      <c r="N13" s="547" t="str">
        <f ca="1">IFERROR(VLOOKUP($C13&amp;N$7,Calc!$Z$64:$AB$207,3,0),"")</f>
        <v/>
      </c>
      <c r="O13" s="547" t="str">
        <f ca="1">IFERROR(VLOOKUP($C13&amp;O$7,Calc!$Z$64:$AB$207,3,0),"")</f>
        <v/>
      </c>
      <c r="P13" s="548" t="str">
        <f ca="1">IFERROR(VLOOKUP($C13&amp;P$7,Calc!$Z$64:$AB$207,3,0),"")</f>
        <v/>
      </c>
      <c r="Q13" s="549" t="str">
        <f ca="1">IFERROR(VLOOKUP($C13&amp;Q$7,Calc!$AC$64:$AD$207,2,0),"")</f>
        <v/>
      </c>
      <c r="R13" s="547" t="str">
        <f ca="1">IFERROR(VLOOKUP($C13&amp;R$7,Calc!$AC$64:$AD$207,2,0),"")</f>
        <v/>
      </c>
      <c r="S13" s="547" t="str">
        <f ca="1">IFERROR(VLOOKUP($C13&amp;S$7,Calc!$AC$64:$AD$207,2,0),"")</f>
        <v/>
      </c>
      <c r="T13" s="547" t="str">
        <f ca="1">IFERROR(VLOOKUP($C13&amp;T$7,Calc!$AC$64:$AD$207,2,0),"")</f>
        <v/>
      </c>
      <c r="U13" s="547" t="str">
        <f ca="1">IFERROR(VLOOKUP($C13&amp;U$7,Calc!$AC$64:$AD$207,2,0),"")</f>
        <v/>
      </c>
      <c r="V13" s="546"/>
      <c r="W13" s="547" t="str">
        <f ca="1">IFERROR(VLOOKUP($C13&amp;W$7,Calc!$AC$64:$AD$207,2,0),"")</f>
        <v/>
      </c>
      <c r="X13" s="547" t="str">
        <f ca="1">IFERROR(VLOOKUP($C13&amp;X$7,Calc!$AC$64:$AD$207,2,0),"")</f>
        <v/>
      </c>
      <c r="Y13" s="550" t="str">
        <f ca="1">IFERROR(VLOOKUP($C13&amp;Y$7,Calc!$AC$64:$AD$207,2,0),"")</f>
        <v/>
      </c>
      <c r="Z13" s="551" t="str">
        <f t="shared" ca="1" si="1"/>
        <v/>
      </c>
    </row>
    <row r="14" spans="2:26" ht="21.95" customHeight="1" x14ac:dyDescent="0.2">
      <c r="B14" s="530" t="str">
        <f ca="1">IF($C14="","",INDEX(Results!$V$10:$V$18,MATCH($C14,Results!$W$10:$W$18,0)))</f>
        <v/>
      </c>
      <c r="C14" s="541" t="str">
        <f ca="1">IF(Calc!$K$13=0,"",Calc!$X10)</f>
        <v/>
      </c>
      <c r="D14" s="542" t="str">
        <f ca="1">IF($C14="","",VLOOKUP($C14,Calc!$C$17:$AD$25,25,0))</f>
        <v/>
      </c>
      <c r="E14" s="577" t="str">
        <f ca="1">IF($C14="","",VLOOKUP($C14,Calc!$C$17:$AF$25,27,0)&amp;Language!$E$90&amp;(VLOOKUP($C14,Calc!$C$17:$AF$25,27,0)-$F14))</f>
        <v/>
      </c>
      <c r="F14" s="543" t="str">
        <f ca="1">IF($C14="","",VLOOKUP($C14,Calc!$C$17:$AD$25,26,0))</f>
        <v/>
      </c>
      <c r="G14" s="544" t="str">
        <f ca="1">IF(C14="","",VLOOKUP(C14,Calc!$C$17:$AB$25,23,0))</f>
        <v/>
      </c>
      <c r="H14" s="545" t="str">
        <f ca="1">IFERROR(VLOOKUP($C14&amp;H$7,Calc!$Z$64:$AB$207,3,0),"")</f>
        <v/>
      </c>
      <c r="I14" s="547" t="str">
        <f ca="1">IFERROR(VLOOKUP($C14&amp;I$7,Calc!$Z$64:$AB$207,3,0),"")</f>
        <v/>
      </c>
      <c r="J14" s="547" t="str">
        <f ca="1">IFERROR(VLOOKUP($C14&amp;J$7,Calc!$Z$64:$AB$207,3,0),"")</f>
        <v/>
      </c>
      <c r="K14" s="547" t="str">
        <f ca="1">IFERROR(VLOOKUP($C14&amp;K$7,Calc!$Z$64:$AB$207,3,0),"")</f>
        <v/>
      </c>
      <c r="L14" s="547" t="str">
        <f ca="1">IFERROR(VLOOKUP($C14&amp;L$7,Calc!$Z$64:$AB$207,3,0),"")</f>
        <v/>
      </c>
      <c r="M14" s="547" t="str">
        <f ca="1">IFERROR(VLOOKUP($C14&amp;M$7,Calc!$Z$64:$AB$207,3,0),"")</f>
        <v/>
      </c>
      <c r="N14" s="546"/>
      <c r="O14" s="547" t="str">
        <f ca="1">IFERROR(VLOOKUP($C14&amp;O$7,Calc!$Z$64:$AB$207,3,0),"")</f>
        <v/>
      </c>
      <c r="P14" s="548" t="str">
        <f ca="1">IFERROR(VLOOKUP($C14&amp;P$7,Calc!$Z$64:$AB$207,3,0),"")</f>
        <v/>
      </c>
      <c r="Q14" s="549" t="str">
        <f ca="1">IFERROR(VLOOKUP($C14&amp;Q$7,Calc!$AC$64:$AD$207,2,0),"")</f>
        <v/>
      </c>
      <c r="R14" s="547" t="str">
        <f ca="1">IFERROR(VLOOKUP($C14&amp;R$7,Calc!$AC$64:$AD$207,2,0),"")</f>
        <v/>
      </c>
      <c r="S14" s="547" t="str">
        <f ca="1">IFERROR(VLOOKUP($C14&amp;S$7,Calc!$AC$64:$AD$207,2,0),"")</f>
        <v/>
      </c>
      <c r="T14" s="547" t="str">
        <f ca="1">IFERROR(VLOOKUP($C14&amp;T$7,Calc!$AC$64:$AD$207,2,0),"")</f>
        <v/>
      </c>
      <c r="U14" s="547" t="str">
        <f ca="1">IFERROR(VLOOKUP($C14&amp;U$7,Calc!$AC$64:$AD$207,2,0),"")</f>
        <v/>
      </c>
      <c r="V14" s="547" t="str">
        <f ca="1">IFERROR(VLOOKUP($C14&amp;V$7,Calc!$AC$64:$AD$207,2,0),"")</f>
        <v/>
      </c>
      <c r="W14" s="546"/>
      <c r="X14" s="547" t="str">
        <f ca="1">IFERROR(VLOOKUP($C14&amp;X$7,Calc!$AC$64:$AD$207,2,0),"")</f>
        <v/>
      </c>
      <c r="Y14" s="550" t="str">
        <f ca="1">IFERROR(VLOOKUP($C14&amp;Y$7,Calc!$AC$64:$AD$207,2,0),"")</f>
        <v/>
      </c>
      <c r="Z14" s="551" t="str">
        <f t="shared" ca="1" si="1"/>
        <v/>
      </c>
    </row>
    <row r="15" spans="2:26" ht="21.95" customHeight="1" x14ac:dyDescent="0.2">
      <c r="B15" s="530" t="str">
        <f ca="1">IF($C15="","",INDEX(Results!$V$10:$V$18,MATCH($C15,Results!$W$10:$W$18,0)))</f>
        <v/>
      </c>
      <c r="C15" s="541" t="str">
        <f ca="1">IF(Calc!$K$13=0,"",Calc!$X11)</f>
        <v/>
      </c>
      <c r="D15" s="542" t="str">
        <f ca="1">IF($C15="","",VLOOKUP($C15,Calc!$C$17:$AD$25,25,0))</f>
        <v/>
      </c>
      <c r="E15" s="577" t="str">
        <f ca="1">IF($C15="","",VLOOKUP($C15,Calc!$C$17:$AF$25,27,0)&amp;Language!$E$90&amp;(VLOOKUP($C15,Calc!$C$17:$AF$25,27,0)-$F15))</f>
        <v/>
      </c>
      <c r="F15" s="543" t="str">
        <f ca="1">IF($C15="","",VLOOKUP($C15,Calc!$C$17:$AD$25,26,0))</f>
        <v/>
      </c>
      <c r="G15" s="544" t="str">
        <f ca="1">IF(C15="","",VLOOKUP(C15,Calc!$C$17:$AB$25,23,0))</f>
        <v/>
      </c>
      <c r="H15" s="545" t="str">
        <f ca="1">IFERROR(VLOOKUP($C15&amp;H$7,Calc!$Z$64:$AB$207,3,0),"")</f>
        <v/>
      </c>
      <c r="I15" s="547" t="str">
        <f ca="1">IFERROR(VLOOKUP($C15&amp;I$7,Calc!$Z$64:$AB$207,3,0),"")</f>
        <v/>
      </c>
      <c r="J15" s="547" t="str">
        <f ca="1">IFERROR(VLOOKUP($C15&amp;J$7,Calc!$Z$64:$AB$207,3,0),"")</f>
        <v/>
      </c>
      <c r="K15" s="547" t="str">
        <f ca="1">IFERROR(VLOOKUP($C15&amp;K$7,Calc!$Z$64:$AB$207,3,0),"")</f>
        <v/>
      </c>
      <c r="L15" s="547" t="str">
        <f ca="1">IFERROR(VLOOKUP($C15&amp;L$7,Calc!$Z$64:$AB$207,3,0),"")</f>
        <v/>
      </c>
      <c r="M15" s="547" t="str">
        <f ca="1">IFERROR(VLOOKUP($C15&amp;M$7,Calc!$Z$64:$AB$207,3,0),"")</f>
        <v/>
      </c>
      <c r="N15" s="547" t="str">
        <f ca="1">IFERROR(VLOOKUP($C15&amp;N$7,Calc!$Z$64:$AB$207,3,0),"")</f>
        <v/>
      </c>
      <c r="O15" s="546"/>
      <c r="P15" s="548" t="str">
        <f ca="1">IFERROR(VLOOKUP($C15&amp;P$7,Calc!$Z$64:$AB$207,3,0),"")</f>
        <v/>
      </c>
      <c r="Q15" s="549" t="str">
        <f ca="1">IFERROR(VLOOKUP($C15&amp;Q$7,Calc!$AC$64:$AD$207,2,0),"")</f>
        <v/>
      </c>
      <c r="R15" s="547" t="str">
        <f ca="1">IFERROR(VLOOKUP($C15&amp;R$7,Calc!$AC$64:$AD$207,2,0),"")</f>
        <v/>
      </c>
      <c r="S15" s="547" t="str">
        <f ca="1">IFERROR(VLOOKUP($C15&amp;S$7,Calc!$AC$64:$AD$207,2,0),"")</f>
        <v/>
      </c>
      <c r="T15" s="547" t="str">
        <f ca="1">IFERROR(VLOOKUP($C15&amp;T$7,Calc!$AC$64:$AD$207,2,0),"")</f>
        <v/>
      </c>
      <c r="U15" s="547" t="str">
        <f ca="1">IFERROR(VLOOKUP($C15&amp;U$7,Calc!$AC$64:$AD$207,2,0),"")</f>
        <v/>
      </c>
      <c r="V15" s="547" t="str">
        <f ca="1">IFERROR(VLOOKUP($C15&amp;V$7,Calc!$AC$64:$AD$207,2,0),"")</f>
        <v/>
      </c>
      <c r="W15" s="547" t="str">
        <f ca="1">IFERROR(VLOOKUP($C15&amp;W$7,Calc!$AC$64:$AD$207,2,0),"")</f>
        <v/>
      </c>
      <c r="X15" s="546"/>
      <c r="Y15" s="550" t="str">
        <f ca="1">IFERROR(VLOOKUP($C15&amp;Y$7,Calc!$AC$64:$AD$207,2,0),"")</f>
        <v/>
      </c>
      <c r="Z15" s="551" t="str">
        <f t="shared" ca="1" si="1"/>
        <v/>
      </c>
    </row>
    <row r="16" spans="2:26" ht="21.95" customHeight="1" thickBot="1" x14ac:dyDescent="0.25">
      <c r="B16" s="552" t="str">
        <f ca="1">IF($C16="","",INDEX(Results!$V$10:$V$18,MATCH($C16,Results!$W$10:$W$18,0)))</f>
        <v/>
      </c>
      <c r="C16" s="553" t="str">
        <f ca="1">IF(Calc!$K$13=0,"",Calc!$X12)</f>
        <v/>
      </c>
      <c r="D16" s="554" t="str">
        <f ca="1">IF($C16="","",VLOOKUP($C16,Calc!$C$17:$AD$25,25,0))</f>
        <v/>
      </c>
      <c r="E16" s="581" t="str">
        <f ca="1">IF($C16="","",VLOOKUP($C16,Calc!$C$17:$AF$25,27,0)&amp;Language!$E$90&amp;(VLOOKUP($C16,Calc!$C$17:$AF$25,27,0)-$F16))</f>
        <v/>
      </c>
      <c r="F16" s="555" t="str">
        <f ca="1">IF($C16="","",VLOOKUP($C16,Calc!$C$17:$AD$25,26,0))</f>
        <v/>
      </c>
      <c r="G16" s="556" t="str">
        <f ca="1">IF(C16="","",VLOOKUP(C16,Calc!$C$17:$AB$25,23,0))</f>
        <v/>
      </c>
      <c r="H16" s="557" t="str">
        <f ca="1">IFERROR(VLOOKUP($C16&amp;H$7,Calc!$Z$64:$AB$207,3,0),"")</f>
        <v/>
      </c>
      <c r="I16" s="558" t="str">
        <f ca="1">IFERROR(VLOOKUP($C16&amp;I$7,Calc!$Z$64:$AB$207,3,0),"")</f>
        <v/>
      </c>
      <c r="J16" s="558" t="str">
        <f ca="1">IFERROR(VLOOKUP($C16&amp;J$7,Calc!$Z$64:$AB$207,3,0),"")</f>
        <v/>
      </c>
      <c r="K16" s="558" t="str">
        <f ca="1">IFERROR(VLOOKUP($C16&amp;K$7,Calc!$Z$64:$AB$207,3,0),"")</f>
        <v/>
      </c>
      <c r="L16" s="558" t="str">
        <f ca="1">IFERROR(VLOOKUP($C16&amp;L$7,Calc!$Z$64:$AB$207,3,0),"")</f>
        <v/>
      </c>
      <c r="M16" s="558" t="str">
        <f ca="1">IFERROR(VLOOKUP($C16&amp;M$7,Calc!$Z$64:$AB$207,3,0),"")</f>
        <v/>
      </c>
      <c r="N16" s="558" t="str">
        <f ca="1">IFERROR(VLOOKUP($C16&amp;N$7,Calc!$Z$64:$AB$207,3,0),"")</f>
        <v/>
      </c>
      <c r="O16" s="558" t="str">
        <f ca="1">IFERROR(VLOOKUP($C16&amp;O$7,Calc!$Z$64:$AB$207,3,0),"")</f>
        <v/>
      </c>
      <c r="P16" s="559"/>
      <c r="Q16" s="560" t="str">
        <f ca="1">IFERROR(VLOOKUP($C16&amp;Q$7,Calc!$AC$64:$AD$207,2,0),"")</f>
        <v/>
      </c>
      <c r="R16" s="558" t="str">
        <f ca="1">IFERROR(VLOOKUP($C16&amp;R$7,Calc!$AC$64:$AD$207,2,0),"")</f>
        <v/>
      </c>
      <c r="S16" s="558" t="str">
        <f ca="1">IFERROR(VLOOKUP($C16&amp;S$7,Calc!$AC$64:$AD$207,2,0),"")</f>
        <v/>
      </c>
      <c r="T16" s="558" t="str">
        <f ca="1">IFERROR(VLOOKUP($C16&amp;T$7,Calc!$AC$64:$AD$207,2,0),"")</f>
        <v/>
      </c>
      <c r="U16" s="558" t="str">
        <f ca="1">IFERROR(VLOOKUP($C16&amp;U$7,Calc!$AC$64:$AD$207,2,0),"")</f>
        <v/>
      </c>
      <c r="V16" s="558" t="str">
        <f ca="1">IFERROR(VLOOKUP($C16&amp;V$7,Calc!$AC$64:$AD$207,2,0),"")</f>
        <v/>
      </c>
      <c r="W16" s="558" t="str">
        <f ca="1">IFERROR(VLOOKUP($C16&amp;W$7,Calc!$AC$64:$AD$207,2,0),"")</f>
        <v/>
      </c>
      <c r="X16" s="558" t="str">
        <f ca="1">IFERROR(VLOOKUP($C16&amp;X$7,Calc!$AC$64:$AD$207,2,0),"")</f>
        <v/>
      </c>
      <c r="Y16" s="561"/>
      <c r="Z16" s="562" t="str">
        <f t="shared" ca="1" si="1"/>
        <v/>
      </c>
    </row>
    <row r="17" spans="2:26" ht="42.75" customHeight="1" thickTop="1" thickBot="1" x14ac:dyDescent="0.25">
      <c r="B17" s="563"/>
      <c r="C17" s="564"/>
      <c r="D17" s="565"/>
      <c r="E17" s="565"/>
      <c r="F17" s="566"/>
      <c r="G17" s="566"/>
      <c r="H17" s="566"/>
      <c r="I17" s="566"/>
      <c r="J17" s="566"/>
      <c r="K17" s="566"/>
      <c r="L17" s="566"/>
      <c r="M17" s="566"/>
      <c r="N17" s="566"/>
      <c r="O17" s="566"/>
      <c r="P17" s="567"/>
      <c r="Q17" s="566"/>
      <c r="R17" s="566"/>
      <c r="S17" s="566"/>
      <c r="T17" s="566"/>
      <c r="U17" s="566"/>
      <c r="V17" s="566"/>
      <c r="W17" s="566"/>
      <c r="X17" s="566"/>
      <c r="Y17" s="567"/>
    </row>
    <row r="18" spans="2:26" ht="21.95" customHeight="1" thickBot="1" x14ac:dyDescent="0.25">
      <c r="H18" s="517" t="str">
        <f ca="1">IF(LEN(H19)&gt;Settings!$C$33,LEFT(H19,Settings!$C$33)&amp;".",H19)</f>
        <v/>
      </c>
      <c r="I18" s="518" t="str">
        <f ca="1">IF(LEN(I19)&gt;Settings!$C$33,LEFT(I19,Settings!$C$33)&amp;".",I19)</f>
        <v/>
      </c>
      <c r="J18" s="518" t="str">
        <f ca="1">IF(LEN(J19)&gt;Settings!$C$33,LEFT(J19,Settings!$C$33)&amp;".",J19)</f>
        <v/>
      </c>
      <c r="K18" s="518" t="str">
        <f ca="1">IF(LEN(K19)&gt;Settings!$C$33,LEFT(K19,Settings!$C$33)&amp;".",K19)</f>
        <v/>
      </c>
      <c r="L18" s="518" t="str">
        <f ca="1">IF(LEN(L19)&gt;Settings!$C$33,LEFT(L19,Settings!$C$33)&amp;".",L19)</f>
        <v/>
      </c>
      <c r="M18" s="518" t="str">
        <f ca="1">IF(LEN(M19)&gt;Settings!$C$33,LEFT(M19,Settings!$C$33)&amp;".",M19)</f>
        <v/>
      </c>
      <c r="N18" s="518" t="str">
        <f ca="1">IF(LEN(N19)&gt;Settings!$C$33,LEFT(N19,Settings!$C$33)&amp;".",N19)</f>
        <v/>
      </c>
      <c r="O18" s="518" t="str">
        <f ca="1">IF(LEN(O19)&gt;Settings!$C$33,LEFT(O19,Settings!$C$33)&amp;".",O19)</f>
        <v/>
      </c>
      <c r="P18" s="519" t="str">
        <f ca="1">IF(LEN(P19)&gt;Settings!$C$33,LEFT(P19,Settings!$C$33)&amp;".",P19)</f>
        <v/>
      </c>
      <c r="Q18" s="520" t="str">
        <f ca="1">H18</f>
        <v/>
      </c>
      <c r="R18" s="518" t="str">
        <f t="shared" ref="R18" ca="1" si="2">I18</f>
        <v/>
      </c>
      <c r="S18" s="518" t="str">
        <f t="shared" ref="S18" ca="1" si="3">J18</f>
        <v/>
      </c>
      <c r="T18" s="518" t="str">
        <f t="shared" ref="T18" ca="1" si="4">K18</f>
        <v/>
      </c>
      <c r="U18" s="518" t="str">
        <f t="shared" ref="U18" ca="1" si="5">L18</f>
        <v/>
      </c>
      <c r="V18" s="518" t="str">
        <f t="shared" ref="V18" ca="1" si="6">M18</f>
        <v/>
      </c>
      <c r="W18" s="518" t="str">
        <f t="shared" ref="W18" ca="1" si="7">N18</f>
        <v/>
      </c>
      <c r="X18" s="518" t="str">
        <f t="shared" ref="X18" ca="1" si="8">O18</f>
        <v/>
      </c>
      <c r="Y18" s="519" t="str">
        <f t="shared" ref="Y18" ca="1" si="9">P18</f>
        <v/>
      </c>
    </row>
    <row r="19" spans="2:26" ht="21.95" customHeight="1" thickTop="1" thickBot="1" x14ac:dyDescent="0.25">
      <c r="B19" s="521"/>
      <c r="C19" s="568" t="str">
        <f>Language!$E$10</f>
        <v>Participant or team</v>
      </c>
      <c r="D19" s="569" t="str">
        <f>Language!$E$71</f>
        <v>Setpts.</v>
      </c>
      <c r="E19" s="523" t="str">
        <f>Language!$E$57</f>
        <v>balls</v>
      </c>
      <c r="F19" s="524" t="str">
        <f>Language!$E$26</f>
        <v>GD</v>
      </c>
      <c r="G19" s="525" t="str">
        <f>Language!$E$6</f>
        <v>Tie break</v>
      </c>
      <c r="H19" s="526" t="str">
        <f ca="1">C20</f>
        <v/>
      </c>
      <c r="I19" s="527" t="str">
        <f ca="1">C21</f>
        <v/>
      </c>
      <c r="J19" s="527" t="str">
        <f ca="1">C22</f>
        <v/>
      </c>
      <c r="K19" s="527" t="str">
        <f ca="1">C23</f>
        <v/>
      </c>
      <c r="L19" s="527" t="str">
        <f ca="1">C24</f>
        <v/>
      </c>
      <c r="M19" s="527" t="str">
        <f ca="1">C25</f>
        <v/>
      </c>
      <c r="N19" s="527" t="str">
        <f ca="1">C26</f>
        <v/>
      </c>
      <c r="O19" s="527" t="str">
        <f ca="1">C27</f>
        <v/>
      </c>
      <c r="P19" s="528" t="str">
        <f ca="1">C28</f>
        <v/>
      </c>
      <c r="Q19" s="526" t="str">
        <f ca="1">C20</f>
        <v/>
      </c>
      <c r="R19" s="527" t="str">
        <f ca="1">C21</f>
        <v/>
      </c>
      <c r="S19" s="527" t="str">
        <f ca="1">C22</f>
        <v/>
      </c>
      <c r="T19" s="527" t="str">
        <f ca="1">C23</f>
        <v/>
      </c>
      <c r="U19" s="527" t="str">
        <f ca="1">C24</f>
        <v/>
      </c>
      <c r="V19" s="527" t="str">
        <f ca="1">C25</f>
        <v/>
      </c>
      <c r="W19" s="527" t="str">
        <f ca="1">C26</f>
        <v/>
      </c>
      <c r="X19" s="527" t="str">
        <f ca="1">C27</f>
        <v/>
      </c>
      <c r="Y19" s="529" t="str">
        <f ca="1">C28</f>
        <v/>
      </c>
    </row>
    <row r="20" spans="2:26" ht="21.95" customHeight="1" x14ac:dyDescent="0.2">
      <c r="B20" s="530" t="str">
        <f ca="1">IF($C20="","",INDEX(Results!$V$10:$V$18,MATCH($C20,Results!$W$10:$W$18,0)))</f>
        <v/>
      </c>
      <c r="C20" s="531" t="str">
        <f ca="1">IF(Calc!$K$13=0,"",Calc!$AC4)</f>
        <v/>
      </c>
      <c r="D20" s="532" t="str">
        <f ca="1">IF($C20="","",VLOOKUP($C20,Calc!$C$17:$AD$25,25,0))</f>
        <v/>
      </c>
      <c r="E20" s="583" t="str">
        <f ca="1">IF($C20="","",VLOOKUP($C20,Calc!$C$17:$AF$25,27,0)&amp;Language!$E$90&amp;(VLOOKUP($C20,Calc!$C$17:$AF$25,27,0)-$F20))</f>
        <v/>
      </c>
      <c r="F20" s="533" t="str">
        <f ca="1">IF($C20="","",VLOOKUP($C20,Calc!$C$17:$AD$25,26,0))</f>
        <v/>
      </c>
      <c r="G20" s="534" t="str">
        <f ca="1">IF(C20="","",VLOOKUP(C20,Calc!$C$17:$AB$25,23,0))</f>
        <v/>
      </c>
      <c r="H20" s="535"/>
      <c r="I20" s="536" t="str">
        <f ca="1">IFERROR(VLOOKUP($C20&amp;I$19,Calc!$Z$64:$AB$207,3,0),"")</f>
        <v/>
      </c>
      <c r="J20" s="536" t="str">
        <f ca="1">IFERROR(VLOOKUP($C20&amp;J$19,Calc!$Z$64:$AB$207,3,0),"")</f>
        <v/>
      </c>
      <c r="K20" s="536" t="str">
        <f ca="1">IFERROR(VLOOKUP($C20&amp;K$19,Calc!$Z$64:$AB$207,3,0),"")</f>
        <v/>
      </c>
      <c r="L20" s="536" t="str">
        <f ca="1">IFERROR(VLOOKUP($C20&amp;L$19,Calc!$Z$64:$AB$207,3,0),"")</f>
        <v/>
      </c>
      <c r="M20" s="536" t="str">
        <f ca="1">IFERROR(VLOOKUP($C20&amp;M$19,Calc!$Z$64:$AB$207,3,0),"")</f>
        <v/>
      </c>
      <c r="N20" s="536" t="str">
        <f ca="1">IFERROR(VLOOKUP($C20&amp;N$19,Calc!$Z$64:$AB$207,3,0),"")</f>
        <v/>
      </c>
      <c r="O20" s="536" t="str">
        <f ca="1">IFERROR(VLOOKUP($C20&amp;O$19,Calc!$Z$64:$AB$207,3,0),"")</f>
        <v/>
      </c>
      <c r="P20" s="537" t="str">
        <f ca="1">IFERROR(VLOOKUP($C20&amp;P$19,Calc!$Z$64:$AB$207,3,0),"")</f>
        <v/>
      </c>
      <c r="Q20" s="538"/>
      <c r="R20" s="536" t="str">
        <f ca="1">IFERROR(VLOOKUP($C20&amp;R$19,Calc!$AC$64:$AD$207,2,0),"")</f>
        <v/>
      </c>
      <c r="S20" s="536" t="str">
        <f ca="1">IFERROR(VLOOKUP($C20&amp;S$19,Calc!$AC$64:$AD$207,2,0),"")</f>
        <v/>
      </c>
      <c r="T20" s="536" t="str">
        <f ca="1">IFERROR(VLOOKUP($C20&amp;T$19,Calc!$AC$64:$AD$207,2,0),"")</f>
        <v/>
      </c>
      <c r="U20" s="536" t="str">
        <f ca="1">IFERROR(VLOOKUP($C20&amp;U$19,Calc!$AC$64:$AD$207,2,0),"")</f>
        <v/>
      </c>
      <c r="V20" s="536" t="str">
        <f ca="1">IFERROR(VLOOKUP($C20&amp;V$19,Calc!$AC$64:$AD$207,2,0),"")</f>
        <v/>
      </c>
      <c r="W20" s="536" t="str">
        <f ca="1">IFERROR(VLOOKUP($C20&amp;W$19,Calc!$AC$64:$AD$207,2,0),"")</f>
        <v/>
      </c>
      <c r="X20" s="536" t="str">
        <f ca="1">IFERROR(VLOOKUP($C20&amp;X$19,Calc!$AC$64:$AD$207,2,0),"")</f>
        <v/>
      </c>
      <c r="Y20" s="539" t="str">
        <f ca="1">IFERROR(VLOOKUP($C20&amp;Y$19,Calc!$AC$64:$AD$207,2,0),"")</f>
        <v/>
      </c>
      <c r="Z20" s="540" t="str">
        <f ca="1">C20</f>
        <v/>
      </c>
    </row>
    <row r="21" spans="2:26" ht="21.95" customHeight="1" x14ac:dyDescent="0.2">
      <c r="B21" s="530" t="str">
        <f ca="1">IF($C21="","",INDEX(Results!$V$10:$V$18,MATCH($C21,Results!$W$10:$W$18,0)))</f>
        <v/>
      </c>
      <c r="C21" s="541" t="str">
        <f ca="1">IF(Calc!$K$13=0,"",Calc!$AC5)</f>
        <v/>
      </c>
      <c r="D21" s="542" t="str">
        <f ca="1">IF($C21="","",VLOOKUP($C21,Calc!$C$17:$AD$25,25,0))</f>
        <v/>
      </c>
      <c r="E21" s="577" t="str">
        <f ca="1">IF($C21="","",VLOOKUP($C21,Calc!$C$17:$AF$25,27,0)&amp;Language!$E$90&amp;(VLOOKUP($C21,Calc!$C$17:$AF$25,27,0)-$F21))</f>
        <v/>
      </c>
      <c r="F21" s="543" t="str">
        <f ca="1">IF($C21="","",VLOOKUP($C21,Calc!$C$17:$AD$25,26,0))</f>
        <v/>
      </c>
      <c r="G21" s="544" t="str">
        <f ca="1">IF(C21="","",VLOOKUP(C21,Calc!$C$17:$AB$25,23,0))</f>
        <v/>
      </c>
      <c r="H21" s="545" t="str">
        <f ca="1">IFERROR(VLOOKUP($C21&amp;H$19,Calc!$Z$64:$AB$207,3,0),"")</f>
        <v/>
      </c>
      <c r="I21" s="546"/>
      <c r="J21" s="547" t="str">
        <f ca="1">IFERROR(VLOOKUP($C21&amp;J$19,Calc!$Z$64:$AB$207,3,0),"")</f>
        <v/>
      </c>
      <c r="K21" s="547" t="str">
        <f ca="1">IFERROR(VLOOKUP($C21&amp;K$19,Calc!$Z$64:$AB$207,3,0),"")</f>
        <v/>
      </c>
      <c r="L21" s="547" t="str">
        <f ca="1">IFERROR(VLOOKUP($C21&amp;L$19,Calc!$Z$64:$AB$207,3,0),"")</f>
        <v/>
      </c>
      <c r="M21" s="547" t="str">
        <f ca="1">IFERROR(VLOOKUP($C21&amp;M$19,Calc!$Z$64:$AB$207,3,0),"")</f>
        <v/>
      </c>
      <c r="N21" s="547" t="str">
        <f ca="1">IFERROR(VLOOKUP($C21&amp;N$19,Calc!$Z$64:$AB$207,3,0),"")</f>
        <v/>
      </c>
      <c r="O21" s="547" t="str">
        <f ca="1">IFERROR(VLOOKUP($C21&amp;O$19,Calc!$Z$64:$AB$207,3,0),"")</f>
        <v/>
      </c>
      <c r="P21" s="548" t="str">
        <f ca="1">IFERROR(VLOOKUP($C21&amp;P$19,Calc!$Z$64:$AB$207,3,0),"")</f>
        <v/>
      </c>
      <c r="Q21" s="549" t="str">
        <f ca="1">IFERROR(VLOOKUP($C21&amp;Q$19,Calc!$AC$64:$AD$207,2,0),"")</f>
        <v/>
      </c>
      <c r="R21" s="546"/>
      <c r="S21" s="547" t="str">
        <f ca="1">IFERROR(VLOOKUP($C21&amp;S$19,Calc!$AC$64:$AD$207,2,0),"")</f>
        <v/>
      </c>
      <c r="T21" s="547" t="str">
        <f ca="1">IFERROR(VLOOKUP($C21&amp;T$19,Calc!$AC$64:$AD$207,2,0),"")</f>
        <v/>
      </c>
      <c r="U21" s="547" t="str">
        <f ca="1">IFERROR(VLOOKUP($C21&amp;U$19,Calc!$AC$64:$AD$207,2,0),"")</f>
        <v/>
      </c>
      <c r="V21" s="547" t="str">
        <f ca="1">IFERROR(VLOOKUP($C21&amp;V$19,Calc!$AC$64:$AD$207,2,0),"")</f>
        <v/>
      </c>
      <c r="W21" s="547" t="str">
        <f ca="1">IFERROR(VLOOKUP($C21&amp;W$19,Calc!$AC$64:$AD$207,2,0),"")</f>
        <v/>
      </c>
      <c r="X21" s="547" t="str">
        <f ca="1">IFERROR(VLOOKUP($C21&amp;X$19,Calc!$AC$64:$AD$207,2,0),"")</f>
        <v/>
      </c>
      <c r="Y21" s="550" t="str">
        <f ca="1">IFERROR(VLOOKUP($C21&amp;Y$19,Calc!$AC$64:$AD$207,2,0),"")</f>
        <v/>
      </c>
      <c r="Z21" s="551" t="str">
        <f t="shared" ref="Z21:Z28" ca="1" si="10">C21</f>
        <v/>
      </c>
    </row>
    <row r="22" spans="2:26" ht="21.95" customHeight="1" x14ac:dyDescent="0.2">
      <c r="B22" s="530" t="str">
        <f ca="1">IF($C22="","",INDEX(Results!$V$10:$V$18,MATCH($C22,Results!$W$10:$W$18,0)))</f>
        <v/>
      </c>
      <c r="C22" s="541" t="str">
        <f ca="1">IF(Calc!$K$13=0,"",Calc!$AC6)</f>
        <v/>
      </c>
      <c r="D22" s="542" t="str">
        <f ca="1">IF($C22="","",VLOOKUP($C22,Calc!$C$17:$AD$25,25,0))</f>
        <v/>
      </c>
      <c r="E22" s="577" t="str">
        <f ca="1">IF($C22="","",VLOOKUP($C22,Calc!$C$17:$AF$25,27,0)&amp;Language!$E$90&amp;(VLOOKUP($C22,Calc!$C$17:$AF$25,27,0)-$F22))</f>
        <v/>
      </c>
      <c r="F22" s="543" t="str">
        <f ca="1">IF($C22="","",VLOOKUP($C22,Calc!$C$17:$AD$25,26,0))</f>
        <v/>
      </c>
      <c r="G22" s="544" t="str">
        <f ca="1">IF(C22="","",VLOOKUP(C22,Calc!$C$17:$AB$25,23,0))</f>
        <v/>
      </c>
      <c r="H22" s="545" t="str">
        <f ca="1">IFERROR(VLOOKUP($C22&amp;H$19,Calc!$Z$64:$AB$207,3,0),"")</f>
        <v/>
      </c>
      <c r="I22" s="547" t="str">
        <f ca="1">IFERROR(VLOOKUP($C22&amp;I$19,Calc!$Z$64:$AB$207,3,0),"")</f>
        <v/>
      </c>
      <c r="J22" s="546"/>
      <c r="K22" s="547" t="str">
        <f ca="1">IFERROR(VLOOKUP($C22&amp;K$19,Calc!$Z$64:$AB$207,3,0),"")</f>
        <v/>
      </c>
      <c r="L22" s="547" t="str">
        <f ca="1">IFERROR(VLOOKUP($C22&amp;L$19,Calc!$Z$64:$AB$207,3,0),"")</f>
        <v/>
      </c>
      <c r="M22" s="547" t="str">
        <f ca="1">IFERROR(VLOOKUP($C22&amp;M$19,Calc!$Z$64:$AB$207,3,0),"")</f>
        <v/>
      </c>
      <c r="N22" s="547" t="str">
        <f ca="1">IFERROR(VLOOKUP($C22&amp;N$19,Calc!$Z$64:$AB$207,3,0),"")</f>
        <v/>
      </c>
      <c r="O22" s="547" t="str">
        <f ca="1">IFERROR(VLOOKUP($C22&amp;O$19,Calc!$Z$64:$AB$207,3,0),"")</f>
        <v/>
      </c>
      <c r="P22" s="548" t="str">
        <f ca="1">IFERROR(VLOOKUP($C22&amp;P$19,Calc!$Z$64:$AB$207,3,0),"")</f>
        <v/>
      </c>
      <c r="Q22" s="549" t="str">
        <f ca="1">IFERROR(VLOOKUP($C22&amp;Q$19,Calc!$AC$64:$AD$207,2,0),"")</f>
        <v/>
      </c>
      <c r="R22" s="547" t="str">
        <f ca="1">IFERROR(VLOOKUP($C22&amp;R$19,Calc!$AC$64:$AD$207,2,0),"")</f>
        <v/>
      </c>
      <c r="S22" s="546"/>
      <c r="T22" s="547" t="str">
        <f ca="1">IFERROR(VLOOKUP($C22&amp;T$19,Calc!$AC$64:$AD$207,2,0),"")</f>
        <v/>
      </c>
      <c r="U22" s="547" t="str">
        <f ca="1">IFERROR(VLOOKUP($C22&amp;U$19,Calc!$AC$64:$AD$207,2,0),"")</f>
        <v/>
      </c>
      <c r="V22" s="547" t="str">
        <f ca="1">IFERROR(VLOOKUP($C22&amp;V$19,Calc!$AC$64:$AD$207,2,0),"")</f>
        <v/>
      </c>
      <c r="W22" s="547" t="str">
        <f ca="1">IFERROR(VLOOKUP($C22&amp;W$19,Calc!$AC$64:$AD$207,2,0),"")</f>
        <v/>
      </c>
      <c r="X22" s="547" t="str">
        <f ca="1">IFERROR(VLOOKUP($C22&amp;X$19,Calc!$AC$64:$AD$207,2,0),"")</f>
        <v/>
      </c>
      <c r="Y22" s="550" t="str">
        <f ca="1">IFERROR(VLOOKUP($C22&amp;Y$19,Calc!$AC$64:$AD$207,2,0),"")</f>
        <v/>
      </c>
      <c r="Z22" s="551" t="str">
        <f t="shared" ca="1" si="10"/>
        <v/>
      </c>
    </row>
    <row r="23" spans="2:26" ht="21.95" customHeight="1" x14ac:dyDescent="0.2">
      <c r="B23" s="530" t="str">
        <f ca="1">IF($C23="","",INDEX(Results!$V$10:$V$18,MATCH($C23,Results!$W$10:$W$18,0)))</f>
        <v/>
      </c>
      <c r="C23" s="541" t="str">
        <f ca="1">IF(Calc!$K$13=0,"",Calc!$AC7)</f>
        <v/>
      </c>
      <c r="D23" s="542" t="str">
        <f ca="1">IF($C23="","",VLOOKUP($C23,Calc!$C$17:$AD$25,25,0))</f>
        <v/>
      </c>
      <c r="E23" s="577" t="str">
        <f ca="1">IF($C23="","",VLOOKUP($C23,Calc!$C$17:$AF$25,27,0)&amp;Language!$E$90&amp;(VLOOKUP($C23,Calc!$C$17:$AF$25,27,0)-$F23))</f>
        <v/>
      </c>
      <c r="F23" s="543" t="str">
        <f ca="1">IF($C23="","",VLOOKUP($C23,Calc!$C$17:$AD$25,26,0))</f>
        <v/>
      </c>
      <c r="G23" s="544" t="str">
        <f ca="1">IF(C23="","",VLOOKUP(C23,Calc!$C$17:$AB$25,23,0))</f>
        <v/>
      </c>
      <c r="H23" s="545" t="str">
        <f ca="1">IFERROR(VLOOKUP($C23&amp;H$19,Calc!$Z$64:$AB$207,3,0),"")</f>
        <v/>
      </c>
      <c r="I23" s="547" t="str">
        <f ca="1">IFERROR(VLOOKUP($C23&amp;I$19,Calc!$Z$64:$AB$207,3,0),"")</f>
        <v/>
      </c>
      <c r="J23" s="547" t="str">
        <f ca="1">IFERROR(VLOOKUP($C23&amp;J$19,Calc!$Z$64:$AB$207,3,0),"")</f>
        <v/>
      </c>
      <c r="K23" s="546"/>
      <c r="L23" s="547" t="str">
        <f ca="1">IFERROR(VLOOKUP($C23&amp;L$19,Calc!$Z$64:$AB$207,3,0),"")</f>
        <v/>
      </c>
      <c r="M23" s="547" t="str">
        <f ca="1">IFERROR(VLOOKUP($C23&amp;M$19,Calc!$Z$64:$AB$207,3,0),"")</f>
        <v/>
      </c>
      <c r="N23" s="547" t="str">
        <f ca="1">IFERROR(VLOOKUP($C23&amp;N$19,Calc!$Z$64:$AB$207,3,0),"")</f>
        <v/>
      </c>
      <c r="O23" s="547" t="str">
        <f ca="1">IFERROR(VLOOKUP($C23&amp;O$19,Calc!$Z$64:$AB$207,3,0),"")</f>
        <v/>
      </c>
      <c r="P23" s="548" t="str">
        <f ca="1">IFERROR(VLOOKUP($C23&amp;P$19,Calc!$Z$64:$AB$207,3,0),"")</f>
        <v/>
      </c>
      <c r="Q23" s="549" t="str">
        <f ca="1">IFERROR(VLOOKUP($C23&amp;Q$19,Calc!$AC$64:$AD$207,2,0),"")</f>
        <v/>
      </c>
      <c r="R23" s="547" t="str">
        <f ca="1">IFERROR(VLOOKUP($C23&amp;R$19,Calc!$AC$64:$AD$207,2,0),"")</f>
        <v/>
      </c>
      <c r="S23" s="547" t="str">
        <f ca="1">IFERROR(VLOOKUP($C23&amp;S$19,Calc!$AC$64:$AD$207,2,0),"")</f>
        <v/>
      </c>
      <c r="T23" s="546"/>
      <c r="U23" s="547" t="str">
        <f ca="1">IFERROR(VLOOKUP($C23&amp;U$19,Calc!$AC$64:$AD$207,2,0),"")</f>
        <v/>
      </c>
      <c r="V23" s="547" t="str">
        <f ca="1">IFERROR(VLOOKUP($C23&amp;V$19,Calc!$AC$64:$AD$207,2,0),"")</f>
        <v/>
      </c>
      <c r="W23" s="547" t="str">
        <f ca="1">IFERROR(VLOOKUP($C23&amp;W$19,Calc!$AC$64:$AD$207,2,0),"")</f>
        <v/>
      </c>
      <c r="X23" s="547" t="str">
        <f ca="1">IFERROR(VLOOKUP($C23&amp;X$19,Calc!$AC$64:$AD$207,2,0),"")</f>
        <v/>
      </c>
      <c r="Y23" s="550" t="str">
        <f ca="1">IFERROR(VLOOKUP($C23&amp;Y$19,Calc!$AC$64:$AD$207,2,0),"")</f>
        <v/>
      </c>
      <c r="Z23" s="551" t="str">
        <f t="shared" ca="1" si="10"/>
        <v/>
      </c>
    </row>
    <row r="24" spans="2:26" ht="21.95" customHeight="1" x14ac:dyDescent="0.2">
      <c r="B24" s="530" t="str">
        <f ca="1">IF($C24="","",INDEX(Results!$V$10:$V$18,MATCH($C24,Results!$W$10:$W$18,0)))</f>
        <v/>
      </c>
      <c r="C24" s="541" t="str">
        <f ca="1">IF(Calc!$K$13=0,"",Calc!$AC8)</f>
        <v/>
      </c>
      <c r="D24" s="542" t="str">
        <f ca="1">IF($C24="","",VLOOKUP($C24,Calc!$C$17:$AD$25,25,0))</f>
        <v/>
      </c>
      <c r="E24" s="577" t="str">
        <f ca="1">IF($C24="","",VLOOKUP($C24,Calc!$C$17:$AF$25,27,0)&amp;Language!$E$90&amp;(VLOOKUP($C24,Calc!$C$17:$AF$25,27,0)-$F24))</f>
        <v/>
      </c>
      <c r="F24" s="543" t="str">
        <f ca="1">IF($C24="","",VLOOKUP($C24,Calc!$C$17:$AD$25,26,0))</f>
        <v/>
      </c>
      <c r="G24" s="544" t="str">
        <f ca="1">IF(C24="","",VLOOKUP(C24,Calc!$C$17:$AB$25,23,0))</f>
        <v/>
      </c>
      <c r="H24" s="545" t="str">
        <f ca="1">IFERROR(VLOOKUP($C24&amp;H$19,Calc!$Z$64:$AB$207,3,0),"")</f>
        <v/>
      </c>
      <c r="I24" s="547" t="str">
        <f ca="1">IFERROR(VLOOKUP($C24&amp;I$19,Calc!$Z$64:$AB$207,3,0),"")</f>
        <v/>
      </c>
      <c r="J24" s="547" t="str">
        <f ca="1">IFERROR(VLOOKUP($C24&amp;J$19,Calc!$Z$64:$AB$207,3,0),"")</f>
        <v/>
      </c>
      <c r="K24" s="547" t="str">
        <f ca="1">IFERROR(VLOOKUP($C24&amp;K$19,Calc!$Z$64:$AB$207,3,0),"")</f>
        <v/>
      </c>
      <c r="L24" s="546"/>
      <c r="M24" s="547" t="str">
        <f ca="1">IFERROR(VLOOKUP($C24&amp;M$19,Calc!$Z$64:$AB$207,3,0),"")</f>
        <v/>
      </c>
      <c r="N24" s="547" t="str">
        <f ca="1">IFERROR(VLOOKUP($C24&amp;N$19,Calc!$Z$64:$AB$207,3,0),"")</f>
        <v/>
      </c>
      <c r="O24" s="547" t="str">
        <f ca="1">IFERROR(VLOOKUP($C24&amp;O$19,Calc!$Z$64:$AB$207,3,0),"")</f>
        <v/>
      </c>
      <c r="P24" s="548" t="str">
        <f ca="1">IFERROR(VLOOKUP($C24&amp;P$19,Calc!$Z$64:$AB$207,3,0),"")</f>
        <v/>
      </c>
      <c r="Q24" s="549" t="str">
        <f ca="1">IFERROR(VLOOKUP($C24&amp;Q$19,Calc!$AC$64:$AD$207,2,0),"")</f>
        <v/>
      </c>
      <c r="R24" s="547" t="str">
        <f ca="1">IFERROR(VLOOKUP($C24&amp;R$19,Calc!$AC$64:$AD$207,2,0),"")</f>
        <v/>
      </c>
      <c r="S24" s="547" t="str">
        <f ca="1">IFERROR(VLOOKUP($C24&amp;S$19,Calc!$AC$64:$AD$207,2,0),"")</f>
        <v/>
      </c>
      <c r="T24" s="547" t="str">
        <f ca="1">IFERROR(VLOOKUP($C24&amp;T$19,Calc!$AC$64:$AD$207,2,0),"")</f>
        <v/>
      </c>
      <c r="U24" s="546"/>
      <c r="V24" s="547" t="str">
        <f ca="1">IFERROR(VLOOKUP($C24&amp;V$19,Calc!$AC$64:$AD$207,2,0),"")</f>
        <v/>
      </c>
      <c r="W24" s="547" t="str">
        <f ca="1">IFERROR(VLOOKUP($C24&amp;W$19,Calc!$AC$64:$AD$207,2,0),"")</f>
        <v/>
      </c>
      <c r="X24" s="547" t="str">
        <f ca="1">IFERROR(VLOOKUP($C24&amp;X$19,Calc!$AC$64:$AD$207,2,0),"")</f>
        <v/>
      </c>
      <c r="Y24" s="550" t="str">
        <f ca="1">IFERROR(VLOOKUP($C24&amp;Y$19,Calc!$AC$64:$AD$207,2,0),"")</f>
        <v/>
      </c>
      <c r="Z24" s="551" t="str">
        <f t="shared" ca="1" si="10"/>
        <v/>
      </c>
    </row>
    <row r="25" spans="2:26" ht="21.95" customHeight="1" x14ac:dyDescent="0.2">
      <c r="B25" s="530" t="str">
        <f ca="1">IF($C25="","",INDEX(Results!$V$10:$V$18,MATCH($C25,Results!$W$10:$W$18,0)))</f>
        <v/>
      </c>
      <c r="C25" s="541" t="str">
        <f ca="1">IF(Calc!$K$13=0,"",Calc!$AC9)</f>
        <v/>
      </c>
      <c r="D25" s="542" t="str">
        <f ca="1">IF($C25="","",VLOOKUP($C25,Calc!$C$17:$AD$25,25,0))</f>
        <v/>
      </c>
      <c r="E25" s="577" t="str">
        <f ca="1">IF($C25="","",VLOOKUP($C25,Calc!$C$17:$AF$25,27,0)&amp;Language!$E$90&amp;(VLOOKUP($C25,Calc!$C$17:$AF$25,27,0)-$F25))</f>
        <v/>
      </c>
      <c r="F25" s="543" t="str">
        <f ca="1">IF($C25="","",VLOOKUP($C25,Calc!$C$17:$AD$25,26,0))</f>
        <v/>
      </c>
      <c r="G25" s="544" t="str">
        <f ca="1">IF(C25="","",VLOOKUP(C25,Calc!$C$17:$AB$25,23,0))</f>
        <v/>
      </c>
      <c r="H25" s="545" t="str">
        <f ca="1">IFERROR(VLOOKUP($C25&amp;H$19,Calc!$Z$64:$AB$207,3,0),"")</f>
        <v/>
      </c>
      <c r="I25" s="547" t="str">
        <f ca="1">IFERROR(VLOOKUP($C25&amp;I$19,Calc!$Z$64:$AB$207,3,0),"")</f>
        <v/>
      </c>
      <c r="J25" s="547" t="str">
        <f ca="1">IFERROR(VLOOKUP($C25&amp;J$19,Calc!$Z$64:$AB$207,3,0),"")</f>
        <v/>
      </c>
      <c r="K25" s="547" t="str">
        <f ca="1">IFERROR(VLOOKUP($C25&amp;K$19,Calc!$Z$64:$AB$207,3,0),"")</f>
        <v/>
      </c>
      <c r="L25" s="547" t="str">
        <f ca="1">IFERROR(VLOOKUP($C25&amp;L$19,Calc!$Z$64:$AB$207,3,0),"")</f>
        <v/>
      </c>
      <c r="M25" s="546"/>
      <c r="N25" s="547" t="str">
        <f ca="1">IFERROR(VLOOKUP($C25&amp;N$19,Calc!$Z$64:$AB$207,3,0),"")</f>
        <v/>
      </c>
      <c r="O25" s="547" t="str">
        <f ca="1">IFERROR(VLOOKUP($C25&amp;O$19,Calc!$Z$64:$AB$207,3,0),"")</f>
        <v/>
      </c>
      <c r="P25" s="548" t="str">
        <f ca="1">IFERROR(VLOOKUP($C25&amp;P$19,Calc!$Z$64:$AB$207,3,0),"")</f>
        <v/>
      </c>
      <c r="Q25" s="549" t="str">
        <f ca="1">IFERROR(VLOOKUP($C25&amp;Q$19,Calc!$AC$64:$AD$207,2,0),"")</f>
        <v/>
      </c>
      <c r="R25" s="547" t="str">
        <f ca="1">IFERROR(VLOOKUP($C25&amp;R$19,Calc!$AC$64:$AD$207,2,0),"")</f>
        <v/>
      </c>
      <c r="S25" s="547" t="str">
        <f ca="1">IFERROR(VLOOKUP($C25&amp;S$19,Calc!$AC$64:$AD$207,2,0),"")</f>
        <v/>
      </c>
      <c r="T25" s="547" t="str">
        <f ca="1">IFERROR(VLOOKUP($C25&amp;T$19,Calc!$AC$64:$AD$207,2,0),"")</f>
        <v/>
      </c>
      <c r="U25" s="547" t="str">
        <f ca="1">IFERROR(VLOOKUP($C25&amp;U$19,Calc!$AC$64:$AD$207,2,0),"")</f>
        <v/>
      </c>
      <c r="V25" s="546"/>
      <c r="W25" s="547" t="str">
        <f ca="1">IFERROR(VLOOKUP($C25&amp;W$19,Calc!$AC$64:$AD$207,2,0),"")</f>
        <v/>
      </c>
      <c r="X25" s="547" t="str">
        <f ca="1">IFERROR(VLOOKUP($C25&amp;X$19,Calc!$AC$64:$AD$207,2,0),"")</f>
        <v/>
      </c>
      <c r="Y25" s="550" t="str">
        <f ca="1">IFERROR(VLOOKUP($C25&amp;Y$19,Calc!$AC$64:$AD$207,2,0),"")</f>
        <v/>
      </c>
      <c r="Z25" s="551" t="str">
        <f t="shared" ca="1" si="10"/>
        <v/>
      </c>
    </row>
    <row r="26" spans="2:26" ht="21.95" customHeight="1" x14ac:dyDescent="0.2">
      <c r="B26" s="530" t="str">
        <f ca="1">IF($C26="","",INDEX(Results!$V$10:$V$18,MATCH($C26,Results!$W$10:$W$18,0)))</f>
        <v/>
      </c>
      <c r="C26" s="541" t="str">
        <f ca="1">IF(Calc!$K$13=0,"",Calc!$AC10)</f>
        <v/>
      </c>
      <c r="D26" s="542" t="str">
        <f ca="1">IF($C26="","",VLOOKUP($C26,Calc!$C$17:$AD$25,25,0))</f>
        <v/>
      </c>
      <c r="E26" s="577" t="str">
        <f ca="1">IF($C26="","",VLOOKUP($C26,Calc!$C$17:$AF$25,27,0)&amp;Language!$E$90&amp;(VLOOKUP($C26,Calc!$C$17:$AF$25,27,0)-$F26))</f>
        <v/>
      </c>
      <c r="F26" s="543" t="str">
        <f ca="1">IF($C26="","",VLOOKUP($C26,Calc!$C$17:$AD$25,26,0))</f>
        <v/>
      </c>
      <c r="G26" s="544" t="str">
        <f ca="1">IF(C26="","",VLOOKUP(C26,Calc!$C$17:$AB$25,23,0))</f>
        <v/>
      </c>
      <c r="H26" s="545" t="str">
        <f ca="1">IFERROR(VLOOKUP($C26&amp;H$19,Calc!$Z$64:$AB$207,3,0),"")</f>
        <v/>
      </c>
      <c r="I26" s="547" t="str">
        <f ca="1">IFERROR(VLOOKUP($C26&amp;I$19,Calc!$Z$64:$AB$207,3,0),"")</f>
        <v/>
      </c>
      <c r="J26" s="547" t="str">
        <f ca="1">IFERROR(VLOOKUP($C26&amp;J$19,Calc!$Z$64:$AB$207,3,0),"")</f>
        <v/>
      </c>
      <c r="K26" s="547" t="str">
        <f ca="1">IFERROR(VLOOKUP($C26&amp;K$19,Calc!$Z$64:$AB$207,3,0),"")</f>
        <v/>
      </c>
      <c r="L26" s="547" t="str">
        <f ca="1">IFERROR(VLOOKUP($C26&amp;L$19,Calc!$Z$64:$AB$207,3,0),"")</f>
        <v/>
      </c>
      <c r="M26" s="547" t="str">
        <f ca="1">IFERROR(VLOOKUP($C26&amp;M$19,Calc!$Z$64:$AB$207,3,0),"")</f>
        <v/>
      </c>
      <c r="N26" s="546"/>
      <c r="O26" s="547" t="str">
        <f ca="1">IFERROR(VLOOKUP($C26&amp;O$19,Calc!$Z$64:$AB$207,3,0),"")</f>
        <v/>
      </c>
      <c r="P26" s="548" t="str">
        <f ca="1">IFERROR(VLOOKUP($C26&amp;P$19,Calc!$Z$64:$AB$207,3,0),"")</f>
        <v/>
      </c>
      <c r="Q26" s="549" t="str">
        <f ca="1">IFERROR(VLOOKUP($C26&amp;Q$19,Calc!$AC$64:$AD$207,2,0),"")</f>
        <v/>
      </c>
      <c r="R26" s="547" t="str">
        <f ca="1">IFERROR(VLOOKUP($C26&amp;R$19,Calc!$AC$64:$AD$207,2,0),"")</f>
        <v/>
      </c>
      <c r="S26" s="547" t="str">
        <f ca="1">IFERROR(VLOOKUP($C26&amp;S$19,Calc!$AC$64:$AD$207,2,0),"")</f>
        <v/>
      </c>
      <c r="T26" s="547" t="str">
        <f ca="1">IFERROR(VLOOKUP($C26&amp;T$19,Calc!$AC$64:$AD$207,2,0),"")</f>
        <v/>
      </c>
      <c r="U26" s="547" t="str">
        <f ca="1">IFERROR(VLOOKUP($C26&amp;U$19,Calc!$AC$64:$AD$207,2,0),"")</f>
        <v/>
      </c>
      <c r="V26" s="547" t="str">
        <f ca="1">IFERROR(VLOOKUP($C26&amp;V$19,Calc!$AC$64:$AD$207,2,0),"")</f>
        <v/>
      </c>
      <c r="W26" s="546"/>
      <c r="X26" s="547" t="str">
        <f ca="1">IFERROR(VLOOKUP($C26&amp;X$19,Calc!$AC$64:$AD$207,2,0),"")</f>
        <v/>
      </c>
      <c r="Y26" s="550" t="str">
        <f ca="1">IFERROR(VLOOKUP($C26&amp;Y$19,Calc!$AC$64:$AD$207,2,0),"")</f>
        <v/>
      </c>
      <c r="Z26" s="551" t="str">
        <f t="shared" ca="1" si="10"/>
        <v/>
      </c>
    </row>
    <row r="27" spans="2:26" ht="21.95" customHeight="1" x14ac:dyDescent="0.2">
      <c r="B27" s="530" t="str">
        <f ca="1">IF($C27="","",INDEX(Results!$V$10:$V$18,MATCH($C27,Results!$W$10:$W$18,0)))</f>
        <v/>
      </c>
      <c r="C27" s="541" t="str">
        <f ca="1">IF(Calc!$K$13=0,"",Calc!$AC11)</f>
        <v/>
      </c>
      <c r="D27" s="542" t="str">
        <f ca="1">IF($C27="","",VLOOKUP($C27,Calc!$C$17:$AD$25,25,0))</f>
        <v/>
      </c>
      <c r="E27" s="577" t="str">
        <f ca="1">IF($C27="","",VLOOKUP($C27,Calc!$C$17:$AF$25,27,0)&amp;Language!$E$90&amp;(VLOOKUP($C27,Calc!$C$17:$AF$25,27,0)-$F27))</f>
        <v/>
      </c>
      <c r="F27" s="543" t="str">
        <f ca="1">IF($C27="","",VLOOKUP($C27,Calc!$C$17:$AD$25,26,0))</f>
        <v/>
      </c>
      <c r="G27" s="544" t="str">
        <f ca="1">IF(C27="","",VLOOKUP(C27,Calc!$C$17:$AB$25,23,0))</f>
        <v/>
      </c>
      <c r="H27" s="545" t="str">
        <f ca="1">IFERROR(VLOOKUP($C27&amp;H$19,Calc!$Z$64:$AB$207,3,0),"")</f>
        <v/>
      </c>
      <c r="I27" s="547" t="str">
        <f ca="1">IFERROR(VLOOKUP($C27&amp;I$19,Calc!$Z$64:$AB$207,3,0),"")</f>
        <v/>
      </c>
      <c r="J27" s="547" t="str">
        <f ca="1">IFERROR(VLOOKUP($C27&amp;J$19,Calc!$Z$64:$AB$207,3,0),"")</f>
        <v/>
      </c>
      <c r="K27" s="547" t="str">
        <f ca="1">IFERROR(VLOOKUP($C27&amp;K$19,Calc!$Z$64:$AB$207,3,0),"")</f>
        <v/>
      </c>
      <c r="L27" s="547" t="str">
        <f ca="1">IFERROR(VLOOKUP($C27&amp;L$19,Calc!$Z$64:$AB$207,3,0),"")</f>
        <v/>
      </c>
      <c r="M27" s="547" t="str">
        <f ca="1">IFERROR(VLOOKUP($C27&amp;M$19,Calc!$Z$64:$AB$207,3,0),"")</f>
        <v/>
      </c>
      <c r="N27" s="547" t="str">
        <f ca="1">IFERROR(VLOOKUP($C27&amp;N$19,Calc!$Z$64:$AB$207,3,0),"")</f>
        <v/>
      </c>
      <c r="O27" s="546"/>
      <c r="P27" s="548" t="str">
        <f ca="1">IFERROR(VLOOKUP($C27&amp;P$19,Calc!$Z$64:$AB$207,3,0),"")</f>
        <v/>
      </c>
      <c r="Q27" s="549" t="str">
        <f ca="1">IFERROR(VLOOKUP($C27&amp;Q$19,Calc!$AC$64:$AD$207,2,0),"")</f>
        <v/>
      </c>
      <c r="R27" s="547" t="str">
        <f ca="1">IFERROR(VLOOKUP($C27&amp;R$19,Calc!$AC$64:$AD$207,2,0),"")</f>
        <v/>
      </c>
      <c r="S27" s="547" t="str">
        <f ca="1">IFERROR(VLOOKUP($C27&amp;S$19,Calc!$AC$64:$AD$207,2,0),"")</f>
        <v/>
      </c>
      <c r="T27" s="547" t="str">
        <f ca="1">IFERROR(VLOOKUP($C27&amp;T$19,Calc!$AC$64:$AD$207,2,0),"")</f>
        <v/>
      </c>
      <c r="U27" s="547" t="str">
        <f ca="1">IFERROR(VLOOKUP($C27&amp;U$19,Calc!$AC$64:$AD$207,2,0),"")</f>
        <v/>
      </c>
      <c r="V27" s="547" t="str">
        <f ca="1">IFERROR(VLOOKUP($C27&amp;V$19,Calc!$AC$64:$AD$207,2,0),"")</f>
        <v/>
      </c>
      <c r="W27" s="547" t="str">
        <f ca="1">IFERROR(VLOOKUP($C27&amp;W$19,Calc!$AC$64:$AD$207,2,0),"")</f>
        <v/>
      </c>
      <c r="X27" s="546"/>
      <c r="Y27" s="550" t="str">
        <f ca="1">IFERROR(VLOOKUP($C27&amp;Y$19,Calc!$AC$64:$AD$207,2,0),"")</f>
        <v/>
      </c>
      <c r="Z27" s="551" t="str">
        <f t="shared" ca="1" si="10"/>
        <v/>
      </c>
    </row>
    <row r="28" spans="2:26" ht="21.95" customHeight="1" thickBot="1" x14ac:dyDescent="0.25">
      <c r="B28" s="552" t="str">
        <f ca="1">IF($C28="","",INDEX(Results!$V$10:$V$18,MATCH($C28,Results!$W$10:$W$18,0)))</f>
        <v/>
      </c>
      <c r="C28" s="553" t="str">
        <f ca="1">IF(Calc!$K$13=0,"",Calc!$AC12)</f>
        <v/>
      </c>
      <c r="D28" s="554" t="str">
        <f ca="1">IF($C28="","",VLOOKUP($C28,Calc!$C$17:$AD$25,25,0))</f>
        <v/>
      </c>
      <c r="E28" s="581" t="str">
        <f ca="1">IF($C28="","",VLOOKUP($C28,Calc!$C$17:$AF$25,27,0)&amp;Language!$E$90&amp;(VLOOKUP($C28,Calc!$C$17:$AF$25,27,0)-$F28))</f>
        <v/>
      </c>
      <c r="F28" s="555" t="str">
        <f ca="1">IF($C28="","",VLOOKUP($C28,Calc!$C$17:$AD$25,26,0))</f>
        <v/>
      </c>
      <c r="G28" s="556" t="str">
        <f ca="1">IF(C28="","",VLOOKUP(C28,Calc!$C$17:$AB$25,23,0))</f>
        <v/>
      </c>
      <c r="H28" s="557" t="str">
        <f ca="1">IFERROR(VLOOKUP($C28&amp;H$19,Calc!$Z$64:$AB$207,3,0),"")</f>
        <v/>
      </c>
      <c r="I28" s="558" t="str">
        <f ca="1">IFERROR(VLOOKUP($C28&amp;I$19,Calc!$Z$64:$AB$207,3,0),"")</f>
        <v/>
      </c>
      <c r="J28" s="558" t="str">
        <f ca="1">IFERROR(VLOOKUP($C28&amp;J$19,Calc!$Z$64:$AB$207,3,0),"")</f>
        <v/>
      </c>
      <c r="K28" s="558" t="str">
        <f ca="1">IFERROR(VLOOKUP($C28&amp;K$19,Calc!$Z$64:$AB$207,3,0),"")</f>
        <v/>
      </c>
      <c r="L28" s="558" t="str">
        <f ca="1">IFERROR(VLOOKUP($C28&amp;L$19,Calc!$Z$64:$AB$207,3,0),"")</f>
        <v/>
      </c>
      <c r="M28" s="558" t="str">
        <f ca="1">IFERROR(VLOOKUP($C28&amp;M$19,Calc!$Z$64:$AB$207,3,0),"")</f>
        <v/>
      </c>
      <c r="N28" s="558" t="str">
        <f ca="1">IFERROR(VLOOKUP($C28&amp;N$19,Calc!$Z$64:$AB$207,3,0),"")</f>
        <v/>
      </c>
      <c r="O28" s="558" t="str">
        <f ca="1">IFERROR(VLOOKUP($C28&amp;O$19,Calc!$Z$64:$AB$207,3,0),"")</f>
        <v/>
      </c>
      <c r="P28" s="559"/>
      <c r="Q28" s="560" t="str">
        <f ca="1">IFERROR(VLOOKUP($C28&amp;Q$19,Calc!$AC$64:$AD$207,2,0),"")</f>
        <v/>
      </c>
      <c r="R28" s="558" t="str">
        <f ca="1">IFERROR(VLOOKUP($C28&amp;R$19,Calc!$AC$64:$AD$207,2,0),"")</f>
        <v/>
      </c>
      <c r="S28" s="558" t="str">
        <f ca="1">IFERROR(VLOOKUP($C28&amp;S$19,Calc!$AC$64:$AD$207,2,0),"")</f>
        <v/>
      </c>
      <c r="T28" s="558" t="str">
        <f ca="1">IFERROR(VLOOKUP($C28&amp;T$19,Calc!$AC$64:$AD$207,2,0),"")</f>
        <v/>
      </c>
      <c r="U28" s="558" t="str">
        <f ca="1">IFERROR(VLOOKUP($C28&amp;U$19,Calc!$AC$64:$AD$207,2,0),"")</f>
        <v/>
      </c>
      <c r="V28" s="558" t="str">
        <f ca="1">IFERROR(VLOOKUP($C28&amp;V$19,Calc!$AC$64:$AD$207,2,0),"")</f>
        <v/>
      </c>
      <c r="W28" s="558" t="str">
        <f ca="1">IFERROR(VLOOKUP($C28&amp;W$19,Calc!$AC$64:$AD$207,2,0),"")</f>
        <v/>
      </c>
      <c r="X28" s="558" t="str">
        <f ca="1">IFERROR(VLOOKUP($C28&amp;X$19,Calc!$AC$64:$AD$207,2,0),"")</f>
        <v/>
      </c>
      <c r="Y28" s="561"/>
      <c r="Z28" s="562" t="str">
        <f t="shared" ca="1" si="10"/>
        <v/>
      </c>
    </row>
    <row r="29" spans="2:26" ht="42.75" customHeight="1" thickTop="1" thickBot="1" x14ac:dyDescent="0.25">
      <c r="B29" s="563"/>
      <c r="C29" s="564"/>
      <c r="D29" s="565"/>
      <c r="E29" s="565"/>
      <c r="F29" s="566"/>
      <c r="G29" s="566"/>
      <c r="H29" s="566"/>
      <c r="I29" s="566"/>
      <c r="J29" s="566"/>
      <c r="K29" s="566"/>
      <c r="L29" s="566"/>
      <c r="M29" s="566"/>
      <c r="N29" s="566"/>
      <c r="O29" s="566"/>
      <c r="P29" s="567"/>
      <c r="Q29" s="566"/>
      <c r="R29" s="566"/>
      <c r="S29" s="566"/>
      <c r="T29" s="566"/>
      <c r="U29" s="566"/>
      <c r="V29" s="566"/>
      <c r="W29" s="566"/>
      <c r="X29" s="566"/>
      <c r="Y29" s="567"/>
    </row>
    <row r="30" spans="2:26" ht="21.95" customHeight="1" thickBot="1" x14ac:dyDescent="0.25">
      <c r="H30" s="517" t="str">
        <f ca="1">IF(LEN(H31)&gt;Settings!$C$33,LEFT(H31,Settings!$C$33)&amp;".",H31)</f>
        <v/>
      </c>
      <c r="I30" s="518" t="str">
        <f ca="1">IF(LEN(I31)&gt;Settings!$C$33,LEFT(I31,Settings!$C$33)&amp;".",I31)</f>
        <v/>
      </c>
      <c r="J30" s="518" t="str">
        <f ca="1">IF(LEN(J31)&gt;Settings!$C$33,LEFT(J31,Settings!$C$33)&amp;".",J31)</f>
        <v/>
      </c>
      <c r="K30" s="518" t="str">
        <f ca="1">IF(LEN(K31)&gt;Settings!$C$33,LEFT(K31,Settings!$C$33)&amp;".",K31)</f>
        <v/>
      </c>
      <c r="L30" s="518" t="str">
        <f ca="1">IF(LEN(L31)&gt;Settings!$C$33,LEFT(L31,Settings!$C$33)&amp;".",L31)</f>
        <v/>
      </c>
      <c r="M30" s="518" t="str">
        <f ca="1">IF(LEN(M31)&gt;Settings!$C$33,LEFT(M31,Settings!$C$33)&amp;".",M31)</f>
        <v/>
      </c>
      <c r="N30" s="518" t="str">
        <f ca="1">IF(LEN(N31)&gt;Settings!$C$33,LEFT(N31,Settings!$C$33)&amp;".",N31)</f>
        <v/>
      </c>
      <c r="O30" s="518" t="str">
        <f ca="1">IF(LEN(O31)&gt;Settings!$C$33,LEFT(O31,Settings!$C$33)&amp;".",O31)</f>
        <v/>
      </c>
      <c r="P30" s="519" t="str">
        <f ca="1">IF(LEN(P31)&gt;Settings!$C$33,LEFT(P31,Settings!$C$33)&amp;".",P31)</f>
        <v/>
      </c>
      <c r="Q30" s="520" t="str">
        <f ca="1">H30</f>
        <v/>
      </c>
      <c r="R30" s="518" t="str">
        <f t="shared" ref="R30" ca="1" si="11">I30</f>
        <v/>
      </c>
      <c r="S30" s="518" t="str">
        <f t="shared" ref="S30" ca="1" si="12">J30</f>
        <v/>
      </c>
      <c r="T30" s="518" t="str">
        <f t="shared" ref="T30" ca="1" si="13">K30</f>
        <v/>
      </c>
      <c r="U30" s="518" t="str">
        <f t="shared" ref="U30" ca="1" si="14">L30</f>
        <v/>
      </c>
      <c r="V30" s="518" t="str">
        <f t="shared" ref="V30" ca="1" si="15">M30</f>
        <v/>
      </c>
      <c r="W30" s="518" t="str">
        <f t="shared" ref="W30" ca="1" si="16">N30</f>
        <v/>
      </c>
      <c r="X30" s="518" t="str">
        <f t="shared" ref="X30" ca="1" si="17">O30</f>
        <v/>
      </c>
      <c r="Y30" s="519" t="str">
        <f t="shared" ref="Y30" ca="1" si="18">P30</f>
        <v/>
      </c>
    </row>
    <row r="31" spans="2:26" ht="21.95" customHeight="1" thickTop="1" thickBot="1" x14ac:dyDescent="0.25">
      <c r="B31" s="521"/>
      <c r="C31" s="568" t="str">
        <f>Language!$E$10</f>
        <v>Participant or team</v>
      </c>
      <c r="D31" s="569" t="str">
        <f>Language!$E$71</f>
        <v>Setpts.</v>
      </c>
      <c r="E31" s="523" t="str">
        <f>Language!$E$57</f>
        <v>balls</v>
      </c>
      <c r="F31" s="524" t="str">
        <f>Language!$E$26</f>
        <v>GD</v>
      </c>
      <c r="G31" s="525" t="str">
        <f>Language!$E$6</f>
        <v>Tie break</v>
      </c>
      <c r="H31" s="526" t="str">
        <f ca="1">C32</f>
        <v/>
      </c>
      <c r="I31" s="527" t="str">
        <f ca="1">C33</f>
        <v/>
      </c>
      <c r="J31" s="527" t="str">
        <f ca="1">C34</f>
        <v/>
      </c>
      <c r="K31" s="527" t="str">
        <f ca="1">C35</f>
        <v/>
      </c>
      <c r="L31" s="527" t="str">
        <f ca="1">C36</f>
        <v/>
      </c>
      <c r="M31" s="527" t="str">
        <f ca="1">C37</f>
        <v/>
      </c>
      <c r="N31" s="527" t="str">
        <f ca="1">C38</f>
        <v/>
      </c>
      <c r="O31" s="527" t="str">
        <f ca="1">C39</f>
        <v/>
      </c>
      <c r="P31" s="528" t="str">
        <f ca="1">C40</f>
        <v/>
      </c>
      <c r="Q31" s="526" t="str">
        <f ca="1">C32</f>
        <v/>
      </c>
      <c r="R31" s="527" t="str">
        <f ca="1">C33</f>
        <v/>
      </c>
      <c r="S31" s="527" t="str">
        <f ca="1">C34</f>
        <v/>
      </c>
      <c r="T31" s="527" t="str">
        <f ca="1">C35</f>
        <v/>
      </c>
      <c r="U31" s="527" t="str">
        <f ca="1">C36</f>
        <v/>
      </c>
      <c r="V31" s="527" t="str">
        <f ca="1">C37</f>
        <v/>
      </c>
      <c r="W31" s="527" t="str">
        <f ca="1">C38</f>
        <v/>
      </c>
      <c r="X31" s="527" t="str">
        <f ca="1">C39</f>
        <v/>
      </c>
      <c r="Y31" s="529" t="str">
        <f ca="1">C40</f>
        <v/>
      </c>
    </row>
    <row r="32" spans="2:26" ht="21.95" customHeight="1" x14ac:dyDescent="0.2">
      <c r="B32" s="530" t="str">
        <f ca="1">IF($C32="","",INDEX(Results!$V$10:$V$18,MATCH($C32,Results!$W$10:$W$18,0)))</f>
        <v/>
      </c>
      <c r="C32" s="531" t="str">
        <f ca="1">IF(Calc!$K$13=0,"",Calc!$AH4)</f>
        <v/>
      </c>
      <c r="D32" s="532" t="str">
        <f ca="1">IF($C32="","",VLOOKUP($C32,Calc!$C$17:$AD$25,25,0))</f>
        <v/>
      </c>
      <c r="E32" s="583" t="str">
        <f ca="1">IF($C32="","",VLOOKUP($C32,Calc!$C$17:$AF$25,27,0)&amp;Language!$E$90&amp;(VLOOKUP($C32,Calc!$C$17:$AF$25,27,0)-$F32))</f>
        <v/>
      </c>
      <c r="F32" s="533" t="str">
        <f ca="1">IF($C32="","",VLOOKUP($C32,Calc!$C$17:$AD$25,26,0))</f>
        <v/>
      </c>
      <c r="G32" s="534" t="str">
        <f ca="1">IF(C32="","",VLOOKUP(C32,Calc!$C$17:$AB$25,23,0))</f>
        <v/>
      </c>
      <c r="H32" s="570"/>
      <c r="I32" s="533" t="str">
        <f ca="1">IFERROR(VLOOKUP($C32&amp;I$31,Calc!$Z$64:$AB$207,3,0),"")</f>
        <v/>
      </c>
      <c r="J32" s="533" t="str">
        <f ca="1">IFERROR(VLOOKUP($C32&amp;J$31,Calc!$Z$64:$AB$207,3,0),"")</f>
        <v/>
      </c>
      <c r="K32" s="533" t="str">
        <f ca="1">IFERROR(VLOOKUP($C32&amp;K$31,Calc!$Z$64:$AB$207,3,0),"")</f>
        <v/>
      </c>
      <c r="L32" s="533" t="str">
        <f ca="1">IFERROR(VLOOKUP($C32&amp;L$31,Calc!$Z$64:$AB$207,3,0),"")</f>
        <v/>
      </c>
      <c r="M32" s="533" t="str">
        <f ca="1">IFERROR(VLOOKUP($C32&amp;M$31,Calc!$Z$64:$AB$207,3,0),"")</f>
        <v/>
      </c>
      <c r="N32" s="533" t="str">
        <f ca="1">IFERROR(VLOOKUP($C32&amp;N$31,Calc!$Z$64:$AB$207,3,0),"")</f>
        <v/>
      </c>
      <c r="O32" s="533" t="str">
        <f ca="1">IFERROR(VLOOKUP($C32&amp;O$31,Calc!$Z$64:$AB$207,3,0),"")</f>
        <v/>
      </c>
      <c r="P32" s="571" t="str">
        <f ca="1">IFERROR(VLOOKUP($C32&amp;P$31,Calc!$Z$64:$AB$207,3,0),"")</f>
        <v/>
      </c>
      <c r="Q32" s="572"/>
      <c r="R32" s="533" t="str">
        <f ca="1">IFERROR(VLOOKUP($C32&amp;R$31,Calc!$AC$64:$AD$207,2,0),"")</f>
        <v/>
      </c>
      <c r="S32" s="533" t="str">
        <f ca="1">IFERROR(VLOOKUP($C32&amp;S$31,Calc!$AC$64:$AD$207,2,0),"")</f>
        <v/>
      </c>
      <c r="T32" s="533" t="str">
        <f ca="1">IFERROR(VLOOKUP($C32&amp;T$31,Calc!$AC$64:$AD$207,2,0),"")</f>
        <v/>
      </c>
      <c r="U32" s="533" t="str">
        <f ca="1">IFERROR(VLOOKUP($C32&amp;U$31,Calc!$AC$64:$AD$207,2,0),"")</f>
        <v/>
      </c>
      <c r="V32" s="533" t="str">
        <f ca="1">IFERROR(VLOOKUP($C32&amp;V$31,Calc!$AC$64:$AD$207,2,0),"")</f>
        <v/>
      </c>
      <c r="W32" s="533" t="str">
        <f ca="1">IFERROR(VLOOKUP($C32&amp;W$31,Calc!$AC$64:$AD$207,2,0),"")</f>
        <v/>
      </c>
      <c r="X32" s="533" t="str">
        <f ca="1">IFERROR(VLOOKUP($C32&amp;X$31,Calc!$AC$64:$AD$207,2,0),"")</f>
        <v/>
      </c>
      <c r="Y32" s="573" t="str">
        <f ca="1">IFERROR(VLOOKUP($C32&amp;Y$31,Calc!$AC$64:$AD$207,2,0),"")</f>
        <v/>
      </c>
      <c r="Z32" s="540" t="str">
        <f ca="1">C32</f>
        <v/>
      </c>
    </row>
    <row r="33" spans="2:26" ht="21.95" customHeight="1" x14ac:dyDescent="0.2">
      <c r="B33" s="530" t="str">
        <f ca="1">IF($C33="","",INDEX(Results!$V$10:$V$18,MATCH($C33,Results!$W$10:$W$18,0)))</f>
        <v/>
      </c>
      <c r="C33" s="541" t="str">
        <f ca="1">IF(Calc!$K$13=0,"",Calc!$AH5)</f>
        <v/>
      </c>
      <c r="D33" s="542" t="str">
        <f ca="1">IF($C33="","",VLOOKUP($C33,Calc!$C$17:$AD$25,25,0))</f>
        <v/>
      </c>
      <c r="E33" s="577" t="str">
        <f ca="1">IF($C33="","",VLOOKUP($C33,Calc!$C$17:$AF$25,27,0)&amp;Language!$E$90&amp;(VLOOKUP($C33,Calc!$C$17:$AF$25,27,0)-$F33))</f>
        <v/>
      </c>
      <c r="F33" s="543" t="str">
        <f ca="1">IF($C33="","",VLOOKUP($C33,Calc!$C$17:$AD$25,26,0))</f>
        <v/>
      </c>
      <c r="G33" s="544" t="str">
        <f ca="1">IF(C33="","",VLOOKUP(C33,Calc!$C$17:$AB$25,23,0))</f>
        <v/>
      </c>
      <c r="H33" s="574" t="str">
        <f ca="1">IFERROR(VLOOKUP($C33&amp;H$31,Calc!$Z$64:$AB$207,3,0),"")</f>
        <v/>
      </c>
      <c r="I33" s="575"/>
      <c r="J33" s="543" t="str">
        <f ca="1">IFERROR(VLOOKUP($C33&amp;J$31,Calc!$Z$64:$AB$207,3,0),"")</f>
        <v/>
      </c>
      <c r="K33" s="543" t="str">
        <f ca="1">IFERROR(VLOOKUP($C33&amp;K$31,Calc!$Z$64:$AB$207,3,0),"")</f>
        <v/>
      </c>
      <c r="L33" s="543" t="str">
        <f ca="1">IFERROR(VLOOKUP($C33&amp;L$31,Calc!$Z$64:$AB$207,3,0),"")</f>
        <v/>
      </c>
      <c r="M33" s="543" t="str">
        <f ca="1">IFERROR(VLOOKUP($C33&amp;M$31,Calc!$Z$64:$AB$207,3,0),"")</f>
        <v/>
      </c>
      <c r="N33" s="543" t="str">
        <f ca="1">IFERROR(VLOOKUP($C33&amp;N$31,Calc!$Z$64:$AB$207,3,0),"")</f>
        <v/>
      </c>
      <c r="O33" s="543" t="str">
        <f ca="1">IFERROR(VLOOKUP($C33&amp;O$31,Calc!$Z$64:$AB$207,3,0),"")</f>
        <v/>
      </c>
      <c r="P33" s="576" t="str">
        <f ca="1">IFERROR(VLOOKUP($C33&amp;P$31,Calc!$Z$64:$AB$207,3,0),"")</f>
        <v/>
      </c>
      <c r="Q33" s="577" t="str">
        <f ca="1">IFERROR(VLOOKUP($C33&amp;Q$31,Calc!$AC$64:$AD$207,2,0),"")</f>
        <v/>
      </c>
      <c r="R33" s="575"/>
      <c r="S33" s="543" t="str">
        <f ca="1">IFERROR(VLOOKUP($C33&amp;S$31,Calc!$AC$64:$AD$207,2,0),"")</f>
        <v/>
      </c>
      <c r="T33" s="543" t="str">
        <f ca="1">IFERROR(VLOOKUP($C33&amp;T$31,Calc!$AC$64:$AD$207,2,0),"")</f>
        <v/>
      </c>
      <c r="U33" s="543" t="str">
        <f ca="1">IFERROR(VLOOKUP($C33&amp;U$31,Calc!$AC$64:$AD$207,2,0),"")</f>
        <v/>
      </c>
      <c r="V33" s="543" t="str">
        <f ca="1">IFERROR(VLOOKUP($C33&amp;V$31,Calc!$AC$64:$AD$207,2,0),"")</f>
        <v/>
      </c>
      <c r="W33" s="543" t="str">
        <f ca="1">IFERROR(VLOOKUP($C33&amp;W$31,Calc!$AC$64:$AD$207,2,0),"")</f>
        <v/>
      </c>
      <c r="X33" s="543" t="str">
        <f ca="1">IFERROR(VLOOKUP($C33&amp;X$31,Calc!$AC$64:$AD$207,2,0),"")</f>
        <v/>
      </c>
      <c r="Y33" s="578" t="str">
        <f ca="1">IFERROR(VLOOKUP($C33&amp;Y$31,Calc!$AC$64:$AD$207,2,0),"")</f>
        <v/>
      </c>
      <c r="Z33" s="551" t="str">
        <f t="shared" ref="Z33:Z40" ca="1" si="19">C33</f>
        <v/>
      </c>
    </row>
    <row r="34" spans="2:26" ht="21.95" customHeight="1" x14ac:dyDescent="0.2">
      <c r="B34" s="530" t="str">
        <f ca="1">IF($C34="","",INDEX(Results!$V$10:$V$18,MATCH($C34,Results!$W$10:$W$18,0)))</f>
        <v/>
      </c>
      <c r="C34" s="541" t="str">
        <f ca="1">IF(Calc!$K$13=0,"",Calc!$AH6)</f>
        <v/>
      </c>
      <c r="D34" s="542" t="str">
        <f ca="1">IF($C34="","",VLOOKUP($C34,Calc!$C$17:$AD$25,25,0))</f>
        <v/>
      </c>
      <c r="E34" s="577" t="str">
        <f ca="1">IF($C34="","",VLOOKUP($C34,Calc!$C$17:$AF$25,27,0)&amp;Language!$E$90&amp;(VLOOKUP($C34,Calc!$C$17:$AF$25,27,0)-$F34))</f>
        <v/>
      </c>
      <c r="F34" s="543" t="str">
        <f ca="1">IF($C34="","",VLOOKUP($C34,Calc!$C$17:$AD$25,26,0))</f>
        <v/>
      </c>
      <c r="G34" s="544" t="str">
        <f ca="1">IF(C34="","",VLOOKUP(C34,Calc!$C$17:$AB$25,23,0))</f>
        <v/>
      </c>
      <c r="H34" s="574" t="str">
        <f ca="1">IFERROR(VLOOKUP($C34&amp;H$31,Calc!$Z$64:$AB$207,3,0),"")</f>
        <v/>
      </c>
      <c r="I34" s="543" t="str">
        <f ca="1">IFERROR(VLOOKUP($C34&amp;I$31,Calc!$Z$64:$AB$207,3,0),"")</f>
        <v/>
      </c>
      <c r="J34" s="575"/>
      <c r="K34" s="543" t="str">
        <f ca="1">IFERROR(VLOOKUP($C34&amp;K$31,Calc!$Z$64:$AB$207,3,0),"")</f>
        <v/>
      </c>
      <c r="L34" s="543" t="str">
        <f ca="1">IFERROR(VLOOKUP($C34&amp;L$31,Calc!$Z$64:$AB$207,3,0),"")</f>
        <v/>
      </c>
      <c r="M34" s="543" t="str">
        <f ca="1">IFERROR(VLOOKUP($C34&amp;M$31,Calc!$Z$64:$AB$207,3,0),"")</f>
        <v/>
      </c>
      <c r="N34" s="543" t="str">
        <f ca="1">IFERROR(VLOOKUP($C34&amp;N$31,Calc!$Z$64:$AB$207,3,0),"")</f>
        <v/>
      </c>
      <c r="O34" s="543" t="str">
        <f ca="1">IFERROR(VLOOKUP($C34&amp;O$31,Calc!$Z$64:$AB$207,3,0),"")</f>
        <v/>
      </c>
      <c r="P34" s="576" t="str">
        <f ca="1">IFERROR(VLOOKUP($C34&amp;P$31,Calc!$Z$64:$AB$207,3,0),"")</f>
        <v/>
      </c>
      <c r="Q34" s="577" t="str">
        <f ca="1">IFERROR(VLOOKUP($C34&amp;Q$31,Calc!$AC$64:$AD$207,2,0),"")</f>
        <v/>
      </c>
      <c r="R34" s="543" t="str">
        <f ca="1">IFERROR(VLOOKUP($C34&amp;R$31,Calc!$AC$64:$AD$207,2,0),"")</f>
        <v/>
      </c>
      <c r="S34" s="575"/>
      <c r="T34" s="543" t="str">
        <f ca="1">IFERROR(VLOOKUP($C34&amp;T$31,Calc!$AC$64:$AD$207,2,0),"")</f>
        <v/>
      </c>
      <c r="U34" s="543" t="str">
        <f ca="1">IFERROR(VLOOKUP($C34&amp;U$31,Calc!$AC$64:$AD$207,2,0),"")</f>
        <v/>
      </c>
      <c r="V34" s="543" t="str">
        <f ca="1">IFERROR(VLOOKUP($C34&amp;V$31,Calc!$AC$64:$AD$207,2,0),"")</f>
        <v/>
      </c>
      <c r="W34" s="543" t="str">
        <f ca="1">IFERROR(VLOOKUP($C34&amp;W$31,Calc!$AC$64:$AD$207,2,0),"")</f>
        <v/>
      </c>
      <c r="X34" s="543" t="str">
        <f ca="1">IFERROR(VLOOKUP($C34&amp;X$31,Calc!$AC$64:$AD$207,2,0),"")</f>
        <v/>
      </c>
      <c r="Y34" s="578" t="str">
        <f ca="1">IFERROR(VLOOKUP($C34&amp;Y$31,Calc!$AC$64:$AD$207,2,0),"")</f>
        <v/>
      </c>
      <c r="Z34" s="551" t="str">
        <f t="shared" ca="1" si="19"/>
        <v/>
      </c>
    </row>
    <row r="35" spans="2:26" ht="21.95" customHeight="1" x14ac:dyDescent="0.2">
      <c r="B35" s="530" t="str">
        <f ca="1">IF($C35="","",INDEX(Results!$V$10:$V$18,MATCH($C35,Results!$W$10:$W$18,0)))</f>
        <v/>
      </c>
      <c r="C35" s="541" t="str">
        <f ca="1">IF(Calc!$K$13=0,"",Calc!$AH7)</f>
        <v/>
      </c>
      <c r="D35" s="542" t="str">
        <f ca="1">IF($C35="","",VLOOKUP($C35,Calc!$C$17:$AD$25,25,0))</f>
        <v/>
      </c>
      <c r="E35" s="577" t="str">
        <f ca="1">IF($C35="","",VLOOKUP($C35,Calc!$C$17:$AF$25,27,0)&amp;Language!$E$90&amp;(VLOOKUP($C35,Calc!$C$17:$AF$25,27,0)-$F35))</f>
        <v/>
      </c>
      <c r="F35" s="543" t="str">
        <f ca="1">IF($C35="","",VLOOKUP($C35,Calc!$C$17:$AD$25,26,0))</f>
        <v/>
      </c>
      <c r="G35" s="544" t="str">
        <f ca="1">IF(C35="","",VLOOKUP(C35,Calc!$C$17:$AB$25,23,0))</f>
        <v/>
      </c>
      <c r="H35" s="574" t="str">
        <f ca="1">IFERROR(VLOOKUP($C35&amp;H$31,Calc!$Z$64:$AB$207,3,0),"")</f>
        <v/>
      </c>
      <c r="I35" s="543" t="str">
        <f ca="1">IFERROR(VLOOKUP($C35&amp;I$31,Calc!$Z$64:$AB$207,3,0),"")</f>
        <v/>
      </c>
      <c r="J35" s="543" t="str">
        <f ca="1">IFERROR(VLOOKUP($C35&amp;J$31,Calc!$Z$64:$AB$207,3,0),"")</f>
        <v/>
      </c>
      <c r="K35" s="575"/>
      <c r="L35" s="543" t="str">
        <f ca="1">IFERROR(VLOOKUP($C35&amp;L$31,Calc!$Z$64:$AB$207,3,0),"")</f>
        <v/>
      </c>
      <c r="M35" s="543" t="str">
        <f ca="1">IFERROR(VLOOKUP($C35&amp;M$31,Calc!$Z$64:$AB$207,3,0),"")</f>
        <v/>
      </c>
      <c r="N35" s="543" t="str">
        <f ca="1">IFERROR(VLOOKUP($C35&amp;N$31,Calc!$Z$64:$AB$207,3,0),"")</f>
        <v/>
      </c>
      <c r="O35" s="543" t="str">
        <f ca="1">IFERROR(VLOOKUP($C35&amp;O$31,Calc!$Z$64:$AB$207,3,0),"")</f>
        <v/>
      </c>
      <c r="P35" s="576" t="str">
        <f ca="1">IFERROR(VLOOKUP($C35&amp;P$31,Calc!$Z$64:$AB$207,3,0),"")</f>
        <v/>
      </c>
      <c r="Q35" s="577" t="str">
        <f ca="1">IFERROR(VLOOKUP($C35&amp;Q$31,Calc!$AC$64:$AD$207,2,0),"")</f>
        <v/>
      </c>
      <c r="R35" s="543" t="str">
        <f ca="1">IFERROR(VLOOKUP($C35&amp;R$31,Calc!$AC$64:$AD$207,2,0),"")</f>
        <v/>
      </c>
      <c r="S35" s="543" t="str">
        <f ca="1">IFERROR(VLOOKUP($C35&amp;S$31,Calc!$AC$64:$AD$207,2,0),"")</f>
        <v/>
      </c>
      <c r="T35" s="575"/>
      <c r="U35" s="543" t="str">
        <f ca="1">IFERROR(VLOOKUP($C35&amp;U$31,Calc!$AC$64:$AD$207,2,0),"")</f>
        <v/>
      </c>
      <c r="V35" s="543" t="str">
        <f ca="1">IFERROR(VLOOKUP($C35&amp;V$31,Calc!$AC$64:$AD$207,2,0),"")</f>
        <v/>
      </c>
      <c r="W35" s="543" t="str">
        <f ca="1">IFERROR(VLOOKUP($C35&amp;W$31,Calc!$AC$64:$AD$207,2,0),"")</f>
        <v/>
      </c>
      <c r="X35" s="543" t="str">
        <f ca="1">IFERROR(VLOOKUP($C35&amp;X$31,Calc!$AC$64:$AD$207,2,0),"")</f>
        <v/>
      </c>
      <c r="Y35" s="578" t="str">
        <f ca="1">IFERROR(VLOOKUP($C35&amp;Y$31,Calc!$AC$64:$AD$207,2,0),"")</f>
        <v/>
      </c>
      <c r="Z35" s="551" t="str">
        <f t="shared" ca="1" si="19"/>
        <v/>
      </c>
    </row>
    <row r="36" spans="2:26" ht="21.95" customHeight="1" x14ac:dyDescent="0.2">
      <c r="B36" s="530" t="str">
        <f ca="1">IF($C36="","",INDEX(Results!$V$10:$V$18,MATCH($C36,Results!$W$10:$W$18,0)))</f>
        <v/>
      </c>
      <c r="C36" s="541" t="str">
        <f ca="1">IF(Calc!$K$13=0,"",Calc!$AH8)</f>
        <v/>
      </c>
      <c r="D36" s="542" t="str">
        <f ca="1">IF($C36="","",VLOOKUP($C36,Calc!$C$17:$AD$25,25,0))</f>
        <v/>
      </c>
      <c r="E36" s="577" t="str">
        <f ca="1">IF($C36="","",VLOOKUP($C36,Calc!$C$17:$AF$25,27,0)&amp;Language!$E$90&amp;(VLOOKUP($C36,Calc!$C$17:$AF$25,27,0)-$F36))</f>
        <v/>
      </c>
      <c r="F36" s="543" t="str">
        <f ca="1">IF($C36="","",VLOOKUP($C36,Calc!$C$17:$AD$25,26,0))</f>
        <v/>
      </c>
      <c r="G36" s="544" t="str">
        <f ca="1">IF(C36="","",VLOOKUP(C36,Calc!$C$17:$AB$25,23,0))</f>
        <v/>
      </c>
      <c r="H36" s="574" t="str">
        <f ca="1">IFERROR(VLOOKUP($C36&amp;H$31,Calc!$Z$64:$AB$207,3,0),"")</f>
        <v/>
      </c>
      <c r="I36" s="543" t="str">
        <f ca="1">IFERROR(VLOOKUP($C36&amp;I$31,Calc!$Z$64:$AB$207,3,0),"")</f>
        <v/>
      </c>
      <c r="J36" s="543" t="str">
        <f ca="1">IFERROR(VLOOKUP($C36&amp;J$31,Calc!$Z$64:$AB$207,3,0),"")</f>
        <v/>
      </c>
      <c r="K36" s="543" t="str">
        <f ca="1">IFERROR(VLOOKUP($C36&amp;K$31,Calc!$Z$64:$AB$207,3,0),"")</f>
        <v/>
      </c>
      <c r="L36" s="575"/>
      <c r="M36" s="543" t="str">
        <f ca="1">IFERROR(VLOOKUP($C36&amp;M$31,Calc!$Z$64:$AB$207,3,0),"")</f>
        <v/>
      </c>
      <c r="N36" s="543" t="str">
        <f ca="1">IFERROR(VLOOKUP($C36&amp;N$31,Calc!$Z$64:$AB$207,3,0),"")</f>
        <v/>
      </c>
      <c r="O36" s="543" t="str">
        <f ca="1">IFERROR(VLOOKUP($C36&amp;O$31,Calc!$Z$64:$AB$207,3,0),"")</f>
        <v/>
      </c>
      <c r="P36" s="576" t="str">
        <f ca="1">IFERROR(VLOOKUP($C36&amp;P$31,Calc!$Z$64:$AB$207,3,0),"")</f>
        <v/>
      </c>
      <c r="Q36" s="577" t="str">
        <f ca="1">IFERROR(VLOOKUP($C36&amp;Q$31,Calc!$AC$64:$AD$207,2,0),"")</f>
        <v/>
      </c>
      <c r="R36" s="543" t="str">
        <f ca="1">IFERROR(VLOOKUP($C36&amp;R$31,Calc!$AC$64:$AD$207,2,0),"")</f>
        <v/>
      </c>
      <c r="S36" s="543" t="str">
        <f ca="1">IFERROR(VLOOKUP($C36&amp;S$31,Calc!$AC$64:$AD$207,2,0),"")</f>
        <v/>
      </c>
      <c r="T36" s="543" t="str">
        <f ca="1">IFERROR(VLOOKUP($C36&amp;T$31,Calc!$AC$64:$AD$207,2,0),"")</f>
        <v/>
      </c>
      <c r="U36" s="575"/>
      <c r="V36" s="543" t="str">
        <f ca="1">IFERROR(VLOOKUP($C36&amp;V$31,Calc!$AC$64:$AD$207,2,0),"")</f>
        <v/>
      </c>
      <c r="W36" s="543" t="str">
        <f ca="1">IFERROR(VLOOKUP($C36&amp;W$31,Calc!$AC$64:$AD$207,2,0),"")</f>
        <v/>
      </c>
      <c r="X36" s="543" t="str">
        <f ca="1">IFERROR(VLOOKUP($C36&amp;X$31,Calc!$AC$64:$AD$207,2,0),"")</f>
        <v/>
      </c>
      <c r="Y36" s="578" t="str">
        <f ca="1">IFERROR(VLOOKUP($C36&amp;Y$31,Calc!$AC$64:$AD$207,2,0),"")</f>
        <v/>
      </c>
      <c r="Z36" s="551" t="str">
        <f t="shared" ca="1" si="19"/>
        <v/>
      </c>
    </row>
    <row r="37" spans="2:26" ht="21.95" customHeight="1" x14ac:dyDescent="0.2">
      <c r="B37" s="530" t="str">
        <f ca="1">IF($C37="","",INDEX(Results!$V$10:$V$18,MATCH($C37,Results!$W$10:$W$18,0)))</f>
        <v/>
      </c>
      <c r="C37" s="541" t="str">
        <f ca="1">IF(Calc!$K$13=0,"",Calc!$AH9)</f>
        <v/>
      </c>
      <c r="D37" s="542" t="str">
        <f ca="1">IF($C37="","",VLOOKUP($C37,Calc!$C$17:$AD$25,25,0))</f>
        <v/>
      </c>
      <c r="E37" s="577" t="str">
        <f ca="1">IF($C37="","",VLOOKUP($C37,Calc!$C$17:$AF$25,27,0)&amp;Language!$E$90&amp;(VLOOKUP($C37,Calc!$C$17:$AF$25,27,0)-$F37))</f>
        <v/>
      </c>
      <c r="F37" s="543" t="str">
        <f ca="1">IF($C37="","",VLOOKUP($C37,Calc!$C$17:$AD$25,26,0))</f>
        <v/>
      </c>
      <c r="G37" s="544" t="str">
        <f ca="1">IF(C37="","",VLOOKUP(C37,Calc!$C$17:$AB$25,23,0))</f>
        <v/>
      </c>
      <c r="H37" s="574" t="str">
        <f ca="1">IFERROR(VLOOKUP($C37&amp;H$31,Calc!$Z$64:$AB$207,3,0),"")</f>
        <v/>
      </c>
      <c r="I37" s="543" t="str">
        <f ca="1">IFERROR(VLOOKUP($C37&amp;I$31,Calc!$Z$64:$AB$207,3,0),"")</f>
        <v/>
      </c>
      <c r="J37" s="543" t="str">
        <f ca="1">IFERROR(VLOOKUP($C37&amp;J$31,Calc!$Z$64:$AB$207,3,0),"")</f>
        <v/>
      </c>
      <c r="K37" s="543" t="str">
        <f ca="1">IFERROR(VLOOKUP($C37&amp;K$31,Calc!$Z$64:$AB$207,3,0),"")</f>
        <v/>
      </c>
      <c r="L37" s="543" t="str">
        <f ca="1">IFERROR(VLOOKUP($C37&amp;L$31,Calc!$Z$64:$AB$207,3,0),"")</f>
        <v/>
      </c>
      <c r="M37" s="575"/>
      <c r="N37" s="543" t="str">
        <f ca="1">IFERROR(VLOOKUP($C37&amp;N$31,Calc!$Z$64:$AB$207,3,0),"")</f>
        <v/>
      </c>
      <c r="O37" s="543" t="str">
        <f ca="1">IFERROR(VLOOKUP($C37&amp;O$31,Calc!$Z$64:$AB$207,3,0),"")</f>
        <v/>
      </c>
      <c r="P37" s="576" t="str">
        <f ca="1">IFERROR(VLOOKUP($C37&amp;P$31,Calc!$Z$64:$AB$207,3,0),"")</f>
        <v/>
      </c>
      <c r="Q37" s="577" t="str">
        <f ca="1">IFERROR(VLOOKUP($C37&amp;Q$31,Calc!$AC$64:$AD$207,2,0),"")</f>
        <v/>
      </c>
      <c r="R37" s="543" t="str">
        <f ca="1">IFERROR(VLOOKUP($C37&amp;R$31,Calc!$AC$64:$AD$207,2,0),"")</f>
        <v/>
      </c>
      <c r="S37" s="543" t="str">
        <f ca="1">IFERROR(VLOOKUP($C37&amp;S$31,Calc!$AC$64:$AD$207,2,0),"")</f>
        <v/>
      </c>
      <c r="T37" s="543" t="str">
        <f ca="1">IFERROR(VLOOKUP($C37&amp;T$31,Calc!$AC$64:$AD$207,2,0),"")</f>
        <v/>
      </c>
      <c r="U37" s="543" t="str">
        <f ca="1">IFERROR(VLOOKUP($C37&amp;U$31,Calc!$AC$64:$AD$207,2,0),"")</f>
        <v/>
      </c>
      <c r="V37" s="575"/>
      <c r="W37" s="543" t="str">
        <f ca="1">IFERROR(VLOOKUP($C37&amp;W$31,Calc!$AC$64:$AD$207,2,0),"")</f>
        <v/>
      </c>
      <c r="X37" s="543" t="str">
        <f ca="1">IFERROR(VLOOKUP($C37&amp;X$31,Calc!$AC$64:$AD$207,2,0),"")</f>
        <v/>
      </c>
      <c r="Y37" s="578" t="str">
        <f ca="1">IFERROR(VLOOKUP($C37&amp;Y$31,Calc!$AC$64:$AD$207,2,0),"")</f>
        <v/>
      </c>
      <c r="Z37" s="551" t="str">
        <f t="shared" ca="1" si="19"/>
        <v/>
      </c>
    </row>
    <row r="38" spans="2:26" ht="21.95" customHeight="1" x14ac:dyDescent="0.2">
      <c r="B38" s="530" t="str">
        <f ca="1">IF($C38="","",INDEX(Results!$V$10:$V$18,MATCH($C38,Results!$W$10:$W$18,0)))</f>
        <v/>
      </c>
      <c r="C38" s="541" t="str">
        <f ca="1">IF(Calc!$K$13=0,"",Calc!$AH10)</f>
        <v/>
      </c>
      <c r="D38" s="542" t="str">
        <f ca="1">IF($C38="","",VLOOKUP($C38,Calc!$C$17:$AD$25,25,0))</f>
        <v/>
      </c>
      <c r="E38" s="577" t="str">
        <f ca="1">IF($C38="","",VLOOKUP($C38,Calc!$C$17:$AF$25,27,0)&amp;Language!$E$90&amp;(VLOOKUP($C38,Calc!$C$17:$AF$25,27,0)-$F38))</f>
        <v/>
      </c>
      <c r="F38" s="543" t="str">
        <f ca="1">IF($C38="","",VLOOKUP($C38,Calc!$C$17:$AD$25,26,0))</f>
        <v/>
      </c>
      <c r="G38" s="544" t="str">
        <f ca="1">IF(C38="","",VLOOKUP(C38,Calc!$C$17:$AB$25,23,0))</f>
        <v/>
      </c>
      <c r="H38" s="574" t="str">
        <f ca="1">IFERROR(VLOOKUP($C38&amp;H$31,Calc!$Z$64:$AB$207,3,0),"")</f>
        <v/>
      </c>
      <c r="I38" s="543" t="str">
        <f ca="1">IFERROR(VLOOKUP($C38&amp;I$31,Calc!$Z$64:$AB$207,3,0),"")</f>
        <v/>
      </c>
      <c r="J38" s="543" t="str">
        <f ca="1">IFERROR(VLOOKUP($C38&amp;J$31,Calc!$Z$64:$AB$207,3,0),"")</f>
        <v/>
      </c>
      <c r="K38" s="543" t="str">
        <f ca="1">IFERROR(VLOOKUP($C38&amp;K$31,Calc!$Z$64:$AB$207,3,0),"")</f>
        <v/>
      </c>
      <c r="L38" s="543" t="str">
        <f ca="1">IFERROR(VLOOKUP($C38&amp;L$31,Calc!$Z$64:$AB$207,3,0),"")</f>
        <v/>
      </c>
      <c r="M38" s="543" t="str">
        <f ca="1">IFERROR(VLOOKUP($C38&amp;M$31,Calc!$Z$64:$AB$207,3,0),"")</f>
        <v/>
      </c>
      <c r="N38" s="575"/>
      <c r="O38" s="543" t="str">
        <f ca="1">IFERROR(VLOOKUP($C38&amp;O$31,Calc!$Z$64:$AB$207,3,0),"")</f>
        <v/>
      </c>
      <c r="P38" s="576" t="str">
        <f ca="1">IFERROR(VLOOKUP($C38&amp;P$31,Calc!$Z$64:$AB$207,3,0),"")</f>
        <v/>
      </c>
      <c r="Q38" s="577" t="str">
        <f ca="1">IFERROR(VLOOKUP($C38&amp;Q$31,Calc!$AC$64:$AD$207,2,0),"")</f>
        <v/>
      </c>
      <c r="R38" s="543" t="str">
        <f ca="1">IFERROR(VLOOKUP($C38&amp;R$31,Calc!$AC$64:$AD$207,2,0),"")</f>
        <v/>
      </c>
      <c r="S38" s="543" t="str">
        <f ca="1">IFERROR(VLOOKUP($C38&amp;S$31,Calc!$AC$64:$AD$207,2,0),"")</f>
        <v/>
      </c>
      <c r="T38" s="543" t="str">
        <f ca="1">IFERROR(VLOOKUP($C38&amp;T$31,Calc!$AC$64:$AD$207,2,0),"")</f>
        <v/>
      </c>
      <c r="U38" s="543" t="str">
        <f ca="1">IFERROR(VLOOKUP($C38&amp;U$31,Calc!$AC$64:$AD$207,2,0),"")</f>
        <v/>
      </c>
      <c r="V38" s="543" t="str">
        <f ca="1">IFERROR(VLOOKUP($C38&amp;V$31,Calc!$AC$64:$AD$207,2,0),"")</f>
        <v/>
      </c>
      <c r="W38" s="575"/>
      <c r="X38" s="543" t="str">
        <f ca="1">IFERROR(VLOOKUP($C38&amp;X$31,Calc!$AC$64:$AD$207,2,0),"")</f>
        <v/>
      </c>
      <c r="Y38" s="578" t="str">
        <f ca="1">IFERROR(VLOOKUP($C38&amp;Y$31,Calc!$AC$64:$AD$207,2,0),"")</f>
        <v/>
      </c>
      <c r="Z38" s="551" t="str">
        <f t="shared" ca="1" si="19"/>
        <v/>
      </c>
    </row>
    <row r="39" spans="2:26" ht="21.95" customHeight="1" x14ac:dyDescent="0.2">
      <c r="B39" s="530" t="str">
        <f ca="1">IF($C39="","",INDEX(Results!$V$10:$V$18,MATCH($C39,Results!$W$10:$W$18,0)))</f>
        <v/>
      </c>
      <c r="C39" s="541" t="str">
        <f ca="1">IF(Calc!$K$13=0,"",Calc!$AH11)</f>
        <v/>
      </c>
      <c r="D39" s="542" t="str">
        <f ca="1">IF($C39="","",VLOOKUP($C39,Calc!$C$17:$AD$25,25,0))</f>
        <v/>
      </c>
      <c r="E39" s="577" t="str">
        <f ca="1">IF($C39="","",VLOOKUP($C39,Calc!$C$17:$AF$25,27,0)&amp;Language!$E$90&amp;(VLOOKUP($C39,Calc!$C$17:$AF$25,27,0)-$F39))</f>
        <v/>
      </c>
      <c r="F39" s="543" t="str">
        <f ca="1">IF($C39="","",VLOOKUP($C39,Calc!$C$17:$AD$25,26,0))</f>
        <v/>
      </c>
      <c r="G39" s="544" t="str">
        <f ca="1">IF(C39="","",VLOOKUP(C39,Calc!$C$17:$AB$25,23,0))</f>
        <v/>
      </c>
      <c r="H39" s="574" t="str">
        <f ca="1">IFERROR(VLOOKUP($C39&amp;H$31,Calc!$Z$64:$AB$207,3,0),"")</f>
        <v/>
      </c>
      <c r="I39" s="543" t="str">
        <f ca="1">IFERROR(VLOOKUP($C39&amp;I$31,Calc!$Z$64:$AB$207,3,0),"")</f>
        <v/>
      </c>
      <c r="J39" s="543" t="str">
        <f ca="1">IFERROR(VLOOKUP($C39&amp;J$31,Calc!$Z$64:$AB$207,3,0),"")</f>
        <v/>
      </c>
      <c r="K39" s="543" t="str">
        <f ca="1">IFERROR(VLOOKUP($C39&amp;K$31,Calc!$Z$64:$AB$207,3,0),"")</f>
        <v/>
      </c>
      <c r="L39" s="543" t="str">
        <f ca="1">IFERROR(VLOOKUP($C39&amp;L$31,Calc!$Z$64:$AB$207,3,0),"")</f>
        <v/>
      </c>
      <c r="M39" s="543" t="str">
        <f ca="1">IFERROR(VLOOKUP($C39&amp;M$31,Calc!$Z$64:$AB$207,3,0),"")</f>
        <v/>
      </c>
      <c r="N39" s="543" t="str">
        <f ca="1">IFERROR(VLOOKUP($C39&amp;N$31,Calc!$Z$64:$AB$207,3,0),"")</f>
        <v/>
      </c>
      <c r="O39" s="575"/>
      <c r="P39" s="576" t="str">
        <f ca="1">IFERROR(VLOOKUP($C39&amp;P$31,Calc!$Z$64:$AB$207,3,0),"")</f>
        <v/>
      </c>
      <c r="Q39" s="577" t="str">
        <f ca="1">IFERROR(VLOOKUP($C39&amp;Q$31,Calc!$AC$64:$AD$207,2,0),"")</f>
        <v/>
      </c>
      <c r="R39" s="543" t="str">
        <f ca="1">IFERROR(VLOOKUP($C39&amp;R$31,Calc!$AC$64:$AD$207,2,0),"")</f>
        <v/>
      </c>
      <c r="S39" s="543" t="str">
        <f ca="1">IFERROR(VLOOKUP($C39&amp;S$31,Calc!$AC$64:$AD$207,2,0),"")</f>
        <v/>
      </c>
      <c r="T39" s="543" t="str">
        <f ca="1">IFERROR(VLOOKUP($C39&amp;T$31,Calc!$AC$64:$AD$207,2,0),"")</f>
        <v/>
      </c>
      <c r="U39" s="543" t="str">
        <f ca="1">IFERROR(VLOOKUP($C39&amp;U$31,Calc!$AC$64:$AD$207,2,0),"")</f>
        <v/>
      </c>
      <c r="V39" s="543" t="str">
        <f ca="1">IFERROR(VLOOKUP($C39&amp;V$31,Calc!$AC$64:$AD$207,2,0),"")</f>
        <v/>
      </c>
      <c r="W39" s="543" t="str">
        <f ca="1">IFERROR(VLOOKUP($C39&amp;W$31,Calc!$AC$64:$AD$207,2,0),"")</f>
        <v/>
      </c>
      <c r="X39" s="575"/>
      <c r="Y39" s="578" t="str">
        <f ca="1">IFERROR(VLOOKUP($C39&amp;Y$31,Calc!$AC$64:$AD$207,2,0),"")</f>
        <v/>
      </c>
      <c r="Z39" s="551" t="str">
        <f t="shared" ca="1" si="19"/>
        <v/>
      </c>
    </row>
    <row r="40" spans="2:26" ht="21.95" customHeight="1" thickBot="1" x14ac:dyDescent="0.25">
      <c r="B40" s="552" t="str">
        <f ca="1">IF($C40="","",INDEX(Results!$V$10:$V$18,MATCH($C40,Results!$W$10:$W$18,0)))</f>
        <v/>
      </c>
      <c r="C40" s="553" t="str">
        <f ca="1">IF(Calc!$K$13=0,"",Calc!$AH12)</f>
        <v/>
      </c>
      <c r="D40" s="554" t="str">
        <f ca="1">IF($C40="","",VLOOKUP($C40,Calc!$C$17:$AD$25,25,0))</f>
        <v/>
      </c>
      <c r="E40" s="581" t="str">
        <f ca="1">IF($C40="","",VLOOKUP($C40,Calc!$C$17:$AF$25,27,0)&amp;Language!$E$90&amp;(VLOOKUP($C40,Calc!$C$17:$AF$25,27,0)-$F40))</f>
        <v/>
      </c>
      <c r="F40" s="555" t="str">
        <f ca="1">IF($C40="","",VLOOKUP($C40,Calc!$C$17:$AD$25,26,0))</f>
        <v/>
      </c>
      <c r="G40" s="556" t="str">
        <f ca="1">IF(C40="","",VLOOKUP(C40,Calc!$C$17:$AB$25,23,0))</f>
        <v/>
      </c>
      <c r="H40" s="579" t="str">
        <f ca="1">IFERROR(VLOOKUP($C40&amp;H$31,Calc!$Z$64:$AB$207,3,0),"")</f>
        <v/>
      </c>
      <c r="I40" s="555" t="str">
        <f ca="1">IFERROR(VLOOKUP($C40&amp;I$31,Calc!$Z$64:$AB$207,3,0),"")</f>
        <v/>
      </c>
      <c r="J40" s="555" t="str">
        <f ca="1">IFERROR(VLOOKUP($C40&amp;J$31,Calc!$Z$64:$AB$207,3,0),"")</f>
        <v/>
      </c>
      <c r="K40" s="555" t="str">
        <f ca="1">IFERROR(VLOOKUP($C40&amp;K$31,Calc!$Z$64:$AB$207,3,0),"")</f>
        <v/>
      </c>
      <c r="L40" s="555" t="str">
        <f ca="1">IFERROR(VLOOKUP($C40&amp;L$31,Calc!$Z$64:$AB$207,3,0),"")</f>
        <v/>
      </c>
      <c r="M40" s="555" t="str">
        <f ca="1">IFERROR(VLOOKUP($C40&amp;M$31,Calc!$Z$64:$AB$207,3,0),"")</f>
        <v/>
      </c>
      <c r="N40" s="555" t="str">
        <f ca="1">IFERROR(VLOOKUP($C40&amp;N$31,Calc!$Z$64:$AB$207,3,0),"")</f>
        <v/>
      </c>
      <c r="O40" s="555" t="str">
        <f ca="1">IFERROR(VLOOKUP($C40&amp;O$31,Calc!$Z$64:$AB$207,3,0),"")</f>
        <v/>
      </c>
      <c r="P40" s="580"/>
      <c r="Q40" s="581" t="str">
        <f ca="1">IFERROR(VLOOKUP($C40&amp;Q$31,Calc!$AC$64:$AD$207,2,0),"")</f>
        <v/>
      </c>
      <c r="R40" s="555" t="str">
        <f ca="1">IFERROR(VLOOKUP($C40&amp;R$31,Calc!$AC$64:$AD$207,2,0),"")</f>
        <v/>
      </c>
      <c r="S40" s="555" t="str">
        <f ca="1">IFERROR(VLOOKUP($C40&amp;S$31,Calc!$AC$64:$AD$207,2,0),"")</f>
        <v/>
      </c>
      <c r="T40" s="555" t="str">
        <f ca="1">IFERROR(VLOOKUP($C40&amp;T$31,Calc!$AC$64:$AD$207,2,0),"")</f>
        <v/>
      </c>
      <c r="U40" s="555" t="str">
        <f ca="1">IFERROR(VLOOKUP($C40&amp;U$31,Calc!$AC$64:$AD$207,2,0),"")</f>
        <v/>
      </c>
      <c r="V40" s="555" t="str">
        <f ca="1">IFERROR(VLOOKUP($C40&amp;V$31,Calc!$AC$64:$AD$207,2,0),"")</f>
        <v/>
      </c>
      <c r="W40" s="555" t="str">
        <f ca="1">IFERROR(VLOOKUP($C40&amp;W$31,Calc!$AC$64:$AD$207,2,0),"")</f>
        <v/>
      </c>
      <c r="X40" s="555" t="str">
        <f ca="1">IFERROR(VLOOKUP($C40&amp;X$31,Calc!$AC$64:$AD$207,2,0),"")</f>
        <v/>
      </c>
      <c r="Y40" s="582"/>
      <c r="Z40" s="562" t="str">
        <f t="shared" ca="1" si="19"/>
        <v/>
      </c>
    </row>
    <row r="41" spans="2:26" ht="42.75" customHeight="1" thickTop="1" thickBot="1" x14ac:dyDescent="0.25"/>
    <row r="42" spans="2:26" ht="21.95" customHeight="1" thickBot="1" x14ac:dyDescent="0.25">
      <c r="H42" s="517" t="str">
        <f ca="1">IF(LEN(H43)&gt;Settings!$C$33,LEFT(H43,Settings!$C$33)&amp;".",H43)</f>
        <v/>
      </c>
      <c r="I42" s="518" t="str">
        <f ca="1">IF(LEN(I43)&gt;Settings!$C$33,LEFT(I43,Settings!$C$33)&amp;".",I43)</f>
        <v/>
      </c>
      <c r="J42" s="518" t="str">
        <f ca="1">IF(LEN(J43)&gt;Settings!$C$33,LEFT(J43,Settings!$C$33)&amp;".",J43)</f>
        <v/>
      </c>
      <c r="K42" s="518" t="str">
        <f ca="1">IF(LEN(K43)&gt;Settings!$C$33,LEFT(K43,Settings!$C$33)&amp;".",K43)</f>
        <v/>
      </c>
      <c r="L42" s="518" t="str">
        <f ca="1">IF(LEN(L43)&gt;Settings!$C$33,LEFT(L43,Settings!$C$33)&amp;".",L43)</f>
        <v/>
      </c>
      <c r="M42" s="518" t="str">
        <f ca="1">IF(LEN(M43)&gt;Settings!$C$33,LEFT(M43,Settings!$C$33)&amp;".",M43)</f>
        <v/>
      </c>
      <c r="N42" s="518" t="str">
        <f ca="1">IF(LEN(N43)&gt;Settings!$C$33,LEFT(N43,Settings!$C$33)&amp;".",N43)</f>
        <v/>
      </c>
      <c r="O42" s="518" t="str">
        <f ca="1">IF(LEN(O43)&gt;Settings!$C$33,LEFT(O43,Settings!$C$33)&amp;".",O43)</f>
        <v/>
      </c>
      <c r="P42" s="519" t="str">
        <f ca="1">IF(LEN(P43)&gt;Settings!$C$33,LEFT(P43,Settings!$C$33)&amp;".",P43)</f>
        <v/>
      </c>
      <c r="Q42" s="520" t="str">
        <f ca="1">H42</f>
        <v/>
      </c>
      <c r="R42" s="518" t="str">
        <f t="shared" ref="R42" ca="1" si="20">I42</f>
        <v/>
      </c>
      <c r="S42" s="518" t="str">
        <f t="shared" ref="S42" ca="1" si="21">J42</f>
        <v/>
      </c>
      <c r="T42" s="518" t="str">
        <f t="shared" ref="T42" ca="1" si="22">K42</f>
        <v/>
      </c>
      <c r="U42" s="518" t="str">
        <f t="shared" ref="U42" ca="1" si="23">L42</f>
        <v/>
      </c>
      <c r="V42" s="518" t="str">
        <f t="shared" ref="V42" ca="1" si="24">M42</f>
        <v/>
      </c>
      <c r="W42" s="518" t="str">
        <f t="shared" ref="W42" ca="1" si="25">N42</f>
        <v/>
      </c>
      <c r="X42" s="518" t="str">
        <f t="shared" ref="X42" ca="1" si="26">O42</f>
        <v/>
      </c>
      <c r="Y42" s="519" t="str">
        <f t="shared" ref="Y42" ca="1" si="27">P42</f>
        <v/>
      </c>
    </row>
    <row r="43" spans="2:26" ht="21.95" customHeight="1" thickTop="1" thickBot="1" x14ac:dyDescent="0.25">
      <c r="B43" s="521"/>
      <c r="C43" s="568" t="str">
        <f>Language!$E$10</f>
        <v>Participant or team</v>
      </c>
      <c r="D43" s="569" t="str">
        <f>Language!$E$71</f>
        <v>Setpts.</v>
      </c>
      <c r="E43" s="523" t="str">
        <f>Language!$E$57</f>
        <v>balls</v>
      </c>
      <c r="F43" s="524" t="str">
        <f>Language!$E$26</f>
        <v>GD</v>
      </c>
      <c r="G43" s="525" t="str">
        <f>Language!$E$6</f>
        <v>Tie break</v>
      </c>
      <c r="H43" s="526" t="str">
        <f ca="1">C44</f>
        <v/>
      </c>
      <c r="I43" s="527" t="str">
        <f ca="1">C45</f>
        <v/>
      </c>
      <c r="J43" s="527" t="str">
        <f ca="1">C46</f>
        <v/>
      </c>
      <c r="K43" s="527" t="str">
        <f ca="1">C47</f>
        <v/>
      </c>
      <c r="L43" s="527" t="str">
        <f ca="1">C48</f>
        <v/>
      </c>
      <c r="M43" s="527" t="str">
        <f ca="1">C49</f>
        <v/>
      </c>
      <c r="N43" s="527" t="str">
        <f ca="1">C50</f>
        <v/>
      </c>
      <c r="O43" s="527" t="str">
        <f ca="1">C51</f>
        <v/>
      </c>
      <c r="P43" s="528" t="str">
        <f ca="1">C52</f>
        <v/>
      </c>
      <c r="Q43" s="526" t="str">
        <f ca="1">C44</f>
        <v/>
      </c>
      <c r="R43" s="527" t="str">
        <f ca="1">C45</f>
        <v/>
      </c>
      <c r="S43" s="527" t="str">
        <f ca="1">C46</f>
        <v/>
      </c>
      <c r="T43" s="527" t="str">
        <f ca="1">C47</f>
        <v/>
      </c>
      <c r="U43" s="527" t="str">
        <f ca="1">C48</f>
        <v/>
      </c>
      <c r="V43" s="527" t="str">
        <f ca="1">C49</f>
        <v/>
      </c>
      <c r="W43" s="527" t="str">
        <f ca="1">C50</f>
        <v/>
      </c>
      <c r="X43" s="527" t="str">
        <f ca="1">C51</f>
        <v/>
      </c>
      <c r="Y43" s="529" t="str">
        <f ca="1">C52</f>
        <v/>
      </c>
    </row>
    <row r="44" spans="2:26" ht="21.95" customHeight="1" x14ac:dyDescent="0.2">
      <c r="B44" s="530" t="str">
        <f ca="1">IF($C44="","",INDEX(Results!$V$10:$V$18,MATCH($C44,Results!$W$10:$W$18,0)))</f>
        <v/>
      </c>
      <c r="C44" s="531" t="str">
        <f ca="1">IF(Calc!$K$13=0,"",Calc!$AM4)</f>
        <v/>
      </c>
      <c r="D44" s="532" t="str">
        <f ca="1">IF($C44="","",VLOOKUP($C44,Calc!$C$17:$AD$25,25,0))</f>
        <v/>
      </c>
      <c r="E44" s="583" t="str">
        <f ca="1">IF($C44="","",VLOOKUP($C44,Calc!$C$17:$AF$25,27,0)&amp;Language!$E$90&amp;(VLOOKUP($C44,Calc!$C$17:$AF$25,27,0)-$F44))</f>
        <v/>
      </c>
      <c r="F44" s="533" t="str">
        <f ca="1">IF($C44="","",VLOOKUP($C44,Calc!$C$17:$AD$25,26,0))</f>
        <v/>
      </c>
      <c r="G44" s="534" t="str">
        <f ca="1">IF(C44="","",VLOOKUP(C44,Calc!$C$17:$AB$25,23,0))</f>
        <v/>
      </c>
      <c r="H44" s="570"/>
      <c r="I44" s="533" t="str">
        <f ca="1">IFERROR(VLOOKUP($C44&amp;I$43,Calc!$Z$64:$AB$207,3,0),"")</f>
        <v/>
      </c>
      <c r="J44" s="533" t="str">
        <f ca="1">IFERROR(VLOOKUP($C44&amp;J$43,Calc!$Z$64:$AB$207,3,0),"")</f>
        <v/>
      </c>
      <c r="K44" s="533" t="str">
        <f ca="1">IFERROR(VLOOKUP($C44&amp;K$43,Calc!$Z$64:$AB$207,3,0),"")</f>
        <v/>
      </c>
      <c r="L44" s="533" t="str">
        <f ca="1">IFERROR(VLOOKUP($C44&amp;L$43,Calc!$Z$64:$AB$207,3,0),"")</f>
        <v/>
      </c>
      <c r="M44" s="533" t="str">
        <f ca="1">IFERROR(VLOOKUP($C44&amp;M$43,Calc!$Z$64:$AB$207,3,0),"")</f>
        <v/>
      </c>
      <c r="N44" s="533" t="str">
        <f ca="1">IFERROR(VLOOKUP($C44&amp;N$43,Calc!$Z$64:$AB$207,3,0),"")</f>
        <v/>
      </c>
      <c r="O44" s="533" t="str">
        <f ca="1">IFERROR(VLOOKUP($C44&amp;O$43,Calc!$Z$64:$AB$207,3,0),"")</f>
        <v/>
      </c>
      <c r="P44" s="571" t="str">
        <f ca="1">IFERROR(VLOOKUP($C44&amp;P$43,Calc!$Z$64:$AB$207,3,0),"")</f>
        <v/>
      </c>
      <c r="Q44" s="572"/>
      <c r="R44" s="533" t="str">
        <f ca="1">IFERROR(VLOOKUP($C44&amp;R$43,Calc!$AC$64:$AD$207,2,0),"")</f>
        <v/>
      </c>
      <c r="S44" s="533" t="str">
        <f ca="1">IFERROR(VLOOKUP($C44&amp;S$43,Calc!$AC$64:$AD$207,2,0),"")</f>
        <v/>
      </c>
      <c r="T44" s="533" t="str">
        <f ca="1">IFERROR(VLOOKUP($C44&amp;T$43,Calc!$AC$64:$AD$207,2,0),"")</f>
        <v/>
      </c>
      <c r="U44" s="533" t="str">
        <f ca="1">IFERROR(VLOOKUP($C44&amp;U$43,Calc!$AC$64:$AD$207,2,0),"")</f>
        <v/>
      </c>
      <c r="V44" s="533" t="str">
        <f ca="1">IFERROR(VLOOKUP($C44&amp;V$43,Calc!$AC$64:$AD$207,2,0),"")</f>
        <v/>
      </c>
      <c r="W44" s="533" t="str">
        <f ca="1">IFERROR(VLOOKUP($C44&amp;W$43,Calc!$AC$64:$AD$207,2,0),"")</f>
        <v/>
      </c>
      <c r="X44" s="533" t="str">
        <f ca="1">IFERROR(VLOOKUP($C44&amp;X$43,Calc!$AC$64:$AD$207,2,0),"")</f>
        <v/>
      </c>
      <c r="Y44" s="573" t="str">
        <f ca="1">IFERROR(VLOOKUP($C44&amp;Y$43,Calc!$AC$64:$AD$207,2,0),"")</f>
        <v/>
      </c>
      <c r="Z44" s="540" t="str">
        <f ca="1">C44</f>
        <v/>
      </c>
    </row>
    <row r="45" spans="2:26" ht="21.95" customHeight="1" x14ac:dyDescent="0.2">
      <c r="B45" s="530" t="str">
        <f ca="1">IF($C45="","",INDEX(Results!$V$10:$V$18,MATCH($C45,Results!$W$10:$W$18,0)))</f>
        <v/>
      </c>
      <c r="C45" s="541" t="str">
        <f ca="1">IF(Calc!$K$13=0,"",Calc!$AM5)</f>
        <v/>
      </c>
      <c r="D45" s="542" t="str">
        <f ca="1">IF($C45="","",VLOOKUP($C45,Calc!$C$17:$AD$25,25,0))</f>
        <v/>
      </c>
      <c r="E45" s="577" t="str">
        <f ca="1">IF($C45="","",VLOOKUP($C45,Calc!$C$17:$AF$25,27,0)&amp;Language!$E$90&amp;(VLOOKUP($C45,Calc!$C$17:$AF$25,27,0)-$F45))</f>
        <v/>
      </c>
      <c r="F45" s="543" t="str">
        <f ca="1">IF($C45="","",VLOOKUP($C45,Calc!$C$17:$AD$25,26,0))</f>
        <v/>
      </c>
      <c r="G45" s="544" t="str">
        <f ca="1">IF(C45="","",VLOOKUP(C45,Calc!$C$17:$AB$25,23,0))</f>
        <v/>
      </c>
      <c r="H45" s="574" t="str">
        <f ca="1">IFERROR(VLOOKUP($C45&amp;H$43,Calc!$Z$64:$AB$207,3,0),"")</f>
        <v/>
      </c>
      <c r="I45" s="575"/>
      <c r="J45" s="543" t="str">
        <f ca="1">IFERROR(VLOOKUP($C45&amp;J$43,Calc!$Z$64:$AB$207,3,0),"")</f>
        <v/>
      </c>
      <c r="K45" s="543" t="str">
        <f ca="1">IFERROR(VLOOKUP($C45&amp;K$43,Calc!$Z$64:$AB$207,3,0),"")</f>
        <v/>
      </c>
      <c r="L45" s="543" t="str">
        <f ca="1">IFERROR(VLOOKUP($C45&amp;L$43,Calc!$Z$64:$AB$207,3,0),"")</f>
        <v/>
      </c>
      <c r="M45" s="543" t="str">
        <f ca="1">IFERROR(VLOOKUP($C45&amp;M$43,Calc!$Z$64:$AB$207,3,0),"")</f>
        <v/>
      </c>
      <c r="N45" s="543" t="str">
        <f ca="1">IFERROR(VLOOKUP($C45&amp;N$43,Calc!$Z$64:$AB$207,3,0),"")</f>
        <v/>
      </c>
      <c r="O45" s="543" t="str">
        <f ca="1">IFERROR(VLOOKUP($C45&amp;O$43,Calc!$Z$64:$AB$207,3,0),"")</f>
        <v/>
      </c>
      <c r="P45" s="576" t="str">
        <f ca="1">IFERROR(VLOOKUP($C45&amp;P$43,Calc!$Z$64:$AB$207,3,0),"")</f>
        <v/>
      </c>
      <c r="Q45" s="577" t="str">
        <f ca="1">IFERROR(VLOOKUP($C45&amp;Q$43,Calc!$AC$64:$AD$207,2,0),"")</f>
        <v/>
      </c>
      <c r="R45" s="575"/>
      <c r="S45" s="543" t="str">
        <f ca="1">IFERROR(VLOOKUP($C45&amp;S$43,Calc!$AC$64:$AD$207,2,0),"")</f>
        <v/>
      </c>
      <c r="T45" s="543" t="str">
        <f ca="1">IFERROR(VLOOKUP($C45&amp;T$43,Calc!$AC$64:$AD$207,2,0),"")</f>
        <v/>
      </c>
      <c r="U45" s="543" t="str">
        <f ca="1">IFERROR(VLOOKUP($C45&amp;U$43,Calc!$AC$64:$AD$207,2,0),"")</f>
        <v/>
      </c>
      <c r="V45" s="543" t="str">
        <f ca="1">IFERROR(VLOOKUP($C45&amp;V$43,Calc!$AC$64:$AD$207,2,0),"")</f>
        <v/>
      </c>
      <c r="W45" s="543" t="str">
        <f ca="1">IFERROR(VLOOKUP($C45&amp;W$43,Calc!$AC$64:$AD$207,2,0),"")</f>
        <v/>
      </c>
      <c r="X45" s="543" t="str">
        <f ca="1">IFERROR(VLOOKUP($C45&amp;X$43,Calc!$AC$64:$AD$207,2,0),"")</f>
        <v/>
      </c>
      <c r="Y45" s="578" t="str">
        <f ca="1">IFERROR(VLOOKUP($C45&amp;Y$43,Calc!$AC$64:$AD$207,2,0),"")</f>
        <v/>
      </c>
      <c r="Z45" s="551" t="str">
        <f t="shared" ref="Z45:Z52" ca="1" si="28">C45</f>
        <v/>
      </c>
    </row>
    <row r="46" spans="2:26" ht="21.95" customHeight="1" x14ac:dyDescent="0.2">
      <c r="B46" s="530" t="str">
        <f ca="1">IF($C46="","",INDEX(Results!$V$10:$V$18,MATCH($C46,Results!$W$10:$W$18,0)))</f>
        <v/>
      </c>
      <c r="C46" s="541" t="str">
        <f ca="1">IF(Calc!$K$13=0,"",Calc!$AM6)</f>
        <v/>
      </c>
      <c r="D46" s="542" t="str">
        <f ca="1">IF($C46="","",VLOOKUP($C46,Calc!$C$17:$AD$25,25,0))</f>
        <v/>
      </c>
      <c r="E46" s="577" t="str">
        <f ca="1">IF($C46="","",VLOOKUP($C46,Calc!$C$17:$AF$25,27,0)&amp;Language!$E$90&amp;(VLOOKUP($C46,Calc!$C$17:$AF$25,27,0)-$F46))</f>
        <v/>
      </c>
      <c r="F46" s="543" t="str">
        <f ca="1">IF($C46="","",VLOOKUP($C46,Calc!$C$17:$AD$25,26,0))</f>
        <v/>
      </c>
      <c r="G46" s="544" t="str">
        <f ca="1">IF(C46="","",VLOOKUP(C46,Calc!$C$17:$AB$25,23,0))</f>
        <v/>
      </c>
      <c r="H46" s="574" t="str">
        <f ca="1">IFERROR(VLOOKUP($C46&amp;H$43,Calc!$Z$64:$AB$207,3,0),"")</f>
        <v/>
      </c>
      <c r="I46" s="543" t="str">
        <f ca="1">IFERROR(VLOOKUP($C46&amp;I$43,Calc!$Z$64:$AB$207,3,0),"")</f>
        <v/>
      </c>
      <c r="J46" s="575"/>
      <c r="K46" s="543" t="str">
        <f ca="1">IFERROR(VLOOKUP($C46&amp;K$43,Calc!$Z$64:$AB$207,3,0),"")</f>
        <v/>
      </c>
      <c r="L46" s="543" t="str">
        <f ca="1">IFERROR(VLOOKUP($C46&amp;L$43,Calc!$Z$64:$AB$207,3,0),"")</f>
        <v/>
      </c>
      <c r="M46" s="543" t="str">
        <f ca="1">IFERROR(VLOOKUP($C46&amp;M$43,Calc!$Z$64:$AB$207,3,0),"")</f>
        <v/>
      </c>
      <c r="N46" s="543" t="str">
        <f ca="1">IFERROR(VLOOKUP($C46&amp;N$43,Calc!$Z$64:$AB$207,3,0),"")</f>
        <v/>
      </c>
      <c r="O46" s="543" t="str">
        <f ca="1">IFERROR(VLOOKUP($C46&amp;O$43,Calc!$Z$64:$AB$207,3,0),"")</f>
        <v/>
      </c>
      <c r="P46" s="576" t="str">
        <f ca="1">IFERROR(VLOOKUP($C46&amp;P$43,Calc!$Z$64:$AB$207,3,0),"")</f>
        <v/>
      </c>
      <c r="Q46" s="577" t="str">
        <f ca="1">IFERROR(VLOOKUP($C46&amp;Q$43,Calc!$AC$64:$AD$207,2,0),"")</f>
        <v/>
      </c>
      <c r="R46" s="543" t="str">
        <f ca="1">IFERROR(VLOOKUP($C46&amp;R$43,Calc!$AC$64:$AD$207,2,0),"")</f>
        <v/>
      </c>
      <c r="S46" s="575"/>
      <c r="T46" s="543" t="str">
        <f ca="1">IFERROR(VLOOKUP($C46&amp;T$43,Calc!$AC$64:$AD$207,2,0),"")</f>
        <v/>
      </c>
      <c r="U46" s="543" t="str">
        <f ca="1">IFERROR(VLOOKUP($C46&amp;U$43,Calc!$AC$64:$AD$207,2,0),"")</f>
        <v/>
      </c>
      <c r="V46" s="543" t="str">
        <f ca="1">IFERROR(VLOOKUP($C46&amp;V$43,Calc!$AC$64:$AD$207,2,0),"")</f>
        <v/>
      </c>
      <c r="W46" s="543" t="str">
        <f ca="1">IFERROR(VLOOKUP($C46&amp;W$43,Calc!$AC$64:$AD$207,2,0),"")</f>
        <v/>
      </c>
      <c r="X46" s="543" t="str">
        <f ca="1">IFERROR(VLOOKUP($C46&amp;X$43,Calc!$AC$64:$AD$207,2,0),"")</f>
        <v/>
      </c>
      <c r="Y46" s="578" t="str">
        <f ca="1">IFERROR(VLOOKUP($C46&amp;Y$43,Calc!$AC$64:$AD$207,2,0),"")</f>
        <v/>
      </c>
      <c r="Z46" s="551" t="str">
        <f t="shared" ca="1" si="28"/>
        <v/>
      </c>
    </row>
    <row r="47" spans="2:26" ht="21.95" customHeight="1" x14ac:dyDescent="0.2">
      <c r="B47" s="530" t="str">
        <f ca="1">IF($C47="","",INDEX(Results!$V$10:$V$18,MATCH($C47,Results!$W$10:$W$18,0)))</f>
        <v/>
      </c>
      <c r="C47" s="541" t="str">
        <f ca="1">IF(Calc!$K$13=0,"",Calc!$AM7)</f>
        <v/>
      </c>
      <c r="D47" s="542" t="str">
        <f ca="1">IF($C47="","",VLOOKUP($C47,Calc!$C$17:$AD$25,25,0))</f>
        <v/>
      </c>
      <c r="E47" s="577" t="str">
        <f ca="1">IF($C47="","",VLOOKUP($C47,Calc!$C$17:$AF$25,27,0)&amp;Language!$E$90&amp;(VLOOKUP($C47,Calc!$C$17:$AF$25,27,0)-$F47))</f>
        <v/>
      </c>
      <c r="F47" s="543" t="str">
        <f ca="1">IF($C47="","",VLOOKUP($C47,Calc!$C$17:$AD$25,26,0))</f>
        <v/>
      </c>
      <c r="G47" s="544" t="str">
        <f ca="1">IF(C47="","",VLOOKUP(C47,Calc!$C$17:$AB$25,23,0))</f>
        <v/>
      </c>
      <c r="H47" s="574" t="str">
        <f ca="1">IFERROR(VLOOKUP($C47&amp;H$43,Calc!$Z$64:$AB$207,3,0),"")</f>
        <v/>
      </c>
      <c r="I47" s="543" t="str">
        <f ca="1">IFERROR(VLOOKUP($C47&amp;I$43,Calc!$Z$64:$AB$207,3,0),"")</f>
        <v/>
      </c>
      <c r="J47" s="543" t="str">
        <f ca="1">IFERROR(VLOOKUP($C47&amp;J$43,Calc!$Z$64:$AB$207,3,0),"")</f>
        <v/>
      </c>
      <c r="K47" s="575"/>
      <c r="L47" s="543" t="str">
        <f ca="1">IFERROR(VLOOKUP($C47&amp;L$43,Calc!$Z$64:$AB$207,3,0),"")</f>
        <v/>
      </c>
      <c r="M47" s="543" t="str">
        <f ca="1">IFERROR(VLOOKUP($C47&amp;M$43,Calc!$Z$64:$AB$207,3,0),"")</f>
        <v/>
      </c>
      <c r="N47" s="543" t="str">
        <f ca="1">IFERROR(VLOOKUP($C47&amp;N$43,Calc!$Z$64:$AB$207,3,0),"")</f>
        <v/>
      </c>
      <c r="O47" s="543" t="str">
        <f ca="1">IFERROR(VLOOKUP($C47&amp;O$43,Calc!$Z$64:$AB$207,3,0),"")</f>
        <v/>
      </c>
      <c r="P47" s="576" t="str">
        <f ca="1">IFERROR(VLOOKUP($C47&amp;P$43,Calc!$Z$64:$AB$207,3,0),"")</f>
        <v/>
      </c>
      <c r="Q47" s="577" t="str">
        <f ca="1">IFERROR(VLOOKUP($C47&amp;Q$43,Calc!$AC$64:$AD$207,2,0),"")</f>
        <v/>
      </c>
      <c r="R47" s="543" t="str">
        <f ca="1">IFERROR(VLOOKUP($C47&amp;R$43,Calc!$AC$64:$AD$207,2,0),"")</f>
        <v/>
      </c>
      <c r="S47" s="543" t="str">
        <f ca="1">IFERROR(VLOOKUP($C47&amp;S$43,Calc!$AC$64:$AD$207,2,0),"")</f>
        <v/>
      </c>
      <c r="T47" s="575"/>
      <c r="U47" s="543" t="str">
        <f ca="1">IFERROR(VLOOKUP($C47&amp;U$43,Calc!$AC$64:$AD$207,2,0),"")</f>
        <v/>
      </c>
      <c r="V47" s="543" t="str">
        <f ca="1">IFERROR(VLOOKUP($C47&amp;V$43,Calc!$AC$64:$AD$207,2,0),"")</f>
        <v/>
      </c>
      <c r="W47" s="543" t="str">
        <f ca="1">IFERROR(VLOOKUP($C47&amp;W$43,Calc!$AC$64:$AD$207,2,0),"")</f>
        <v/>
      </c>
      <c r="X47" s="543" t="str">
        <f ca="1">IFERROR(VLOOKUP($C47&amp;X$43,Calc!$AC$64:$AD$207,2,0),"")</f>
        <v/>
      </c>
      <c r="Y47" s="578" t="str">
        <f ca="1">IFERROR(VLOOKUP($C47&amp;Y$43,Calc!$AC$64:$AD$207,2,0),"")</f>
        <v/>
      </c>
      <c r="Z47" s="551" t="str">
        <f t="shared" ca="1" si="28"/>
        <v/>
      </c>
    </row>
    <row r="48" spans="2:26" ht="21.95" customHeight="1" x14ac:dyDescent="0.2">
      <c r="B48" s="530" t="str">
        <f ca="1">IF($C48="","",INDEX(Results!$V$10:$V$18,MATCH($C48,Results!$W$10:$W$18,0)))</f>
        <v/>
      </c>
      <c r="C48" s="541" t="str">
        <f ca="1">IF(Calc!$K$13=0,"",Calc!$AM8)</f>
        <v/>
      </c>
      <c r="D48" s="542" t="str">
        <f ca="1">IF($C48="","",VLOOKUP($C48,Calc!$C$17:$AD$25,25,0))</f>
        <v/>
      </c>
      <c r="E48" s="577" t="str">
        <f ca="1">IF($C48="","",VLOOKUP($C48,Calc!$C$17:$AF$25,27,0)&amp;Language!$E$90&amp;(VLOOKUP($C48,Calc!$C$17:$AF$25,27,0)-$F48))</f>
        <v/>
      </c>
      <c r="F48" s="543" t="str">
        <f ca="1">IF($C48="","",VLOOKUP($C48,Calc!$C$17:$AD$25,26,0))</f>
        <v/>
      </c>
      <c r="G48" s="544" t="str">
        <f ca="1">IF(C48="","",VLOOKUP(C48,Calc!$C$17:$AB$25,23,0))</f>
        <v/>
      </c>
      <c r="H48" s="574" t="str">
        <f ca="1">IFERROR(VLOOKUP($C48&amp;H$43,Calc!$Z$64:$AB$207,3,0),"")</f>
        <v/>
      </c>
      <c r="I48" s="543" t="str">
        <f ca="1">IFERROR(VLOOKUP($C48&amp;I$43,Calc!$Z$64:$AB$207,3,0),"")</f>
        <v/>
      </c>
      <c r="J48" s="543" t="str">
        <f ca="1">IFERROR(VLOOKUP($C48&amp;J$43,Calc!$Z$64:$AB$207,3,0),"")</f>
        <v/>
      </c>
      <c r="K48" s="543" t="str">
        <f ca="1">IFERROR(VLOOKUP($C48&amp;K$43,Calc!$Z$64:$AB$207,3,0),"")</f>
        <v/>
      </c>
      <c r="L48" s="575"/>
      <c r="M48" s="543" t="str">
        <f ca="1">IFERROR(VLOOKUP($C48&amp;M$43,Calc!$Z$64:$AB$207,3,0),"")</f>
        <v/>
      </c>
      <c r="N48" s="543" t="str">
        <f ca="1">IFERROR(VLOOKUP($C48&amp;N$43,Calc!$Z$64:$AB$207,3,0),"")</f>
        <v/>
      </c>
      <c r="O48" s="543" t="str">
        <f ca="1">IFERROR(VLOOKUP($C48&amp;O$43,Calc!$Z$64:$AB$207,3,0),"")</f>
        <v/>
      </c>
      <c r="P48" s="576" t="str">
        <f ca="1">IFERROR(VLOOKUP($C48&amp;P$43,Calc!$Z$64:$AB$207,3,0),"")</f>
        <v/>
      </c>
      <c r="Q48" s="577" t="str">
        <f ca="1">IFERROR(VLOOKUP($C48&amp;Q$43,Calc!$AC$64:$AD$207,2,0),"")</f>
        <v/>
      </c>
      <c r="R48" s="543" t="str">
        <f ca="1">IFERROR(VLOOKUP($C48&amp;R$43,Calc!$AC$64:$AD$207,2,0),"")</f>
        <v/>
      </c>
      <c r="S48" s="543" t="str">
        <f ca="1">IFERROR(VLOOKUP($C48&amp;S$43,Calc!$AC$64:$AD$207,2,0),"")</f>
        <v/>
      </c>
      <c r="T48" s="543" t="str">
        <f ca="1">IFERROR(VLOOKUP($C48&amp;T$43,Calc!$AC$64:$AD$207,2,0),"")</f>
        <v/>
      </c>
      <c r="U48" s="575"/>
      <c r="V48" s="543" t="str">
        <f ca="1">IFERROR(VLOOKUP($C48&amp;V$43,Calc!$AC$64:$AD$207,2,0),"")</f>
        <v/>
      </c>
      <c r="W48" s="543" t="str">
        <f ca="1">IFERROR(VLOOKUP($C48&amp;W$43,Calc!$AC$64:$AD$207,2,0),"")</f>
        <v/>
      </c>
      <c r="X48" s="543" t="str">
        <f ca="1">IFERROR(VLOOKUP($C48&amp;X$43,Calc!$AC$64:$AD$207,2,0),"")</f>
        <v/>
      </c>
      <c r="Y48" s="578" t="str">
        <f ca="1">IFERROR(VLOOKUP($C48&amp;Y$43,Calc!$AC$64:$AD$207,2,0),"")</f>
        <v/>
      </c>
      <c r="Z48" s="551" t="str">
        <f t="shared" ca="1" si="28"/>
        <v/>
      </c>
    </row>
    <row r="49" spans="2:26" ht="21.95" customHeight="1" x14ac:dyDescent="0.2">
      <c r="B49" s="530" t="str">
        <f ca="1">IF($C49="","",INDEX(Results!$V$10:$V$18,MATCH($C49,Results!$W$10:$W$18,0)))</f>
        <v/>
      </c>
      <c r="C49" s="541" t="str">
        <f ca="1">IF(Calc!$K$13=0,"",Calc!$AM9)</f>
        <v/>
      </c>
      <c r="D49" s="542" t="str">
        <f ca="1">IF($C49="","",VLOOKUP($C49,Calc!$C$17:$AD$25,25,0))</f>
        <v/>
      </c>
      <c r="E49" s="577" t="str">
        <f ca="1">IF($C49="","",VLOOKUP($C49,Calc!$C$17:$AF$25,27,0)&amp;Language!$E$90&amp;(VLOOKUP($C49,Calc!$C$17:$AF$25,27,0)-$F49))</f>
        <v/>
      </c>
      <c r="F49" s="543" t="str">
        <f ca="1">IF($C49="","",VLOOKUP($C49,Calc!$C$17:$AD$25,26,0))</f>
        <v/>
      </c>
      <c r="G49" s="544" t="str">
        <f ca="1">IF(C49="","",VLOOKUP(C49,Calc!$C$17:$AB$25,23,0))</f>
        <v/>
      </c>
      <c r="H49" s="574" t="str">
        <f ca="1">IFERROR(VLOOKUP($C49&amp;H$43,Calc!$Z$64:$AB$207,3,0),"")</f>
        <v/>
      </c>
      <c r="I49" s="543" t="str">
        <f ca="1">IFERROR(VLOOKUP($C49&amp;I$43,Calc!$Z$64:$AB$207,3,0),"")</f>
        <v/>
      </c>
      <c r="J49" s="543" t="str">
        <f ca="1">IFERROR(VLOOKUP($C49&amp;J$43,Calc!$Z$64:$AB$207,3,0),"")</f>
        <v/>
      </c>
      <c r="K49" s="543" t="str">
        <f ca="1">IFERROR(VLOOKUP($C49&amp;K$43,Calc!$Z$64:$AB$207,3,0),"")</f>
        <v/>
      </c>
      <c r="L49" s="543" t="str">
        <f ca="1">IFERROR(VLOOKUP($C49&amp;L$43,Calc!$Z$64:$AB$207,3,0),"")</f>
        <v/>
      </c>
      <c r="M49" s="575"/>
      <c r="N49" s="543" t="str">
        <f ca="1">IFERROR(VLOOKUP($C49&amp;N$43,Calc!$Z$64:$AB$207,3,0),"")</f>
        <v/>
      </c>
      <c r="O49" s="543" t="str">
        <f ca="1">IFERROR(VLOOKUP($C49&amp;O$43,Calc!$Z$64:$AB$207,3,0),"")</f>
        <v/>
      </c>
      <c r="P49" s="576" t="str">
        <f ca="1">IFERROR(VLOOKUP($C49&amp;P$43,Calc!$Z$64:$AB$207,3,0),"")</f>
        <v/>
      </c>
      <c r="Q49" s="577" t="str">
        <f ca="1">IFERROR(VLOOKUP($C49&amp;Q$43,Calc!$AC$64:$AD$207,2,0),"")</f>
        <v/>
      </c>
      <c r="R49" s="543" t="str">
        <f ca="1">IFERROR(VLOOKUP($C49&amp;R$43,Calc!$AC$64:$AD$207,2,0),"")</f>
        <v/>
      </c>
      <c r="S49" s="543" t="str">
        <f ca="1">IFERROR(VLOOKUP($C49&amp;S$43,Calc!$AC$64:$AD$207,2,0),"")</f>
        <v/>
      </c>
      <c r="T49" s="543" t="str">
        <f ca="1">IFERROR(VLOOKUP($C49&amp;T$43,Calc!$AC$64:$AD$207,2,0),"")</f>
        <v/>
      </c>
      <c r="U49" s="543" t="str">
        <f ca="1">IFERROR(VLOOKUP($C49&amp;U$43,Calc!$AC$64:$AD$207,2,0),"")</f>
        <v/>
      </c>
      <c r="V49" s="575"/>
      <c r="W49" s="543" t="str">
        <f ca="1">IFERROR(VLOOKUP($C49&amp;W$43,Calc!$AC$64:$AD$207,2,0),"")</f>
        <v/>
      </c>
      <c r="X49" s="543" t="str">
        <f ca="1">IFERROR(VLOOKUP($C49&amp;X$43,Calc!$AC$64:$AD$207,2,0),"")</f>
        <v/>
      </c>
      <c r="Y49" s="578" t="str">
        <f ca="1">IFERROR(VLOOKUP($C49&amp;Y$43,Calc!$AC$64:$AD$207,2,0),"")</f>
        <v/>
      </c>
      <c r="Z49" s="551" t="str">
        <f t="shared" ca="1" si="28"/>
        <v/>
      </c>
    </row>
    <row r="50" spans="2:26" ht="21.95" customHeight="1" x14ac:dyDescent="0.2">
      <c r="B50" s="530" t="str">
        <f ca="1">IF($C50="","",INDEX(Results!$V$10:$V$18,MATCH($C50,Results!$W$10:$W$18,0)))</f>
        <v/>
      </c>
      <c r="C50" s="541" t="str">
        <f ca="1">IF(Calc!$K$13=0,"",Calc!$AM10)</f>
        <v/>
      </c>
      <c r="D50" s="542" t="str">
        <f ca="1">IF($C50="","",VLOOKUP($C50,Calc!$C$17:$AD$25,25,0))</f>
        <v/>
      </c>
      <c r="E50" s="577" t="str">
        <f ca="1">IF($C50="","",VLOOKUP($C50,Calc!$C$17:$AF$25,27,0)&amp;Language!$E$90&amp;(VLOOKUP($C50,Calc!$C$17:$AF$25,27,0)-$F50))</f>
        <v/>
      </c>
      <c r="F50" s="543" t="str">
        <f ca="1">IF($C50="","",VLOOKUP($C50,Calc!$C$17:$AD$25,26,0))</f>
        <v/>
      </c>
      <c r="G50" s="544" t="str">
        <f ca="1">IF(C50="","",VLOOKUP(C50,Calc!$C$17:$AB$25,23,0))</f>
        <v/>
      </c>
      <c r="H50" s="574" t="str">
        <f ca="1">IFERROR(VLOOKUP($C50&amp;H$43,Calc!$Z$64:$AB$207,3,0),"")</f>
        <v/>
      </c>
      <c r="I50" s="543" t="str">
        <f ca="1">IFERROR(VLOOKUP($C50&amp;I$43,Calc!$Z$64:$AB$207,3,0),"")</f>
        <v/>
      </c>
      <c r="J50" s="543" t="str">
        <f ca="1">IFERROR(VLOOKUP($C50&amp;J$43,Calc!$Z$64:$AB$207,3,0),"")</f>
        <v/>
      </c>
      <c r="K50" s="543" t="str">
        <f ca="1">IFERROR(VLOOKUP($C50&amp;K$43,Calc!$Z$64:$AB$207,3,0),"")</f>
        <v/>
      </c>
      <c r="L50" s="543" t="str">
        <f ca="1">IFERROR(VLOOKUP($C50&amp;L$43,Calc!$Z$64:$AB$207,3,0),"")</f>
        <v/>
      </c>
      <c r="M50" s="543" t="str">
        <f ca="1">IFERROR(VLOOKUP($C50&amp;M$43,Calc!$Z$64:$AB$207,3,0),"")</f>
        <v/>
      </c>
      <c r="N50" s="575"/>
      <c r="O50" s="543" t="str">
        <f ca="1">IFERROR(VLOOKUP($C50&amp;O$43,Calc!$Z$64:$AB$207,3,0),"")</f>
        <v/>
      </c>
      <c r="P50" s="576" t="str">
        <f ca="1">IFERROR(VLOOKUP($C50&amp;P$43,Calc!$Z$64:$AB$207,3,0),"")</f>
        <v/>
      </c>
      <c r="Q50" s="577" t="str">
        <f ca="1">IFERROR(VLOOKUP($C50&amp;Q$43,Calc!$AC$64:$AD$207,2,0),"")</f>
        <v/>
      </c>
      <c r="R50" s="543" t="str">
        <f ca="1">IFERROR(VLOOKUP($C50&amp;R$43,Calc!$AC$64:$AD$207,2,0),"")</f>
        <v/>
      </c>
      <c r="S50" s="543" t="str">
        <f ca="1">IFERROR(VLOOKUP($C50&amp;S$43,Calc!$AC$64:$AD$207,2,0),"")</f>
        <v/>
      </c>
      <c r="T50" s="543" t="str">
        <f ca="1">IFERROR(VLOOKUP($C50&amp;T$43,Calc!$AC$64:$AD$207,2,0),"")</f>
        <v/>
      </c>
      <c r="U50" s="543" t="str">
        <f ca="1">IFERROR(VLOOKUP($C50&amp;U$43,Calc!$AC$64:$AD$207,2,0),"")</f>
        <v/>
      </c>
      <c r="V50" s="543" t="str">
        <f ca="1">IFERROR(VLOOKUP($C50&amp;V$43,Calc!$AC$64:$AD$207,2,0),"")</f>
        <v/>
      </c>
      <c r="W50" s="575"/>
      <c r="X50" s="543" t="str">
        <f ca="1">IFERROR(VLOOKUP($C50&amp;X$43,Calc!$AC$64:$AD$207,2,0),"")</f>
        <v/>
      </c>
      <c r="Y50" s="578" t="str">
        <f ca="1">IFERROR(VLOOKUP($C50&amp;Y$43,Calc!$AC$64:$AD$207,2,0),"")</f>
        <v/>
      </c>
      <c r="Z50" s="551" t="str">
        <f t="shared" ca="1" si="28"/>
        <v/>
      </c>
    </row>
    <row r="51" spans="2:26" ht="21.95" customHeight="1" x14ac:dyDescent="0.2">
      <c r="B51" s="530" t="str">
        <f ca="1">IF($C51="","",INDEX(Results!$V$10:$V$18,MATCH($C51,Results!$W$10:$W$18,0)))</f>
        <v/>
      </c>
      <c r="C51" s="541" t="str">
        <f ca="1">IF(Calc!$K$13=0,"",Calc!$AM11)</f>
        <v/>
      </c>
      <c r="D51" s="542" t="str">
        <f ca="1">IF($C51="","",VLOOKUP($C51,Calc!$C$17:$AD$25,25,0))</f>
        <v/>
      </c>
      <c r="E51" s="577" t="str">
        <f ca="1">IF($C51="","",VLOOKUP($C51,Calc!$C$17:$AF$25,27,0)&amp;Language!$E$90&amp;(VLOOKUP($C51,Calc!$C$17:$AF$25,27,0)-$F51))</f>
        <v/>
      </c>
      <c r="F51" s="543" t="str">
        <f ca="1">IF($C51="","",VLOOKUP($C51,Calc!$C$17:$AD$25,26,0))</f>
        <v/>
      </c>
      <c r="G51" s="544" t="str">
        <f ca="1">IF(C51="","",VLOOKUP(C51,Calc!$C$17:$AB$25,23,0))</f>
        <v/>
      </c>
      <c r="H51" s="574" t="str">
        <f ca="1">IFERROR(VLOOKUP($C51&amp;H$43,Calc!$Z$64:$AB$207,3,0),"")</f>
        <v/>
      </c>
      <c r="I51" s="543" t="str">
        <f ca="1">IFERROR(VLOOKUP($C51&amp;I$43,Calc!$Z$64:$AB$207,3,0),"")</f>
        <v/>
      </c>
      <c r="J51" s="543" t="str">
        <f ca="1">IFERROR(VLOOKUP($C51&amp;J$43,Calc!$Z$64:$AB$207,3,0),"")</f>
        <v/>
      </c>
      <c r="K51" s="543" t="str">
        <f ca="1">IFERROR(VLOOKUP($C51&amp;K$43,Calc!$Z$64:$AB$207,3,0),"")</f>
        <v/>
      </c>
      <c r="L51" s="543" t="str">
        <f ca="1">IFERROR(VLOOKUP($C51&amp;L$43,Calc!$Z$64:$AB$207,3,0),"")</f>
        <v/>
      </c>
      <c r="M51" s="543" t="str">
        <f ca="1">IFERROR(VLOOKUP($C51&amp;M$43,Calc!$Z$64:$AB$207,3,0),"")</f>
        <v/>
      </c>
      <c r="N51" s="543" t="str">
        <f ca="1">IFERROR(VLOOKUP($C51&amp;N$43,Calc!$Z$64:$AB$207,3,0),"")</f>
        <v/>
      </c>
      <c r="O51" s="575"/>
      <c r="P51" s="576" t="str">
        <f ca="1">IFERROR(VLOOKUP($C51&amp;P$43,Calc!$Z$64:$AB$207,3,0),"")</f>
        <v/>
      </c>
      <c r="Q51" s="577" t="str">
        <f ca="1">IFERROR(VLOOKUP($C51&amp;Q$43,Calc!$AC$64:$AD$207,2,0),"")</f>
        <v/>
      </c>
      <c r="R51" s="543" t="str">
        <f ca="1">IFERROR(VLOOKUP($C51&amp;R$43,Calc!$AC$64:$AD$207,2,0),"")</f>
        <v/>
      </c>
      <c r="S51" s="543" t="str">
        <f ca="1">IFERROR(VLOOKUP($C51&amp;S$43,Calc!$AC$64:$AD$207,2,0),"")</f>
        <v/>
      </c>
      <c r="T51" s="543" t="str">
        <f ca="1">IFERROR(VLOOKUP($C51&amp;T$43,Calc!$AC$64:$AD$207,2,0),"")</f>
        <v/>
      </c>
      <c r="U51" s="543" t="str">
        <f ca="1">IFERROR(VLOOKUP($C51&amp;U$43,Calc!$AC$64:$AD$207,2,0),"")</f>
        <v/>
      </c>
      <c r="V51" s="543" t="str">
        <f ca="1">IFERROR(VLOOKUP($C51&amp;V$43,Calc!$AC$64:$AD$207,2,0),"")</f>
        <v/>
      </c>
      <c r="W51" s="543" t="str">
        <f ca="1">IFERROR(VLOOKUP($C51&amp;W$43,Calc!$AC$64:$AD$207,2,0),"")</f>
        <v/>
      </c>
      <c r="X51" s="575"/>
      <c r="Y51" s="578" t="str">
        <f ca="1">IFERROR(VLOOKUP($C51&amp;Y$43,Calc!$AC$64:$AD$207,2,0),"")</f>
        <v/>
      </c>
      <c r="Z51" s="551" t="str">
        <f t="shared" ca="1" si="28"/>
        <v/>
      </c>
    </row>
    <row r="52" spans="2:26" ht="21.95" customHeight="1" thickBot="1" x14ac:dyDescent="0.25">
      <c r="B52" s="552" t="str">
        <f ca="1">IF($C52="","",INDEX(Results!$V$10:$V$18,MATCH($C52,Results!$W$10:$W$18,0)))</f>
        <v/>
      </c>
      <c r="C52" s="553" t="str">
        <f ca="1">IF(Calc!$K$13=0,"",Calc!$AM12)</f>
        <v/>
      </c>
      <c r="D52" s="554" t="str">
        <f ca="1">IF($C52="","",VLOOKUP($C52,Calc!$C$17:$AD$25,25,0))</f>
        <v/>
      </c>
      <c r="E52" s="581" t="str">
        <f ca="1">IF($C52="","",VLOOKUP($C52,Calc!$C$17:$AF$25,27,0)&amp;Language!$E$90&amp;(VLOOKUP($C52,Calc!$C$17:$AF$25,27,0)-$F52))</f>
        <v/>
      </c>
      <c r="F52" s="555" t="str">
        <f ca="1">IF($C52="","",VLOOKUP($C52,Calc!$C$17:$AD$25,26,0))</f>
        <v/>
      </c>
      <c r="G52" s="556" t="str">
        <f ca="1">IF(C52="","",VLOOKUP(C52,Calc!$C$17:$AB$25,23,0))</f>
        <v/>
      </c>
      <c r="H52" s="579" t="str">
        <f ca="1">IFERROR(VLOOKUP($C52&amp;H$43,Calc!$Z$64:$AB$207,3,0),"")</f>
        <v/>
      </c>
      <c r="I52" s="555" t="str">
        <f ca="1">IFERROR(VLOOKUP($C52&amp;I$43,Calc!$Z$64:$AB$207,3,0),"")</f>
        <v/>
      </c>
      <c r="J52" s="555" t="str">
        <f ca="1">IFERROR(VLOOKUP($C52&amp;J$43,Calc!$Z$64:$AB$207,3,0),"")</f>
        <v/>
      </c>
      <c r="K52" s="555" t="str">
        <f ca="1">IFERROR(VLOOKUP($C52&amp;K$43,Calc!$Z$64:$AB$207,3,0),"")</f>
        <v/>
      </c>
      <c r="L52" s="555" t="str">
        <f ca="1">IFERROR(VLOOKUP($C52&amp;L$43,Calc!$Z$64:$AB$207,3,0),"")</f>
        <v/>
      </c>
      <c r="M52" s="555" t="str">
        <f ca="1">IFERROR(VLOOKUP($C52&amp;M$43,Calc!$Z$64:$AB$207,3,0),"")</f>
        <v/>
      </c>
      <c r="N52" s="555" t="str">
        <f ca="1">IFERROR(VLOOKUP($C52&amp;N$43,Calc!$Z$64:$AB$207,3,0),"")</f>
        <v/>
      </c>
      <c r="O52" s="555" t="str">
        <f ca="1">IFERROR(VLOOKUP($C52&amp;O$43,Calc!$Z$64:$AB$207,3,0),"")</f>
        <v/>
      </c>
      <c r="P52" s="580"/>
      <c r="Q52" s="581" t="str">
        <f ca="1">IFERROR(VLOOKUP($C52&amp;Q$43,Calc!$AC$64:$AD$207,2,0),"")</f>
        <v/>
      </c>
      <c r="R52" s="555" t="str">
        <f ca="1">IFERROR(VLOOKUP($C52&amp;R$43,Calc!$AC$64:$AD$207,2,0),"")</f>
        <v/>
      </c>
      <c r="S52" s="555" t="str">
        <f ca="1">IFERROR(VLOOKUP($C52&amp;S$43,Calc!$AC$64:$AD$207,2,0),"")</f>
        <v/>
      </c>
      <c r="T52" s="555" t="str">
        <f ca="1">IFERROR(VLOOKUP($C52&amp;T$43,Calc!$AC$64:$AD$207,2,0),"")</f>
        <v/>
      </c>
      <c r="U52" s="555" t="str">
        <f ca="1">IFERROR(VLOOKUP($C52&amp;U$43,Calc!$AC$64:$AD$207,2,0),"")</f>
        <v/>
      </c>
      <c r="V52" s="555" t="str">
        <f ca="1">IFERROR(VLOOKUP($C52&amp;V$43,Calc!$AC$64:$AD$207,2,0),"")</f>
        <v/>
      </c>
      <c r="W52" s="555" t="str">
        <f ca="1">IFERROR(VLOOKUP($C52&amp;W$43,Calc!$AC$64:$AD$207,2,0),"")</f>
        <v/>
      </c>
      <c r="X52" s="555" t="str">
        <f ca="1">IFERROR(VLOOKUP($C52&amp;X$43,Calc!$AC$64:$AD$207,2,0),"")</f>
        <v/>
      </c>
      <c r="Y52" s="582"/>
      <c r="Z52" s="562" t="str">
        <f t="shared" ca="1" si="28"/>
        <v/>
      </c>
    </row>
    <row r="53" spans="2:26" ht="13.5" thickTop="1" x14ac:dyDescent="0.2"/>
    <row r="54" spans="2:26" x14ac:dyDescent="0.2"/>
    <row r="55" spans="2:26" x14ac:dyDescent="0.2"/>
    <row r="56" spans="2:26" x14ac:dyDescent="0.2"/>
  </sheetData>
  <sheetProtection sheet="1" selectLockedCells="1"/>
  <mergeCells count="2">
    <mergeCell ref="B2:Y2"/>
    <mergeCell ref="B4:Y4"/>
  </mergeCells>
  <conditionalFormatting sqref="B8:Z8 B20:Z20 B32:Z32 B44:Z44">
    <cfRule type="expression" dxfId="26" priority="5">
      <formula>AND($B8=$B9,$C9&lt;&gt;"")</formula>
    </cfRule>
  </conditionalFormatting>
  <conditionalFormatting sqref="B29:F29">
    <cfRule type="expression" dxfId="25" priority="4">
      <formula>AND($B$28=$B$27,$C$28&lt;&gt;"")</formula>
    </cfRule>
  </conditionalFormatting>
  <conditionalFormatting sqref="G29">
    <cfRule type="expression" dxfId="24" priority="3">
      <formula>AND($B$28=$B$27,$C$28&lt;&gt;"")</formula>
    </cfRule>
  </conditionalFormatting>
  <conditionalFormatting sqref="B16:Z16 B28:Z28 B40:Z40 B52:Z52">
    <cfRule type="expression" dxfId="23" priority="2">
      <formula>AND($B16=$B15,$C15&lt;&gt;"")</formula>
    </cfRule>
  </conditionalFormatting>
  <conditionalFormatting sqref="B9:Z15 B21:Z27 B33:Z39 B45:Z51">
    <cfRule type="expression" dxfId="22" priority="1">
      <formula>OR(AND($B9=$B8,$C8&lt;&gt;""),AND($B9=$B10,$C10&lt;&gt;""))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287A-710D-42EB-9E7E-2C902C4F0DAE}">
  <sheetPr codeName="Tabelle31"/>
  <dimension ref="A1:H227"/>
  <sheetViews>
    <sheetView showGridLines="0" showRowColHeaders="0" zoomScaleNormal="100" workbookViewId="0"/>
  </sheetViews>
  <sheetFormatPr baseColWidth="10" defaultColWidth="0" defaultRowHeight="18.75" zeroHeight="1" x14ac:dyDescent="0.3"/>
  <cols>
    <col min="1" max="1" width="3.5703125" style="144" customWidth="1"/>
    <col min="2" max="2" width="7.7109375" style="144" customWidth="1"/>
    <col min="3" max="4" width="11.42578125" style="144" customWidth="1"/>
    <col min="5" max="5" width="7.7109375" style="144" customWidth="1"/>
    <col min="6" max="6" width="26.140625" style="144" customWidth="1"/>
    <col min="7" max="7" width="11.42578125" style="144" customWidth="1"/>
    <col min="8" max="8" width="6.7109375" style="144" customWidth="1"/>
    <col min="9" max="16384" width="11.42578125" style="144" hidden="1"/>
  </cols>
  <sheetData>
    <row r="1" spans="1:6" ht="26.1" customHeight="1" x14ac:dyDescent="0.3">
      <c r="A1" s="182"/>
      <c r="C1" s="680" t="str">
        <f>Results!$H$2</f>
        <v>International tournament U10 on Jan. 27th, 2026</v>
      </c>
      <c r="D1" s="680"/>
      <c r="E1" s="680"/>
      <c r="F1" s="680"/>
    </row>
    <row r="2" spans="1:6" ht="26.1" customHeight="1" x14ac:dyDescent="0.3">
      <c r="C2" s="680"/>
      <c r="D2" s="680"/>
      <c r="E2" s="680"/>
      <c r="F2" s="680"/>
    </row>
    <row r="3" spans="1:6" ht="26.1" customHeight="1" x14ac:dyDescent="0.3">
      <c r="C3" s="680"/>
      <c r="D3" s="680"/>
      <c r="E3" s="680"/>
      <c r="F3" s="680"/>
    </row>
    <row r="4" spans="1:6" ht="25.5" customHeight="1" thickBot="1" x14ac:dyDescent="0.35"/>
    <row r="5" spans="1:6" ht="45.75" customHeight="1" thickTop="1" thickBot="1" x14ac:dyDescent="0.35">
      <c r="C5" s="687" t="str">
        <f>IF(Planning!$C$8="","",Planning!$C$8)</f>
        <v>1. FC Riedwald</v>
      </c>
      <c r="D5" s="688"/>
      <c r="E5" s="688"/>
      <c r="F5" s="689"/>
    </row>
    <row r="6" spans="1:6" ht="26.1" customHeight="1" thickBot="1" x14ac:dyDescent="0.35">
      <c r="C6" s="153" t="str">
        <f>Language!$E$9</f>
        <v>No.</v>
      </c>
      <c r="D6" s="154" t="str">
        <f>Language!$E$39</f>
        <v>Start</v>
      </c>
      <c r="E6" s="177" t="str">
        <f>Language!$E$48</f>
        <v>Field</v>
      </c>
      <c r="F6" s="155" t="str">
        <f>Language!$E$46</f>
        <v>Match against</v>
      </c>
    </row>
    <row r="7" spans="1:6" ht="26.1" customHeight="1" x14ac:dyDescent="0.3">
      <c r="C7" s="151" t="s">
        <v>6</v>
      </c>
      <c r="D7" s="152">
        <f ca="1">IF(Planning!$AC$7&lt;99999,Planning!$AC$7,"")</f>
        <v>0.3923611111111111</v>
      </c>
      <c r="E7" s="179">
        <f ca="1">IF(OR(Planning!$AD$7=0,Planning!$AD$7=""),"",Planning!$AD$7)</f>
        <v>1</v>
      </c>
      <c r="F7" s="178" t="str">
        <f ca="1">IF(OR(Planning!$AE$7=0,Planning!$AE$7=""),"",Planning!$AE$7)</f>
        <v>SSV Wildbach</v>
      </c>
    </row>
    <row r="8" spans="1:6" ht="26.1" customHeight="1" x14ac:dyDescent="0.3">
      <c r="C8" s="145" t="s">
        <v>7</v>
      </c>
      <c r="D8" s="146">
        <f ca="1">IF(Planning!$AC$8&lt;99999,Planning!$AC$8,"")</f>
        <v>0.40972222222222221</v>
      </c>
      <c r="E8" s="180">
        <f ca="1">IF(OR(Planning!$AD$8=0,Planning!$AD$8=""),"",Planning!$AD$8)</f>
        <v>1</v>
      </c>
      <c r="F8" s="147" t="str">
        <f ca="1">IF(OR(Planning!$AE$8=0,Planning!$AE$8=""),"",Planning!$AE$8)</f>
        <v>Inter Mailand</v>
      </c>
    </row>
    <row r="9" spans="1:6" ht="26.1" customHeight="1" x14ac:dyDescent="0.3">
      <c r="C9" s="145" t="s">
        <v>8</v>
      </c>
      <c r="D9" s="146">
        <f ca="1">IF(Planning!$AC$9&lt;99999,Planning!$AC$9,"")</f>
        <v>0.42708333333333331</v>
      </c>
      <c r="E9" s="180">
        <f ca="1">IF(OR(Planning!$AD$9=0,Planning!$AD$9=""),"",Planning!$AD$9)</f>
        <v>1</v>
      </c>
      <c r="F9" s="147" t="str">
        <f ca="1">IF(OR(Planning!$AE$9=0,Planning!$AE$9=""),"",Planning!$AE$9)</f>
        <v>VFB Essenheim</v>
      </c>
    </row>
    <row r="10" spans="1:6" ht="26.1" customHeight="1" x14ac:dyDescent="0.3">
      <c r="C10" s="145" t="s">
        <v>9</v>
      </c>
      <c r="D10" s="146">
        <f ca="1">IF(Planning!$AC$10&lt;99999,Planning!$AC$10,"")</f>
        <v>0.44444444444444442</v>
      </c>
      <c r="E10" s="180">
        <f ca="1">IF(OR(Planning!$AD$10=0,Planning!$AD$10=""),"",Planning!$AD$10)</f>
        <v>1</v>
      </c>
      <c r="F10" s="147" t="str">
        <f ca="1">IF(OR(Planning!$AE$10=0,Planning!$AE$10=""),"",Planning!$AE$10)</f>
        <v>Maibach 1822 eV</v>
      </c>
    </row>
    <row r="11" spans="1:6" ht="26.1" customHeight="1" x14ac:dyDescent="0.3">
      <c r="C11" s="145" t="s">
        <v>10</v>
      </c>
      <c r="D11" s="146">
        <f ca="1">IF(Planning!$AC$11&lt;99999,Planning!$AC$11,"")</f>
        <v>0.46180555555555558</v>
      </c>
      <c r="E11" s="180">
        <f ca="1">IF(OR(Planning!$AD$11=0,Planning!$AD$11=""),"",Planning!$AD$11)</f>
        <v>1</v>
      </c>
      <c r="F11" s="147" t="str">
        <f ca="1">IF(OR(Planning!$AE$11=0,Planning!$AE$11=""),"",Planning!$AE$11)</f>
        <v>Eintracht Frankfurt</v>
      </c>
    </row>
    <row r="12" spans="1:6" ht="26.1" customHeight="1" x14ac:dyDescent="0.3">
      <c r="C12" s="145" t="s">
        <v>11</v>
      </c>
      <c r="D12" s="146">
        <f ca="1">IF(Planning!$AC$12&lt;99999,Planning!$AC$12,"")</f>
        <v>0.47916666666666669</v>
      </c>
      <c r="E12" s="180">
        <f ca="1">IF(OR(Planning!$AD$12=0,Planning!$AD$12=""),"",Planning!$AD$12)</f>
        <v>1</v>
      </c>
      <c r="F12" s="147" t="str">
        <f ca="1">IF(OR(Planning!$AE$12=0,Planning!$AE$12=""),"",Planning!$AE$12)</f>
        <v>FC Barcelona</v>
      </c>
    </row>
    <row r="13" spans="1:6" ht="26.1" customHeight="1" x14ac:dyDescent="0.3">
      <c r="C13" s="145" t="s">
        <v>16</v>
      </c>
      <c r="D13" s="146">
        <f ca="1">IF(Planning!$AC$13&lt;99999,Planning!$AC$13,"")</f>
        <v>0.51388888888888884</v>
      </c>
      <c r="E13" s="180">
        <f ca="1">IF(OR(Planning!$AD$13=0,Planning!$AD$13=""),"",Planning!$AD$13)</f>
        <v>1</v>
      </c>
      <c r="F13" s="147" t="str">
        <f ca="1">IF(OR(Planning!$AE$13=0,Planning!$AE$13=""),"",Planning!$AE$13)</f>
        <v>SSV Wildbach</v>
      </c>
    </row>
    <row r="14" spans="1:6" ht="26.1" customHeight="1" x14ac:dyDescent="0.3">
      <c r="C14" s="145" t="s">
        <v>17</v>
      </c>
      <c r="D14" s="146">
        <f ca="1">IF(Planning!$AC$14&lt;99999,Planning!$AC$14,"")</f>
        <v>0.53125</v>
      </c>
      <c r="E14" s="180">
        <f ca="1">IF(OR(Planning!$AD$14=0,Planning!$AD$14=""),"",Planning!$AD$14)</f>
        <v>1</v>
      </c>
      <c r="F14" s="147" t="str">
        <f ca="1">IF(OR(Planning!$AE$14=0,Planning!$AE$14=""),"",Planning!$AE$14)</f>
        <v>Inter Mailand</v>
      </c>
    </row>
    <row r="15" spans="1:6" ht="26.1" customHeight="1" x14ac:dyDescent="0.3">
      <c r="C15" s="145" t="s">
        <v>18</v>
      </c>
      <c r="D15" s="146">
        <f ca="1">IF(Planning!$AC$15&lt;99999,Planning!$AC$15,"")</f>
        <v>0.54861111111111116</v>
      </c>
      <c r="E15" s="180">
        <f ca="1">IF(OR(Planning!$AD$15=0,Planning!$AD$15=""),"",Planning!$AD$15)</f>
        <v>1</v>
      </c>
      <c r="F15" s="147" t="str">
        <f ca="1">IF(OR(Planning!$AE$15=0,Planning!$AE$15=""),"",Planning!$AE$15)</f>
        <v>VFB Essenheim</v>
      </c>
    </row>
    <row r="16" spans="1:6" ht="26.1" customHeight="1" x14ac:dyDescent="0.3">
      <c r="C16" s="145" t="s">
        <v>24</v>
      </c>
      <c r="D16" s="146">
        <f ca="1">IF(Planning!$AC$16&lt;99999,Planning!$AC$16,"")</f>
        <v>0.56597222222222221</v>
      </c>
      <c r="E16" s="180">
        <f ca="1">IF(OR(Planning!$AD$16=0,Planning!$AD$16=""),"",Planning!$AD$16)</f>
        <v>1</v>
      </c>
      <c r="F16" s="147" t="str">
        <f ca="1">IF(OR(Planning!$AE$16=0,Planning!$AE$16=""),"",Planning!$AE$16)</f>
        <v>Maibach 1822 eV</v>
      </c>
    </row>
    <row r="17" spans="2:7" ht="26.1" customHeight="1" x14ac:dyDescent="0.3">
      <c r="C17" s="145" t="s">
        <v>25</v>
      </c>
      <c r="D17" s="146">
        <f ca="1">IF(Planning!$AC$17&lt;99999,Planning!$AC$17,"")</f>
        <v>0.58333333333333337</v>
      </c>
      <c r="E17" s="180">
        <f ca="1">IF(OR(Planning!$AD$17=0,Planning!$AD$17=""),"",Planning!$AD$17)</f>
        <v>1</v>
      </c>
      <c r="F17" s="147" t="str">
        <f ca="1">IF(OR(Planning!$AE$17=0,Planning!$AE$17=""),"",Planning!$AE$17)</f>
        <v>Eintracht Frankfurt</v>
      </c>
    </row>
    <row r="18" spans="2:7" ht="26.1" customHeight="1" x14ac:dyDescent="0.3">
      <c r="C18" s="145" t="s">
        <v>26</v>
      </c>
      <c r="D18" s="146">
        <f ca="1">IF(Planning!$AC$18&lt;99999,Planning!$AC$18,"")</f>
        <v>0.60069444444444442</v>
      </c>
      <c r="E18" s="180">
        <f ca="1">IF(OR(Planning!$AD$18=0,Planning!$AD$18=""),"",Planning!$AD$18)</f>
        <v>1</v>
      </c>
      <c r="F18" s="147" t="str">
        <f ca="1">IF(OR(Planning!$AE$18=0,Planning!$AE$18=""),"",Planning!$AE$18)</f>
        <v>FC Barcelona</v>
      </c>
    </row>
    <row r="19" spans="2:7" ht="26.1" customHeight="1" x14ac:dyDescent="0.3">
      <c r="C19" s="145" t="s">
        <v>27</v>
      </c>
      <c r="D19" s="146" t="str">
        <f ca="1">IF(Planning!$AC$19&lt;99999,Planning!$AC$19,"")</f>
        <v/>
      </c>
      <c r="E19" s="180" t="str">
        <f ca="1">IF(OR(Planning!$AD$19=0,Planning!$AD$19=""),"",Planning!$AD$19)</f>
        <v/>
      </c>
      <c r="F19" s="147" t="str">
        <f ca="1">IF(OR(Planning!$AE$19=0,Planning!$AE$19=""),"",Planning!$AE$19)</f>
        <v/>
      </c>
    </row>
    <row r="20" spans="2:7" ht="26.1" customHeight="1" x14ac:dyDescent="0.3">
      <c r="C20" s="145" t="s">
        <v>28</v>
      </c>
      <c r="D20" s="146" t="str">
        <f ca="1">IF(Planning!$AC$20&lt;99999,Planning!$AC$20,"")</f>
        <v/>
      </c>
      <c r="E20" s="180" t="str">
        <f ca="1">IF(OR(Planning!$AD$20=0,Planning!$AD$20=""),"",Planning!$AD$20)</f>
        <v/>
      </c>
      <c r="F20" s="147" t="str">
        <f ca="1">IF(OR(Planning!$AE$20=0,Planning!$AE$20=""),"",Planning!$AE$20)</f>
        <v/>
      </c>
    </row>
    <row r="21" spans="2:7" ht="26.1" customHeight="1" x14ac:dyDescent="0.3">
      <c r="C21" s="145" t="s">
        <v>29</v>
      </c>
      <c r="D21" s="146" t="str">
        <f ca="1">IF(Planning!$AC$21&lt;99999,Planning!$AC$21,"")</f>
        <v/>
      </c>
      <c r="E21" s="180" t="str">
        <f ca="1">IF(OR(Planning!$AD$21=0,Planning!$AD$21=""),"",Planning!$AD$21)</f>
        <v/>
      </c>
      <c r="F21" s="147" t="str">
        <f ca="1">IF(OR(Planning!$AE$21=0,Planning!$AE$21=""),"",Planning!$AE$21)</f>
        <v/>
      </c>
    </row>
    <row r="22" spans="2:7" ht="26.1" customHeight="1" thickBot="1" x14ac:dyDescent="0.35">
      <c r="C22" s="148" t="s">
        <v>30</v>
      </c>
      <c r="D22" s="149" t="str">
        <f ca="1">IF(Planning!$AC$22&lt;99999,Planning!$AC$22,"")</f>
        <v/>
      </c>
      <c r="E22" s="181" t="str">
        <f ca="1">IF(OR(Planning!$AD$22=0,Planning!$AD$22=""),"",Planning!$AD$22)</f>
        <v/>
      </c>
      <c r="F22" s="150" t="str">
        <f ca="1">IF(OR(Planning!$AE$22=0,Planning!$AE$22=""),"",Planning!$AE$22)</f>
        <v/>
      </c>
    </row>
    <row r="23" spans="2:7" ht="26.1" customHeight="1" thickTop="1" x14ac:dyDescent="0.3">
      <c r="B23" s="156" t="str">
        <f>Language!$E$47</f>
        <v>Note</v>
      </c>
    </row>
    <row r="24" spans="2:7" ht="26.1" customHeight="1" x14ac:dyDescent="0.3">
      <c r="B24" s="681"/>
      <c r="C24" s="682"/>
      <c r="D24" s="682"/>
      <c r="E24" s="682"/>
      <c r="F24" s="682"/>
      <c r="G24" s="683"/>
    </row>
    <row r="25" spans="2:7" ht="26.1" customHeight="1" x14ac:dyDescent="0.3">
      <c r="B25" s="684"/>
      <c r="C25" s="685"/>
      <c r="D25" s="685"/>
      <c r="E25" s="685"/>
      <c r="F25" s="685"/>
      <c r="G25" s="686"/>
    </row>
    <row r="26" spans="2:7" ht="26.1" customHeight="1" x14ac:dyDescent="0.3">
      <c r="C26" s="680" t="str">
        <f>Results!$H$2</f>
        <v>International tournament U10 on Jan. 27th, 2026</v>
      </c>
      <c r="D26" s="680"/>
      <c r="E26" s="680"/>
      <c r="F26" s="680"/>
    </row>
    <row r="27" spans="2:7" ht="26.1" customHeight="1" x14ac:dyDescent="0.3">
      <c r="C27" s="680"/>
      <c r="D27" s="680"/>
      <c r="E27" s="680"/>
      <c r="F27" s="680"/>
    </row>
    <row r="28" spans="2:7" ht="26.1" customHeight="1" x14ac:dyDescent="0.3">
      <c r="C28" s="680"/>
      <c r="D28" s="680"/>
      <c r="E28" s="680"/>
      <c r="F28" s="680"/>
    </row>
    <row r="29" spans="2:7" ht="25.5" customHeight="1" thickBot="1" x14ac:dyDescent="0.35"/>
    <row r="30" spans="2:7" ht="45.75" customHeight="1" thickTop="1" thickBot="1" x14ac:dyDescent="0.35">
      <c r="C30" s="687" t="str">
        <f>IF(Planning!$C$10="","",Planning!$C$10)</f>
        <v>FC Barcelona</v>
      </c>
      <c r="D30" s="688"/>
      <c r="E30" s="688"/>
      <c r="F30" s="689"/>
    </row>
    <row r="31" spans="2:7" ht="26.1" customHeight="1" thickBot="1" x14ac:dyDescent="0.35">
      <c r="C31" s="153" t="str">
        <f>Language!$E$9</f>
        <v>No.</v>
      </c>
      <c r="D31" s="154" t="str">
        <f>Language!$E$39</f>
        <v>Start</v>
      </c>
      <c r="E31" s="177" t="str">
        <f>Language!$E$48</f>
        <v>Field</v>
      </c>
      <c r="F31" s="155" t="str">
        <f>Language!$E$46</f>
        <v>Match against</v>
      </c>
    </row>
    <row r="32" spans="2:7" ht="26.1" customHeight="1" x14ac:dyDescent="0.3">
      <c r="C32" s="151" t="s">
        <v>6</v>
      </c>
      <c r="D32" s="152">
        <f ca="1">IF(Planning!$AK$7&lt;99999,Planning!$AK$7,"")</f>
        <v>0.375</v>
      </c>
      <c r="E32" s="179">
        <f ca="1">IF(OR(Planning!$AL$7=0,Planning!$AL$7=""),"",Planning!$AL$7)</f>
        <v>1</v>
      </c>
      <c r="F32" s="178" t="str">
        <f ca="1">IF(OR(Planning!$AM$7=0,Planning!$AM$7=""),"",Planning!$AM$7)</f>
        <v>SSV Wildbach</v>
      </c>
    </row>
    <row r="33" spans="2:6" ht="26.1" customHeight="1" x14ac:dyDescent="0.3">
      <c r="C33" s="145" t="s">
        <v>7</v>
      </c>
      <c r="D33" s="146">
        <f ca="1">IF(Planning!$AK$8&lt;99999,Planning!$AK$8,"")</f>
        <v>0.3923611111111111</v>
      </c>
      <c r="E33" s="180">
        <f ca="1">IF(OR(Planning!$AL$8=0,Planning!$AL$8=""),"",Planning!$AL$8)</f>
        <v>2</v>
      </c>
      <c r="F33" s="147" t="str">
        <f ca="1">IF(OR(Planning!$AM$8=0,Planning!$AM$8=""),"",Planning!$AM$8)</f>
        <v>VFB Essenheim</v>
      </c>
    </row>
    <row r="34" spans="2:6" ht="26.1" customHeight="1" x14ac:dyDescent="0.3">
      <c r="C34" s="145" t="s">
        <v>8</v>
      </c>
      <c r="D34" s="146">
        <f ca="1">IF(Planning!$AK$9&lt;99999,Planning!$AK$9,"")</f>
        <v>0.40972222222222221</v>
      </c>
      <c r="E34" s="180">
        <f ca="1">IF(OR(Planning!$AL$9=0,Planning!$AL$9=""),"",Planning!$AL$9)</f>
        <v>3</v>
      </c>
      <c r="F34" s="147" t="str">
        <f ca="1">IF(OR(Planning!$AM$9=0,Planning!$AM$9=""),"",Planning!$AM$9)</f>
        <v>Eintracht Frankfurt</v>
      </c>
    </row>
    <row r="35" spans="2:6" ht="26.1" customHeight="1" x14ac:dyDescent="0.3">
      <c r="C35" s="145" t="s">
        <v>9</v>
      </c>
      <c r="D35" s="146">
        <f ca="1">IF(Planning!$AK$10&lt;99999,Planning!$AK$10,"")</f>
        <v>0.44444444444444442</v>
      </c>
      <c r="E35" s="180">
        <f ca="1">IF(OR(Planning!$AL$10=0,Planning!$AL$10=""),"",Planning!$AL$10)</f>
        <v>3</v>
      </c>
      <c r="F35" s="147" t="str">
        <f ca="1">IF(OR(Planning!$AM$10=0,Planning!$AM$10=""),"",Planning!$AM$10)</f>
        <v>Inter Mailand</v>
      </c>
    </row>
    <row r="36" spans="2:6" ht="26.1" customHeight="1" x14ac:dyDescent="0.3">
      <c r="C36" s="145" t="s">
        <v>10</v>
      </c>
      <c r="D36" s="146">
        <f ca="1">IF(Planning!$AK$11&lt;99999,Planning!$AK$11,"")</f>
        <v>0.46180555555555558</v>
      </c>
      <c r="E36" s="180">
        <f ca="1">IF(OR(Planning!$AL$11=0,Planning!$AL$11=""),"",Planning!$AL$11)</f>
        <v>2</v>
      </c>
      <c r="F36" s="147" t="str">
        <f ca="1">IF(OR(Planning!$AM$11=0,Planning!$AM$11=""),"",Planning!$AM$11)</f>
        <v>Maibach 1822 eV</v>
      </c>
    </row>
    <row r="37" spans="2:6" ht="26.1" customHeight="1" x14ac:dyDescent="0.3">
      <c r="C37" s="145" t="s">
        <v>11</v>
      </c>
      <c r="D37" s="146">
        <f ca="1">IF(Planning!$AK$12&lt;99999,Planning!$AK$12,"")</f>
        <v>0.47916666666666669</v>
      </c>
      <c r="E37" s="180">
        <f ca="1">IF(OR(Planning!$AL$12=0,Planning!$AL$12=""),"",Planning!$AL$12)</f>
        <v>1</v>
      </c>
      <c r="F37" s="147" t="str">
        <f ca="1">IF(OR(Planning!$AM$12=0,Planning!$AM$12=""),"",Planning!$AM$12)</f>
        <v>1. FC Riedwald</v>
      </c>
    </row>
    <row r="38" spans="2:6" ht="26.1" customHeight="1" x14ac:dyDescent="0.3">
      <c r="C38" s="145" t="s">
        <v>16</v>
      </c>
      <c r="D38" s="146">
        <f ca="1">IF(Planning!$AK$13&lt;99999,Planning!$AK$13,"")</f>
        <v>0.49652777777777779</v>
      </c>
      <c r="E38" s="180">
        <f ca="1">IF(OR(Planning!$AL$13=0,Planning!$AL$13=""),"",Planning!$AL$13)</f>
        <v>1</v>
      </c>
      <c r="F38" s="147" t="str">
        <f ca="1">IF(OR(Planning!$AM$13=0,Planning!$AM$13=""),"",Planning!$AM$13)</f>
        <v>SSV Wildbach</v>
      </c>
    </row>
    <row r="39" spans="2:6" ht="26.1" customHeight="1" x14ac:dyDescent="0.3">
      <c r="C39" s="145" t="s">
        <v>17</v>
      </c>
      <c r="D39" s="146">
        <f ca="1">IF(Planning!$AK$14&lt;99999,Planning!$AK$14,"")</f>
        <v>0.51388888888888884</v>
      </c>
      <c r="E39" s="180">
        <f ca="1">IF(OR(Planning!$AL$14=0,Planning!$AL$14=""),"",Planning!$AL$14)</f>
        <v>2</v>
      </c>
      <c r="F39" s="147" t="str">
        <f ca="1">IF(OR(Planning!$AM$14=0,Planning!$AM$14=""),"",Planning!$AM$14)</f>
        <v>VFB Essenheim</v>
      </c>
    </row>
    <row r="40" spans="2:6" ht="26.1" customHeight="1" x14ac:dyDescent="0.3">
      <c r="C40" s="145" t="s">
        <v>18</v>
      </c>
      <c r="D40" s="146">
        <f ca="1">IF(Planning!$AK$15&lt;99999,Planning!$AK$15,"")</f>
        <v>0.53125</v>
      </c>
      <c r="E40" s="180">
        <f ca="1">IF(OR(Planning!$AL$15=0,Planning!$AL$15=""),"",Planning!$AL$15)</f>
        <v>3</v>
      </c>
      <c r="F40" s="147" t="str">
        <f ca="1">IF(OR(Planning!$AM$15=0,Planning!$AM$15=""),"",Planning!$AM$15)</f>
        <v>Eintracht Frankfurt</v>
      </c>
    </row>
    <row r="41" spans="2:6" ht="26.1" customHeight="1" x14ac:dyDescent="0.3">
      <c r="C41" s="145" t="s">
        <v>24</v>
      </c>
      <c r="D41" s="146">
        <f ca="1">IF(Planning!$AK$16&lt;99999,Planning!$AK$16,"")</f>
        <v>0.56597222222222221</v>
      </c>
      <c r="E41" s="180">
        <f ca="1">IF(OR(Planning!$AL$16=0,Planning!$AL$16=""),"",Planning!$AL$16)</f>
        <v>3</v>
      </c>
      <c r="F41" s="147" t="str">
        <f ca="1">IF(OR(Planning!$AM$16=0,Planning!$AM$16=""),"",Planning!$AM$16)</f>
        <v>Inter Mailand</v>
      </c>
    </row>
    <row r="42" spans="2:6" ht="26.1" customHeight="1" x14ac:dyDescent="0.3">
      <c r="C42" s="145" t="s">
        <v>25</v>
      </c>
      <c r="D42" s="146">
        <f ca="1">IF(Planning!$AK$17&lt;99999,Planning!$AK$17,"")</f>
        <v>0.58333333333333337</v>
      </c>
      <c r="E42" s="180">
        <f ca="1">IF(OR(Planning!$AL$17=0,Planning!$AL$17=""),"",Planning!$AL$17)</f>
        <v>2</v>
      </c>
      <c r="F42" s="147" t="str">
        <f ca="1">IF(OR(Planning!$AM$17=0,Planning!$AM$17=""),"",Planning!$AM$17)</f>
        <v>Maibach 1822 eV</v>
      </c>
    </row>
    <row r="43" spans="2:6" ht="26.1" customHeight="1" x14ac:dyDescent="0.3">
      <c r="C43" s="145" t="s">
        <v>26</v>
      </c>
      <c r="D43" s="146">
        <f ca="1">IF(Planning!$AK$18&lt;99999,Planning!$AK$18,"")</f>
        <v>0.60069444444444442</v>
      </c>
      <c r="E43" s="180">
        <f ca="1">IF(OR(Planning!$AL$18=0,Planning!$AL$18=""),"",Planning!$AL$18)</f>
        <v>1</v>
      </c>
      <c r="F43" s="147" t="str">
        <f ca="1">IF(OR(Planning!$AM$18=0,Planning!$AM$18=""),"",Planning!$AM$18)</f>
        <v>1. FC Riedwald</v>
      </c>
    </row>
    <row r="44" spans="2:6" ht="26.1" customHeight="1" x14ac:dyDescent="0.3">
      <c r="C44" s="145" t="s">
        <v>27</v>
      </c>
      <c r="D44" s="146" t="str">
        <f ca="1">IF(Planning!$AK$19&lt;99999,Planning!$AK$19,"")</f>
        <v/>
      </c>
      <c r="E44" s="180" t="str">
        <f ca="1">IF(OR(Planning!$AL$19=0,Planning!$AL$19=""),"",Planning!$AL$19)</f>
        <v/>
      </c>
      <c r="F44" s="147" t="str">
        <f ca="1">IF(OR(Planning!$AM$19=0,Planning!$AM$19=""),"",Planning!$AM$19)</f>
        <v/>
      </c>
    </row>
    <row r="45" spans="2:6" ht="26.1" customHeight="1" x14ac:dyDescent="0.3">
      <c r="C45" s="145" t="s">
        <v>28</v>
      </c>
      <c r="D45" s="146" t="str">
        <f ca="1">IF(Planning!$AK$20&lt;99999,Planning!$AK$20,"")</f>
        <v/>
      </c>
      <c r="E45" s="180" t="str">
        <f ca="1">IF(OR(Planning!$AL$20=0,Planning!$AL$20=""),"",Planning!$AL$20)</f>
        <v/>
      </c>
      <c r="F45" s="147" t="str">
        <f ca="1">IF(OR(Planning!$AM$20=0,Planning!$AM$20=""),"",Planning!$AM$20)</f>
        <v/>
      </c>
    </row>
    <row r="46" spans="2:6" ht="26.1" customHeight="1" x14ac:dyDescent="0.3">
      <c r="C46" s="145" t="s">
        <v>29</v>
      </c>
      <c r="D46" s="146" t="str">
        <f ca="1">IF(Planning!$AK$21&lt;99999,Planning!$AK$21,"")</f>
        <v/>
      </c>
      <c r="E46" s="180" t="str">
        <f ca="1">IF(OR(Planning!$AL$21=0,Planning!$AL$21=""),"",Planning!$AL$21)</f>
        <v/>
      </c>
      <c r="F46" s="147" t="str">
        <f ca="1">IF(OR(Planning!$AM$21=0,Planning!$AM$21=""),"",Planning!$AM$21)</f>
        <v/>
      </c>
    </row>
    <row r="47" spans="2:6" ht="26.1" customHeight="1" thickBot="1" x14ac:dyDescent="0.35">
      <c r="C47" s="148" t="s">
        <v>30</v>
      </c>
      <c r="D47" s="149" t="str">
        <f ca="1">IF(Planning!$AK$22&lt;99999,Planning!$AK$22,"")</f>
        <v/>
      </c>
      <c r="E47" s="181" t="str">
        <f ca="1">IF(OR(Planning!$AL$22=0,Planning!$AL$22=""),"",Planning!$AL$22)</f>
        <v/>
      </c>
      <c r="F47" s="150" t="str">
        <f ca="1">IF(OR(Planning!$AM$22=0,Planning!$AM$22=""),"",Planning!$AM$22)</f>
        <v/>
      </c>
    </row>
    <row r="48" spans="2:6" ht="26.1" customHeight="1" thickTop="1" x14ac:dyDescent="0.3">
      <c r="B48" s="156" t="str">
        <f>Language!$E$47</f>
        <v>Note</v>
      </c>
    </row>
    <row r="49" spans="2:7" ht="26.1" customHeight="1" x14ac:dyDescent="0.3">
      <c r="B49" s="681" t="str">
        <f>IF($B$24="","",$B$24)</f>
        <v/>
      </c>
      <c r="C49" s="682"/>
      <c r="D49" s="682"/>
      <c r="E49" s="682"/>
      <c r="F49" s="682"/>
      <c r="G49" s="683"/>
    </row>
    <row r="50" spans="2:7" ht="26.1" customHeight="1" x14ac:dyDescent="0.3">
      <c r="B50" s="684"/>
      <c r="C50" s="685"/>
      <c r="D50" s="685"/>
      <c r="E50" s="685"/>
      <c r="F50" s="685"/>
      <c r="G50" s="686"/>
    </row>
    <row r="51" spans="2:7" ht="26.1" customHeight="1" x14ac:dyDescent="0.3">
      <c r="C51" s="680" t="str">
        <f>Results!$H$2</f>
        <v>International tournament U10 on Jan. 27th, 2026</v>
      </c>
      <c r="D51" s="680"/>
      <c r="E51" s="680"/>
      <c r="F51" s="680"/>
    </row>
    <row r="52" spans="2:7" ht="26.1" customHeight="1" x14ac:dyDescent="0.3">
      <c r="C52" s="680"/>
      <c r="D52" s="680"/>
      <c r="E52" s="680"/>
      <c r="F52" s="680"/>
    </row>
    <row r="53" spans="2:7" ht="26.1" customHeight="1" x14ac:dyDescent="0.3">
      <c r="C53" s="680"/>
      <c r="D53" s="680"/>
      <c r="E53" s="680"/>
      <c r="F53" s="680"/>
    </row>
    <row r="54" spans="2:7" ht="25.5" customHeight="1" thickBot="1" x14ac:dyDescent="0.35"/>
    <row r="55" spans="2:7" ht="45.75" customHeight="1" thickTop="1" thickBot="1" x14ac:dyDescent="0.35">
      <c r="C55" s="687" t="str">
        <f>IF(Planning!$C$12="","",Planning!$C$12)</f>
        <v>Eintracht Frankfurt</v>
      </c>
      <c r="D55" s="688"/>
      <c r="E55" s="688"/>
      <c r="F55" s="689"/>
    </row>
    <row r="56" spans="2:7" ht="26.1" customHeight="1" thickBot="1" x14ac:dyDescent="0.35">
      <c r="C56" s="153" t="str">
        <f>Language!$E$9</f>
        <v>No.</v>
      </c>
      <c r="D56" s="154" t="str">
        <f>Language!$E$39</f>
        <v>Start</v>
      </c>
      <c r="E56" s="177" t="str">
        <f>Language!$E$48</f>
        <v>Field</v>
      </c>
      <c r="F56" s="155" t="str">
        <f>Language!$E$46</f>
        <v>Match against</v>
      </c>
    </row>
    <row r="57" spans="2:7" ht="26.1" customHeight="1" x14ac:dyDescent="0.3">
      <c r="C57" s="151" t="s">
        <v>6</v>
      </c>
      <c r="D57" s="152">
        <f ca="1">IF(Planning!$AS$7&lt;99999,Planning!$AS$7,"")</f>
        <v>0.375</v>
      </c>
      <c r="E57" s="179">
        <f ca="1">IF(OR(Planning!$AT$7=0,Planning!$AT$7=""),"",Planning!$AT$7)</f>
        <v>2</v>
      </c>
      <c r="F57" s="178" t="str">
        <f ca="1">IF(OR(Planning!$AU$7=0,Planning!$AU$7=""),"",Planning!$AU$7)</f>
        <v>Inter Mailand</v>
      </c>
    </row>
    <row r="58" spans="2:7" ht="26.1" customHeight="1" x14ac:dyDescent="0.3">
      <c r="C58" s="145" t="s">
        <v>7</v>
      </c>
      <c r="D58" s="146">
        <f ca="1">IF(Planning!$AS$8&lt;99999,Planning!$AS$8,"")</f>
        <v>0.3923611111111111</v>
      </c>
      <c r="E58" s="180">
        <f ca="1">IF(OR(Planning!$AT$8=0,Planning!$AT$8=""),"",Planning!$AT$8)</f>
        <v>3</v>
      </c>
      <c r="F58" s="147" t="str">
        <f ca="1">IF(OR(Planning!$AU$8=0,Planning!$AU$8=""),"",Planning!$AU$8)</f>
        <v>Maibach 1822 eV</v>
      </c>
    </row>
    <row r="59" spans="2:7" ht="26.1" customHeight="1" x14ac:dyDescent="0.3">
      <c r="C59" s="145" t="s">
        <v>8</v>
      </c>
      <c r="D59" s="146">
        <f ca="1">IF(Planning!$AS$9&lt;99999,Planning!$AS$9,"")</f>
        <v>0.40972222222222221</v>
      </c>
      <c r="E59" s="180">
        <f ca="1">IF(OR(Planning!$AT$9=0,Planning!$AT$9=""),"",Planning!$AT$9)</f>
        <v>3</v>
      </c>
      <c r="F59" s="147" t="str">
        <f ca="1">IF(OR(Planning!$AU$9=0,Planning!$AU$9=""),"",Planning!$AU$9)</f>
        <v>FC Barcelona</v>
      </c>
    </row>
    <row r="60" spans="2:7" ht="26.1" customHeight="1" x14ac:dyDescent="0.3">
      <c r="C60" s="145" t="s">
        <v>9</v>
      </c>
      <c r="D60" s="146">
        <f ca="1">IF(Planning!$AS$10&lt;99999,Planning!$AS$10,"")</f>
        <v>0.42708333333333331</v>
      </c>
      <c r="E60" s="180">
        <f ca="1">IF(OR(Planning!$AT$10=0,Planning!$AT$10=""),"",Planning!$AT$10)</f>
        <v>3</v>
      </c>
      <c r="F60" s="147" t="str">
        <f ca="1">IF(OR(Planning!$AU$10=0,Planning!$AU$10=""),"",Planning!$AU$10)</f>
        <v>SSV Wildbach</v>
      </c>
    </row>
    <row r="61" spans="2:7" ht="26.1" customHeight="1" x14ac:dyDescent="0.3">
      <c r="C61" s="145" t="s">
        <v>10</v>
      </c>
      <c r="D61" s="146">
        <f ca="1">IF(Planning!$AS$11&lt;99999,Planning!$AS$11,"")</f>
        <v>0.44444444444444442</v>
      </c>
      <c r="E61" s="180">
        <f ca="1">IF(OR(Planning!$AT$11=0,Planning!$AT$11=""),"",Planning!$AT$11)</f>
        <v>2</v>
      </c>
      <c r="F61" s="147" t="str">
        <f ca="1">IF(OR(Planning!$AU$11=0,Planning!$AU$11=""),"",Planning!$AU$11)</f>
        <v>VFB Essenheim</v>
      </c>
    </row>
    <row r="62" spans="2:7" ht="26.1" customHeight="1" x14ac:dyDescent="0.3">
      <c r="C62" s="145" t="s">
        <v>11</v>
      </c>
      <c r="D62" s="146">
        <f ca="1">IF(Planning!$AS$12&lt;99999,Planning!$AS$12,"")</f>
        <v>0.46180555555555558</v>
      </c>
      <c r="E62" s="180">
        <f ca="1">IF(OR(Planning!$AT$12=0,Planning!$AT$12=""),"",Planning!$AT$12)</f>
        <v>1</v>
      </c>
      <c r="F62" s="147" t="str">
        <f ca="1">IF(OR(Planning!$AU$12=0,Planning!$AU$12=""),"",Planning!$AU$12)</f>
        <v>1. FC Riedwald</v>
      </c>
    </row>
    <row r="63" spans="2:7" ht="26.1" customHeight="1" x14ac:dyDescent="0.3">
      <c r="C63" s="145" t="s">
        <v>16</v>
      </c>
      <c r="D63" s="146">
        <f ca="1">IF(Planning!$AS$13&lt;99999,Planning!$AS$13,"")</f>
        <v>0.49652777777777779</v>
      </c>
      <c r="E63" s="180">
        <f ca="1">IF(OR(Planning!$AT$13=0,Planning!$AT$13=""),"",Planning!$AT$13)</f>
        <v>2</v>
      </c>
      <c r="F63" s="147" t="str">
        <f ca="1">IF(OR(Planning!$AU$13=0,Planning!$AU$13=""),"",Planning!$AU$13)</f>
        <v>Inter Mailand</v>
      </c>
    </row>
    <row r="64" spans="2:7" ht="26.1" customHeight="1" x14ac:dyDescent="0.3">
      <c r="C64" s="145" t="s">
        <v>17</v>
      </c>
      <c r="D64" s="146">
        <f ca="1">IF(Planning!$AS$14&lt;99999,Planning!$AS$14,"")</f>
        <v>0.51388888888888884</v>
      </c>
      <c r="E64" s="180">
        <f ca="1">IF(OR(Planning!$AT$14=0,Planning!$AT$14=""),"",Planning!$AT$14)</f>
        <v>3</v>
      </c>
      <c r="F64" s="147" t="str">
        <f ca="1">IF(OR(Planning!$AU$14=0,Planning!$AU$14=""),"",Planning!$AU$14)</f>
        <v>Maibach 1822 eV</v>
      </c>
    </row>
    <row r="65" spans="2:7" ht="26.1" customHeight="1" x14ac:dyDescent="0.3">
      <c r="C65" s="145" t="s">
        <v>18</v>
      </c>
      <c r="D65" s="146">
        <f ca="1">IF(Planning!$AS$15&lt;99999,Planning!$AS$15,"")</f>
        <v>0.53125</v>
      </c>
      <c r="E65" s="180">
        <f ca="1">IF(OR(Planning!$AT$15=0,Planning!$AT$15=""),"",Planning!$AT$15)</f>
        <v>3</v>
      </c>
      <c r="F65" s="147" t="str">
        <f ca="1">IF(OR(Planning!$AU$15=0,Planning!$AU$15=""),"",Planning!$AU$15)</f>
        <v>FC Barcelona</v>
      </c>
    </row>
    <row r="66" spans="2:7" ht="26.1" customHeight="1" x14ac:dyDescent="0.3">
      <c r="C66" s="145" t="s">
        <v>24</v>
      </c>
      <c r="D66" s="146">
        <f ca="1">IF(Planning!$AS$16&lt;99999,Planning!$AS$16,"")</f>
        <v>0.54861111111111116</v>
      </c>
      <c r="E66" s="180">
        <f ca="1">IF(OR(Planning!$AT$16=0,Planning!$AT$16=""),"",Planning!$AT$16)</f>
        <v>3</v>
      </c>
      <c r="F66" s="147" t="str">
        <f ca="1">IF(OR(Planning!$AU$16=0,Planning!$AU$16=""),"",Planning!$AU$16)</f>
        <v>SSV Wildbach</v>
      </c>
    </row>
    <row r="67" spans="2:7" ht="26.1" customHeight="1" x14ac:dyDescent="0.3">
      <c r="C67" s="145" t="s">
        <v>25</v>
      </c>
      <c r="D67" s="146">
        <f ca="1">IF(Planning!$AS$17&lt;99999,Planning!$AS$17,"")</f>
        <v>0.56597222222222221</v>
      </c>
      <c r="E67" s="180">
        <f ca="1">IF(OR(Planning!$AT$17=0,Planning!$AT$17=""),"",Planning!$AT$17)</f>
        <v>2</v>
      </c>
      <c r="F67" s="147" t="str">
        <f ca="1">IF(OR(Planning!$AU$17=0,Planning!$AU$17=""),"",Planning!$AU$17)</f>
        <v>VFB Essenheim</v>
      </c>
    </row>
    <row r="68" spans="2:7" ht="26.1" customHeight="1" x14ac:dyDescent="0.3">
      <c r="C68" s="145" t="s">
        <v>26</v>
      </c>
      <c r="D68" s="146">
        <f ca="1">IF(Planning!$AS$18&lt;99999,Planning!$AS$18,"")</f>
        <v>0.58333333333333337</v>
      </c>
      <c r="E68" s="180">
        <f ca="1">IF(OR(Planning!$AT$18=0,Planning!$AT$18=""),"",Planning!$AT$18)</f>
        <v>1</v>
      </c>
      <c r="F68" s="147" t="str">
        <f ca="1">IF(OR(Planning!$AU$18=0,Planning!$AU$18=""),"",Planning!$AU$18)</f>
        <v>1. FC Riedwald</v>
      </c>
    </row>
    <row r="69" spans="2:7" ht="26.1" customHeight="1" x14ac:dyDescent="0.3">
      <c r="C69" s="145" t="s">
        <v>27</v>
      </c>
      <c r="D69" s="146" t="str">
        <f ca="1">IF(Planning!$AS$19&lt;99999,Planning!$AS$19,"")</f>
        <v/>
      </c>
      <c r="E69" s="180" t="str">
        <f ca="1">IF(OR(Planning!$AT$19=0,Planning!$AT$19=""),"",Planning!$AT$19)</f>
        <v/>
      </c>
      <c r="F69" s="147" t="str">
        <f ca="1">IF(OR(Planning!$AU$19=0,Planning!$AU$19=""),"",Planning!$AU$19)</f>
        <v/>
      </c>
    </row>
    <row r="70" spans="2:7" ht="26.1" customHeight="1" x14ac:dyDescent="0.3">
      <c r="C70" s="145" t="s">
        <v>28</v>
      </c>
      <c r="D70" s="146" t="str">
        <f ca="1">IF(Planning!$AS$20&lt;99999,Planning!$AS$20,"")</f>
        <v/>
      </c>
      <c r="E70" s="180" t="str">
        <f ca="1">IF(OR(Planning!$AT$20=0,Planning!$AT$20=""),"",Planning!$AT$20)</f>
        <v/>
      </c>
      <c r="F70" s="147" t="str">
        <f ca="1">IF(OR(Planning!$AU$20=0,Planning!$AU$20=""),"",Planning!$AU$20)</f>
        <v/>
      </c>
    </row>
    <row r="71" spans="2:7" ht="26.1" customHeight="1" x14ac:dyDescent="0.3">
      <c r="C71" s="145" t="s">
        <v>29</v>
      </c>
      <c r="D71" s="146" t="str">
        <f ca="1">IF(Planning!$AS$21&lt;99999,Planning!$AS$21,"")</f>
        <v/>
      </c>
      <c r="E71" s="180" t="str">
        <f ca="1">IF(OR(Planning!$AT$21=0,Planning!$AT$21=""),"",Planning!$AT$21)</f>
        <v/>
      </c>
      <c r="F71" s="147" t="str">
        <f ca="1">IF(OR(Planning!$AU$21=0,Planning!$AU$21=""),"",Planning!$AU$21)</f>
        <v/>
      </c>
    </row>
    <row r="72" spans="2:7" ht="26.1" customHeight="1" thickBot="1" x14ac:dyDescent="0.35">
      <c r="C72" s="148" t="s">
        <v>30</v>
      </c>
      <c r="D72" s="149" t="str">
        <f ca="1">IF(Planning!$AS$22&lt;99999,Planning!$AS$22,"")</f>
        <v/>
      </c>
      <c r="E72" s="181" t="str">
        <f ca="1">IF(OR(Planning!$AT$22=0,Planning!$AT$22=""),"",Planning!$AT$22)</f>
        <v/>
      </c>
      <c r="F72" s="150" t="str">
        <f ca="1">IF(OR(Planning!$AU$22=0,Planning!$AU$22=""),"",Planning!$AU$22)</f>
        <v/>
      </c>
    </row>
    <row r="73" spans="2:7" ht="26.1" customHeight="1" thickTop="1" x14ac:dyDescent="0.3">
      <c r="B73" s="156" t="str">
        <f>Language!$E$47</f>
        <v>Note</v>
      </c>
    </row>
    <row r="74" spans="2:7" ht="26.1" customHeight="1" x14ac:dyDescent="0.3">
      <c r="B74" s="681" t="str">
        <f>IF($B$24="","",$B$24)</f>
        <v/>
      </c>
      <c r="C74" s="682"/>
      <c r="D74" s="682"/>
      <c r="E74" s="682"/>
      <c r="F74" s="682"/>
      <c r="G74" s="683"/>
    </row>
    <row r="75" spans="2:7" ht="26.1" customHeight="1" x14ac:dyDescent="0.3">
      <c r="B75" s="684"/>
      <c r="C75" s="685"/>
      <c r="D75" s="685"/>
      <c r="E75" s="685"/>
      <c r="F75" s="685"/>
      <c r="G75" s="686"/>
    </row>
    <row r="76" spans="2:7" ht="26.1" customHeight="1" x14ac:dyDescent="0.3">
      <c r="C76" s="680" t="str">
        <f>Results!$H$2</f>
        <v>International tournament U10 on Jan. 27th, 2026</v>
      </c>
      <c r="D76" s="680"/>
      <c r="E76" s="680"/>
      <c r="F76" s="680"/>
    </row>
    <row r="77" spans="2:7" ht="26.1" customHeight="1" x14ac:dyDescent="0.3">
      <c r="C77" s="680"/>
      <c r="D77" s="680"/>
      <c r="E77" s="680"/>
      <c r="F77" s="680"/>
    </row>
    <row r="78" spans="2:7" ht="26.1" customHeight="1" x14ac:dyDescent="0.3">
      <c r="C78" s="680"/>
      <c r="D78" s="680"/>
      <c r="E78" s="680"/>
      <c r="F78" s="680"/>
    </row>
    <row r="79" spans="2:7" ht="25.5" customHeight="1" thickBot="1" x14ac:dyDescent="0.35"/>
    <row r="80" spans="2:7" ht="45.75" customHeight="1" thickTop="1" thickBot="1" x14ac:dyDescent="0.35">
      <c r="C80" s="687" t="str">
        <f>IF(Planning!$C$14="","",Planning!$C$14)</f>
        <v>Maibach 1822 eV</v>
      </c>
      <c r="D80" s="688"/>
      <c r="E80" s="688"/>
      <c r="F80" s="689"/>
    </row>
    <row r="81" spans="3:6" ht="26.1" customHeight="1" thickBot="1" x14ac:dyDescent="0.35">
      <c r="C81" s="153" t="str">
        <f>Language!$E$9</f>
        <v>No.</v>
      </c>
      <c r="D81" s="154" t="str">
        <f>Language!$E$39</f>
        <v>Start</v>
      </c>
      <c r="E81" s="177" t="str">
        <f>Language!$E$48</f>
        <v>Field</v>
      </c>
      <c r="F81" s="155" t="str">
        <f>Language!$E$46</f>
        <v>Match against</v>
      </c>
    </row>
    <row r="82" spans="3:6" ht="26.1" customHeight="1" x14ac:dyDescent="0.3">
      <c r="C82" s="151" t="s">
        <v>6</v>
      </c>
      <c r="D82" s="152">
        <f ca="1">IF(Planning!$BA$7&lt;99999,Planning!$BA$7,"")</f>
        <v>0.375</v>
      </c>
      <c r="E82" s="179">
        <f ca="1">IF(OR(Planning!$BB$7=0,Planning!$BB$7=""),"",Planning!$BB$7)</f>
        <v>3</v>
      </c>
      <c r="F82" s="178" t="str">
        <f ca="1">IF(OR(Planning!$BC$7=0,Planning!$BC$7=""),"",Planning!$BC$7)</f>
        <v>VFB Essenheim</v>
      </c>
    </row>
    <row r="83" spans="3:6" ht="26.1" customHeight="1" x14ac:dyDescent="0.3">
      <c r="C83" s="145" t="s">
        <v>7</v>
      </c>
      <c r="D83" s="146">
        <f ca="1">IF(Planning!$BA$8&lt;99999,Planning!$BA$8,"")</f>
        <v>0.3923611111111111</v>
      </c>
      <c r="E83" s="180">
        <f ca="1">IF(OR(Planning!$BB$8=0,Planning!$BB$8=""),"",Planning!$BB$8)</f>
        <v>3</v>
      </c>
      <c r="F83" s="147" t="str">
        <f ca="1">IF(OR(Planning!$BC$8=0,Planning!$BC$8=""),"",Planning!$BC$8)</f>
        <v>Eintracht Frankfurt</v>
      </c>
    </row>
    <row r="84" spans="3:6" ht="26.1" customHeight="1" x14ac:dyDescent="0.3">
      <c r="C84" s="145" t="s">
        <v>8</v>
      </c>
      <c r="D84" s="146">
        <f ca="1">IF(Planning!$BA$9&lt;99999,Planning!$BA$9,"")</f>
        <v>0.42708333333333331</v>
      </c>
      <c r="E84" s="180">
        <f ca="1">IF(OR(Planning!$BB$9=0,Planning!$BB$9=""),"",Planning!$BB$9)</f>
        <v>2</v>
      </c>
      <c r="F84" s="147" t="str">
        <f ca="1">IF(OR(Planning!$BC$9=0,Planning!$BC$9=""),"",Planning!$BC$9)</f>
        <v>Inter Mailand</v>
      </c>
    </row>
    <row r="85" spans="3:6" ht="26.1" customHeight="1" x14ac:dyDescent="0.3">
      <c r="C85" s="145" t="s">
        <v>9</v>
      </c>
      <c r="D85" s="146">
        <f ca="1">IF(Planning!$BA$10&lt;99999,Planning!$BA$10,"")</f>
        <v>0.44444444444444442</v>
      </c>
      <c r="E85" s="180">
        <f ca="1">IF(OR(Planning!$BB$10=0,Planning!$BB$10=""),"",Planning!$BB$10)</f>
        <v>1</v>
      </c>
      <c r="F85" s="147" t="str">
        <f ca="1">IF(OR(Planning!$BC$10=0,Planning!$BC$10=""),"",Planning!$BC$10)</f>
        <v>1. FC Riedwald</v>
      </c>
    </row>
    <row r="86" spans="3:6" ht="26.1" customHeight="1" x14ac:dyDescent="0.3">
      <c r="C86" s="145" t="s">
        <v>10</v>
      </c>
      <c r="D86" s="146">
        <f ca="1">IF(Planning!$BA$11&lt;99999,Planning!$BA$11,"")</f>
        <v>0.46180555555555558</v>
      </c>
      <c r="E86" s="180">
        <f ca="1">IF(OR(Planning!$BB$11=0,Planning!$BB$11=""),"",Planning!$BB$11)</f>
        <v>2</v>
      </c>
      <c r="F86" s="147" t="str">
        <f ca="1">IF(OR(Planning!$BC$11=0,Planning!$BC$11=""),"",Planning!$BC$11)</f>
        <v>FC Barcelona</v>
      </c>
    </row>
    <row r="87" spans="3:6" ht="26.1" customHeight="1" x14ac:dyDescent="0.3">
      <c r="C87" s="145" t="s">
        <v>11</v>
      </c>
      <c r="D87" s="146">
        <f ca="1">IF(Planning!$BA$12&lt;99999,Planning!$BA$12,"")</f>
        <v>0.47916666666666669</v>
      </c>
      <c r="E87" s="180">
        <f ca="1">IF(OR(Planning!$BB$12=0,Planning!$BB$12=""),"",Planning!$BB$12)</f>
        <v>2</v>
      </c>
      <c r="F87" s="147" t="str">
        <f ca="1">IF(OR(Planning!$BC$12=0,Planning!$BC$12=""),"",Planning!$BC$12)</f>
        <v>SSV Wildbach</v>
      </c>
    </row>
    <row r="88" spans="3:6" ht="26.1" customHeight="1" x14ac:dyDescent="0.3">
      <c r="C88" s="145" t="s">
        <v>16</v>
      </c>
      <c r="D88" s="146">
        <f ca="1">IF(Planning!$BA$13&lt;99999,Planning!$BA$13,"")</f>
        <v>0.49652777777777779</v>
      </c>
      <c r="E88" s="180">
        <f ca="1">IF(OR(Planning!$BB$13=0,Planning!$BB$13=""),"",Planning!$BB$13)</f>
        <v>3</v>
      </c>
      <c r="F88" s="147" t="str">
        <f ca="1">IF(OR(Planning!$BC$13=0,Planning!$BC$13=""),"",Planning!$BC$13)</f>
        <v>VFB Essenheim</v>
      </c>
    </row>
    <row r="89" spans="3:6" ht="26.1" customHeight="1" x14ac:dyDescent="0.3">
      <c r="C89" s="145" t="s">
        <v>17</v>
      </c>
      <c r="D89" s="146">
        <f ca="1">IF(Planning!$BA$14&lt;99999,Planning!$BA$14,"")</f>
        <v>0.51388888888888884</v>
      </c>
      <c r="E89" s="180">
        <f ca="1">IF(OR(Planning!$BB$14=0,Planning!$BB$14=""),"",Planning!$BB$14)</f>
        <v>3</v>
      </c>
      <c r="F89" s="147" t="str">
        <f ca="1">IF(OR(Planning!$BC$14=0,Planning!$BC$14=""),"",Planning!$BC$14)</f>
        <v>Eintracht Frankfurt</v>
      </c>
    </row>
    <row r="90" spans="3:6" ht="26.1" customHeight="1" x14ac:dyDescent="0.3">
      <c r="C90" s="145" t="s">
        <v>18</v>
      </c>
      <c r="D90" s="146">
        <f ca="1">IF(Planning!$BA$15&lt;99999,Planning!$BA$15,"")</f>
        <v>0.54861111111111116</v>
      </c>
      <c r="E90" s="180">
        <f ca="1">IF(OR(Planning!$BB$15=0,Planning!$BB$15=""),"",Planning!$BB$15)</f>
        <v>2</v>
      </c>
      <c r="F90" s="147" t="str">
        <f ca="1">IF(OR(Planning!$BC$15=0,Planning!$BC$15=""),"",Planning!$BC$15)</f>
        <v>Inter Mailand</v>
      </c>
    </row>
    <row r="91" spans="3:6" ht="26.1" customHeight="1" x14ac:dyDescent="0.3">
      <c r="C91" s="145" t="s">
        <v>24</v>
      </c>
      <c r="D91" s="146">
        <f ca="1">IF(Planning!$BA$16&lt;99999,Planning!$BA$16,"")</f>
        <v>0.56597222222222221</v>
      </c>
      <c r="E91" s="180">
        <f ca="1">IF(OR(Planning!$BB$16=0,Planning!$BB$16=""),"",Planning!$BB$16)</f>
        <v>1</v>
      </c>
      <c r="F91" s="147" t="str">
        <f ca="1">IF(OR(Planning!$BC$16=0,Planning!$BC$16=""),"",Planning!$BC$16)</f>
        <v>1. FC Riedwald</v>
      </c>
    </row>
    <row r="92" spans="3:6" ht="26.1" customHeight="1" x14ac:dyDescent="0.3">
      <c r="C92" s="145" t="s">
        <v>25</v>
      </c>
      <c r="D92" s="146">
        <f ca="1">IF(Planning!$BA$17&lt;99999,Planning!$BA$17,"")</f>
        <v>0.58333333333333337</v>
      </c>
      <c r="E92" s="180">
        <f ca="1">IF(OR(Planning!$BB$17=0,Planning!$BB$17=""),"",Planning!$BB$17)</f>
        <v>2</v>
      </c>
      <c r="F92" s="147" t="str">
        <f ca="1">IF(OR(Planning!$BC$17=0,Planning!$BC$17=""),"",Planning!$BC$17)</f>
        <v>FC Barcelona</v>
      </c>
    </row>
    <row r="93" spans="3:6" ht="26.1" customHeight="1" x14ac:dyDescent="0.3">
      <c r="C93" s="145" t="s">
        <v>26</v>
      </c>
      <c r="D93" s="146">
        <f ca="1">IF(Planning!$BA$18&lt;99999,Planning!$BA$18,"")</f>
        <v>0.60069444444444442</v>
      </c>
      <c r="E93" s="180">
        <f ca="1">IF(OR(Planning!$BB$18=0,Planning!$BB$18=""),"",Planning!$BB$18)</f>
        <v>2</v>
      </c>
      <c r="F93" s="147" t="str">
        <f ca="1">IF(OR(Planning!$BC$18=0,Planning!$BC$18=""),"",Planning!$BC$18)</f>
        <v>SSV Wildbach</v>
      </c>
    </row>
    <row r="94" spans="3:6" ht="26.1" customHeight="1" x14ac:dyDescent="0.3">
      <c r="C94" s="145" t="s">
        <v>27</v>
      </c>
      <c r="D94" s="146" t="str">
        <f ca="1">IF(Planning!$BA$19&lt;99999,Planning!$BA$19,"")</f>
        <v/>
      </c>
      <c r="E94" s="180" t="str">
        <f ca="1">IF(OR(Planning!$BB$19=0,Planning!$BB$19=""),"",Planning!$BB$19)</f>
        <v/>
      </c>
      <c r="F94" s="147" t="str">
        <f ca="1">IF(OR(Planning!$BC$19=0,Planning!$BC$19=""),"",Planning!$BC$19)</f>
        <v/>
      </c>
    </row>
    <row r="95" spans="3:6" ht="26.1" customHeight="1" x14ac:dyDescent="0.3">
      <c r="C95" s="145" t="s">
        <v>28</v>
      </c>
      <c r="D95" s="146" t="str">
        <f ca="1">IF(Planning!$BA$20&lt;99999,Planning!$BA$20,"")</f>
        <v/>
      </c>
      <c r="E95" s="180" t="str">
        <f ca="1">IF(OR(Planning!$BB$20=0,Planning!$BB$20=""),"",Planning!$BB$20)</f>
        <v/>
      </c>
      <c r="F95" s="147" t="str">
        <f ca="1">IF(OR(Planning!$BC$20=0,Planning!$BC$20=""),"",Planning!$BC$20)</f>
        <v/>
      </c>
    </row>
    <row r="96" spans="3:6" ht="26.1" customHeight="1" x14ac:dyDescent="0.3">
      <c r="C96" s="145" t="s">
        <v>29</v>
      </c>
      <c r="D96" s="146" t="str">
        <f ca="1">IF(Planning!$BA$21&lt;99999,Planning!$BA$21,"")</f>
        <v/>
      </c>
      <c r="E96" s="180" t="str">
        <f ca="1">IF(OR(Planning!$BB$21=0,Planning!$BB$21=""),"",Planning!$BB$21)</f>
        <v/>
      </c>
      <c r="F96" s="147" t="str">
        <f ca="1">IF(OR(Planning!$BC$21=0,Planning!$BC$21=""),"",Planning!$BC$21)</f>
        <v/>
      </c>
    </row>
    <row r="97" spans="2:7" ht="26.1" customHeight="1" thickBot="1" x14ac:dyDescent="0.35">
      <c r="C97" s="148" t="s">
        <v>30</v>
      </c>
      <c r="D97" s="149" t="str">
        <f ca="1">IF(Planning!$BA$22&lt;99999,Planning!$BA$22,"")</f>
        <v/>
      </c>
      <c r="E97" s="181" t="str">
        <f ca="1">IF(OR(Planning!$BB$22=0,Planning!$BB$22=""),"",Planning!$BB$22)</f>
        <v/>
      </c>
      <c r="F97" s="150" t="str">
        <f ca="1">IF(OR(Planning!$BC$22=0,Planning!$BC$22=""),"",Planning!$BC$22)</f>
        <v/>
      </c>
    </row>
    <row r="98" spans="2:7" ht="26.1" customHeight="1" thickTop="1" x14ac:dyDescent="0.3">
      <c r="B98" s="156" t="str">
        <f>Language!$E$47</f>
        <v>Note</v>
      </c>
    </row>
    <row r="99" spans="2:7" ht="26.1" customHeight="1" x14ac:dyDescent="0.3">
      <c r="B99" s="681" t="str">
        <f>IF($B$24="","",$B$24)</f>
        <v/>
      </c>
      <c r="C99" s="682"/>
      <c r="D99" s="682"/>
      <c r="E99" s="682"/>
      <c r="F99" s="682"/>
      <c r="G99" s="683"/>
    </row>
    <row r="100" spans="2:7" ht="26.1" customHeight="1" x14ac:dyDescent="0.3">
      <c r="B100" s="684"/>
      <c r="C100" s="685"/>
      <c r="D100" s="685"/>
      <c r="E100" s="685"/>
      <c r="F100" s="685"/>
      <c r="G100" s="686"/>
    </row>
    <row r="101" spans="2:7" ht="26.1" customHeight="1" x14ac:dyDescent="0.3">
      <c r="C101" s="680" t="str">
        <f>Results!$H$2</f>
        <v>International tournament U10 on Jan. 27th, 2026</v>
      </c>
      <c r="D101" s="680"/>
      <c r="E101" s="680"/>
      <c r="F101" s="680"/>
    </row>
    <row r="102" spans="2:7" ht="26.1" customHeight="1" x14ac:dyDescent="0.3">
      <c r="C102" s="680"/>
      <c r="D102" s="680"/>
      <c r="E102" s="680"/>
      <c r="F102" s="680"/>
    </row>
    <row r="103" spans="2:7" ht="26.1" customHeight="1" x14ac:dyDescent="0.3">
      <c r="C103" s="680"/>
      <c r="D103" s="680"/>
      <c r="E103" s="680"/>
      <c r="F103" s="680"/>
    </row>
    <row r="104" spans="2:7" ht="25.5" customHeight="1" thickBot="1" x14ac:dyDescent="0.35"/>
    <row r="105" spans="2:7" ht="45.75" customHeight="1" thickTop="1" thickBot="1" x14ac:dyDescent="0.35">
      <c r="C105" s="687" t="str">
        <f>IF(Planning!$C$16="","",Planning!$C$16)</f>
        <v>VFB Essenheim</v>
      </c>
      <c r="D105" s="688"/>
      <c r="E105" s="688"/>
      <c r="F105" s="689"/>
    </row>
    <row r="106" spans="2:7" ht="26.1" customHeight="1" thickBot="1" x14ac:dyDescent="0.35">
      <c r="C106" s="153" t="str">
        <f>Language!$E$9</f>
        <v>No.</v>
      </c>
      <c r="D106" s="154" t="str">
        <f>Language!$E$39</f>
        <v>Start</v>
      </c>
      <c r="E106" s="177" t="str">
        <f>Language!$E$48</f>
        <v>Field</v>
      </c>
      <c r="F106" s="155" t="str">
        <f>Language!$E$46</f>
        <v>Match against</v>
      </c>
    </row>
    <row r="107" spans="2:7" ht="26.1" customHeight="1" x14ac:dyDescent="0.3">
      <c r="C107" s="151" t="s">
        <v>6</v>
      </c>
      <c r="D107" s="152">
        <f ca="1">IF(Planning!$BI$7&lt;99999,Planning!$BI$7,"")</f>
        <v>0.375</v>
      </c>
      <c r="E107" s="179">
        <f ca="1">IF(OR(Planning!$BJ$7=0,Planning!$BJ$7=""),"",Planning!$BJ$7)</f>
        <v>3</v>
      </c>
      <c r="F107" s="178" t="str">
        <f ca="1">IF(OR(Planning!$BK$7=0,Planning!$BK$7=""),"",Planning!$BK$7)</f>
        <v>Maibach 1822 eV</v>
      </c>
    </row>
    <row r="108" spans="2:7" ht="26.1" customHeight="1" x14ac:dyDescent="0.3">
      <c r="C108" s="145" t="s">
        <v>7</v>
      </c>
      <c r="D108" s="146">
        <f ca="1">IF(Planning!$BI$8&lt;99999,Planning!$BI$8,"")</f>
        <v>0.3923611111111111</v>
      </c>
      <c r="E108" s="180">
        <f ca="1">IF(OR(Planning!$BJ$8=0,Planning!$BJ$8=""),"",Planning!$BJ$8)</f>
        <v>2</v>
      </c>
      <c r="F108" s="147" t="str">
        <f ca="1">IF(OR(Planning!$BK$8=0,Planning!$BK$8=""),"",Planning!$BK$8)</f>
        <v>FC Barcelona</v>
      </c>
    </row>
    <row r="109" spans="2:7" ht="26.1" customHeight="1" x14ac:dyDescent="0.3">
      <c r="C109" s="145" t="s">
        <v>8</v>
      </c>
      <c r="D109" s="146">
        <f ca="1">IF(Planning!$BI$9&lt;99999,Planning!$BI$9,"")</f>
        <v>0.40972222222222221</v>
      </c>
      <c r="E109" s="180">
        <f ca="1">IF(OR(Planning!$BJ$9=0,Planning!$BJ$9=""),"",Planning!$BJ$9)</f>
        <v>2</v>
      </c>
      <c r="F109" s="147" t="str">
        <f ca="1">IF(OR(Planning!$BK$9=0,Planning!$BK$9=""),"",Planning!$BK$9)</f>
        <v>SSV Wildbach</v>
      </c>
    </row>
    <row r="110" spans="2:7" ht="26.1" customHeight="1" x14ac:dyDescent="0.3">
      <c r="C110" s="145" t="s">
        <v>9</v>
      </c>
      <c r="D110" s="146">
        <f ca="1">IF(Planning!$BI$10&lt;99999,Planning!$BI$10,"")</f>
        <v>0.42708333333333331</v>
      </c>
      <c r="E110" s="180">
        <f ca="1">IF(OR(Planning!$BJ$10=0,Planning!$BJ$10=""),"",Planning!$BJ$10)</f>
        <v>1</v>
      </c>
      <c r="F110" s="147" t="str">
        <f ca="1">IF(OR(Planning!$BK$10=0,Planning!$BK$10=""),"",Planning!$BK$10)</f>
        <v>1. FC Riedwald</v>
      </c>
    </row>
    <row r="111" spans="2:7" ht="26.1" customHeight="1" x14ac:dyDescent="0.3">
      <c r="C111" s="145" t="s">
        <v>10</v>
      </c>
      <c r="D111" s="146">
        <f ca="1">IF(Planning!$BI$11&lt;99999,Planning!$BI$11,"")</f>
        <v>0.44444444444444442</v>
      </c>
      <c r="E111" s="180">
        <f ca="1">IF(OR(Planning!$BJ$11=0,Planning!$BJ$11=""),"",Planning!$BJ$11)</f>
        <v>2</v>
      </c>
      <c r="F111" s="147" t="str">
        <f ca="1">IF(OR(Planning!$BK$11=0,Planning!$BK$11=""),"",Planning!$BK$11)</f>
        <v>Eintracht Frankfurt</v>
      </c>
    </row>
    <row r="112" spans="2:7" ht="26.1" customHeight="1" x14ac:dyDescent="0.3">
      <c r="C112" s="145" t="s">
        <v>11</v>
      </c>
      <c r="D112" s="146">
        <f ca="1">IF(Planning!$BI$12&lt;99999,Planning!$BI$12,"")</f>
        <v>0.47916666666666669</v>
      </c>
      <c r="E112" s="180">
        <f ca="1">IF(OR(Planning!$BJ$12=0,Planning!$BJ$12=""),"",Planning!$BJ$12)</f>
        <v>3</v>
      </c>
      <c r="F112" s="147" t="str">
        <f ca="1">IF(OR(Planning!$BK$12=0,Planning!$BK$12=""),"",Planning!$BK$12)</f>
        <v>Inter Mailand</v>
      </c>
    </row>
    <row r="113" spans="2:7" ht="26.1" customHeight="1" x14ac:dyDescent="0.3">
      <c r="C113" s="145" t="s">
        <v>16</v>
      </c>
      <c r="D113" s="146">
        <f ca="1">IF(Planning!$BI$13&lt;99999,Planning!$BI$13,"")</f>
        <v>0.49652777777777779</v>
      </c>
      <c r="E113" s="180">
        <f ca="1">IF(OR(Planning!$BJ$13=0,Planning!$BJ$13=""),"",Planning!$BJ$13)</f>
        <v>3</v>
      </c>
      <c r="F113" s="147" t="str">
        <f ca="1">IF(OR(Planning!$BK$13=0,Planning!$BK$13=""),"",Planning!$BK$13)</f>
        <v>Maibach 1822 eV</v>
      </c>
    </row>
    <row r="114" spans="2:7" ht="26.1" customHeight="1" x14ac:dyDescent="0.3">
      <c r="C114" s="145" t="s">
        <v>17</v>
      </c>
      <c r="D114" s="146">
        <f ca="1">IF(Planning!$BI$14&lt;99999,Planning!$BI$14,"")</f>
        <v>0.51388888888888884</v>
      </c>
      <c r="E114" s="180">
        <f ca="1">IF(OR(Planning!$BJ$14=0,Planning!$BJ$14=""),"",Planning!$BJ$14)</f>
        <v>2</v>
      </c>
      <c r="F114" s="147" t="str">
        <f ca="1">IF(OR(Planning!$BK$14=0,Planning!$BK$14=""),"",Planning!$BK$14)</f>
        <v>FC Barcelona</v>
      </c>
    </row>
    <row r="115" spans="2:7" ht="26.1" customHeight="1" x14ac:dyDescent="0.3">
      <c r="C115" s="145" t="s">
        <v>18</v>
      </c>
      <c r="D115" s="146">
        <f ca="1">IF(Planning!$BI$15&lt;99999,Planning!$BI$15,"")</f>
        <v>0.53125</v>
      </c>
      <c r="E115" s="180">
        <f ca="1">IF(OR(Planning!$BJ$15=0,Planning!$BJ$15=""),"",Planning!$BJ$15)</f>
        <v>2</v>
      </c>
      <c r="F115" s="147" t="str">
        <f ca="1">IF(OR(Planning!$BK$15=0,Planning!$BK$15=""),"",Planning!$BK$15)</f>
        <v>SSV Wildbach</v>
      </c>
    </row>
    <row r="116" spans="2:7" ht="26.1" customHeight="1" x14ac:dyDescent="0.3">
      <c r="C116" s="145" t="s">
        <v>24</v>
      </c>
      <c r="D116" s="146">
        <f ca="1">IF(Planning!$BI$16&lt;99999,Planning!$BI$16,"")</f>
        <v>0.54861111111111116</v>
      </c>
      <c r="E116" s="180">
        <f ca="1">IF(OR(Planning!$BJ$16=0,Planning!$BJ$16=""),"",Planning!$BJ$16)</f>
        <v>1</v>
      </c>
      <c r="F116" s="147" t="str">
        <f ca="1">IF(OR(Planning!$BK$16=0,Planning!$BK$16=""),"",Planning!$BK$16)</f>
        <v>1. FC Riedwald</v>
      </c>
    </row>
    <row r="117" spans="2:7" ht="26.1" customHeight="1" x14ac:dyDescent="0.3">
      <c r="C117" s="145" t="s">
        <v>25</v>
      </c>
      <c r="D117" s="146">
        <f ca="1">IF(Planning!$BI$17&lt;99999,Planning!$BI$17,"")</f>
        <v>0.56597222222222221</v>
      </c>
      <c r="E117" s="180">
        <f ca="1">IF(OR(Planning!$BJ$17=0,Planning!$BJ$17=""),"",Planning!$BJ$17)</f>
        <v>2</v>
      </c>
      <c r="F117" s="147" t="str">
        <f ca="1">IF(OR(Planning!$BK$17=0,Planning!$BK$17=""),"",Planning!$BK$17)</f>
        <v>Eintracht Frankfurt</v>
      </c>
    </row>
    <row r="118" spans="2:7" ht="26.1" customHeight="1" x14ac:dyDescent="0.3">
      <c r="C118" s="145" t="s">
        <v>26</v>
      </c>
      <c r="D118" s="146">
        <f ca="1">IF(Planning!$BI$18&lt;99999,Planning!$BI$18,"")</f>
        <v>0.60069444444444442</v>
      </c>
      <c r="E118" s="180">
        <f ca="1">IF(OR(Planning!$BJ$18=0,Planning!$BJ$18=""),"",Planning!$BJ$18)</f>
        <v>3</v>
      </c>
      <c r="F118" s="147" t="str">
        <f ca="1">IF(OR(Planning!$BK$18=0,Planning!$BK$18=""),"",Planning!$BK$18)</f>
        <v>Inter Mailand</v>
      </c>
    </row>
    <row r="119" spans="2:7" ht="26.1" customHeight="1" x14ac:dyDescent="0.3">
      <c r="C119" s="145" t="s">
        <v>27</v>
      </c>
      <c r="D119" s="146" t="str">
        <f ca="1">IF(Planning!$BI$19&lt;99999,Planning!$BI$19,"")</f>
        <v/>
      </c>
      <c r="E119" s="180" t="str">
        <f ca="1">IF(OR(Planning!$BJ$19=0,Planning!$BJ$19=""),"",Planning!$BJ$19)</f>
        <v/>
      </c>
      <c r="F119" s="147" t="str">
        <f ca="1">IF(OR(Planning!$BK$19=0,Planning!$BK$19=""),"",Planning!$BK$19)</f>
        <v/>
      </c>
    </row>
    <row r="120" spans="2:7" ht="26.1" customHeight="1" x14ac:dyDescent="0.3">
      <c r="C120" s="145" t="s">
        <v>28</v>
      </c>
      <c r="D120" s="146" t="str">
        <f ca="1">IF(Planning!$BI$20&lt;99999,Planning!$BI$20,"")</f>
        <v/>
      </c>
      <c r="E120" s="180" t="str">
        <f ca="1">IF(OR(Planning!$BJ$20=0,Planning!$BJ$20=""),"",Planning!$BJ$20)</f>
        <v/>
      </c>
      <c r="F120" s="147" t="str">
        <f ca="1">IF(OR(Planning!$BK$20=0,Planning!$BK$20=""),"",Planning!$BK$20)</f>
        <v/>
      </c>
    </row>
    <row r="121" spans="2:7" ht="26.1" customHeight="1" x14ac:dyDescent="0.3">
      <c r="C121" s="145" t="s">
        <v>29</v>
      </c>
      <c r="D121" s="146" t="str">
        <f ca="1">IF(Planning!$BI$21&lt;99999,Planning!$BI$21,"")</f>
        <v/>
      </c>
      <c r="E121" s="180" t="str">
        <f ca="1">IF(OR(Planning!$BJ$21=0,Planning!$BJ$21=""),"",Planning!$BJ$21)</f>
        <v/>
      </c>
      <c r="F121" s="147" t="str">
        <f ca="1">IF(OR(Planning!$BK$21=0,Planning!$BK$21=""),"",Planning!$BK$21)</f>
        <v/>
      </c>
    </row>
    <row r="122" spans="2:7" ht="26.1" customHeight="1" thickBot="1" x14ac:dyDescent="0.35">
      <c r="C122" s="148" t="s">
        <v>30</v>
      </c>
      <c r="D122" s="149" t="str">
        <f ca="1">IF(Planning!$BI$22&lt;99999,Planning!$BI$22,"")</f>
        <v/>
      </c>
      <c r="E122" s="181" t="str">
        <f ca="1">IF(OR(Planning!$BJ$22=0,Planning!$BJ$22=""),"",Planning!$BJ$22)</f>
        <v/>
      </c>
      <c r="F122" s="150" t="str">
        <f ca="1">IF(OR(Planning!$BK$22=0,Planning!$BK$22=""),"",Planning!$BK$22)</f>
        <v/>
      </c>
    </row>
    <row r="123" spans="2:7" ht="26.1" customHeight="1" thickTop="1" x14ac:dyDescent="0.3">
      <c r="B123" s="156" t="str">
        <f>Language!$E$47</f>
        <v>Note</v>
      </c>
    </row>
    <row r="124" spans="2:7" ht="26.1" customHeight="1" x14ac:dyDescent="0.3">
      <c r="B124" s="681" t="str">
        <f>IF($B$24="","",$B$24)</f>
        <v/>
      </c>
      <c r="C124" s="682"/>
      <c r="D124" s="682"/>
      <c r="E124" s="682"/>
      <c r="F124" s="682"/>
      <c r="G124" s="683"/>
    </row>
    <row r="125" spans="2:7" ht="26.1" customHeight="1" x14ac:dyDescent="0.3">
      <c r="B125" s="684"/>
      <c r="C125" s="685"/>
      <c r="D125" s="685"/>
      <c r="E125" s="685"/>
      <c r="F125" s="685"/>
      <c r="G125" s="686"/>
    </row>
    <row r="126" spans="2:7" ht="26.1" customHeight="1" x14ac:dyDescent="0.3">
      <c r="C126" s="680" t="str">
        <f>Results!$H$2</f>
        <v>International tournament U10 on Jan. 27th, 2026</v>
      </c>
      <c r="D126" s="680"/>
      <c r="E126" s="680"/>
      <c r="F126" s="680"/>
    </row>
    <row r="127" spans="2:7" ht="26.1" customHeight="1" x14ac:dyDescent="0.3">
      <c r="C127" s="680"/>
      <c r="D127" s="680"/>
      <c r="E127" s="680"/>
      <c r="F127" s="680"/>
    </row>
    <row r="128" spans="2:7" ht="26.1" customHeight="1" x14ac:dyDescent="0.3">
      <c r="C128" s="680"/>
      <c r="D128" s="680"/>
      <c r="E128" s="680"/>
      <c r="F128" s="680"/>
    </row>
    <row r="129" spans="3:6" ht="25.5" customHeight="1" thickBot="1" x14ac:dyDescent="0.35"/>
    <row r="130" spans="3:6" ht="45.75" customHeight="1" thickTop="1" thickBot="1" x14ac:dyDescent="0.35">
      <c r="C130" s="687" t="str">
        <f>IF(Planning!$C$18="","",Planning!$C$18)</f>
        <v>Inter Mailand</v>
      </c>
      <c r="D130" s="688"/>
      <c r="E130" s="688"/>
      <c r="F130" s="689"/>
    </row>
    <row r="131" spans="3:6" ht="26.1" customHeight="1" thickBot="1" x14ac:dyDescent="0.35">
      <c r="C131" s="153" t="str">
        <f>Language!$E$9</f>
        <v>No.</v>
      </c>
      <c r="D131" s="154" t="str">
        <f>Language!$E$39</f>
        <v>Start</v>
      </c>
      <c r="E131" s="177" t="str">
        <f>Language!$E$48</f>
        <v>Field</v>
      </c>
      <c r="F131" s="155" t="str">
        <f>Language!$E$46</f>
        <v>Match against</v>
      </c>
    </row>
    <row r="132" spans="3:6" ht="26.1" customHeight="1" x14ac:dyDescent="0.3">
      <c r="C132" s="151" t="s">
        <v>6</v>
      </c>
      <c r="D132" s="152">
        <f ca="1">IF(Planning!$BQ$7&lt;99999,Planning!$BQ$7,"")</f>
        <v>0.375</v>
      </c>
      <c r="E132" s="179">
        <f ca="1">IF(OR(Planning!$BR$7=0,Planning!$BR$7=""),"",Planning!$BR$7)</f>
        <v>2</v>
      </c>
      <c r="F132" s="178" t="str">
        <f ca="1">IF(OR(Planning!$BS$7=0,Planning!$BS$7=""),"",Planning!$BS$7)</f>
        <v>Eintracht Frankfurt</v>
      </c>
    </row>
    <row r="133" spans="3:6" ht="26.1" customHeight="1" x14ac:dyDescent="0.3">
      <c r="C133" s="145" t="s">
        <v>7</v>
      </c>
      <c r="D133" s="146">
        <f ca="1">IF(Planning!$BQ$8&lt;99999,Planning!$BQ$8,"")</f>
        <v>0.40972222222222221</v>
      </c>
      <c r="E133" s="180">
        <f ca="1">IF(OR(Planning!$BR$8=0,Planning!$BR$8=""),"",Planning!$BR$8)</f>
        <v>1</v>
      </c>
      <c r="F133" s="147" t="str">
        <f ca="1">IF(OR(Planning!$BS$8=0,Planning!$BS$8=""),"",Planning!$BS$8)</f>
        <v>1. FC Riedwald</v>
      </c>
    </row>
    <row r="134" spans="3:6" ht="26.1" customHeight="1" x14ac:dyDescent="0.3">
      <c r="C134" s="145" t="s">
        <v>8</v>
      </c>
      <c r="D134" s="146">
        <f ca="1">IF(Planning!$BQ$9&lt;99999,Planning!$BQ$9,"")</f>
        <v>0.42708333333333331</v>
      </c>
      <c r="E134" s="180">
        <f ca="1">IF(OR(Planning!$BR$9=0,Planning!$BR$9=""),"",Planning!$BR$9)</f>
        <v>2</v>
      </c>
      <c r="F134" s="147" t="str">
        <f ca="1">IF(OR(Planning!$BS$9=0,Planning!$BS$9=""),"",Planning!$BS$9)</f>
        <v>Maibach 1822 eV</v>
      </c>
    </row>
    <row r="135" spans="3:6" ht="26.1" customHeight="1" x14ac:dyDescent="0.3">
      <c r="C135" s="145" t="s">
        <v>9</v>
      </c>
      <c r="D135" s="146">
        <f ca="1">IF(Planning!$BQ$10&lt;99999,Planning!$BQ$10,"")</f>
        <v>0.44444444444444442</v>
      </c>
      <c r="E135" s="180">
        <f ca="1">IF(OR(Planning!$BR$10=0,Planning!$BR$10=""),"",Planning!$BR$10)</f>
        <v>3</v>
      </c>
      <c r="F135" s="147" t="str">
        <f ca="1">IF(OR(Planning!$BS$10=0,Planning!$BS$10=""),"",Planning!$BS$10)</f>
        <v>FC Barcelona</v>
      </c>
    </row>
    <row r="136" spans="3:6" ht="26.1" customHeight="1" x14ac:dyDescent="0.3">
      <c r="C136" s="145" t="s">
        <v>10</v>
      </c>
      <c r="D136" s="146">
        <f ca="1">IF(Planning!$BQ$11&lt;99999,Planning!$BQ$11,"")</f>
        <v>0.46180555555555558</v>
      </c>
      <c r="E136" s="180">
        <f ca="1">IF(OR(Planning!$BR$11=0,Planning!$BR$11=""),"",Planning!$BR$11)</f>
        <v>3</v>
      </c>
      <c r="F136" s="147" t="str">
        <f ca="1">IF(OR(Planning!$BS$11=0,Planning!$BS$11=""),"",Planning!$BS$11)</f>
        <v>SSV Wildbach</v>
      </c>
    </row>
    <row r="137" spans="3:6" ht="26.1" customHeight="1" x14ac:dyDescent="0.3">
      <c r="C137" s="145" t="s">
        <v>11</v>
      </c>
      <c r="D137" s="146">
        <f ca="1">IF(Planning!$BQ$12&lt;99999,Planning!$BQ$12,"")</f>
        <v>0.47916666666666669</v>
      </c>
      <c r="E137" s="180">
        <f ca="1">IF(OR(Planning!$BR$12=0,Planning!$BR$12=""),"",Planning!$BR$12)</f>
        <v>3</v>
      </c>
      <c r="F137" s="147" t="str">
        <f ca="1">IF(OR(Planning!$BS$12=0,Planning!$BS$12=""),"",Planning!$BS$12)</f>
        <v>VFB Essenheim</v>
      </c>
    </row>
    <row r="138" spans="3:6" ht="26.1" customHeight="1" x14ac:dyDescent="0.3">
      <c r="C138" s="145" t="s">
        <v>16</v>
      </c>
      <c r="D138" s="146">
        <f ca="1">IF(Planning!$BQ$13&lt;99999,Planning!$BQ$13,"")</f>
        <v>0.49652777777777779</v>
      </c>
      <c r="E138" s="180">
        <f ca="1">IF(OR(Planning!$BR$13=0,Planning!$BR$13=""),"",Planning!$BR$13)</f>
        <v>2</v>
      </c>
      <c r="F138" s="147" t="str">
        <f ca="1">IF(OR(Planning!$BS$13=0,Planning!$BS$13=""),"",Planning!$BS$13)</f>
        <v>Eintracht Frankfurt</v>
      </c>
    </row>
    <row r="139" spans="3:6" ht="26.1" customHeight="1" x14ac:dyDescent="0.3">
      <c r="C139" s="145" t="s">
        <v>17</v>
      </c>
      <c r="D139" s="146">
        <f ca="1">IF(Planning!$BQ$14&lt;99999,Planning!$BQ$14,"")</f>
        <v>0.53125</v>
      </c>
      <c r="E139" s="180">
        <f ca="1">IF(OR(Planning!$BR$14=0,Planning!$BR$14=""),"",Planning!$BR$14)</f>
        <v>1</v>
      </c>
      <c r="F139" s="147" t="str">
        <f ca="1">IF(OR(Planning!$BS$14=0,Planning!$BS$14=""),"",Planning!$BS$14)</f>
        <v>1. FC Riedwald</v>
      </c>
    </row>
    <row r="140" spans="3:6" ht="26.1" customHeight="1" x14ac:dyDescent="0.3">
      <c r="C140" s="145" t="s">
        <v>18</v>
      </c>
      <c r="D140" s="146">
        <f ca="1">IF(Planning!$BQ$15&lt;99999,Planning!$BQ$15,"")</f>
        <v>0.54861111111111116</v>
      </c>
      <c r="E140" s="180">
        <f ca="1">IF(OR(Planning!$BR$15=0,Planning!$BR$15=""),"",Planning!$BR$15)</f>
        <v>2</v>
      </c>
      <c r="F140" s="147" t="str">
        <f ca="1">IF(OR(Planning!$BS$15=0,Planning!$BS$15=""),"",Planning!$BS$15)</f>
        <v>Maibach 1822 eV</v>
      </c>
    </row>
    <row r="141" spans="3:6" ht="26.1" customHeight="1" x14ac:dyDescent="0.3">
      <c r="C141" s="145" t="s">
        <v>24</v>
      </c>
      <c r="D141" s="146">
        <f ca="1">IF(Planning!$BQ$16&lt;99999,Planning!$BQ$16,"")</f>
        <v>0.56597222222222221</v>
      </c>
      <c r="E141" s="180">
        <f ca="1">IF(OR(Planning!$BR$16=0,Planning!$BR$16=""),"",Planning!$BR$16)</f>
        <v>3</v>
      </c>
      <c r="F141" s="147" t="str">
        <f ca="1">IF(OR(Planning!$BS$16=0,Planning!$BS$16=""),"",Planning!$BS$16)</f>
        <v>FC Barcelona</v>
      </c>
    </row>
    <row r="142" spans="3:6" ht="26.1" customHeight="1" x14ac:dyDescent="0.3">
      <c r="C142" s="145" t="s">
        <v>25</v>
      </c>
      <c r="D142" s="146">
        <f ca="1">IF(Planning!$BQ$17&lt;99999,Planning!$BQ$17,"")</f>
        <v>0.58333333333333337</v>
      </c>
      <c r="E142" s="180">
        <f ca="1">IF(OR(Planning!$BR$17=0,Planning!$BR$17=""),"",Planning!$BR$17)</f>
        <v>3</v>
      </c>
      <c r="F142" s="147" t="str">
        <f ca="1">IF(OR(Planning!$BS$17=0,Planning!$BS$17=""),"",Planning!$BS$17)</f>
        <v>SSV Wildbach</v>
      </c>
    </row>
    <row r="143" spans="3:6" ht="26.1" customHeight="1" x14ac:dyDescent="0.3">
      <c r="C143" s="145" t="s">
        <v>26</v>
      </c>
      <c r="D143" s="146">
        <f ca="1">IF(Planning!$BQ$18&lt;99999,Planning!$BQ$18,"")</f>
        <v>0.60069444444444442</v>
      </c>
      <c r="E143" s="180">
        <f ca="1">IF(OR(Planning!$BR$18=0,Planning!$BR$18=""),"",Planning!$BR$18)</f>
        <v>3</v>
      </c>
      <c r="F143" s="147" t="str">
        <f ca="1">IF(OR(Planning!$BS$18=0,Planning!$BS$18=""),"",Planning!$BS$18)</f>
        <v>VFB Essenheim</v>
      </c>
    </row>
    <row r="144" spans="3:6" ht="26.1" customHeight="1" x14ac:dyDescent="0.3">
      <c r="C144" s="145" t="s">
        <v>27</v>
      </c>
      <c r="D144" s="146" t="str">
        <f ca="1">IF(Planning!$BQ$19&lt;99999,Planning!$BQ$19,"")</f>
        <v/>
      </c>
      <c r="E144" s="180" t="str">
        <f ca="1">IF(OR(Planning!$BR$19=0,Planning!$BR$19=""),"",Planning!$BR$19)</f>
        <v/>
      </c>
      <c r="F144" s="147" t="str">
        <f ca="1">IF(OR(Planning!$BS$19=0,Planning!$BS$19=""),"",Planning!$BS$19)</f>
        <v/>
      </c>
    </row>
    <row r="145" spans="2:7" ht="26.1" customHeight="1" x14ac:dyDescent="0.3">
      <c r="C145" s="145" t="s">
        <v>28</v>
      </c>
      <c r="D145" s="146" t="str">
        <f ca="1">IF(Planning!$BQ$20&lt;99999,Planning!$BQ$20,"")</f>
        <v/>
      </c>
      <c r="E145" s="180" t="str">
        <f ca="1">IF(OR(Planning!$BR$20=0,Planning!$BR$20=""),"",Planning!$BR$20)</f>
        <v/>
      </c>
      <c r="F145" s="147" t="str">
        <f ca="1">IF(OR(Planning!$BS$20=0,Planning!$BS$20=""),"",Planning!$BS$20)</f>
        <v/>
      </c>
    </row>
    <row r="146" spans="2:7" ht="26.1" customHeight="1" x14ac:dyDescent="0.3">
      <c r="C146" s="145" t="s">
        <v>29</v>
      </c>
      <c r="D146" s="146" t="str">
        <f ca="1">IF(Planning!$BQ$21&lt;99999,Planning!$BQ$21,"")</f>
        <v/>
      </c>
      <c r="E146" s="180" t="str">
        <f ca="1">IF(OR(Planning!$BR$21=0,Planning!$BR$21=""),"",Planning!$BR$21)</f>
        <v/>
      </c>
      <c r="F146" s="147" t="str">
        <f ca="1">IF(OR(Planning!$BS$21=0,Planning!$BS$21=""),"",Planning!$BS$21)</f>
        <v/>
      </c>
    </row>
    <row r="147" spans="2:7" ht="26.1" customHeight="1" thickBot="1" x14ac:dyDescent="0.35">
      <c r="C147" s="148" t="s">
        <v>30</v>
      </c>
      <c r="D147" s="149" t="str">
        <f ca="1">IF(Planning!$BQ$22&lt;99999,Planning!$BQ$22,"")</f>
        <v/>
      </c>
      <c r="E147" s="181" t="str">
        <f ca="1">IF(OR(Planning!$BR$22=0,Planning!$BR$22=""),"",Planning!$BR$22)</f>
        <v/>
      </c>
      <c r="F147" s="150" t="str">
        <f ca="1">IF(OR(Planning!$BS$22=0,Planning!$BS$22=""),"",Planning!$BS$22)</f>
        <v/>
      </c>
    </row>
    <row r="148" spans="2:7" ht="26.1" customHeight="1" thickTop="1" x14ac:dyDescent="0.3">
      <c r="B148" s="156" t="str">
        <f>Language!$E$47</f>
        <v>Note</v>
      </c>
    </row>
    <row r="149" spans="2:7" ht="26.1" customHeight="1" x14ac:dyDescent="0.3">
      <c r="B149" s="681" t="str">
        <f>IF($B$24="","",$B$24)</f>
        <v/>
      </c>
      <c r="C149" s="682"/>
      <c r="D149" s="682"/>
      <c r="E149" s="682"/>
      <c r="F149" s="682"/>
      <c r="G149" s="683"/>
    </row>
    <row r="150" spans="2:7" ht="26.1" customHeight="1" x14ac:dyDescent="0.3">
      <c r="B150" s="684"/>
      <c r="C150" s="685"/>
      <c r="D150" s="685"/>
      <c r="E150" s="685"/>
      <c r="F150" s="685"/>
      <c r="G150" s="686"/>
    </row>
    <row r="151" spans="2:7" ht="26.1" customHeight="1" x14ac:dyDescent="0.3">
      <c r="C151" s="680" t="str">
        <f>Results!$H$2</f>
        <v>International tournament U10 on Jan. 27th, 2026</v>
      </c>
      <c r="D151" s="680"/>
      <c r="E151" s="680"/>
      <c r="F151" s="680"/>
    </row>
    <row r="152" spans="2:7" ht="26.1" customHeight="1" x14ac:dyDescent="0.3">
      <c r="C152" s="680"/>
      <c r="D152" s="680"/>
      <c r="E152" s="680"/>
      <c r="F152" s="680"/>
    </row>
    <row r="153" spans="2:7" ht="26.1" customHeight="1" x14ac:dyDescent="0.3">
      <c r="C153" s="680"/>
      <c r="D153" s="680"/>
      <c r="E153" s="680"/>
      <c r="F153" s="680"/>
    </row>
    <row r="154" spans="2:7" ht="25.5" customHeight="1" thickBot="1" x14ac:dyDescent="0.35"/>
    <row r="155" spans="2:7" ht="45.75" customHeight="1" thickTop="1" thickBot="1" x14ac:dyDescent="0.35">
      <c r="C155" s="687" t="str">
        <f>IF(Planning!$C$20="","",Planning!$C$20)</f>
        <v>SSV Wildbach</v>
      </c>
      <c r="D155" s="688"/>
      <c r="E155" s="688"/>
      <c r="F155" s="689"/>
    </row>
    <row r="156" spans="2:7" ht="26.1" customHeight="1" thickBot="1" x14ac:dyDescent="0.35">
      <c r="C156" s="153" t="str">
        <f>Language!$E$9</f>
        <v>No.</v>
      </c>
      <c r="D156" s="154" t="str">
        <f>Language!$E$39</f>
        <v>Start</v>
      </c>
      <c r="E156" s="177" t="str">
        <f>Language!$E$48</f>
        <v>Field</v>
      </c>
      <c r="F156" s="155" t="str">
        <f>Language!$E$46</f>
        <v>Match against</v>
      </c>
    </row>
    <row r="157" spans="2:7" ht="26.1" customHeight="1" x14ac:dyDescent="0.3">
      <c r="C157" s="151" t="s">
        <v>6</v>
      </c>
      <c r="D157" s="152">
        <f ca="1">IF(Planning!$BY$7&lt;99999,Planning!$BY$7,"")</f>
        <v>0.375</v>
      </c>
      <c r="E157" s="179">
        <f ca="1">IF(OR(Planning!$BZ$7=0,Planning!$BZ$7=""),"",Planning!$BZ$7)</f>
        <v>1</v>
      </c>
      <c r="F157" s="178" t="str">
        <f ca="1">IF(OR(Planning!$CA$7=0,Planning!$CA$7=""),"",Planning!$CA$7)</f>
        <v>FC Barcelona</v>
      </c>
    </row>
    <row r="158" spans="2:7" ht="26.1" customHeight="1" x14ac:dyDescent="0.3">
      <c r="C158" s="145" t="s">
        <v>7</v>
      </c>
      <c r="D158" s="146">
        <f ca="1">IF(Planning!$BY$8&lt;99999,Planning!$BY$8,"")</f>
        <v>0.3923611111111111</v>
      </c>
      <c r="E158" s="180">
        <f ca="1">IF(OR(Planning!$BZ$8=0,Planning!$BZ$8=""),"",Planning!$BZ$8)</f>
        <v>1</v>
      </c>
      <c r="F158" s="147" t="str">
        <f ca="1">IF(OR(Planning!$CA$8=0,Planning!$CA$8=""),"",Planning!$CA$8)</f>
        <v>1. FC Riedwald</v>
      </c>
    </row>
    <row r="159" spans="2:7" ht="26.1" customHeight="1" x14ac:dyDescent="0.3">
      <c r="C159" s="145" t="s">
        <v>8</v>
      </c>
      <c r="D159" s="146">
        <f ca="1">IF(Planning!$BY$9&lt;99999,Planning!$BY$9,"")</f>
        <v>0.40972222222222221</v>
      </c>
      <c r="E159" s="180">
        <f ca="1">IF(OR(Planning!$BZ$9=0,Planning!$BZ$9=""),"",Planning!$BZ$9)</f>
        <v>2</v>
      </c>
      <c r="F159" s="147" t="str">
        <f ca="1">IF(OR(Planning!$CA$9=0,Planning!$CA$9=""),"",Planning!$CA$9)</f>
        <v>VFB Essenheim</v>
      </c>
    </row>
    <row r="160" spans="2:7" ht="26.1" customHeight="1" x14ac:dyDescent="0.3">
      <c r="C160" s="145" t="s">
        <v>9</v>
      </c>
      <c r="D160" s="146">
        <f ca="1">IF(Planning!$BY$10&lt;99999,Planning!$BY$10,"")</f>
        <v>0.42708333333333331</v>
      </c>
      <c r="E160" s="180">
        <f ca="1">IF(OR(Planning!$BZ$10=0,Planning!$BZ$10=""),"",Planning!$BZ$10)</f>
        <v>3</v>
      </c>
      <c r="F160" s="147" t="str">
        <f ca="1">IF(OR(Planning!$CA$10=0,Planning!$CA$10=""),"",Planning!$CA$10)</f>
        <v>Eintracht Frankfurt</v>
      </c>
    </row>
    <row r="161" spans="2:7" ht="26.1" customHeight="1" x14ac:dyDescent="0.3">
      <c r="C161" s="145" t="s">
        <v>10</v>
      </c>
      <c r="D161" s="146">
        <f ca="1">IF(Planning!$BY$11&lt;99999,Planning!$BY$11,"")</f>
        <v>0.46180555555555558</v>
      </c>
      <c r="E161" s="180">
        <f ca="1">IF(OR(Planning!$BZ$11=0,Planning!$BZ$11=""),"",Planning!$BZ$11)</f>
        <v>3</v>
      </c>
      <c r="F161" s="147" t="str">
        <f ca="1">IF(OR(Planning!$CA$11=0,Planning!$CA$11=""),"",Planning!$CA$11)</f>
        <v>Inter Mailand</v>
      </c>
    </row>
    <row r="162" spans="2:7" ht="26.1" customHeight="1" x14ac:dyDescent="0.3">
      <c r="C162" s="145" t="s">
        <v>11</v>
      </c>
      <c r="D162" s="146">
        <f ca="1">IF(Planning!$BY$12&lt;99999,Planning!$BY$12,"")</f>
        <v>0.47916666666666669</v>
      </c>
      <c r="E162" s="180">
        <f ca="1">IF(OR(Planning!$BZ$12=0,Planning!$BZ$12=""),"",Planning!$BZ$12)</f>
        <v>2</v>
      </c>
      <c r="F162" s="147" t="str">
        <f ca="1">IF(OR(Planning!$CA$12=0,Planning!$CA$12=""),"",Planning!$CA$12)</f>
        <v>Maibach 1822 eV</v>
      </c>
    </row>
    <row r="163" spans="2:7" ht="26.1" customHeight="1" x14ac:dyDescent="0.3">
      <c r="C163" s="145" t="s">
        <v>16</v>
      </c>
      <c r="D163" s="146">
        <f ca="1">IF(Planning!$BY$13&lt;99999,Planning!$BY$13,"")</f>
        <v>0.49652777777777779</v>
      </c>
      <c r="E163" s="180">
        <f ca="1">IF(OR(Planning!$BZ$13=0,Planning!$BZ$13=""),"",Planning!$BZ$13)</f>
        <v>1</v>
      </c>
      <c r="F163" s="147" t="str">
        <f ca="1">IF(OR(Planning!$CA$13=0,Planning!$CA$13=""),"",Planning!$CA$13)</f>
        <v>FC Barcelona</v>
      </c>
    </row>
    <row r="164" spans="2:7" ht="26.1" customHeight="1" x14ac:dyDescent="0.3">
      <c r="C164" s="145" t="s">
        <v>17</v>
      </c>
      <c r="D164" s="146">
        <f ca="1">IF(Planning!$BY$14&lt;99999,Planning!$BY$14,"")</f>
        <v>0.51388888888888884</v>
      </c>
      <c r="E164" s="180">
        <f ca="1">IF(OR(Planning!$BZ$14=0,Planning!$BZ$14=""),"",Planning!$BZ$14)</f>
        <v>1</v>
      </c>
      <c r="F164" s="147" t="str">
        <f ca="1">IF(OR(Planning!$CA$14=0,Planning!$CA$14=""),"",Planning!$CA$14)</f>
        <v>1. FC Riedwald</v>
      </c>
    </row>
    <row r="165" spans="2:7" ht="26.1" customHeight="1" x14ac:dyDescent="0.3">
      <c r="C165" s="145" t="s">
        <v>18</v>
      </c>
      <c r="D165" s="146">
        <f ca="1">IF(Planning!$BY$15&lt;99999,Planning!$BY$15,"")</f>
        <v>0.53125</v>
      </c>
      <c r="E165" s="180">
        <f ca="1">IF(OR(Planning!$BZ$15=0,Planning!$BZ$15=""),"",Planning!$BZ$15)</f>
        <v>2</v>
      </c>
      <c r="F165" s="147" t="str">
        <f ca="1">IF(OR(Planning!$CA$15=0,Planning!$CA$15=""),"",Planning!$CA$15)</f>
        <v>VFB Essenheim</v>
      </c>
    </row>
    <row r="166" spans="2:7" ht="26.1" customHeight="1" x14ac:dyDescent="0.3">
      <c r="C166" s="145" t="s">
        <v>24</v>
      </c>
      <c r="D166" s="146">
        <f ca="1">IF(Planning!$BY$16&lt;99999,Planning!$BY$16,"")</f>
        <v>0.54861111111111116</v>
      </c>
      <c r="E166" s="180">
        <f ca="1">IF(OR(Planning!$BZ$16=0,Planning!$BZ$16=""),"",Planning!$BZ$16)</f>
        <v>3</v>
      </c>
      <c r="F166" s="147" t="str">
        <f ca="1">IF(OR(Planning!$CA$16=0,Planning!$CA$16=""),"",Planning!$CA$16)</f>
        <v>Eintracht Frankfurt</v>
      </c>
    </row>
    <row r="167" spans="2:7" ht="26.1" customHeight="1" x14ac:dyDescent="0.3">
      <c r="C167" s="145" t="s">
        <v>25</v>
      </c>
      <c r="D167" s="146">
        <f ca="1">IF(Planning!$BY$17&lt;99999,Planning!$BY$17,"")</f>
        <v>0.58333333333333337</v>
      </c>
      <c r="E167" s="180">
        <f ca="1">IF(OR(Planning!$BZ$17=0,Planning!$BZ$17=""),"",Planning!$BZ$17)</f>
        <v>3</v>
      </c>
      <c r="F167" s="147" t="str">
        <f ca="1">IF(OR(Planning!$CA$17=0,Planning!$CA$17=""),"",Planning!$CA$17)</f>
        <v>Inter Mailand</v>
      </c>
    </row>
    <row r="168" spans="2:7" ht="26.1" customHeight="1" x14ac:dyDescent="0.3">
      <c r="C168" s="145" t="s">
        <v>26</v>
      </c>
      <c r="D168" s="146">
        <f ca="1">IF(Planning!$BY$18&lt;99999,Planning!$BY$18,"")</f>
        <v>0.60069444444444442</v>
      </c>
      <c r="E168" s="180">
        <f ca="1">IF(OR(Planning!$BZ$18=0,Planning!$BZ$18=""),"",Planning!$BZ$18)</f>
        <v>2</v>
      </c>
      <c r="F168" s="147" t="str">
        <f ca="1">IF(OR(Planning!$CA$18=0,Planning!$CA$18=""),"",Planning!$CA$18)</f>
        <v>Maibach 1822 eV</v>
      </c>
    </row>
    <row r="169" spans="2:7" ht="26.1" customHeight="1" x14ac:dyDescent="0.3">
      <c r="C169" s="145" t="s">
        <v>27</v>
      </c>
      <c r="D169" s="146" t="str">
        <f ca="1">IF(Planning!$BY$19&lt;99999,Planning!$BY$19,"")</f>
        <v/>
      </c>
      <c r="E169" s="180" t="str">
        <f ca="1">IF(OR(Planning!$BZ$19=0,Planning!$BZ$19=""),"",Planning!$BZ$19)</f>
        <v/>
      </c>
      <c r="F169" s="147" t="str">
        <f ca="1">IF(OR(Planning!$CA$19=0,Planning!$CA$19=""),"",Planning!$CA$19)</f>
        <v/>
      </c>
    </row>
    <row r="170" spans="2:7" ht="26.1" customHeight="1" x14ac:dyDescent="0.3">
      <c r="C170" s="145" t="s">
        <v>28</v>
      </c>
      <c r="D170" s="146" t="str">
        <f ca="1">IF(Planning!$BY$20&lt;99999,Planning!$BY$20,"")</f>
        <v/>
      </c>
      <c r="E170" s="180" t="str">
        <f ca="1">IF(OR(Planning!$BZ$20=0,Planning!$BZ$20=""),"",Planning!$BZ$20)</f>
        <v/>
      </c>
      <c r="F170" s="147" t="str">
        <f ca="1">IF(OR(Planning!$CA$20=0,Planning!$CA$20=""),"",Planning!$CA$20)</f>
        <v/>
      </c>
    </row>
    <row r="171" spans="2:7" ht="26.1" customHeight="1" x14ac:dyDescent="0.3">
      <c r="C171" s="145" t="s">
        <v>29</v>
      </c>
      <c r="D171" s="146" t="str">
        <f ca="1">IF(Planning!$BY$21&lt;99999,Planning!$BY$21,"")</f>
        <v/>
      </c>
      <c r="E171" s="180" t="str">
        <f ca="1">IF(OR(Planning!$BZ$21=0,Planning!$BZ$21=""),"",Planning!$BZ$21)</f>
        <v/>
      </c>
      <c r="F171" s="147" t="str">
        <f ca="1">IF(OR(Planning!$CA$21=0,Planning!$CA$21=""),"",Planning!$CA$21)</f>
        <v/>
      </c>
    </row>
    <row r="172" spans="2:7" ht="26.1" customHeight="1" thickBot="1" x14ac:dyDescent="0.35">
      <c r="C172" s="148" t="s">
        <v>30</v>
      </c>
      <c r="D172" s="149" t="str">
        <f ca="1">IF(Planning!$BY$22&lt;99999,Planning!$BY$22,"")</f>
        <v/>
      </c>
      <c r="E172" s="181" t="str">
        <f ca="1">IF(OR(Planning!$BZ$22=0,Planning!$BZ$22=""),"",Planning!$BZ$22)</f>
        <v/>
      </c>
      <c r="F172" s="150" t="str">
        <f ca="1">IF(OR(Planning!$CA$22=0,Planning!$CA$22=""),"",Planning!$CA$22)</f>
        <v/>
      </c>
    </row>
    <row r="173" spans="2:7" ht="26.1" customHeight="1" thickTop="1" x14ac:dyDescent="0.3">
      <c r="B173" s="156" t="str">
        <f>Language!$E$47</f>
        <v>Note</v>
      </c>
    </row>
    <row r="174" spans="2:7" ht="26.1" customHeight="1" x14ac:dyDescent="0.3">
      <c r="B174" s="681" t="str">
        <f>IF($B$24="","",$B$24)</f>
        <v/>
      </c>
      <c r="C174" s="682"/>
      <c r="D174" s="682"/>
      <c r="E174" s="682"/>
      <c r="F174" s="682"/>
      <c r="G174" s="683"/>
    </row>
    <row r="175" spans="2:7" ht="26.1" customHeight="1" x14ac:dyDescent="0.3">
      <c r="B175" s="684"/>
      <c r="C175" s="685"/>
      <c r="D175" s="685"/>
      <c r="E175" s="685"/>
      <c r="F175" s="685"/>
      <c r="G175" s="686"/>
    </row>
    <row r="176" spans="2:7" ht="26.1" customHeight="1" x14ac:dyDescent="0.3">
      <c r="C176" s="680" t="str">
        <f>Results!$H$2</f>
        <v>International tournament U10 on Jan. 27th, 2026</v>
      </c>
      <c r="D176" s="680"/>
      <c r="E176" s="680"/>
      <c r="F176" s="680"/>
    </row>
    <row r="177" spans="3:6" ht="26.1" customHeight="1" x14ac:dyDescent="0.3">
      <c r="C177" s="680"/>
      <c r="D177" s="680"/>
      <c r="E177" s="680"/>
      <c r="F177" s="680"/>
    </row>
    <row r="178" spans="3:6" ht="26.1" customHeight="1" x14ac:dyDescent="0.3">
      <c r="C178" s="680"/>
      <c r="D178" s="680"/>
      <c r="E178" s="680"/>
      <c r="F178" s="680"/>
    </row>
    <row r="179" spans="3:6" ht="25.5" customHeight="1" thickBot="1" x14ac:dyDescent="0.35"/>
    <row r="180" spans="3:6" ht="45.75" customHeight="1" thickTop="1" thickBot="1" x14ac:dyDescent="0.35">
      <c r="C180" s="687" t="str">
        <f>IF(Planning!$C$22="","",Planning!$C$22)</f>
        <v/>
      </c>
      <c r="D180" s="688"/>
      <c r="E180" s="688"/>
      <c r="F180" s="689"/>
    </row>
    <row r="181" spans="3:6" ht="26.1" customHeight="1" thickBot="1" x14ac:dyDescent="0.35">
      <c r="C181" s="153" t="str">
        <f>Language!$E$9</f>
        <v>No.</v>
      </c>
      <c r="D181" s="154" t="str">
        <f>Language!$E$39</f>
        <v>Start</v>
      </c>
      <c r="E181" s="177" t="str">
        <f>Language!$E$48</f>
        <v>Field</v>
      </c>
      <c r="F181" s="155" t="str">
        <f>Language!$E$46</f>
        <v>Match against</v>
      </c>
    </row>
    <row r="182" spans="3:6" ht="26.1" customHeight="1" x14ac:dyDescent="0.3">
      <c r="C182" s="151" t="s">
        <v>6</v>
      </c>
      <c r="D182" s="152" t="str">
        <f ca="1">IF(Planning!$CG$7&lt;99999,Planning!$CG$7,"")</f>
        <v/>
      </c>
      <c r="E182" s="179" t="str">
        <f ca="1">IF(OR(Planning!$CH$7=0,Planning!$CH$7=""),"",Planning!$CH$7)</f>
        <v/>
      </c>
      <c r="F182" s="178" t="str">
        <f ca="1">IF(OR(Planning!$CI$7=0,Planning!$CI$7=""),"",Planning!$CI$7)</f>
        <v/>
      </c>
    </row>
    <row r="183" spans="3:6" ht="26.1" customHeight="1" x14ac:dyDescent="0.3">
      <c r="C183" s="145" t="s">
        <v>7</v>
      </c>
      <c r="D183" s="146" t="str">
        <f ca="1">IF(Planning!$CG$8&lt;99999,Planning!$CG$8,"")</f>
        <v/>
      </c>
      <c r="E183" s="180" t="str">
        <f ca="1">IF(OR(Planning!$CH$8=0,Planning!$CH$8=""),"",Planning!$CH$8)</f>
        <v/>
      </c>
      <c r="F183" s="147" t="str">
        <f ca="1">IF(OR(Planning!$CI$8=0,Planning!$CI$8=""),"",Planning!$CI$8)</f>
        <v/>
      </c>
    </row>
    <row r="184" spans="3:6" ht="26.1" customHeight="1" x14ac:dyDescent="0.3">
      <c r="C184" s="145" t="s">
        <v>8</v>
      </c>
      <c r="D184" s="146" t="str">
        <f ca="1">IF(Planning!$CG$9&lt;99999,Planning!$CG$9,"")</f>
        <v/>
      </c>
      <c r="E184" s="180" t="str">
        <f ca="1">IF(OR(Planning!$CH$9=0,Planning!$CH$9=""),"",Planning!$CH$9)</f>
        <v/>
      </c>
      <c r="F184" s="147" t="str">
        <f ca="1">IF(OR(Planning!$CI$9=0,Planning!$CI$9=""),"",Planning!$CI$9)</f>
        <v/>
      </c>
    </row>
    <row r="185" spans="3:6" ht="26.1" customHeight="1" x14ac:dyDescent="0.3">
      <c r="C185" s="145" t="s">
        <v>9</v>
      </c>
      <c r="D185" s="146" t="str">
        <f ca="1">IF(Planning!$CG$10&lt;99999,Planning!$CG$10,"")</f>
        <v/>
      </c>
      <c r="E185" s="180" t="str">
        <f ca="1">IF(OR(Planning!$CH$10=0,Planning!$CH$10=""),"",Planning!$CH$10)</f>
        <v/>
      </c>
      <c r="F185" s="147" t="str">
        <f ca="1">IF(OR(Planning!$CI$10=0,Planning!$CI$10=""),"",Planning!$CI$10)</f>
        <v/>
      </c>
    </row>
    <row r="186" spans="3:6" ht="26.1" customHeight="1" x14ac:dyDescent="0.3">
      <c r="C186" s="145" t="s">
        <v>10</v>
      </c>
      <c r="D186" s="146" t="str">
        <f ca="1">IF(Planning!$CG$11&lt;99999,Planning!$CG$11,"")</f>
        <v/>
      </c>
      <c r="E186" s="180" t="str">
        <f ca="1">IF(OR(Planning!$CH$11=0,Planning!$CH$11=""),"",Planning!$CH$11)</f>
        <v/>
      </c>
      <c r="F186" s="147" t="str">
        <f ca="1">IF(OR(Planning!$CI$11=0,Planning!$CI$11=""),"",Planning!$CI$11)</f>
        <v/>
      </c>
    </row>
    <row r="187" spans="3:6" ht="26.1" customHeight="1" x14ac:dyDescent="0.3">
      <c r="C187" s="145" t="s">
        <v>11</v>
      </c>
      <c r="D187" s="146" t="str">
        <f ca="1">IF(Planning!$CG$12&lt;99999,Planning!$CG$12,"")</f>
        <v/>
      </c>
      <c r="E187" s="180" t="str">
        <f ca="1">IF(OR(Planning!$CH$12=0,Planning!$CH$12=""),"",Planning!$CH$12)</f>
        <v/>
      </c>
      <c r="F187" s="147" t="str">
        <f ca="1">IF(OR(Planning!$CI$12=0,Planning!$CI$12=""),"",Planning!$CI$12)</f>
        <v/>
      </c>
    </row>
    <row r="188" spans="3:6" ht="26.1" customHeight="1" x14ac:dyDescent="0.3">
      <c r="C188" s="145" t="s">
        <v>16</v>
      </c>
      <c r="D188" s="146" t="str">
        <f ca="1">IF(Planning!$CG$13&lt;99999,Planning!$CG$13,"")</f>
        <v/>
      </c>
      <c r="E188" s="180" t="str">
        <f ca="1">IF(OR(Planning!$CH$13=0,Planning!$CH$13=""),"",Planning!$CH$13)</f>
        <v/>
      </c>
      <c r="F188" s="147" t="str">
        <f ca="1">IF(OR(Planning!$CI$13=0,Planning!$CI$13=""),"",Planning!$CI$13)</f>
        <v/>
      </c>
    </row>
    <row r="189" spans="3:6" ht="26.1" customHeight="1" x14ac:dyDescent="0.3">
      <c r="C189" s="145" t="s">
        <v>17</v>
      </c>
      <c r="D189" s="146" t="str">
        <f ca="1">IF(Planning!$CG$14&lt;99999,Planning!$CG$14,"")</f>
        <v/>
      </c>
      <c r="E189" s="180" t="str">
        <f ca="1">IF(OR(Planning!$CH$14=0,Planning!$CH$14=""),"",Planning!$CH$14)</f>
        <v/>
      </c>
      <c r="F189" s="147" t="str">
        <f ca="1">IF(OR(Planning!$CI$14=0,Planning!$CI$14=""),"",Planning!$CI$14)</f>
        <v/>
      </c>
    </row>
    <row r="190" spans="3:6" ht="26.1" customHeight="1" x14ac:dyDescent="0.3">
      <c r="C190" s="145" t="s">
        <v>18</v>
      </c>
      <c r="D190" s="146" t="str">
        <f ca="1">IF(Planning!$CG$15&lt;99999,Planning!$CG$15,"")</f>
        <v/>
      </c>
      <c r="E190" s="180" t="str">
        <f ca="1">IF(OR(Planning!$CH$15=0,Planning!$CH$15=""),"",Planning!$CH$15)</f>
        <v/>
      </c>
      <c r="F190" s="147" t="str">
        <f ca="1">IF(OR(Planning!$CI$15=0,Planning!$CI$15=""),"",Planning!$CI$15)</f>
        <v/>
      </c>
    </row>
    <row r="191" spans="3:6" ht="26.1" customHeight="1" x14ac:dyDescent="0.3">
      <c r="C191" s="145" t="s">
        <v>24</v>
      </c>
      <c r="D191" s="146" t="str">
        <f ca="1">IF(Planning!$CG$16&lt;99999,Planning!$CG$16,"")</f>
        <v/>
      </c>
      <c r="E191" s="180" t="str">
        <f ca="1">IF(OR(Planning!$CH$16=0,Planning!$CH$16=""),"",Planning!$CH$16)</f>
        <v/>
      </c>
      <c r="F191" s="147" t="str">
        <f ca="1">IF(OR(Planning!$CI$16=0,Planning!$CI$16=""),"",Planning!$CI$16)</f>
        <v/>
      </c>
    </row>
    <row r="192" spans="3:6" ht="26.1" customHeight="1" x14ac:dyDescent="0.3">
      <c r="C192" s="145" t="s">
        <v>25</v>
      </c>
      <c r="D192" s="146" t="str">
        <f ca="1">IF(Planning!$CG$17&lt;99999,Planning!$CG$17,"")</f>
        <v/>
      </c>
      <c r="E192" s="180" t="str">
        <f ca="1">IF(OR(Planning!$CH$17=0,Planning!$CH$17=""),"",Planning!$CH$17)</f>
        <v/>
      </c>
      <c r="F192" s="147" t="str">
        <f ca="1">IF(OR(Planning!$CI$17=0,Planning!$CI$17=""),"",Planning!$CI$17)</f>
        <v/>
      </c>
    </row>
    <row r="193" spans="2:7" ht="26.1" customHeight="1" x14ac:dyDescent="0.3">
      <c r="C193" s="145" t="s">
        <v>26</v>
      </c>
      <c r="D193" s="146" t="str">
        <f ca="1">IF(Planning!$CG$18&lt;99999,Planning!$CG$18,"")</f>
        <v/>
      </c>
      <c r="E193" s="180" t="str">
        <f ca="1">IF(OR(Planning!$CH$18=0,Planning!$CH$18=""),"",Planning!$CH$18)</f>
        <v/>
      </c>
      <c r="F193" s="147" t="str">
        <f ca="1">IF(OR(Planning!$CI$18=0,Planning!$CI$18=""),"",Planning!$CI$18)</f>
        <v/>
      </c>
    </row>
    <row r="194" spans="2:7" ht="26.1" customHeight="1" x14ac:dyDescent="0.3">
      <c r="C194" s="145" t="s">
        <v>27</v>
      </c>
      <c r="D194" s="146" t="str">
        <f ca="1">IF(Planning!$CG$19&lt;99999,Planning!$CG$19,"")</f>
        <v/>
      </c>
      <c r="E194" s="180" t="str">
        <f ca="1">IF(OR(Planning!$CH$19=0,Planning!$CH$19=""),"",Planning!$CH$19)</f>
        <v/>
      </c>
      <c r="F194" s="147" t="str">
        <f ca="1">IF(OR(Planning!$CI$19=0,Planning!$CI$19=""),"",Planning!$CI$19)</f>
        <v/>
      </c>
    </row>
    <row r="195" spans="2:7" ht="26.1" customHeight="1" x14ac:dyDescent="0.3">
      <c r="C195" s="145" t="s">
        <v>28</v>
      </c>
      <c r="D195" s="146" t="str">
        <f ca="1">IF(Planning!$CG$20&lt;99999,Planning!$CG$20,"")</f>
        <v/>
      </c>
      <c r="E195" s="180" t="str">
        <f ca="1">IF(OR(Planning!$CH$20=0,Planning!$CH$20=""),"",Planning!$CH$20)</f>
        <v/>
      </c>
      <c r="F195" s="147" t="str">
        <f ca="1">IF(OR(Planning!$CI$20=0,Planning!$CI$20=""),"",Planning!$CI$20)</f>
        <v/>
      </c>
    </row>
    <row r="196" spans="2:7" ht="26.1" customHeight="1" x14ac:dyDescent="0.3">
      <c r="C196" s="145" t="s">
        <v>29</v>
      </c>
      <c r="D196" s="146" t="str">
        <f ca="1">IF(Planning!$CG$21&lt;99999,Planning!$CG$21,"")</f>
        <v/>
      </c>
      <c r="E196" s="180" t="str">
        <f ca="1">IF(OR(Planning!$CH$21=0,Planning!$CH$21=""),"",Planning!$CH$21)</f>
        <v/>
      </c>
      <c r="F196" s="147" t="str">
        <f ca="1">IF(OR(Planning!$CI$21=0,Planning!$CI$21=""),"",Planning!$CI$21)</f>
        <v/>
      </c>
    </row>
    <row r="197" spans="2:7" ht="26.1" customHeight="1" thickBot="1" x14ac:dyDescent="0.35">
      <c r="C197" s="148" t="s">
        <v>30</v>
      </c>
      <c r="D197" s="149" t="str">
        <f ca="1">IF(Planning!$CG$22&lt;99999,Planning!$CG$22,"")</f>
        <v/>
      </c>
      <c r="E197" s="181" t="str">
        <f ca="1">IF(OR(Planning!$CH$22=0,Planning!$CH$22=""),"",Planning!$CH$22)</f>
        <v/>
      </c>
      <c r="F197" s="150" t="str">
        <f ca="1">IF(OR(Planning!$CI$22=0,Planning!$CI$22=""),"",Planning!$CI$22)</f>
        <v/>
      </c>
    </row>
    <row r="198" spans="2:7" ht="26.1" customHeight="1" thickTop="1" x14ac:dyDescent="0.3">
      <c r="B198" s="156" t="str">
        <f>Language!$E$47</f>
        <v>Note</v>
      </c>
    </row>
    <row r="199" spans="2:7" ht="26.1" customHeight="1" x14ac:dyDescent="0.3">
      <c r="B199" s="681" t="str">
        <f>IF($B$24="","",$B$24)</f>
        <v/>
      </c>
      <c r="C199" s="682"/>
      <c r="D199" s="682"/>
      <c r="E199" s="682"/>
      <c r="F199" s="682"/>
      <c r="G199" s="683"/>
    </row>
    <row r="200" spans="2:7" ht="26.1" customHeight="1" x14ac:dyDescent="0.3">
      <c r="B200" s="684"/>
      <c r="C200" s="685"/>
      <c r="D200" s="685"/>
      <c r="E200" s="685"/>
      <c r="F200" s="685"/>
      <c r="G200" s="686"/>
    </row>
    <row r="201" spans="2:7" ht="26.1" customHeight="1" x14ac:dyDescent="0.3">
      <c r="C201" s="680" t="str">
        <f>Results!$H$2</f>
        <v>International tournament U10 on Jan. 27th, 2026</v>
      </c>
      <c r="D201" s="680"/>
      <c r="E201" s="680"/>
      <c r="F201" s="680"/>
    </row>
    <row r="202" spans="2:7" ht="26.1" customHeight="1" x14ac:dyDescent="0.3">
      <c r="C202" s="680"/>
      <c r="D202" s="680"/>
      <c r="E202" s="680"/>
      <c r="F202" s="680"/>
    </row>
    <row r="203" spans="2:7" ht="26.1" customHeight="1" x14ac:dyDescent="0.3">
      <c r="C203" s="680"/>
      <c r="D203" s="680"/>
      <c r="E203" s="680"/>
      <c r="F203" s="680"/>
    </row>
    <row r="204" spans="2:7" ht="25.5" customHeight="1" thickBot="1" x14ac:dyDescent="0.35"/>
    <row r="205" spans="2:7" ht="45.75" customHeight="1" thickTop="1" thickBot="1" x14ac:dyDescent="0.35">
      <c r="C205" s="687" t="str">
        <f>IF(Planning!$C$24="","",Planning!$C$24)</f>
        <v/>
      </c>
      <c r="D205" s="688"/>
      <c r="E205" s="688"/>
      <c r="F205" s="689"/>
    </row>
    <row r="206" spans="2:7" ht="26.1" customHeight="1" thickBot="1" x14ac:dyDescent="0.35">
      <c r="C206" s="153" t="str">
        <f>Language!$E$9</f>
        <v>No.</v>
      </c>
      <c r="D206" s="154" t="str">
        <f>Language!$E$39</f>
        <v>Start</v>
      </c>
      <c r="E206" s="177" t="str">
        <f>Language!$E$48</f>
        <v>Field</v>
      </c>
      <c r="F206" s="155" t="str">
        <f>Language!$E$46</f>
        <v>Match against</v>
      </c>
    </row>
    <row r="207" spans="2:7" ht="26.1" customHeight="1" x14ac:dyDescent="0.3">
      <c r="C207" s="151" t="s">
        <v>6</v>
      </c>
      <c r="D207" s="152" t="str">
        <f ca="1">IF(Planning!$CO$7&lt;99999,Planning!$CO$7,"")</f>
        <v/>
      </c>
      <c r="E207" s="179" t="str">
        <f ca="1">IF(OR(Planning!$CP$7=0,Planning!$CP$7=""),"",Planning!$CP$7)</f>
        <v/>
      </c>
      <c r="F207" s="178" t="str">
        <f ca="1">IF(OR(Planning!$CQ$7=0,Planning!$CQ$7=""),"",Planning!$CQ$7)</f>
        <v/>
      </c>
    </row>
    <row r="208" spans="2:7" ht="26.1" customHeight="1" x14ac:dyDescent="0.3">
      <c r="C208" s="145" t="s">
        <v>7</v>
      </c>
      <c r="D208" s="146" t="str">
        <f ca="1">IF(Planning!$CO$8&lt;99999,Planning!$CO$8,"")</f>
        <v/>
      </c>
      <c r="E208" s="180" t="str">
        <f ca="1">IF(OR(Planning!$CP$8=0,Planning!$CP$8=""),"",Planning!$CP$8)</f>
        <v/>
      </c>
      <c r="F208" s="147" t="str">
        <f ca="1">IF(OR(Planning!$CQ$8=0,Planning!$CQ$8=""),"",Planning!$CQ$8)</f>
        <v/>
      </c>
    </row>
    <row r="209" spans="2:7" ht="26.1" customHeight="1" x14ac:dyDescent="0.3">
      <c r="C209" s="145" t="s">
        <v>8</v>
      </c>
      <c r="D209" s="146" t="str">
        <f ca="1">IF(Planning!$CO$9&lt;99999,Planning!$CO$9,"")</f>
        <v/>
      </c>
      <c r="E209" s="180" t="str">
        <f ca="1">IF(OR(Planning!$CP$9=0,Planning!$CP$9=""),"",Planning!$CP$9)</f>
        <v/>
      </c>
      <c r="F209" s="147" t="str">
        <f ca="1">IF(OR(Planning!$CQ$9=0,Planning!$CQ$9=""),"",Planning!$CQ$9)</f>
        <v/>
      </c>
    </row>
    <row r="210" spans="2:7" ht="26.1" customHeight="1" x14ac:dyDescent="0.3">
      <c r="C210" s="145" t="s">
        <v>9</v>
      </c>
      <c r="D210" s="146" t="str">
        <f ca="1">IF(Planning!$CO$10&lt;99999,Planning!$CO$10,"")</f>
        <v/>
      </c>
      <c r="E210" s="180" t="str">
        <f ca="1">IF(OR(Planning!$CP$10=0,Planning!$CP$10=""),"",Planning!$CP$10)</f>
        <v/>
      </c>
      <c r="F210" s="147" t="str">
        <f ca="1">IF(OR(Planning!$CQ$10=0,Planning!$CQ$10=""),"",Planning!$CQ$10)</f>
        <v/>
      </c>
    </row>
    <row r="211" spans="2:7" ht="26.1" customHeight="1" x14ac:dyDescent="0.3">
      <c r="C211" s="145" t="s">
        <v>10</v>
      </c>
      <c r="D211" s="146" t="str">
        <f ca="1">IF(Planning!$CO$11&lt;99999,Planning!$CO$11,"")</f>
        <v/>
      </c>
      <c r="E211" s="180" t="str">
        <f ca="1">IF(OR(Planning!$CP$11=0,Planning!$CP$11=""),"",Planning!$CP$11)</f>
        <v/>
      </c>
      <c r="F211" s="147" t="str">
        <f ca="1">IF(OR(Planning!$CQ$11=0,Planning!$CQ$11=""),"",Planning!$CQ$11)</f>
        <v/>
      </c>
    </row>
    <row r="212" spans="2:7" ht="26.1" customHeight="1" x14ac:dyDescent="0.3">
      <c r="C212" s="145" t="s">
        <v>11</v>
      </c>
      <c r="D212" s="146" t="str">
        <f ca="1">IF(Planning!$CO$12&lt;99999,Planning!$CO$12,"")</f>
        <v/>
      </c>
      <c r="E212" s="180" t="str">
        <f ca="1">IF(OR(Planning!$CP$12=0,Planning!$CP$12=""),"",Planning!$CP$12)</f>
        <v/>
      </c>
      <c r="F212" s="147" t="str">
        <f ca="1">IF(OR(Planning!$CQ$12=0,Planning!$CQ$12=""),"",Planning!$CQ$12)</f>
        <v/>
      </c>
    </row>
    <row r="213" spans="2:7" ht="26.1" customHeight="1" x14ac:dyDescent="0.3">
      <c r="C213" s="145" t="s">
        <v>16</v>
      </c>
      <c r="D213" s="146" t="str">
        <f ca="1">IF(Planning!$CO$13&lt;99999,Planning!$CO$13,"")</f>
        <v/>
      </c>
      <c r="E213" s="180" t="str">
        <f ca="1">IF(OR(Planning!$CP$13=0,Planning!$CP$13=""),"",Planning!$CP$13)</f>
        <v/>
      </c>
      <c r="F213" s="147" t="str">
        <f ca="1">IF(OR(Planning!$CQ$13=0,Planning!$CQ$13=""),"",Planning!$CQ$13)</f>
        <v/>
      </c>
    </row>
    <row r="214" spans="2:7" ht="26.1" customHeight="1" x14ac:dyDescent="0.3">
      <c r="C214" s="145" t="s">
        <v>17</v>
      </c>
      <c r="D214" s="146" t="str">
        <f ca="1">IF(Planning!$CO$14&lt;99999,Planning!$CO$14,"")</f>
        <v/>
      </c>
      <c r="E214" s="180" t="str">
        <f ca="1">IF(OR(Planning!$CP$14=0,Planning!$CP$14=""),"",Planning!$CP$14)</f>
        <v/>
      </c>
      <c r="F214" s="147" t="str">
        <f ca="1">IF(OR(Planning!$CQ$14=0,Planning!$CQ$14=""),"",Planning!$CQ$14)</f>
        <v/>
      </c>
    </row>
    <row r="215" spans="2:7" ht="26.1" customHeight="1" x14ac:dyDescent="0.3">
      <c r="C215" s="145" t="s">
        <v>18</v>
      </c>
      <c r="D215" s="146" t="str">
        <f ca="1">IF(Planning!$CO$15&lt;99999,Planning!$CO$15,"")</f>
        <v/>
      </c>
      <c r="E215" s="180" t="str">
        <f ca="1">IF(OR(Planning!$CP$15=0,Planning!$CP$15=""),"",Planning!$CP$15)</f>
        <v/>
      </c>
      <c r="F215" s="147" t="str">
        <f ca="1">IF(OR(Planning!$CQ$15=0,Planning!$CQ$15=""),"",Planning!$CQ$15)</f>
        <v/>
      </c>
    </row>
    <row r="216" spans="2:7" ht="26.1" customHeight="1" x14ac:dyDescent="0.3">
      <c r="C216" s="145" t="s">
        <v>24</v>
      </c>
      <c r="D216" s="146" t="str">
        <f ca="1">IF(Planning!$CO$16&lt;99999,Planning!$CO$16,"")</f>
        <v/>
      </c>
      <c r="E216" s="180" t="str">
        <f ca="1">IF(OR(Planning!$CP$16=0,Planning!$CP$16=""),"",Planning!$CP$16)</f>
        <v/>
      </c>
      <c r="F216" s="147" t="str">
        <f ca="1">IF(OR(Planning!$CQ$16=0,Planning!$CQ$16=""),"",Planning!$CQ$16)</f>
        <v/>
      </c>
    </row>
    <row r="217" spans="2:7" ht="26.1" customHeight="1" x14ac:dyDescent="0.3">
      <c r="C217" s="145" t="s">
        <v>25</v>
      </c>
      <c r="D217" s="146" t="str">
        <f ca="1">IF(Planning!$CO$17&lt;99999,Planning!$CO$17,"")</f>
        <v/>
      </c>
      <c r="E217" s="180" t="str">
        <f ca="1">IF(OR(Planning!$CP$17=0,Planning!$CP$17=""),"",Planning!$CP$17)</f>
        <v/>
      </c>
      <c r="F217" s="147" t="str">
        <f ca="1">IF(OR(Planning!$CQ$17=0,Planning!$CQ$17=""),"",Planning!$CQ$17)</f>
        <v/>
      </c>
    </row>
    <row r="218" spans="2:7" ht="26.1" customHeight="1" x14ac:dyDescent="0.3">
      <c r="C218" s="145" t="s">
        <v>26</v>
      </c>
      <c r="D218" s="146" t="str">
        <f ca="1">IF(Planning!$CO$18&lt;99999,Planning!$CO$18,"")</f>
        <v/>
      </c>
      <c r="E218" s="180" t="str">
        <f ca="1">IF(OR(Planning!$CP$18=0,Planning!$CP$18=""),"",Planning!$CP$18)</f>
        <v/>
      </c>
      <c r="F218" s="147" t="str">
        <f ca="1">IF(OR(Planning!$CQ$18=0,Planning!$CQ$18=""),"",Planning!$CQ$18)</f>
        <v/>
      </c>
    </row>
    <row r="219" spans="2:7" ht="26.1" customHeight="1" x14ac:dyDescent="0.3">
      <c r="C219" s="145" t="s">
        <v>27</v>
      </c>
      <c r="D219" s="146" t="str">
        <f ca="1">IF(Planning!$CO$19&lt;99999,Planning!$CO$19,"")</f>
        <v/>
      </c>
      <c r="E219" s="180" t="str">
        <f ca="1">IF(OR(Planning!$CP$19=0,Planning!$CP$19=""),"",Planning!$CP$19)</f>
        <v/>
      </c>
      <c r="F219" s="147" t="str">
        <f ca="1">IF(OR(Planning!$CQ$19=0,Planning!$CQ$19=""),"",Planning!$CQ$19)</f>
        <v/>
      </c>
    </row>
    <row r="220" spans="2:7" ht="26.1" customHeight="1" x14ac:dyDescent="0.3">
      <c r="C220" s="145" t="s">
        <v>28</v>
      </c>
      <c r="D220" s="146" t="str">
        <f ca="1">IF(Planning!$CO$20&lt;99999,Planning!$CO$20,"")</f>
        <v/>
      </c>
      <c r="E220" s="180" t="str">
        <f ca="1">IF(OR(Planning!$CP$20=0,Planning!$CP$20=""),"",Planning!$CP$20)</f>
        <v/>
      </c>
      <c r="F220" s="147" t="str">
        <f ca="1">IF(OR(Planning!$CQ$20=0,Planning!$CQ$20=""),"",Planning!$CQ$20)</f>
        <v/>
      </c>
    </row>
    <row r="221" spans="2:7" ht="26.1" customHeight="1" x14ac:dyDescent="0.3">
      <c r="C221" s="145" t="s">
        <v>29</v>
      </c>
      <c r="D221" s="146" t="str">
        <f ca="1">IF(Planning!$CO$21&lt;99999,Planning!$CO$21,"")</f>
        <v/>
      </c>
      <c r="E221" s="180" t="str">
        <f ca="1">IF(OR(Planning!$CP$21=0,Planning!$CP$21=""),"",Planning!$CP$21)</f>
        <v/>
      </c>
      <c r="F221" s="147" t="str">
        <f ca="1">IF(OR(Planning!$CQ$21=0,Planning!$CQ$21=""),"",Planning!$CQ$21)</f>
        <v/>
      </c>
    </row>
    <row r="222" spans="2:7" ht="26.1" customHeight="1" thickBot="1" x14ac:dyDescent="0.35">
      <c r="C222" s="148" t="s">
        <v>30</v>
      </c>
      <c r="D222" s="149" t="str">
        <f ca="1">IF(Planning!$CO$22&lt;99999,Planning!$CO$22,"")</f>
        <v/>
      </c>
      <c r="E222" s="181" t="str">
        <f ca="1">IF(OR(Planning!$CP$22=0,Planning!$CP$22=""),"",Planning!$CP$22)</f>
        <v/>
      </c>
      <c r="F222" s="150" t="str">
        <f ca="1">IF(OR(Planning!$CQ$22=0,Planning!$CQ$22=""),"",Planning!$CQ$22)</f>
        <v/>
      </c>
    </row>
    <row r="223" spans="2:7" ht="26.1" customHeight="1" thickTop="1" x14ac:dyDescent="0.3">
      <c r="B223" s="156" t="str">
        <f>Language!$E$47</f>
        <v>Note</v>
      </c>
    </row>
    <row r="224" spans="2:7" ht="26.1" customHeight="1" x14ac:dyDescent="0.3">
      <c r="B224" s="681" t="str">
        <f>IF($B$24="","",$B$24)</f>
        <v/>
      </c>
      <c r="C224" s="682"/>
      <c r="D224" s="682"/>
      <c r="E224" s="682"/>
      <c r="F224" s="682"/>
      <c r="G224" s="683"/>
    </row>
    <row r="225" spans="2:7" ht="26.1" customHeight="1" x14ac:dyDescent="0.3">
      <c r="B225" s="684"/>
      <c r="C225" s="685"/>
      <c r="D225" s="685"/>
      <c r="E225" s="685"/>
      <c r="F225" s="685"/>
      <c r="G225" s="686"/>
    </row>
    <row r="226" spans="2:7" x14ac:dyDescent="0.3"/>
    <row r="227" spans="2:7" x14ac:dyDescent="0.3"/>
  </sheetData>
  <sheetProtection sheet="1" objects="1" scenarios="1" selectLockedCells="1"/>
  <mergeCells count="27">
    <mergeCell ref="C126:F128"/>
    <mergeCell ref="C55:F55"/>
    <mergeCell ref="B49:G50"/>
    <mergeCell ref="C80:F80"/>
    <mergeCell ref="C51:F53"/>
    <mergeCell ref="C76:F78"/>
    <mergeCell ref="B24:G25"/>
    <mergeCell ref="C5:F5"/>
    <mergeCell ref="C1:F3"/>
    <mergeCell ref="C26:F28"/>
    <mergeCell ref="C30:F30"/>
    <mergeCell ref="C151:F153"/>
    <mergeCell ref="C176:F178"/>
    <mergeCell ref="B224:G225"/>
    <mergeCell ref="B74:G75"/>
    <mergeCell ref="B99:G100"/>
    <mergeCell ref="B124:G125"/>
    <mergeCell ref="B149:G150"/>
    <mergeCell ref="B174:G175"/>
    <mergeCell ref="B199:G200"/>
    <mergeCell ref="C180:F180"/>
    <mergeCell ref="C205:F205"/>
    <mergeCell ref="C201:F203"/>
    <mergeCell ref="C101:F103"/>
    <mergeCell ref="C155:F155"/>
    <mergeCell ref="C105:F105"/>
    <mergeCell ref="C130:F130"/>
  </mergeCells>
  <conditionalFormatting sqref="D8:D22">
    <cfRule type="expression" dxfId="21" priority="18">
      <formula>($D8=$D7)</formula>
    </cfRule>
  </conditionalFormatting>
  <conditionalFormatting sqref="E8:F22">
    <cfRule type="expression" dxfId="20" priority="17">
      <formula>($D8=$D7)</formula>
    </cfRule>
  </conditionalFormatting>
  <conditionalFormatting sqref="D33:D47">
    <cfRule type="expression" dxfId="19" priority="16">
      <formula>($D33=$D32)</formula>
    </cfRule>
  </conditionalFormatting>
  <conditionalFormatting sqref="E33:F47">
    <cfRule type="expression" dxfId="18" priority="15">
      <formula>($D33=$D32)</formula>
    </cfRule>
  </conditionalFormatting>
  <conditionalFormatting sqref="D58:D72">
    <cfRule type="expression" dxfId="17" priority="14">
      <formula>($D58=$D57)</formula>
    </cfRule>
  </conditionalFormatting>
  <conditionalFormatting sqref="E58:F72">
    <cfRule type="expression" dxfId="16" priority="13">
      <formula>($D58=$D57)</formula>
    </cfRule>
  </conditionalFormatting>
  <conditionalFormatting sqref="D83:D97">
    <cfRule type="expression" dxfId="15" priority="12">
      <formula>($D83=$D82)</formula>
    </cfRule>
  </conditionalFormatting>
  <conditionalFormatting sqref="E83:F97">
    <cfRule type="expression" dxfId="14" priority="11">
      <formula>($D83=$D82)</formula>
    </cfRule>
  </conditionalFormatting>
  <conditionalFormatting sqref="D108:D122">
    <cfRule type="expression" dxfId="13" priority="10">
      <formula>($D108=$D107)</formula>
    </cfRule>
  </conditionalFormatting>
  <conditionalFormatting sqref="E108:F122">
    <cfRule type="expression" dxfId="12" priority="9">
      <formula>($D108=$D107)</formula>
    </cfRule>
  </conditionalFormatting>
  <conditionalFormatting sqref="D133:D147">
    <cfRule type="expression" dxfId="11" priority="8">
      <formula>($D133=$D132)</formula>
    </cfRule>
  </conditionalFormatting>
  <conditionalFormatting sqref="E133:F147">
    <cfRule type="expression" dxfId="10" priority="7">
      <formula>($D133=$D132)</formula>
    </cfRule>
  </conditionalFormatting>
  <conditionalFormatting sqref="D158:D172">
    <cfRule type="expression" dxfId="9" priority="6">
      <formula>($D158=$D157)</formula>
    </cfRule>
  </conditionalFormatting>
  <conditionalFormatting sqref="E158:F172">
    <cfRule type="expression" dxfId="8" priority="5">
      <formula>($D158=$D157)</formula>
    </cfRule>
  </conditionalFormatting>
  <conditionalFormatting sqref="D183:D197">
    <cfRule type="expression" dxfId="7" priority="4">
      <formula>($D183=$D182)</formula>
    </cfRule>
  </conditionalFormatting>
  <conditionalFormatting sqref="E183:F197">
    <cfRule type="expression" dxfId="6" priority="3">
      <formula>($D183=$D182)</formula>
    </cfRule>
  </conditionalFormatting>
  <conditionalFormatting sqref="D208:D222">
    <cfRule type="expression" dxfId="5" priority="2">
      <formula>($D208=$D207)</formula>
    </cfRule>
  </conditionalFormatting>
  <conditionalFormatting sqref="E208:F222">
    <cfRule type="expression" dxfId="4" priority="1">
      <formula>($D208=$D207)</formula>
    </cfRule>
  </conditionalFormatting>
  <pageMargins left="1.21875" right="0.42708333333333331" top="0.78740157499999996" bottom="0.78740157499999996" header="0.3" footer="0.3"/>
  <pageSetup paperSize="9" orientation="portrait" horizontalDpi="4294967293" verticalDpi="0" r:id="rId1"/>
  <rowBreaks count="8" manualBreakCount="8">
    <brk id="25" max="16383" man="1"/>
    <brk id="50" max="16383" man="1"/>
    <brk id="75" max="16383" man="1"/>
    <brk id="100" max="16383" man="1"/>
    <brk id="125" max="16383" man="1"/>
    <brk id="150" max="16383" man="1"/>
    <brk id="175" max="16383" man="1"/>
    <brk id="20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9FB76-691C-4935-A7AE-5AD94D84567E}">
  <sheetPr codeName="Tabelle6"/>
  <dimension ref="A1:M118"/>
  <sheetViews>
    <sheetView showGridLines="0" showRowColHeaders="0" workbookViewId="0">
      <selection activeCell="J1" sqref="J1"/>
    </sheetView>
  </sheetViews>
  <sheetFormatPr baseColWidth="10" defaultColWidth="0" defaultRowHeight="12.75" zeroHeight="1" x14ac:dyDescent="0.2"/>
  <cols>
    <col min="1" max="1" width="11.42578125" customWidth="1"/>
    <col min="2" max="2" width="19.28515625" hidden="1" customWidth="1"/>
    <col min="3" max="3" width="11.42578125" hidden="1" customWidth="1"/>
    <col min="4" max="4" width="7" style="71" hidden="1" customWidth="1"/>
    <col min="5" max="5" width="44.7109375" hidden="1" customWidth="1"/>
    <col min="6" max="8" width="44.7109375" customWidth="1"/>
    <col min="9" max="9" width="3.42578125" customWidth="1"/>
    <col min="10" max="10" width="17.7109375" customWidth="1"/>
    <col min="11" max="11" width="9.140625" customWidth="1"/>
    <col min="12" max="12" width="19.7109375" customWidth="1"/>
    <col min="13" max="13" width="0" hidden="1" customWidth="1"/>
    <col min="14" max="16384" width="11.42578125" hidden="1"/>
  </cols>
  <sheetData>
    <row r="1" spans="2:12" ht="34.5" thickBot="1" x14ac:dyDescent="0.55000000000000004">
      <c r="B1" s="90"/>
      <c r="F1" s="596" t="str">
        <f>$E$35</f>
        <v>Choose language</v>
      </c>
      <c r="G1" s="596"/>
      <c r="H1" s="596"/>
      <c r="I1" s="106"/>
      <c r="J1" s="108" t="s">
        <v>114</v>
      </c>
      <c r="K1" s="163" t="str">
        <f>_xlfn.UNICHAR(8592)</f>
        <v>←</v>
      </c>
      <c r="L1" s="162" t="str">
        <f>$E$86</f>
        <v>Click here and choose language</v>
      </c>
    </row>
    <row r="2" spans="2:12" ht="11.25" customHeight="1" thickBot="1" x14ac:dyDescent="0.25">
      <c r="F2" s="692"/>
      <c r="G2" s="692"/>
      <c r="I2" s="72"/>
      <c r="J2" s="73"/>
    </row>
    <row r="3" spans="2:12" ht="13.5" thickTop="1" x14ac:dyDescent="0.2">
      <c r="B3" s="74" t="s">
        <v>114</v>
      </c>
      <c r="C3" s="75">
        <f>IF(AND($J$1&lt;&gt;B4,$J$1&lt;&gt;B5),1,0)</f>
        <v>1</v>
      </c>
      <c r="D3" s="693"/>
      <c r="E3" s="695"/>
      <c r="F3" s="696" t="s">
        <v>114</v>
      </c>
      <c r="G3" s="698" t="s">
        <v>157</v>
      </c>
      <c r="H3" s="690" t="s">
        <v>113</v>
      </c>
      <c r="I3" s="76"/>
    </row>
    <row r="4" spans="2:12" ht="13.5" thickBot="1" x14ac:dyDescent="0.25">
      <c r="B4" s="74" t="s">
        <v>157</v>
      </c>
      <c r="C4" s="75">
        <f>IF($J$1=B4,1,0)</f>
        <v>0</v>
      </c>
      <c r="D4" s="694"/>
      <c r="E4" s="695"/>
      <c r="F4" s="697"/>
      <c r="G4" s="699"/>
      <c r="H4" s="691"/>
      <c r="I4" s="77"/>
      <c r="J4" s="78"/>
    </row>
    <row r="5" spans="2:12" ht="29.25" thickTop="1" x14ac:dyDescent="0.45">
      <c r="B5" s="74" t="s">
        <v>113</v>
      </c>
      <c r="C5" s="75">
        <f>IF($J$1=B5,1,0)</f>
        <v>0</v>
      </c>
      <c r="E5" s="74"/>
      <c r="F5" s="82" t="str">
        <f>$E$36</f>
        <v>Captions</v>
      </c>
      <c r="G5" s="83"/>
      <c r="H5" s="84"/>
      <c r="I5" s="77"/>
      <c r="J5" s="78"/>
    </row>
    <row r="6" spans="2:12" x14ac:dyDescent="0.2">
      <c r="E6" s="74" t="str">
        <f>IF($C$3,F6,IF($C$4,G6,IF($H6&lt;&gt;"",$H6,$F6)))</f>
        <v>Tie break</v>
      </c>
      <c r="F6" s="81" t="s">
        <v>265</v>
      </c>
      <c r="G6" s="79" t="s">
        <v>264</v>
      </c>
      <c r="H6" s="102"/>
    </row>
    <row r="7" spans="2:12" x14ac:dyDescent="0.2">
      <c r="E7" s="74" t="str">
        <f t="shared" ref="E7:E113" si="0">IF($C$3,F7,IF($C$4,G7,IF($H7&lt;&gt;"",$H7,$F7)))</f>
        <v>Direct comparisons</v>
      </c>
      <c r="F7" s="81" t="s">
        <v>115</v>
      </c>
      <c r="G7" s="79" t="s">
        <v>12</v>
      </c>
      <c r="H7" s="80"/>
    </row>
    <row r="8" spans="2:12" x14ac:dyDescent="0.2">
      <c r="E8" s="74" t="str">
        <f t="shared" si="0"/>
        <v>Your date</v>
      </c>
      <c r="F8" s="100" t="s">
        <v>152</v>
      </c>
      <c r="G8" s="99" t="s">
        <v>151</v>
      </c>
      <c r="H8" s="80"/>
    </row>
    <row r="9" spans="2:12" ht="15" customHeight="1" x14ac:dyDescent="0.45">
      <c r="E9" s="74" t="str">
        <f t="shared" si="0"/>
        <v>No.</v>
      </c>
      <c r="F9" s="97" t="s">
        <v>121</v>
      </c>
      <c r="G9" s="96" t="s">
        <v>0</v>
      </c>
      <c r="H9" s="80"/>
      <c r="I9" s="88"/>
    </row>
    <row r="10" spans="2:12" ht="15" customHeight="1" x14ac:dyDescent="0.45">
      <c r="E10" s="74" t="str">
        <f t="shared" si="0"/>
        <v>Participant or team</v>
      </c>
      <c r="F10" s="97" t="s">
        <v>122</v>
      </c>
      <c r="G10" s="96" t="s">
        <v>21</v>
      </c>
      <c r="H10" s="80"/>
      <c r="I10" s="88"/>
    </row>
    <row r="11" spans="2:12" ht="15" customHeight="1" x14ac:dyDescent="0.45">
      <c r="E11" s="74" t="str">
        <f t="shared" si="0"/>
        <v>Results</v>
      </c>
      <c r="F11" s="97" t="s">
        <v>123</v>
      </c>
      <c r="G11" s="96" t="s">
        <v>22</v>
      </c>
      <c r="H11" s="80"/>
      <c r="I11" s="88"/>
    </row>
    <row r="12" spans="2:12" ht="15" customHeight="1" x14ac:dyDescent="0.45">
      <c r="E12" s="74" t="str">
        <f t="shared" si="0"/>
        <v>Total table</v>
      </c>
      <c r="F12" s="97" t="s">
        <v>124</v>
      </c>
      <c r="G12" s="96" t="s">
        <v>13</v>
      </c>
      <c r="H12" s="80"/>
      <c r="I12" s="88"/>
    </row>
    <row r="13" spans="2:12" ht="15" customHeight="1" x14ac:dyDescent="0.45">
      <c r="E13" s="74" t="str">
        <f t="shared" si="0"/>
        <v>Total table (copy)</v>
      </c>
      <c r="F13" s="97" t="s">
        <v>125</v>
      </c>
      <c r="G13" s="96" t="s">
        <v>52</v>
      </c>
      <c r="H13" s="80"/>
      <c r="I13" s="88"/>
    </row>
    <row r="14" spans="2:12" ht="15" customHeight="1" x14ac:dyDescent="0.45">
      <c r="E14" s="74" t="str">
        <f t="shared" si="0"/>
        <v>Match pairing</v>
      </c>
      <c r="F14" s="97" t="s">
        <v>128</v>
      </c>
      <c r="G14" s="96" t="s">
        <v>1</v>
      </c>
      <c r="H14" s="80"/>
      <c r="I14" s="88"/>
    </row>
    <row r="15" spans="2:12" ht="15" customHeight="1" x14ac:dyDescent="0.45">
      <c r="E15" s="74" t="str">
        <f t="shared" si="0"/>
        <v>Result</v>
      </c>
      <c r="F15" s="97" t="s">
        <v>129</v>
      </c>
      <c r="G15" s="96" t="s">
        <v>2</v>
      </c>
      <c r="H15" s="80"/>
      <c r="I15" s="88"/>
    </row>
    <row r="16" spans="2:12" ht="15" customHeight="1" x14ac:dyDescent="0.45">
      <c r="E16" s="74" t="str">
        <f t="shared" si="0"/>
        <v>Complete</v>
      </c>
      <c r="F16" s="97" t="s">
        <v>133</v>
      </c>
      <c r="G16" s="96" t="s">
        <v>130</v>
      </c>
      <c r="H16" s="80"/>
      <c r="I16" s="88"/>
    </row>
    <row r="17" spans="5:13" ht="15" customHeight="1" x14ac:dyDescent="0.45">
      <c r="E17" s="74" t="str">
        <f t="shared" si="0"/>
        <v>Still incomplete</v>
      </c>
      <c r="F17" s="97" t="s">
        <v>132</v>
      </c>
      <c r="G17" s="96" t="s">
        <v>131</v>
      </c>
      <c r="H17" s="80"/>
      <c r="I17" s="88"/>
    </row>
    <row r="18" spans="5:13" ht="15" customHeight="1" x14ac:dyDescent="0.45">
      <c r="E18" s="74" t="str">
        <f t="shared" si="0"/>
        <v>First legs</v>
      </c>
      <c r="F18" s="97" t="s">
        <v>168</v>
      </c>
      <c r="G18" s="96" t="s">
        <v>166</v>
      </c>
      <c r="H18" s="80"/>
      <c r="I18" s="88"/>
    </row>
    <row r="19" spans="5:13" ht="15" customHeight="1" x14ac:dyDescent="0.45">
      <c r="E19" s="74" t="str">
        <f t="shared" si="0"/>
        <v>Second legs</v>
      </c>
      <c r="F19" s="97" t="s">
        <v>169</v>
      </c>
      <c r="G19" s="96" t="s">
        <v>167</v>
      </c>
      <c r="H19" s="80"/>
      <c r="I19" s="88"/>
    </row>
    <row r="20" spans="5:13" ht="15" x14ac:dyDescent="0.25">
      <c r="E20" s="74" t="str">
        <f t="shared" si="0"/>
        <v>With second legs</v>
      </c>
      <c r="F20" s="100" t="s">
        <v>209</v>
      </c>
      <c r="G20" s="99" t="s">
        <v>60</v>
      </c>
      <c r="H20" s="80"/>
      <c r="I20" s="89"/>
      <c r="J20" s="89"/>
      <c r="K20" s="89"/>
      <c r="L20" s="89"/>
      <c r="M20" s="89"/>
    </row>
    <row r="21" spans="5:13" ht="15" x14ac:dyDescent="0.25">
      <c r="E21" s="74" t="str">
        <f t="shared" si="0"/>
        <v>Pld</v>
      </c>
      <c r="F21" s="100" t="s">
        <v>104</v>
      </c>
      <c r="G21" s="99" t="s">
        <v>134</v>
      </c>
      <c r="H21" s="80"/>
      <c r="I21" s="89"/>
      <c r="J21" s="89"/>
      <c r="K21" s="89"/>
      <c r="L21" s="89"/>
      <c r="M21" s="89"/>
    </row>
    <row r="22" spans="5:13" ht="15" x14ac:dyDescent="0.25">
      <c r="E22" s="74" t="str">
        <f t="shared" si="0"/>
        <v>W</v>
      </c>
      <c r="F22" s="100" t="s">
        <v>105</v>
      </c>
      <c r="G22" s="99" t="s">
        <v>135</v>
      </c>
      <c r="H22" s="80"/>
      <c r="I22" s="89"/>
      <c r="J22" s="89"/>
      <c r="K22" s="89"/>
      <c r="L22" s="89"/>
      <c r="M22" s="89"/>
    </row>
    <row r="23" spans="5:13" ht="15" x14ac:dyDescent="0.25">
      <c r="E23" s="74" t="str">
        <f t="shared" si="0"/>
        <v>D</v>
      </c>
      <c r="F23" s="100" t="s">
        <v>106</v>
      </c>
      <c r="G23" s="99" t="s">
        <v>136</v>
      </c>
      <c r="H23" s="80"/>
      <c r="I23" s="89"/>
      <c r="J23" s="89"/>
      <c r="K23" s="89"/>
      <c r="L23" s="89"/>
      <c r="M23" s="89"/>
    </row>
    <row r="24" spans="5:13" ht="15" x14ac:dyDescent="0.25">
      <c r="E24" s="74" t="str">
        <f t="shared" si="0"/>
        <v>L</v>
      </c>
      <c r="F24" s="100" t="s">
        <v>107</v>
      </c>
      <c r="G24" s="99" t="s">
        <v>137</v>
      </c>
      <c r="H24" s="80"/>
      <c r="I24" s="89"/>
      <c r="J24" s="89"/>
      <c r="K24" s="89"/>
      <c r="L24" s="89"/>
      <c r="M24" s="89"/>
    </row>
    <row r="25" spans="5:13" ht="15" x14ac:dyDescent="0.25">
      <c r="E25" s="74" t="str">
        <f t="shared" si="0"/>
        <v>sets</v>
      </c>
      <c r="F25" s="100" t="s">
        <v>291</v>
      </c>
      <c r="G25" s="99" t="s">
        <v>292</v>
      </c>
      <c r="H25" s="80"/>
      <c r="I25" s="89"/>
      <c r="J25" s="89"/>
      <c r="K25" s="89"/>
      <c r="L25" s="89"/>
      <c r="M25" s="89"/>
    </row>
    <row r="26" spans="5:13" ht="15" x14ac:dyDescent="0.25">
      <c r="E26" s="74" t="str">
        <f t="shared" si="0"/>
        <v>GD</v>
      </c>
      <c r="F26" s="100" t="s">
        <v>110</v>
      </c>
      <c r="G26" s="99" t="s">
        <v>3</v>
      </c>
      <c r="H26" s="80"/>
      <c r="I26" s="89"/>
      <c r="J26" s="89"/>
      <c r="K26" s="89"/>
      <c r="L26" s="89"/>
      <c r="M26" s="89"/>
    </row>
    <row r="27" spans="5:13" ht="15" x14ac:dyDescent="0.25">
      <c r="E27" s="74" t="str">
        <f t="shared" si="0"/>
        <v>Pts</v>
      </c>
      <c r="F27" s="100" t="s">
        <v>111</v>
      </c>
      <c r="G27" s="99" t="s">
        <v>138</v>
      </c>
      <c r="H27" s="80"/>
      <c r="I27" s="89"/>
      <c r="J27" s="89"/>
      <c r="K27" s="89"/>
      <c r="L27" s="89"/>
      <c r="M27" s="89"/>
    </row>
    <row r="28" spans="5:13" ht="15" x14ac:dyDescent="0.25">
      <c r="E28" s="74" t="str">
        <f t="shared" si="0"/>
        <v>GF</v>
      </c>
      <c r="F28" s="100" t="s">
        <v>108</v>
      </c>
      <c r="G28" s="99" t="s">
        <v>161</v>
      </c>
      <c r="H28" s="80"/>
      <c r="I28" s="89"/>
      <c r="J28" s="89"/>
      <c r="K28" s="89"/>
      <c r="L28" s="89"/>
      <c r="M28" s="89"/>
    </row>
    <row r="29" spans="5:13" x14ac:dyDescent="0.2">
      <c r="E29" s="74" t="str">
        <f t="shared" si="0"/>
        <v>INVALID TABLE</v>
      </c>
      <c r="F29" s="100" t="s">
        <v>140</v>
      </c>
      <c r="G29" s="99" t="s">
        <v>139</v>
      </c>
      <c r="H29" s="80"/>
    </row>
    <row r="30" spans="5:13" x14ac:dyDescent="0.2">
      <c r="E30" s="74" t="str">
        <f t="shared" si="0"/>
        <v>Participants and schedule</v>
      </c>
      <c r="F30" s="100" t="s">
        <v>141</v>
      </c>
      <c r="G30" s="99" t="s">
        <v>19</v>
      </c>
      <c r="H30" s="80"/>
    </row>
    <row r="31" spans="5:13" x14ac:dyDescent="0.2">
      <c r="E31" s="74" t="str">
        <f t="shared" si="0"/>
        <v>Participants</v>
      </c>
      <c r="F31" s="101" t="s">
        <v>142</v>
      </c>
      <c r="G31" s="99" t="s">
        <v>20</v>
      </c>
      <c r="H31" s="80"/>
    </row>
    <row r="32" spans="5:13" x14ac:dyDescent="0.2">
      <c r="E32" s="74" t="str">
        <f t="shared" si="0"/>
        <v>Schedule</v>
      </c>
      <c r="F32" s="101" t="s">
        <v>143</v>
      </c>
      <c r="G32" s="99" t="s">
        <v>23</v>
      </c>
      <c r="H32" s="80"/>
    </row>
    <row r="33" spans="5:8" x14ac:dyDescent="0.2">
      <c r="E33" s="74" t="str">
        <f t="shared" si="0"/>
        <v>Game no.</v>
      </c>
      <c r="F33" s="101" t="s">
        <v>144</v>
      </c>
      <c r="G33" s="99" t="s">
        <v>51</v>
      </c>
      <c r="H33" s="80"/>
    </row>
    <row r="34" spans="5:8" x14ac:dyDescent="0.2">
      <c r="E34" s="74" t="str">
        <f t="shared" si="0"/>
        <v>Pairings</v>
      </c>
      <c r="F34" s="101" t="s">
        <v>145</v>
      </c>
      <c r="G34" s="99" t="s">
        <v>53</v>
      </c>
      <c r="H34" s="80"/>
    </row>
    <row r="35" spans="5:8" x14ac:dyDescent="0.2">
      <c r="E35" s="74" t="str">
        <f t="shared" si="0"/>
        <v>Choose language</v>
      </c>
      <c r="F35" s="100" t="s">
        <v>112</v>
      </c>
      <c r="G35" s="99" t="s">
        <v>150</v>
      </c>
      <c r="H35" s="80"/>
    </row>
    <row r="36" spans="5:8" x14ac:dyDescent="0.2">
      <c r="E36" s="74" t="str">
        <f t="shared" si="0"/>
        <v>Captions</v>
      </c>
      <c r="F36" s="100" t="s">
        <v>116</v>
      </c>
      <c r="G36" s="99" t="s">
        <v>147</v>
      </c>
      <c r="H36" s="80"/>
    </row>
    <row r="37" spans="5:8" x14ac:dyDescent="0.2">
      <c r="E37" s="74" t="str">
        <f t="shared" si="0"/>
        <v>Messages</v>
      </c>
      <c r="F37" s="100" t="s">
        <v>148</v>
      </c>
      <c r="G37" s="99" t="s">
        <v>149</v>
      </c>
      <c r="H37" s="80"/>
    </row>
    <row r="38" spans="5:8" x14ac:dyDescent="0.2">
      <c r="E38" s="74" t="str">
        <f t="shared" si="0"/>
        <v>Your captions</v>
      </c>
      <c r="F38" s="100" t="s">
        <v>155</v>
      </c>
      <c r="G38" s="99" t="s">
        <v>154</v>
      </c>
      <c r="H38" s="80"/>
    </row>
    <row r="39" spans="5:8" x14ac:dyDescent="0.2">
      <c r="E39" s="74" t="str">
        <f t="shared" si="0"/>
        <v>Start</v>
      </c>
      <c r="F39" s="100" t="s">
        <v>173</v>
      </c>
      <c r="G39" s="99" t="s">
        <v>172</v>
      </c>
      <c r="H39" s="80"/>
    </row>
    <row r="40" spans="5:8" x14ac:dyDescent="0.2">
      <c r="E40" s="74" t="str">
        <f t="shared" si="0"/>
        <v>End</v>
      </c>
      <c r="F40" s="100" t="s">
        <v>175</v>
      </c>
      <c r="G40" s="99" t="s">
        <v>174</v>
      </c>
      <c r="H40" s="80"/>
    </row>
    <row r="41" spans="5:8" x14ac:dyDescent="0.2">
      <c r="E41" s="74" t="str">
        <f t="shared" si="0"/>
        <v>Playing times</v>
      </c>
      <c r="F41" s="100" t="s">
        <v>191</v>
      </c>
      <c r="G41" s="99" t="s">
        <v>190</v>
      </c>
      <c r="H41" s="80"/>
    </row>
    <row r="42" spans="5:8" x14ac:dyDescent="0.2">
      <c r="E42" s="74" t="str">
        <f t="shared" si="0"/>
        <v>Playing time per match</v>
      </c>
      <c r="F42" s="100" t="s">
        <v>181</v>
      </c>
      <c r="G42" s="99" t="s">
        <v>179</v>
      </c>
      <c r="H42" s="80"/>
    </row>
    <row r="43" spans="5:8" x14ac:dyDescent="0.2">
      <c r="E43" s="74" t="str">
        <f t="shared" si="0"/>
        <v>Change time</v>
      </c>
      <c r="F43" s="100" t="s">
        <v>182</v>
      </c>
      <c r="G43" s="99" t="s">
        <v>180</v>
      </c>
      <c r="H43" s="80"/>
    </row>
    <row r="44" spans="5:8" x14ac:dyDescent="0.2">
      <c r="E44" s="74" t="str">
        <f t="shared" si="0"/>
        <v>Number of fields</v>
      </c>
      <c r="F44" s="100" t="s">
        <v>211</v>
      </c>
      <c r="G44" s="99" t="s">
        <v>210</v>
      </c>
      <c r="H44" s="80"/>
    </row>
    <row r="45" spans="5:8" x14ac:dyDescent="0.2">
      <c r="E45" s="74" t="str">
        <f t="shared" si="0"/>
        <v xml:space="preserve"> </v>
      </c>
      <c r="F45" s="100" t="s">
        <v>183</v>
      </c>
      <c r="G45" s="99" t="s">
        <v>178</v>
      </c>
      <c r="H45" s="80"/>
    </row>
    <row r="46" spans="5:8" x14ac:dyDescent="0.2">
      <c r="E46" s="74" t="str">
        <f t="shared" si="0"/>
        <v>Match against</v>
      </c>
      <c r="F46" s="100" t="s">
        <v>187</v>
      </c>
      <c r="G46" s="99" t="s">
        <v>186</v>
      </c>
      <c r="H46" s="80"/>
    </row>
    <row r="47" spans="5:8" x14ac:dyDescent="0.2">
      <c r="E47" s="74" t="str">
        <f t="shared" si="0"/>
        <v>Note</v>
      </c>
      <c r="F47" s="100" t="s">
        <v>188</v>
      </c>
      <c r="G47" s="99" t="s">
        <v>189</v>
      </c>
      <c r="H47" s="80"/>
    </row>
    <row r="48" spans="5:8" x14ac:dyDescent="0.2">
      <c r="E48" s="74" t="str">
        <f t="shared" si="0"/>
        <v>Field</v>
      </c>
      <c r="F48" s="100" t="s">
        <v>212</v>
      </c>
      <c r="G48" s="99" t="s">
        <v>213</v>
      </c>
      <c r="H48" s="80"/>
    </row>
    <row r="49" spans="5:8" x14ac:dyDescent="0.2">
      <c r="E49" s="74" t="str">
        <f t="shared" si="0"/>
        <v>bonus</v>
      </c>
      <c r="F49" s="81" t="s">
        <v>117</v>
      </c>
      <c r="G49" s="79" t="s">
        <v>58</v>
      </c>
      <c r="H49" s="80"/>
    </row>
    <row r="50" spans="5:8" x14ac:dyDescent="0.2">
      <c r="E50" s="74" t="str">
        <f t="shared" si="0"/>
        <v>Matchups</v>
      </c>
      <c r="F50" s="97" t="s">
        <v>200</v>
      </c>
      <c r="G50" s="96" t="s">
        <v>201</v>
      </c>
      <c r="H50" s="237"/>
    </row>
    <row r="51" spans="5:8" x14ac:dyDescent="0.2">
      <c r="E51" s="74" t="str">
        <f t="shared" si="0"/>
        <v>Settings</v>
      </c>
      <c r="F51" s="97" t="s">
        <v>205</v>
      </c>
      <c r="G51" s="96" t="s">
        <v>204</v>
      </c>
      <c r="H51" s="237"/>
    </row>
    <row r="52" spans="5:8" x14ac:dyDescent="0.2">
      <c r="E52" s="74" t="str">
        <f t="shared" si="0"/>
        <v>Number of points for a win:</v>
      </c>
      <c r="F52" s="97" t="s">
        <v>207</v>
      </c>
      <c r="G52" s="96" t="s">
        <v>206</v>
      </c>
      <c r="H52" s="237"/>
    </row>
    <row r="53" spans="5:8" x14ac:dyDescent="0.2">
      <c r="E53" s="74" t="str">
        <f t="shared" si="0"/>
        <v>Addit. Pause (min)</v>
      </c>
      <c r="F53" s="97" t="s">
        <v>228</v>
      </c>
      <c r="G53" s="96" t="s">
        <v>229</v>
      </c>
      <c r="H53" s="237"/>
    </row>
    <row r="54" spans="5:8" x14ac:dyDescent="0.2">
      <c r="E54" s="74" t="str">
        <f t="shared" si="0"/>
        <v>1st set</v>
      </c>
      <c r="F54" s="97" t="s">
        <v>251</v>
      </c>
      <c r="G54" s="96" t="s">
        <v>252</v>
      </c>
      <c r="H54" s="237"/>
    </row>
    <row r="55" spans="5:8" x14ac:dyDescent="0.2">
      <c r="E55" s="74" t="str">
        <f t="shared" si="0"/>
        <v>2nd set</v>
      </c>
      <c r="F55" s="97" t="s">
        <v>253</v>
      </c>
      <c r="G55" s="96" t="s">
        <v>254</v>
      </c>
      <c r="H55" s="237"/>
    </row>
    <row r="56" spans="5:8" x14ac:dyDescent="0.2">
      <c r="E56" s="74" t="str">
        <f t="shared" si="0"/>
        <v>3rd set</v>
      </c>
      <c r="F56" s="97" t="s">
        <v>257</v>
      </c>
      <c r="G56" s="96" t="s">
        <v>258</v>
      </c>
      <c r="H56" s="237"/>
    </row>
    <row r="57" spans="5:8" x14ac:dyDescent="0.2">
      <c r="E57" s="74" t="str">
        <f t="shared" si="0"/>
        <v>balls</v>
      </c>
      <c r="F57" s="97" t="s">
        <v>255</v>
      </c>
      <c r="G57" s="96" t="s">
        <v>256</v>
      </c>
      <c r="H57" s="237"/>
    </row>
    <row r="58" spans="5:8" x14ac:dyDescent="0.2">
      <c r="E58" s="74" t="str">
        <f t="shared" si="0"/>
        <v>Winner</v>
      </c>
      <c r="F58" s="97" t="s">
        <v>266</v>
      </c>
      <c r="G58" s="96" t="s">
        <v>267</v>
      </c>
      <c r="H58" s="237"/>
    </row>
    <row r="59" spans="5:8" x14ac:dyDescent="0.2">
      <c r="E59" s="74" t="str">
        <f t="shared" si="0"/>
        <v>Quot.</v>
      </c>
      <c r="F59" s="97" t="s">
        <v>279</v>
      </c>
      <c r="G59" s="96" t="s">
        <v>279</v>
      </c>
      <c r="H59" s="237"/>
    </row>
    <row r="60" spans="5:8" x14ac:dyDescent="0.2">
      <c r="E60" s="74" t="str">
        <f t="shared" si="0"/>
        <v>Referee</v>
      </c>
      <c r="F60" s="81" t="s">
        <v>296</v>
      </c>
      <c r="G60" s="79" t="s">
        <v>295</v>
      </c>
      <c r="H60" s="237"/>
    </row>
    <row r="61" spans="5:8" x14ac:dyDescent="0.2">
      <c r="E61" s="74">
        <f t="shared" si="0"/>
        <v>0</v>
      </c>
      <c r="F61" s="81"/>
      <c r="G61" s="79"/>
      <c r="H61" s="237"/>
    </row>
    <row r="62" spans="5:8" x14ac:dyDescent="0.2">
      <c r="E62" s="74">
        <f t="shared" si="0"/>
        <v>0</v>
      </c>
      <c r="F62" s="81"/>
      <c r="G62" s="79"/>
      <c r="H62" s="237"/>
    </row>
    <row r="63" spans="5:8" x14ac:dyDescent="0.2">
      <c r="E63" s="74" t="str">
        <f t="shared" si="0"/>
        <v>Ball difference or ball quotient:</v>
      </c>
      <c r="F63" s="81" t="s">
        <v>330</v>
      </c>
      <c r="G63" s="79" t="s">
        <v>331</v>
      </c>
      <c r="H63" s="237"/>
    </row>
    <row r="64" spans="5:8" x14ac:dyDescent="0.2">
      <c r="E64" s="74" t="str">
        <f t="shared" si="0"/>
        <v>Ball difference</v>
      </c>
      <c r="F64" s="81" t="s">
        <v>276</v>
      </c>
      <c r="G64" s="79" t="s">
        <v>274</v>
      </c>
      <c r="H64" s="237"/>
    </row>
    <row r="65" spans="5:8" x14ac:dyDescent="0.2">
      <c r="E65" s="74" t="str">
        <f t="shared" si="0"/>
        <v>Ball quotient</v>
      </c>
      <c r="F65" s="81" t="s">
        <v>277</v>
      </c>
      <c r="G65" s="79" t="s">
        <v>275</v>
      </c>
      <c r="H65" s="237"/>
    </row>
    <row r="66" spans="5:8" x14ac:dyDescent="0.2">
      <c r="E66" s="74" t="str">
        <f>IF($C$3,F66,IF($C$4,G66,IF($H66&lt;&gt;"",$H66,$F66)))</f>
        <v>Ball points</v>
      </c>
      <c r="F66" s="261" t="s">
        <v>285</v>
      </c>
      <c r="G66" s="262" t="s">
        <v>286</v>
      </c>
      <c r="H66" s="237"/>
    </row>
    <row r="67" spans="5:8" x14ac:dyDescent="0.2">
      <c r="E67" s="74" t="str">
        <f t="shared" si="0"/>
        <v>Set points</v>
      </c>
      <c r="F67" s="261" t="s">
        <v>287</v>
      </c>
      <c r="G67" s="262" t="s">
        <v>288</v>
      </c>
      <c r="H67" s="237"/>
    </row>
    <row r="68" spans="5:8" x14ac:dyDescent="0.2">
      <c r="E68" s="74" t="str">
        <f t="shared" si="0"/>
        <v>Set difference as the second criterion?</v>
      </c>
      <c r="F68" s="81" t="s">
        <v>301</v>
      </c>
      <c r="G68" s="79" t="s">
        <v>302</v>
      </c>
      <c r="H68" s="237"/>
    </row>
    <row r="69" spans="5:8" x14ac:dyDescent="0.2">
      <c r="E69" s="74" t="str">
        <f t="shared" si="0"/>
        <v>Yes</v>
      </c>
      <c r="F69" s="81" t="s">
        <v>303</v>
      </c>
      <c r="G69" s="79" t="s">
        <v>299</v>
      </c>
      <c r="H69" s="237"/>
    </row>
    <row r="70" spans="5:8" x14ac:dyDescent="0.2">
      <c r="E70" s="74" t="str">
        <f t="shared" si="0"/>
        <v>No</v>
      </c>
      <c r="F70" s="81" t="s">
        <v>304</v>
      </c>
      <c r="G70" s="79" t="s">
        <v>300</v>
      </c>
      <c r="H70" s="237"/>
    </row>
    <row r="71" spans="5:8" x14ac:dyDescent="0.2">
      <c r="E71" s="74" t="str">
        <f t="shared" si="0"/>
        <v>Setpts.</v>
      </c>
      <c r="F71" s="81" t="s">
        <v>305</v>
      </c>
      <c r="G71" s="79" t="s">
        <v>306</v>
      </c>
      <c r="H71" s="237"/>
    </row>
    <row r="72" spans="5:8" x14ac:dyDescent="0.2">
      <c r="E72" s="74" t="str">
        <f t="shared" si="0"/>
        <v>First criterion for the ranking:</v>
      </c>
      <c r="F72" s="81" t="s">
        <v>307</v>
      </c>
      <c r="G72" s="79" t="s">
        <v>308</v>
      </c>
      <c r="H72" s="237"/>
    </row>
    <row r="73" spans="5:8" x14ac:dyDescent="0.2">
      <c r="E73" s="74" t="str">
        <f t="shared" si="0"/>
        <v>Number of (victory) points</v>
      </c>
      <c r="F73" s="81" t="s">
        <v>309</v>
      </c>
      <c r="G73" s="79" t="s">
        <v>298</v>
      </c>
      <c r="H73" s="237"/>
    </row>
    <row r="74" spans="5:8" x14ac:dyDescent="0.2">
      <c r="E74" s="74" t="str">
        <f t="shared" si="0"/>
        <v>Number of sets won</v>
      </c>
      <c r="F74" s="81" t="s">
        <v>310</v>
      </c>
      <c r="G74" s="79" t="s">
        <v>311</v>
      </c>
      <c r="H74" s="237"/>
    </row>
    <row r="75" spans="5:8" x14ac:dyDescent="0.2">
      <c r="E75" s="74" t="str">
        <f t="shared" si="0"/>
        <v>Sets won as the third criterion?</v>
      </c>
      <c r="F75" s="81" t="s">
        <v>312</v>
      </c>
      <c r="G75" s="79" t="s">
        <v>313</v>
      </c>
      <c r="H75" s="237"/>
    </row>
    <row r="76" spans="5:8" x14ac:dyDescent="0.2">
      <c r="E76" s="74" t="str">
        <f t="shared" si="0"/>
        <v>Only makes sense if the number of (victory) points is the first criterion</v>
      </c>
      <c r="F76" s="81" t="s">
        <v>314</v>
      </c>
      <c r="G76" s="79" t="s">
        <v>315</v>
      </c>
      <c r="H76" s="237"/>
    </row>
    <row r="77" spans="5:8" x14ac:dyDescent="0.2">
      <c r="E77" s="74" t="str">
        <f t="shared" si="0"/>
        <v>Team numbers</v>
      </c>
      <c r="F77" s="81" t="s">
        <v>270</v>
      </c>
      <c r="G77" s="79" t="s">
        <v>271</v>
      </c>
      <c r="H77" s="237"/>
    </row>
    <row r="78" spans="5:8" x14ac:dyDescent="0.2">
      <c r="E78" s="74" t="str">
        <f t="shared" si="0"/>
        <v>Winner</v>
      </c>
      <c r="F78" s="81" t="s">
        <v>266</v>
      </c>
      <c r="G78" s="79" t="s">
        <v>267</v>
      </c>
      <c r="H78" s="237"/>
    </row>
    <row r="79" spans="5:8" x14ac:dyDescent="0.2">
      <c r="E79" s="74" t="str">
        <f t="shared" si="0"/>
        <v>Display in the crosstabs of the preliminary round:</v>
      </c>
      <c r="F79" s="81" t="s">
        <v>283</v>
      </c>
      <c r="G79" s="79" t="s">
        <v>284</v>
      </c>
      <c r="H79" s="237"/>
    </row>
    <row r="80" spans="5:8" x14ac:dyDescent="0.2">
      <c r="E80" s="74">
        <f t="shared" si="0"/>
        <v>0</v>
      </c>
      <c r="F80" s="81"/>
      <c r="G80" s="79"/>
      <c r="H80" s="237"/>
    </row>
    <row r="81" spans="5:8" ht="28.5" x14ac:dyDescent="0.45">
      <c r="E81" s="74"/>
      <c r="F81" s="85" t="str">
        <f>$E$37</f>
        <v>Messages</v>
      </c>
      <c r="G81" s="86"/>
      <c r="H81" s="87"/>
    </row>
    <row r="82" spans="5:8" ht="79.5" customHeight="1" x14ac:dyDescent="0.2">
      <c r="E82" s="74" t="str">
        <f t="shared" si="0"/>
        <v>If two or more teams cannot be distinguished and fair play or lot decides, it is sufficient to enter a bonus point for the preferred team.</v>
      </c>
      <c r="F82" s="91" t="s">
        <v>120</v>
      </c>
      <c r="G82" s="92" t="s">
        <v>59</v>
      </c>
      <c r="H82" s="93"/>
    </row>
    <row r="83" spans="5:8" ht="51.75" customHeight="1" x14ac:dyDescent="0.2">
      <c r="E83" s="74" t="str">
        <f t="shared" si="0"/>
        <v>Double match pairings and matches against oneself
lead to incorrect values in the overall table!</v>
      </c>
      <c r="F83" s="98" t="s">
        <v>162</v>
      </c>
      <c r="G83" s="117" t="s">
        <v>55</v>
      </c>
      <c r="H83" s="93"/>
    </row>
    <row r="84" spans="5:8" ht="51.75" customHeight="1" x14ac:dyDescent="0.2">
      <c r="E84" s="74" t="str">
        <f t="shared" si="0"/>
        <v>Change of the fixtures only on the sheet 'Planning'! Just enter the results here!</v>
      </c>
      <c r="F84" s="98" t="s">
        <v>127</v>
      </c>
      <c r="G84" s="92" t="s">
        <v>126</v>
      </c>
      <c r="H84" s="93"/>
    </row>
    <row r="85" spans="5:8" ht="16.5" customHeight="1" x14ac:dyDescent="0.2">
      <c r="E85" s="74" t="str">
        <f t="shared" si="0"/>
        <v>Hint may be deleted   →</v>
      </c>
      <c r="F85" s="104" t="s">
        <v>156</v>
      </c>
      <c r="G85" s="103" t="s">
        <v>153</v>
      </c>
      <c r="H85" s="94"/>
    </row>
    <row r="86" spans="5:8" ht="20.25" customHeight="1" x14ac:dyDescent="0.2">
      <c r="E86" s="74" t="str">
        <f t="shared" si="0"/>
        <v>Click here and choose language</v>
      </c>
      <c r="F86" s="109" t="s">
        <v>159</v>
      </c>
      <c r="G86" s="107" t="s">
        <v>158</v>
      </c>
      <c r="H86" s="95"/>
    </row>
    <row r="87" spans="5:8" ht="32.25" customHeight="1" x14ac:dyDescent="0.2">
      <c r="E87" s="74" t="str">
        <f t="shared" si="0"/>
        <v>Duplicate names lead to
incorrect table values</v>
      </c>
      <c r="F87" s="132" t="s">
        <v>176</v>
      </c>
      <c r="G87" s="131" t="s">
        <v>54</v>
      </c>
      <c r="H87" s="95"/>
    </row>
    <row r="88" spans="5:8" ht="51.75" customHeight="1" x14ac:dyDescent="0.2">
      <c r="E88" s="74" t="str">
        <f t="shared" si="0"/>
        <v>Red font means that the ranking is not clear even with the direct comparison. A playoff match or drawing of lots must decide here.</v>
      </c>
      <c r="F88" s="249" t="s">
        <v>272</v>
      </c>
      <c r="G88" s="250" t="s">
        <v>273</v>
      </c>
      <c r="H88" s="94"/>
    </row>
    <row r="89" spans="5:8" ht="17.25" customHeight="1" x14ac:dyDescent="0.2">
      <c r="E89" s="74" t="str">
        <f t="shared" si="0"/>
        <v>Time conflict</v>
      </c>
      <c r="F89" s="251" t="s">
        <v>185</v>
      </c>
      <c r="G89" s="252" t="s">
        <v>184</v>
      </c>
      <c r="H89" s="253"/>
    </row>
    <row r="90" spans="5:8" ht="16.5" customHeight="1" x14ac:dyDescent="0.2">
      <c r="E90" s="74" t="str">
        <f t="shared" si="0"/>
        <v xml:space="preserve"> - </v>
      </c>
      <c r="F90" s="254" t="s">
        <v>118</v>
      </c>
      <c r="G90" s="264" t="s">
        <v>119</v>
      </c>
      <c r="H90" s="253"/>
    </row>
    <row r="91" spans="5:8" ht="33" customHeight="1" x14ac:dyDescent="0.2">
      <c r="E91" s="74">
        <f t="shared" si="0"/>
        <v>0</v>
      </c>
      <c r="F91" s="259"/>
      <c r="G91" s="260"/>
      <c r="H91" s="256"/>
    </row>
    <row r="92" spans="5:8" ht="32.25" customHeight="1" x14ac:dyDescent="0.2">
      <c r="E92" s="74">
        <f t="shared" si="0"/>
        <v>0</v>
      </c>
      <c r="F92" s="259"/>
      <c r="G92" s="260"/>
      <c r="H92" s="256"/>
    </row>
    <row r="93" spans="5:8" ht="18" customHeight="1" x14ac:dyDescent="0.2">
      <c r="E93" s="74">
        <f t="shared" si="0"/>
        <v>0</v>
      </c>
      <c r="F93" s="261"/>
      <c r="G93" s="262"/>
      <c r="H93" s="263"/>
    </row>
    <row r="94" spans="5:8" ht="18" customHeight="1" x14ac:dyDescent="0.2">
      <c r="E94" s="74">
        <f t="shared" si="0"/>
        <v>0</v>
      </c>
      <c r="F94" s="261"/>
      <c r="G94" s="262"/>
      <c r="H94" s="263"/>
    </row>
    <row r="95" spans="5:8" ht="20.25" customHeight="1" x14ac:dyDescent="0.2">
      <c r="E95" s="74">
        <f t="shared" si="0"/>
        <v>0</v>
      </c>
      <c r="F95" s="261"/>
      <c r="G95" s="262"/>
      <c r="H95" s="263"/>
    </row>
    <row r="96" spans="5:8" ht="18" customHeight="1" x14ac:dyDescent="0.2">
      <c r="E96" s="74" t="str">
        <f t="shared" si="0"/>
        <v xml:space="preserve">TIME CONFLICT for </v>
      </c>
      <c r="F96" s="261" t="s">
        <v>222</v>
      </c>
      <c r="G96" s="262" t="s">
        <v>221</v>
      </c>
      <c r="H96" s="263"/>
    </row>
    <row r="97" spans="5:8" ht="18" customHeight="1" x14ac:dyDescent="0.2">
      <c r="E97" s="74" t="str">
        <f t="shared" si="0"/>
        <v xml:space="preserve">in matches </v>
      </c>
      <c r="F97" s="261" t="s">
        <v>217</v>
      </c>
      <c r="G97" s="262" t="s">
        <v>218</v>
      </c>
      <c r="H97" s="263"/>
    </row>
    <row r="98" spans="5:8" ht="18" customHeight="1" x14ac:dyDescent="0.2">
      <c r="E98" s="74" t="str">
        <f t="shared" si="0"/>
        <v xml:space="preserve"> and </v>
      </c>
      <c r="F98" s="261" t="s">
        <v>219</v>
      </c>
      <c r="G98" s="262" t="s">
        <v>220</v>
      </c>
      <c r="H98" s="263"/>
    </row>
    <row r="99" spans="5:8" ht="18" customHeight="1" x14ac:dyDescent="0.2">
      <c r="E99" s="74" t="str">
        <f t="shared" si="0"/>
        <v xml:space="preserve">Due to time conflicts, you can only play on a maximum of </v>
      </c>
      <c r="F99" s="261" t="s">
        <v>224</v>
      </c>
      <c r="G99" s="262" t="s">
        <v>225</v>
      </c>
      <c r="H99" s="263"/>
    </row>
    <row r="100" spans="5:8" ht="18" customHeight="1" x14ac:dyDescent="0.2">
      <c r="E100" s="74" t="str">
        <f t="shared" si="0"/>
        <v xml:space="preserve"> pitches at the same time.</v>
      </c>
      <c r="F100" s="261" t="s">
        <v>226</v>
      </c>
      <c r="G100" s="262" t="s">
        <v>227</v>
      </c>
      <c r="H100" s="263"/>
    </row>
    <row r="101" spans="5:8" ht="18" customHeight="1" x14ac:dyDescent="0.2">
      <c r="E101" s="74" t="str">
        <f t="shared" si="0"/>
        <v xml:space="preserve"> pitch.</v>
      </c>
      <c r="F101" s="261" t="s">
        <v>250</v>
      </c>
      <c r="G101" s="262" t="s">
        <v>249</v>
      </c>
      <c r="H101" s="263"/>
    </row>
    <row r="102" spans="5:8" ht="18" customHeight="1" x14ac:dyDescent="0.2">
      <c r="E102" s="74" t="str">
        <f t="shared" si="0"/>
        <v>Abbreviations of the team names:</v>
      </c>
      <c r="F102" s="261" t="s">
        <v>230</v>
      </c>
      <c r="G102" s="262" t="s">
        <v>231</v>
      </c>
      <c r="H102" s="263"/>
    </row>
    <row r="103" spans="5:8" ht="18" customHeight="1" x14ac:dyDescent="0.2">
      <c r="E103" s="74" t="str">
        <f t="shared" si="0"/>
        <v>letters</v>
      </c>
      <c r="F103" s="261" t="s">
        <v>232</v>
      </c>
      <c r="G103" s="262" t="s">
        <v>233</v>
      </c>
      <c r="H103" s="263"/>
    </row>
    <row r="104" spans="5:8" ht="18" customHeight="1" x14ac:dyDescent="0.2">
      <c r="E104" s="74" t="str">
        <f t="shared" si="0"/>
        <v>(max. 4)</v>
      </c>
      <c r="F104" s="261" t="s">
        <v>239</v>
      </c>
      <c r="G104" s="262" t="s">
        <v>239</v>
      </c>
      <c r="H104" s="263"/>
    </row>
    <row r="105" spans="5:8" ht="18" customHeight="1" x14ac:dyDescent="0.2">
      <c r="E105" s="74" t="str">
        <f t="shared" si="0"/>
        <v>Team numbers</v>
      </c>
      <c r="F105" s="261" t="s">
        <v>270</v>
      </c>
      <c r="G105" s="262" t="s">
        <v>271</v>
      </c>
      <c r="H105" s="263"/>
    </row>
    <row r="106" spans="5:8" ht="18" customHeight="1" x14ac:dyDescent="0.2">
      <c r="E106" s="74" t="str">
        <f t="shared" si="0"/>
        <v>e.g.  2 - 4</v>
      </c>
      <c r="F106" s="261" t="s">
        <v>269</v>
      </c>
      <c r="G106" s="262" t="s">
        <v>268</v>
      </c>
      <c r="H106" s="263"/>
    </row>
    <row r="107" spans="5:8" ht="31.5" customHeight="1" x14ac:dyDescent="0.2">
      <c r="E107" s="74" t="str">
        <f t="shared" si="0"/>
        <v>Is a draw possible in individual sets?</v>
      </c>
      <c r="F107" s="261" t="s">
        <v>336</v>
      </c>
      <c r="G107" s="262" t="s">
        <v>335</v>
      </c>
      <c r="H107" s="263"/>
    </row>
    <row r="108" spans="5:8" ht="26.25" customHeight="1" x14ac:dyDescent="0.2">
      <c r="E108" s="74" t="str">
        <f t="shared" ref="E108:E109" si="1">IF($C$3,F108,IF($C$4,G108,IF($H108&lt;&gt;"",$H108,$F108)))</f>
        <v>A draw results in 0.5 set points per team.</v>
      </c>
      <c r="F108" s="261" t="s">
        <v>332</v>
      </c>
      <c r="G108" s="262" t="s">
        <v>333</v>
      </c>
      <c r="H108" s="263"/>
    </row>
    <row r="109" spans="5:8" ht="30.75" customHeight="1" x14ac:dyDescent="0.2">
      <c r="E109" s="74">
        <f t="shared" si="1"/>
        <v>0</v>
      </c>
      <c r="F109" s="261"/>
      <c r="G109" s="262"/>
      <c r="H109" s="263"/>
    </row>
    <row r="110" spans="5:8" ht="18" customHeight="1" x14ac:dyDescent="0.2">
      <c r="E110" s="74">
        <f t="shared" si="0"/>
        <v>0</v>
      </c>
      <c r="F110" s="261"/>
      <c r="G110" s="262"/>
      <c r="H110" s="263"/>
    </row>
    <row r="111" spans="5:8" ht="18" customHeight="1" x14ac:dyDescent="0.2">
      <c r="E111" s="74">
        <f t="shared" si="0"/>
        <v>0</v>
      </c>
      <c r="F111" s="261"/>
      <c r="G111" s="262"/>
      <c r="H111" s="263"/>
    </row>
    <row r="112" spans="5:8" ht="18" customHeight="1" x14ac:dyDescent="0.2">
      <c r="E112" s="74">
        <f t="shared" si="0"/>
        <v>0</v>
      </c>
      <c r="F112" s="261"/>
      <c r="G112" s="262"/>
      <c r="H112" s="263"/>
    </row>
    <row r="113" spans="5:9" ht="16.5" customHeight="1" thickBot="1" x14ac:dyDescent="0.25">
      <c r="E113" s="74">
        <f t="shared" si="0"/>
        <v>0</v>
      </c>
      <c r="F113" s="257"/>
      <c r="G113" s="255"/>
      <c r="H113" s="258"/>
    </row>
    <row r="114" spans="5:9" ht="13.5" thickTop="1" x14ac:dyDescent="0.2"/>
    <row r="115" spans="5:9" x14ac:dyDescent="0.2"/>
    <row r="116" spans="5:9" x14ac:dyDescent="0.2"/>
    <row r="117" spans="5:9" hidden="1" x14ac:dyDescent="0.2"/>
    <row r="118" spans="5:9" hidden="1" x14ac:dyDescent="0.2">
      <c r="I118" s="105"/>
    </row>
  </sheetData>
  <sheetProtection sheet="1" selectLockedCells="1"/>
  <mergeCells count="7">
    <mergeCell ref="F1:H1"/>
    <mergeCell ref="H3:H4"/>
    <mergeCell ref="F2:G2"/>
    <mergeCell ref="D3:D4"/>
    <mergeCell ref="E3:E4"/>
    <mergeCell ref="F3:F4"/>
    <mergeCell ref="G3:G4"/>
  </mergeCells>
  <conditionalFormatting sqref="F3:F4">
    <cfRule type="expression" dxfId="3" priority="7">
      <formula>C3</formula>
    </cfRule>
  </conditionalFormatting>
  <conditionalFormatting sqref="G3:G4">
    <cfRule type="expression" dxfId="2" priority="3">
      <formula>C4</formula>
    </cfRule>
  </conditionalFormatting>
  <conditionalFormatting sqref="D3:D4">
    <cfRule type="expression" dxfId="1" priority="84">
      <formula>#REF!</formula>
    </cfRule>
  </conditionalFormatting>
  <conditionalFormatting sqref="H3:H4">
    <cfRule type="expression" dxfId="0" priority="85">
      <formula>C5</formula>
    </cfRule>
  </conditionalFormatting>
  <dataValidations count="3">
    <dataValidation allowBlank="1" showErrorMessage="1" errorTitle="Language" error="Invalid language" promptTitle="Language" prompt="Please choose a language for the country names" sqref="I3" xr:uid="{D74F54ED-A484-497F-B60B-4572799DBFBF}"/>
    <dataValidation type="whole" allowBlank="1" showInputMessage="1" showErrorMessage="1" sqref="J2" xr:uid="{3B6319A8-0080-4C57-8EFB-9F91E387C351}">
      <formula1>1</formula1>
      <formula2>5</formula2>
    </dataValidation>
    <dataValidation type="list" allowBlank="1" showErrorMessage="1" errorTitle="Language" error="Invalid language" sqref="J1" xr:uid="{D7322420-D554-4832-9E07-C0DBCDC53145}">
      <formula1>$B$3:$B$5</formula1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804BE-E4D3-4AEB-9306-9B89056CE458}">
  <dimension ref="A1:H42"/>
  <sheetViews>
    <sheetView showGridLines="0" showRowColHeaders="0" workbookViewId="0">
      <selection activeCell="B9" sqref="B9"/>
    </sheetView>
  </sheetViews>
  <sheetFormatPr baseColWidth="10" defaultColWidth="0" defaultRowHeight="12.75" zeroHeight="1" x14ac:dyDescent="0.2"/>
  <cols>
    <col min="1" max="1" width="11.42578125" style="466" customWidth="1"/>
    <col min="2" max="2" width="33.140625" style="267" customWidth="1"/>
    <col min="3" max="3" width="7.28515625" style="267" customWidth="1"/>
    <col min="4" max="5" width="11.42578125" style="267" customWidth="1"/>
    <col min="6" max="7" width="11.42578125" style="267" hidden="1" customWidth="1"/>
    <col min="8" max="8" width="13.42578125" style="267" hidden="1" customWidth="1"/>
    <col min="9" max="16384" width="11.42578125" style="267" hidden="1"/>
  </cols>
  <sheetData>
    <row r="1" spans="1:8" ht="26.25" x14ac:dyDescent="0.4">
      <c r="B1" s="467" t="str">
        <f>Language!$E$51</f>
        <v>Settings</v>
      </c>
    </row>
    <row r="2" spans="1:8" x14ac:dyDescent="0.2"/>
    <row r="3" spans="1:8" x14ac:dyDescent="0.2"/>
    <row r="4" spans="1:8" x14ac:dyDescent="0.2">
      <c r="A4" s="468" t="s">
        <v>6</v>
      </c>
      <c r="B4" s="469" t="str">
        <f>Language!$E$52</f>
        <v>Number of points for a win:</v>
      </c>
      <c r="C4" s="470">
        <v>2</v>
      </c>
    </row>
    <row r="5" spans="1:8" x14ac:dyDescent="0.2"/>
    <row r="6" spans="1:8" x14ac:dyDescent="0.2"/>
    <row r="7" spans="1:8" x14ac:dyDescent="0.2">
      <c r="A7" s="468" t="s">
        <v>7</v>
      </c>
      <c r="B7" s="471" t="str">
        <f>Language!$E$72</f>
        <v>First criterion for the ranking:</v>
      </c>
    </row>
    <row r="8" spans="1:8" x14ac:dyDescent="0.2"/>
    <row r="9" spans="1:8" ht="21.75" customHeight="1" x14ac:dyDescent="0.2">
      <c r="B9" s="472" t="s">
        <v>298</v>
      </c>
      <c r="G9" s="268" t="b">
        <f>($B$9=Language!$E$73)</f>
        <v>0</v>
      </c>
      <c r="H9" s="268">
        <f>IF(G9,8,44)</f>
        <v>44</v>
      </c>
    </row>
    <row r="10" spans="1:8" x14ac:dyDescent="0.2">
      <c r="G10" s="270"/>
    </row>
    <row r="11" spans="1:8" x14ac:dyDescent="0.2"/>
    <row r="12" spans="1:8" x14ac:dyDescent="0.2">
      <c r="A12" s="468" t="s">
        <v>8</v>
      </c>
      <c r="B12" s="471" t="str">
        <f>Language!$E$68</f>
        <v>Set difference as the second criterion?</v>
      </c>
    </row>
    <row r="13" spans="1:8" x14ac:dyDescent="0.2"/>
    <row r="14" spans="1:8" ht="21.75" customHeight="1" x14ac:dyDescent="0.2">
      <c r="B14" s="472" t="s">
        <v>300</v>
      </c>
      <c r="G14" s="268" t="b">
        <f>($B$14=Language!$E$69)</f>
        <v>0</v>
      </c>
    </row>
    <row r="15" spans="1:8" x14ac:dyDescent="0.2"/>
    <row r="16" spans="1:8" x14ac:dyDescent="0.2"/>
    <row r="17" spans="1:8" x14ac:dyDescent="0.2">
      <c r="A17" s="468" t="s">
        <v>9</v>
      </c>
      <c r="B17" s="471" t="str">
        <f>Language!$E$75</f>
        <v>Sets won as the third criterion?</v>
      </c>
    </row>
    <row r="18" spans="1:8" ht="18.75" customHeight="1" x14ac:dyDescent="0.2">
      <c r="B18" s="473" t="str">
        <f>Language!$E$76</f>
        <v>Only makes sense if the number of (victory) points is the first criterion</v>
      </c>
    </row>
    <row r="19" spans="1:8" ht="21.75" customHeight="1" x14ac:dyDescent="0.2">
      <c r="B19" s="472" t="s">
        <v>300</v>
      </c>
      <c r="G19" s="268" t="b">
        <f>($B$19=Language!$E$69)</f>
        <v>0</v>
      </c>
    </row>
    <row r="20" spans="1:8" x14ac:dyDescent="0.2"/>
    <row r="21" spans="1:8" x14ac:dyDescent="0.2"/>
    <row r="22" spans="1:8" x14ac:dyDescent="0.2">
      <c r="A22" s="468" t="s">
        <v>10</v>
      </c>
      <c r="B22" s="471" t="str">
        <f>Language!$E$63</f>
        <v>Ball difference or ball quotient:</v>
      </c>
      <c r="C22" s="474"/>
    </row>
    <row r="23" spans="1:8" x14ac:dyDescent="0.2">
      <c r="B23" s="474"/>
      <c r="C23" s="474"/>
      <c r="F23" s="475" t="s">
        <v>281</v>
      </c>
      <c r="G23" s="475" t="s">
        <v>278</v>
      </c>
      <c r="H23" s="475" t="s">
        <v>282</v>
      </c>
    </row>
    <row r="24" spans="1:8" ht="21.75" customHeight="1" x14ac:dyDescent="0.2">
      <c r="B24" s="472" t="s">
        <v>274</v>
      </c>
      <c r="C24" s="474"/>
      <c r="F24" s="268">
        <v>499</v>
      </c>
      <c r="G24" s="268" t="b">
        <f>($B$24=Language!$E$64)</f>
        <v>0</v>
      </c>
      <c r="H24" s="268">
        <v>3</v>
      </c>
    </row>
    <row r="25" spans="1:8" x14ac:dyDescent="0.2"/>
    <row r="26" spans="1:8" x14ac:dyDescent="0.2">
      <c r="B26" s="476"/>
      <c r="C26" s="476"/>
      <c r="D26" s="476"/>
    </row>
    <row r="27" spans="1:8" x14ac:dyDescent="0.2">
      <c r="A27" s="468" t="s">
        <v>11</v>
      </c>
      <c r="B27" s="471" t="str">
        <f>Language!$E$79</f>
        <v>Display in the crosstabs of the preliminary round:</v>
      </c>
      <c r="C27" s="476"/>
      <c r="D27" s="476"/>
    </row>
    <row r="28" spans="1:8" x14ac:dyDescent="0.2">
      <c r="B28" s="476"/>
      <c r="C28" s="476"/>
      <c r="D28" s="476"/>
      <c r="G28" s="477" t="s">
        <v>289</v>
      </c>
      <c r="H28" s="477" t="s">
        <v>290</v>
      </c>
    </row>
    <row r="29" spans="1:8" ht="20.45" customHeight="1" x14ac:dyDescent="0.2">
      <c r="B29" s="472" t="s">
        <v>286</v>
      </c>
      <c r="C29" s="478"/>
      <c r="D29" s="478"/>
      <c r="F29" s="268"/>
      <c r="G29" s="268">
        <f>IF($B$29=Language!$E$66,3,6)</f>
        <v>6</v>
      </c>
      <c r="H29" s="268">
        <f>IF($B$29=Language!$E$66,2,3)</f>
        <v>3</v>
      </c>
    </row>
    <row r="30" spans="1:8" x14ac:dyDescent="0.2"/>
    <row r="31" spans="1:8" x14ac:dyDescent="0.2"/>
    <row r="32" spans="1:8" x14ac:dyDescent="0.2"/>
    <row r="33" spans="1:4" x14ac:dyDescent="0.2">
      <c r="A33" s="468" t="s">
        <v>16</v>
      </c>
      <c r="B33" s="267" t="str">
        <f>Language!$E$102</f>
        <v>Abbreviations of the team names:</v>
      </c>
      <c r="C33" s="470">
        <v>7</v>
      </c>
      <c r="D33" s="267" t="str">
        <f>Language!$E$103</f>
        <v>letters</v>
      </c>
    </row>
    <row r="34" spans="1:4" x14ac:dyDescent="0.2"/>
    <row r="35" spans="1:4" x14ac:dyDescent="0.2"/>
    <row r="36" spans="1:4" x14ac:dyDescent="0.2"/>
    <row r="37" spans="1:4" x14ac:dyDescent="0.2">
      <c r="A37" s="468" t="s">
        <v>17</v>
      </c>
      <c r="B37" s="471" t="str">
        <f>Language!$E$107</f>
        <v>Is a draw possible in individual sets?</v>
      </c>
    </row>
    <row r="38" spans="1:4" ht="19.5" customHeight="1" x14ac:dyDescent="0.2">
      <c r="B38" s="473" t="str">
        <f>Language!$E$108</f>
        <v>A draw results in 0.5 set points per team.</v>
      </c>
    </row>
    <row r="39" spans="1:4" ht="20.45" customHeight="1" x14ac:dyDescent="0.2">
      <c r="B39" s="472" t="s">
        <v>300</v>
      </c>
    </row>
    <row r="40" spans="1:4" x14ac:dyDescent="0.2"/>
    <row r="41" spans="1:4" x14ac:dyDescent="0.2"/>
    <row r="42" spans="1:4" x14ac:dyDescent="0.2"/>
  </sheetData>
  <sheetProtection sheet="1" selectLockedCells="1"/>
  <dataValidations count="1">
    <dataValidation type="whole" allowBlank="1" showInputMessage="1" showErrorMessage="1" sqref="C4" xr:uid="{52C05797-B095-48D0-AD7F-8F7A9DC295F0}">
      <formula1>1</formula1>
      <formula2>9</formula2>
    </dataValidation>
  </dataValidations>
  <pageMargins left="0.7" right="0.7" top="0.78740157499999996" bottom="0.78740157499999996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E2D5E2CC-D603-4607-88F9-D1C51E65C5B0}">
          <x14:formula1>
            <xm:f>Language!$E$73:$E$74</xm:f>
          </x14:formula1>
          <xm:sqref>B9</xm:sqref>
        </x14:dataValidation>
        <x14:dataValidation type="list" allowBlank="1" showInputMessage="1" showErrorMessage="1" xr:uid="{494E0C46-CC8B-4935-A7A9-99286F81ECFE}">
          <x14:formula1>
            <xm:f>Language!$E$69:$E$70</xm:f>
          </x14:formula1>
          <xm:sqref>B19 B14 B39</xm:sqref>
        </x14:dataValidation>
        <x14:dataValidation type="list" allowBlank="1" showInputMessage="1" showErrorMessage="1" xr:uid="{C771C0E1-64D4-4E03-A85F-F6B91C20646F}">
          <x14:formula1>
            <xm:f>Language!$E$66:$E$67</xm:f>
          </x14:formula1>
          <xm:sqref>B29</xm:sqref>
        </x14:dataValidation>
        <x14:dataValidation type="list" allowBlank="1" showInputMessage="1" showErrorMessage="1" xr:uid="{E4140388-A124-4FDD-A55E-D26CB9B60371}">
          <x14:formula1>
            <xm:f>Language!$E$64:$E$65</xm:f>
          </x14:formula1>
          <xm:sqref>B24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Planning</vt:lpstr>
      <vt:lpstr>proof</vt:lpstr>
      <vt:lpstr>Results</vt:lpstr>
      <vt:lpstr>TieBreak</vt:lpstr>
      <vt:lpstr>Playoffs</vt:lpstr>
      <vt:lpstr>DirectComparisons</vt:lpstr>
      <vt:lpstr>KickoffTimes</vt:lpstr>
      <vt:lpstr>Language</vt:lpstr>
      <vt:lpstr>Settings</vt:lpstr>
      <vt:lpstr>Pairings</vt:lpstr>
      <vt:lpstr>Help</vt:lpstr>
      <vt:lpstr>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</dc:creator>
  <cp:lastModifiedBy>Hermann Baum</cp:lastModifiedBy>
  <cp:lastPrinted>2025-03-15T21:44:11Z</cp:lastPrinted>
  <dcterms:created xsi:type="dcterms:W3CDTF">2010-02-21T20:03:25Z</dcterms:created>
  <dcterms:modified xsi:type="dcterms:W3CDTF">2026-01-27T16:55:45Z</dcterms:modified>
</cp:coreProperties>
</file>