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defaultThemeVersion="166925"/>
  <mc:AlternateContent xmlns:mc="http://schemas.openxmlformats.org/markup-compatibility/2006">
    <mc:Choice Requires="x15">
      <x15ac:absPath xmlns:x15ac="http://schemas.microsoft.com/office/spreadsheetml/2010/11/ac" url="E:\Excel\Spielpläne\Turnierpläne\Volleyball_Badminton\"/>
    </mc:Choice>
  </mc:AlternateContent>
  <xr:revisionPtr revIDLastSave="0" documentId="13_ncr:1_{4C17B836-8204-460B-89CA-A89A3B1D7F68}" xr6:coauthVersionLast="36" xr6:coauthVersionMax="47" xr10:uidLastSave="{00000000-0000-0000-0000-000000000000}"/>
  <bookViews>
    <workbookView xWindow="-120" yWindow="-120" windowWidth="29040" windowHeight="15750" tabRatio="712" activeTab="3" xr2:uid="{00000000-000D-0000-FFFF-FFFF00000000}"/>
  </bookViews>
  <sheets>
    <sheet name="Planning" sheetId="22" r:id="rId1"/>
    <sheet name="proof" sheetId="25" state="hidden" r:id="rId2"/>
    <sheet name="Pairings" sheetId="13" state="hidden" r:id="rId3"/>
    <sheet name="PreliminaryRound" sheetId="6" r:id="rId4"/>
    <sheet name="Playoffs" sheetId="31" r:id="rId5"/>
    <sheet name="Finals 1" sheetId="21" r:id="rId6"/>
    <sheet name="Finals 2" sheetId="24" r:id="rId7"/>
    <sheet name="Finals 3" sheetId="37" r:id="rId8"/>
    <sheet name="Finals 4" sheetId="27" r:id="rId9"/>
    <sheet name="DirComp_A" sheetId="10" state="hidden" r:id="rId10"/>
    <sheet name="DirComp_B" sheetId="35" state="hidden" r:id="rId11"/>
    <sheet name="Match_times_finals 4" sheetId="32" r:id="rId12"/>
    <sheet name="Language" sheetId="9" r:id="rId13"/>
    <sheet name="Settings" sheetId="33" r:id="rId14"/>
    <sheet name="Help" sheetId="36" r:id="rId15"/>
    <sheet name="Calc1" sheetId="34" state="hidden" r:id="rId16"/>
    <sheet name="Calc2" sheetId="17" state="hidden" r:id="rId17"/>
    <sheet name="CalcE1" sheetId="28" state="hidden" r:id="rId18"/>
    <sheet name="CalcE2" sheetId="29" state="hidden" r:id="rId19"/>
    <sheet name="CalcE3" sheetId="30" state="hidden" r:id="rId20"/>
  </sheets>
  <definedNames>
    <definedName name="_xlnm.Print_Area" localSheetId="11">'Match_times_finals 4'!$A$3:$I$63</definedName>
  </definedNames>
  <calcPr calcId="191029" concurrentCalc="0"/>
</workbook>
</file>

<file path=xl/calcChain.xml><?xml version="1.0" encoding="utf-8"?>
<calcChain xmlns="http://schemas.openxmlformats.org/spreadsheetml/2006/main">
  <c r="I6" i="22" l="1" a="1"/>
  <c r="I6" i="22"/>
  <c r="L6" i="22"/>
  <c r="V64" i="17"/>
  <c r="F12" i="6"/>
  <c r="K6" i="22" a="1"/>
  <c r="K6" i="22"/>
  <c r="N6" i="22"/>
  <c r="H12" i="6"/>
  <c r="C3" i="9"/>
  <c r="E79" i="9"/>
  <c r="BA10" i="6"/>
  <c r="BD12" i="6"/>
  <c r="BB12" i="6"/>
  <c r="BC12" i="6"/>
  <c r="BA12" i="6"/>
  <c r="R12" i="6"/>
  <c r="AJ64" i="17"/>
  <c r="W64" i="17"/>
  <c r="T12" i="6"/>
  <c r="AA64" i="17"/>
  <c r="I7" i="22"/>
  <c r="L7" i="22"/>
  <c r="V65" i="17"/>
  <c r="I8" i="22"/>
  <c r="L8" i="22"/>
  <c r="V66" i="17"/>
  <c r="I9" i="22"/>
  <c r="L9" i="22"/>
  <c r="V67" i="17"/>
  <c r="I10" i="22"/>
  <c r="L10" i="22"/>
  <c r="V68" i="17"/>
  <c r="I11" i="22"/>
  <c r="L11" i="22"/>
  <c r="V69" i="17"/>
  <c r="I12" i="22"/>
  <c r="L12" i="22"/>
  <c r="V70" i="17"/>
  <c r="I13" i="22"/>
  <c r="L13" i="22"/>
  <c r="V71" i="17"/>
  <c r="I14" i="22"/>
  <c r="L14" i="22"/>
  <c r="V72" i="17"/>
  <c r="I15" i="22"/>
  <c r="L15" i="22"/>
  <c r="V73" i="17"/>
  <c r="I16" i="22"/>
  <c r="L16" i="22"/>
  <c r="V74" i="17"/>
  <c r="I17" i="22"/>
  <c r="L17" i="22"/>
  <c r="V75" i="17"/>
  <c r="I18" i="22"/>
  <c r="L18" i="22"/>
  <c r="V76" i="17"/>
  <c r="I19" i="22"/>
  <c r="L19" i="22"/>
  <c r="V77" i="17"/>
  <c r="I20" i="22"/>
  <c r="L20" i="22"/>
  <c r="V78" i="17"/>
  <c r="I21" i="22"/>
  <c r="L21" i="22"/>
  <c r="V79" i="17"/>
  <c r="I22" i="22"/>
  <c r="L22" i="22"/>
  <c r="V80" i="17"/>
  <c r="I23" i="22"/>
  <c r="L23" i="22"/>
  <c r="V81" i="17"/>
  <c r="I24" i="22"/>
  <c r="L24" i="22"/>
  <c r="V82" i="17"/>
  <c r="I25" i="22"/>
  <c r="L25" i="22"/>
  <c r="V83" i="17"/>
  <c r="I26" i="22"/>
  <c r="L26" i="22"/>
  <c r="V84" i="17"/>
  <c r="I27" i="22"/>
  <c r="L27" i="22"/>
  <c r="V85" i="17"/>
  <c r="I28" i="22"/>
  <c r="L28" i="22"/>
  <c r="V86" i="17"/>
  <c r="I29" i="22"/>
  <c r="L29" i="22"/>
  <c r="V87" i="17"/>
  <c r="I30" i="22"/>
  <c r="L30" i="22"/>
  <c r="V88" i="17"/>
  <c r="I31" i="22"/>
  <c r="L31" i="22"/>
  <c r="V89" i="17"/>
  <c r="I32" i="22"/>
  <c r="L32" i="22"/>
  <c r="V90" i="17"/>
  <c r="I33" i="22"/>
  <c r="L33" i="22"/>
  <c r="V91" i="17"/>
  <c r="I34" i="22"/>
  <c r="L34" i="22"/>
  <c r="V92" i="17"/>
  <c r="I35" i="22"/>
  <c r="L35" i="22"/>
  <c r="V93" i="17"/>
  <c r="F13" i="6"/>
  <c r="K7" i="22"/>
  <c r="N7" i="22"/>
  <c r="H13" i="6"/>
  <c r="BB13" i="6"/>
  <c r="BC13" i="6"/>
  <c r="BD13" i="6"/>
  <c r="BA13" i="6"/>
  <c r="R13" i="6"/>
  <c r="AJ65" i="17"/>
  <c r="F14" i="6"/>
  <c r="K8" i="22"/>
  <c r="N8" i="22"/>
  <c r="H14" i="6"/>
  <c r="BB14" i="6"/>
  <c r="BC14" i="6"/>
  <c r="BD14" i="6"/>
  <c r="BA14" i="6"/>
  <c r="R14" i="6"/>
  <c r="AJ66" i="17"/>
  <c r="F15" i="6"/>
  <c r="K9" i="22"/>
  <c r="N9" i="22"/>
  <c r="H15" i="6"/>
  <c r="BB15" i="6"/>
  <c r="BC15" i="6"/>
  <c r="BD15" i="6"/>
  <c r="BA15" i="6"/>
  <c r="R15" i="6"/>
  <c r="AJ67" i="17"/>
  <c r="F16" i="6"/>
  <c r="K10" i="22"/>
  <c r="N10" i="22"/>
  <c r="H16" i="6"/>
  <c r="BB16" i="6"/>
  <c r="BC16" i="6"/>
  <c r="BD16" i="6"/>
  <c r="BA16" i="6"/>
  <c r="R16" i="6"/>
  <c r="AJ68" i="17"/>
  <c r="F17" i="6"/>
  <c r="K11" i="22"/>
  <c r="N11" i="22"/>
  <c r="H17" i="6"/>
  <c r="BB17" i="6"/>
  <c r="BC17" i="6"/>
  <c r="BD17" i="6"/>
  <c r="BA17" i="6"/>
  <c r="R17" i="6"/>
  <c r="AJ69" i="17"/>
  <c r="F18" i="6"/>
  <c r="K12" i="22"/>
  <c r="N12" i="22"/>
  <c r="H18" i="6"/>
  <c r="BB18" i="6"/>
  <c r="BC18" i="6"/>
  <c r="BD18" i="6"/>
  <c r="BA18" i="6"/>
  <c r="R18" i="6"/>
  <c r="AJ70" i="17"/>
  <c r="F19" i="6"/>
  <c r="K13" i="22"/>
  <c r="N13" i="22"/>
  <c r="H19" i="6"/>
  <c r="BB19" i="6"/>
  <c r="BC19" i="6"/>
  <c r="BD19" i="6"/>
  <c r="BA19" i="6"/>
  <c r="R19" i="6"/>
  <c r="AJ71" i="17"/>
  <c r="F20" i="6"/>
  <c r="K14" i="22"/>
  <c r="N14" i="22"/>
  <c r="H20" i="6"/>
  <c r="BB20" i="6"/>
  <c r="BC20" i="6"/>
  <c r="BD20" i="6"/>
  <c r="BA20" i="6"/>
  <c r="R20" i="6"/>
  <c r="AJ72" i="17"/>
  <c r="F21" i="6"/>
  <c r="K15" i="22"/>
  <c r="N15" i="22"/>
  <c r="H21" i="6"/>
  <c r="BB21" i="6"/>
  <c r="BC21" i="6"/>
  <c r="BD21" i="6"/>
  <c r="BA21" i="6"/>
  <c r="R21" i="6"/>
  <c r="AJ73" i="17"/>
  <c r="F22" i="6"/>
  <c r="K16" i="22"/>
  <c r="N16" i="22"/>
  <c r="H22" i="6"/>
  <c r="BB22" i="6"/>
  <c r="BC22" i="6"/>
  <c r="BD22" i="6"/>
  <c r="BA22" i="6"/>
  <c r="R22" i="6"/>
  <c r="AJ74" i="17"/>
  <c r="F23" i="6"/>
  <c r="K17" i="22"/>
  <c r="N17" i="22"/>
  <c r="H23" i="6"/>
  <c r="BB23" i="6"/>
  <c r="BC23" i="6"/>
  <c r="BD23" i="6"/>
  <c r="BA23" i="6"/>
  <c r="R23" i="6"/>
  <c r="AJ75" i="17"/>
  <c r="F24" i="6"/>
  <c r="K18" i="22"/>
  <c r="N18" i="22"/>
  <c r="H24" i="6"/>
  <c r="BB24" i="6"/>
  <c r="BC24" i="6"/>
  <c r="BD24" i="6"/>
  <c r="BA24" i="6"/>
  <c r="R24" i="6"/>
  <c r="AJ76" i="17"/>
  <c r="F25" i="6"/>
  <c r="K19" i="22"/>
  <c r="N19" i="22"/>
  <c r="H25" i="6"/>
  <c r="BB25" i="6"/>
  <c r="BC25" i="6"/>
  <c r="BD25" i="6"/>
  <c r="BA25" i="6"/>
  <c r="R25" i="6"/>
  <c r="AJ77" i="17"/>
  <c r="F26" i="6"/>
  <c r="K20" i="22"/>
  <c r="N20" i="22"/>
  <c r="H26" i="6"/>
  <c r="BB26" i="6"/>
  <c r="BC26" i="6"/>
  <c r="BD26" i="6"/>
  <c r="BA26" i="6"/>
  <c r="R26" i="6"/>
  <c r="AJ78" i="17"/>
  <c r="F27" i="6"/>
  <c r="K21" i="22"/>
  <c r="N21" i="22"/>
  <c r="H27" i="6"/>
  <c r="BB27" i="6"/>
  <c r="BC27" i="6"/>
  <c r="BD27" i="6"/>
  <c r="BA27" i="6"/>
  <c r="R27" i="6"/>
  <c r="AJ79" i="17"/>
  <c r="F28" i="6"/>
  <c r="K22" i="22"/>
  <c r="N22" i="22"/>
  <c r="H28" i="6"/>
  <c r="BB28" i="6"/>
  <c r="BC28" i="6"/>
  <c r="BD28" i="6"/>
  <c r="BA28" i="6"/>
  <c r="R28" i="6"/>
  <c r="AJ80" i="17"/>
  <c r="F29" i="6"/>
  <c r="K23" i="22"/>
  <c r="N23" i="22"/>
  <c r="H29" i="6"/>
  <c r="BB29" i="6"/>
  <c r="BC29" i="6"/>
  <c r="BD29" i="6"/>
  <c r="BA29" i="6"/>
  <c r="R29" i="6"/>
  <c r="AJ81" i="17"/>
  <c r="F30" i="6"/>
  <c r="K24" i="22"/>
  <c r="N24" i="22"/>
  <c r="H30" i="6"/>
  <c r="BB30" i="6"/>
  <c r="BC30" i="6"/>
  <c r="BD30" i="6"/>
  <c r="BA30" i="6"/>
  <c r="R30" i="6"/>
  <c r="AJ82" i="17"/>
  <c r="F31" i="6"/>
  <c r="K25" i="22"/>
  <c r="N25" i="22"/>
  <c r="H31" i="6"/>
  <c r="BB31" i="6"/>
  <c r="BC31" i="6"/>
  <c r="BD31" i="6"/>
  <c r="BA31" i="6"/>
  <c r="R31" i="6"/>
  <c r="AJ83" i="17"/>
  <c r="F32" i="6"/>
  <c r="K26" i="22"/>
  <c r="N26" i="22"/>
  <c r="H32" i="6"/>
  <c r="BB32" i="6"/>
  <c r="BC32" i="6"/>
  <c r="BD32" i="6"/>
  <c r="BA32" i="6"/>
  <c r="R32" i="6"/>
  <c r="AJ84" i="17"/>
  <c r="F33" i="6"/>
  <c r="K27" i="22"/>
  <c r="N27" i="22"/>
  <c r="H33" i="6"/>
  <c r="BB33" i="6"/>
  <c r="BC33" i="6"/>
  <c r="BD33" i="6"/>
  <c r="BA33" i="6"/>
  <c r="R33" i="6"/>
  <c r="AJ85" i="17"/>
  <c r="F34" i="6"/>
  <c r="K28" i="22"/>
  <c r="N28" i="22"/>
  <c r="H34" i="6"/>
  <c r="BB34" i="6"/>
  <c r="BC34" i="6"/>
  <c r="BD34" i="6"/>
  <c r="BA34" i="6"/>
  <c r="R34" i="6"/>
  <c r="AJ86" i="17"/>
  <c r="F35" i="6"/>
  <c r="K29" i="22"/>
  <c r="N29" i="22"/>
  <c r="H35" i="6"/>
  <c r="BB35" i="6"/>
  <c r="BC35" i="6"/>
  <c r="BD35" i="6"/>
  <c r="BA35" i="6"/>
  <c r="R35" i="6"/>
  <c r="AJ87" i="17"/>
  <c r="F36" i="6"/>
  <c r="K30" i="22"/>
  <c r="N30" i="22"/>
  <c r="H36" i="6"/>
  <c r="BB36" i="6"/>
  <c r="BC36" i="6"/>
  <c r="BD36" i="6"/>
  <c r="BA36" i="6"/>
  <c r="R36" i="6"/>
  <c r="AJ88" i="17"/>
  <c r="F37" i="6"/>
  <c r="K31" i="22"/>
  <c r="N31" i="22"/>
  <c r="H37" i="6"/>
  <c r="BB37" i="6"/>
  <c r="BC37" i="6"/>
  <c r="BD37" i="6"/>
  <c r="BA37" i="6"/>
  <c r="R37" i="6"/>
  <c r="AJ89" i="17"/>
  <c r="F38" i="6"/>
  <c r="K32" i="22"/>
  <c r="N32" i="22"/>
  <c r="H38" i="6"/>
  <c r="BB38" i="6"/>
  <c r="BC38" i="6"/>
  <c r="BD38" i="6"/>
  <c r="BA38" i="6"/>
  <c r="R38" i="6"/>
  <c r="AJ90" i="17"/>
  <c r="F39" i="6"/>
  <c r="K33" i="22"/>
  <c r="N33" i="22"/>
  <c r="H39" i="6"/>
  <c r="BB39" i="6"/>
  <c r="BC39" i="6"/>
  <c r="BD39" i="6"/>
  <c r="BA39" i="6"/>
  <c r="R39" i="6"/>
  <c r="AJ91" i="17"/>
  <c r="F40" i="6"/>
  <c r="K34" i="22"/>
  <c r="N34" i="22"/>
  <c r="H40" i="6"/>
  <c r="BB40" i="6"/>
  <c r="BC40" i="6"/>
  <c r="BD40" i="6"/>
  <c r="BA40" i="6"/>
  <c r="R40" i="6"/>
  <c r="AJ92" i="17"/>
  <c r="F41" i="6"/>
  <c r="K35" i="22"/>
  <c r="N35" i="22"/>
  <c r="H41" i="6"/>
  <c r="BB41" i="6"/>
  <c r="BC41" i="6"/>
  <c r="BD41" i="6"/>
  <c r="BA41" i="6"/>
  <c r="R41" i="6"/>
  <c r="AJ93" i="17"/>
  <c r="W65" i="17"/>
  <c r="T13" i="6"/>
  <c r="AA65" i="17"/>
  <c r="W66" i="17"/>
  <c r="T14" i="6"/>
  <c r="AA66" i="17"/>
  <c r="W67" i="17"/>
  <c r="T15" i="6"/>
  <c r="AA67" i="17"/>
  <c r="W68" i="17"/>
  <c r="T16" i="6"/>
  <c r="AA68" i="17"/>
  <c r="W69" i="17"/>
  <c r="T17" i="6"/>
  <c r="AA69" i="17"/>
  <c r="W70" i="17"/>
  <c r="T18" i="6"/>
  <c r="AA70" i="17"/>
  <c r="W71" i="17"/>
  <c r="T19" i="6"/>
  <c r="AA71" i="17"/>
  <c r="W72" i="17"/>
  <c r="T20" i="6"/>
  <c r="AA72" i="17"/>
  <c r="W73" i="17"/>
  <c r="T21" i="6"/>
  <c r="AA73" i="17"/>
  <c r="W74" i="17"/>
  <c r="T22" i="6"/>
  <c r="AA74" i="17"/>
  <c r="W75" i="17"/>
  <c r="T23" i="6"/>
  <c r="AA75" i="17"/>
  <c r="W76" i="17"/>
  <c r="T24" i="6"/>
  <c r="AA76" i="17"/>
  <c r="W77" i="17"/>
  <c r="T25" i="6"/>
  <c r="AA77" i="17"/>
  <c r="W78" i="17"/>
  <c r="T26" i="6"/>
  <c r="AA78" i="17"/>
  <c r="W79" i="17"/>
  <c r="T27" i="6"/>
  <c r="AA79" i="17"/>
  <c r="W80" i="17"/>
  <c r="T28" i="6"/>
  <c r="AA80" i="17"/>
  <c r="W81" i="17"/>
  <c r="T29" i="6"/>
  <c r="AA81" i="17"/>
  <c r="W82" i="17"/>
  <c r="T30" i="6"/>
  <c r="AA82" i="17"/>
  <c r="W83" i="17"/>
  <c r="T31" i="6"/>
  <c r="AA83" i="17"/>
  <c r="W84" i="17"/>
  <c r="T32" i="6"/>
  <c r="AA84" i="17"/>
  <c r="W85" i="17"/>
  <c r="T33" i="6"/>
  <c r="AA85" i="17"/>
  <c r="W86" i="17"/>
  <c r="T34" i="6"/>
  <c r="AA86" i="17"/>
  <c r="W87" i="17"/>
  <c r="T35" i="6"/>
  <c r="AA87" i="17"/>
  <c r="W88" i="17"/>
  <c r="T36" i="6"/>
  <c r="AA88" i="17"/>
  <c r="W89" i="17"/>
  <c r="T37" i="6"/>
  <c r="AA89" i="17"/>
  <c r="W90" i="17"/>
  <c r="T38" i="6"/>
  <c r="AA90" i="17"/>
  <c r="W91" i="17"/>
  <c r="T39" i="6"/>
  <c r="AA91" i="17"/>
  <c r="W92" i="17"/>
  <c r="T40" i="6"/>
  <c r="AA92" i="17"/>
  <c r="W93" i="17"/>
  <c r="T41" i="6"/>
  <c r="AA93" i="17"/>
  <c r="AK64" i="17"/>
  <c r="AK65" i="17"/>
  <c r="AK66" i="17"/>
  <c r="AK67" i="17"/>
  <c r="AK68" i="17"/>
  <c r="AK69" i="17"/>
  <c r="AK70" i="17"/>
  <c r="AK71" i="17"/>
  <c r="AK72" i="17"/>
  <c r="AK73" i="17"/>
  <c r="AK74" i="17"/>
  <c r="AK75" i="17"/>
  <c r="AK76" i="17"/>
  <c r="AK77" i="17"/>
  <c r="AK78" i="17"/>
  <c r="AK79" i="17"/>
  <c r="AK80" i="17"/>
  <c r="AK81" i="17"/>
  <c r="AK82" i="17"/>
  <c r="AK83" i="17"/>
  <c r="AK84" i="17"/>
  <c r="AK85" i="17"/>
  <c r="AK86" i="17"/>
  <c r="AK87" i="17"/>
  <c r="AK88" i="17"/>
  <c r="AK89" i="17"/>
  <c r="AK90" i="17"/>
  <c r="AK91" i="17"/>
  <c r="AK92" i="17"/>
  <c r="AK93" i="17"/>
  <c r="K4" i="17"/>
  <c r="K5" i="17"/>
  <c r="K6" i="17"/>
  <c r="K7" i="17"/>
  <c r="K8" i="17"/>
  <c r="K9" i="17"/>
  <c r="K10" i="17"/>
  <c r="K11" i="17"/>
  <c r="K12" i="17"/>
  <c r="K13" i="17"/>
  <c r="L4" i="17"/>
  <c r="M4" i="17"/>
  <c r="J4" i="17"/>
  <c r="E82" i="9"/>
  <c r="G9" i="33"/>
  <c r="AT4" i="17"/>
  <c r="K17" i="17"/>
  <c r="AS4" i="17"/>
  <c r="AU4" i="17"/>
  <c r="X73" i="17"/>
  <c r="AD73" i="17"/>
  <c r="AF73" i="17"/>
  <c r="AH73" i="17"/>
  <c r="X83" i="17"/>
  <c r="AD83" i="17"/>
  <c r="AF83" i="17"/>
  <c r="AH83" i="17"/>
  <c r="Y69" i="17"/>
  <c r="AE69" i="17"/>
  <c r="AG69" i="17"/>
  <c r="AI69" i="17"/>
  <c r="Y79" i="17"/>
  <c r="AE79" i="17"/>
  <c r="AG79" i="17"/>
  <c r="AI79" i="17"/>
  <c r="G4" i="17"/>
  <c r="Y73" i="17"/>
  <c r="AE73" i="17"/>
  <c r="AG73" i="17"/>
  <c r="AI73" i="17"/>
  <c r="Y83" i="17"/>
  <c r="AE83" i="17"/>
  <c r="AG83" i="17"/>
  <c r="AI83" i="17"/>
  <c r="X69" i="17"/>
  <c r="AD69" i="17"/>
  <c r="AF69" i="17"/>
  <c r="AH69" i="17"/>
  <c r="X79" i="17"/>
  <c r="AD79" i="17"/>
  <c r="AF79" i="17"/>
  <c r="AH79" i="17"/>
  <c r="H4" i="17"/>
  <c r="E73" i="9"/>
  <c r="G24" i="33"/>
  <c r="I4" i="17"/>
  <c r="AW4" i="17"/>
  <c r="X71" i="17"/>
  <c r="AD71" i="17"/>
  <c r="AF71" i="17"/>
  <c r="AH71" i="17"/>
  <c r="X77" i="17"/>
  <c r="AD77" i="17"/>
  <c r="AF77" i="17"/>
  <c r="AH77" i="17"/>
  <c r="Y65" i="17"/>
  <c r="AE65" i="17"/>
  <c r="AG65" i="17"/>
  <c r="AI65" i="17"/>
  <c r="G5" i="17"/>
  <c r="Y71" i="17"/>
  <c r="AE71" i="17"/>
  <c r="AG71" i="17"/>
  <c r="AI71" i="17"/>
  <c r="Y77" i="17"/>
  <c r="AE77" i="17"/>
  <c r="AG77" i="17"/>
  <c r="AI77" i="17"/>
  <c r="X65" i="17"/>
  <c r="AD65" i="17"/>
  <c r="AF65" i="17"/>
  <c r="AH65" i="17"/>
  <c r="H5" i="17"/>
  <c r="I5" i="17"/>
  <c r="AW5" i="17"/>
  <c r="X67" i="17"/>
  <c r="AD67" i="17"/>
  <c r="AF67" i="17"/>
  <c r="AH67" i="17"/>
  <c r="X75" i="17"/>
  <c r="AD75" i="17"/>
  <c r="AF75" i="17"/>
  <c r="AH75" i="17"/>
  <c r="G6" i="17"/>
  <c r="Y67" i="17"/>
  <c r="AE67" i="17"/>
  <c r="AG67" i="17"/>
  <c r="AI67" i="17"/>
  <c r="Y75" i="17"/>
  <c r="AE75" i="17"/>
  <c r="AG75" i="17"/>
  <c r="AI75" i="17"/>
  <c r="H6" i="17"/>
  <c r="I6" i="17"/>
  <c r="AW6" i="17"/>
  <c r="X81" i="17"/>
  <c r="AD81" i="17"/>
  <c r="AF81" i="17"/>
  <c r="AH81" i="17"/>
  <c r="G7" i="17"/>
  <c r="Y81" i="17"/>
  <c r="AE81" i="17"/>
  <c r="AG81" i="17"/>
  <c r="AI81" i="17"/>
  <c r="H7" i="17"/>
  <c r="I7" i="17"/>
  <c r="AW7" i="17"/>
  <c r="G8" i="17"/>
  <c r="H8" i="17"/>
  <c r="I8" i="17"/>
  <c r="AW8" i="17"/>
  <c r="AH84" i="17"/>
  <c r="AH85" i="17"/>
  <c r="AH86" i="17"/>
  <c r="AH87" i="17"/>
  <c r="X64" i="17"/>
  <c r="AD64" i="17"/>
  <c r="AF64" i="17"/>
  <c r="AH64" i="17"/>
  <c r="X66" i="17"/>
  <c r="AD66" i="17"/>
  <c r="AF66" i="17"/>
  <c r="AH66" i="17"/>
  <c r="X68" i="17"/>
  <c r="AD68" i="17"/>
  <c r="AF68" i="17"/>
  <c r="AH68" i="17"/>
  <c r="X70" i="17"/>
  <c r="AD70" i="17"/>
  <c r="AF70" i="17"/>
  <c r="AH70" i="17"/>
  <c r="X72" i="17"/>
  <c r="AD72" i="17"/>
  <c r="AF72" i="17"/>
  <c r="AH72" i="17"/>
  <c r="X74" i="17"/>
  <c r="AD74" i="17"/>
  <c r="AF74" i="17"/>
  <c r="AH74" i="17"/>
  <c r="X76" i="17"/>
  <c r="AD76" i="17"/>
  <c r="AF76" i="17"/>
  <c r="AH76" i="17"/>
  <c r="X78" i="17"/>
  <c r="AD78" i="17"/>
  <c r="AF78" i="17"/>
  <c r="AH78" i="17"/>
  <c r="X80" i="17"/>
  <c r="AD80" i="17"/>
  <c r="AF80" i="17"/>
  <c r="AH80" i="17"/>
  <c r="X82" i="17"/>
  <c r="AD82" i="17"/>
  <c r="AF82" i="17"/>
  <c r="AH82" i="17"/>
  <c r="AH88" i="17"/>
  <c r="AH89" i="17"/>
  <c r="AH90" i="17"/>
  <c r="AH91" i="17"/>
  <c r="AH92" i="17"/>
  <c r="AH93" i="17"/>
  <c r="Y64" i="17"/>
  <c r="AE64" i="17"/>
  <c r="AG64" i="17"/>
  <c r="AI64" i="17"/>
  <c r="Y66" i="17"/>
  <c r="AE66" i="17"/>
  <c r="AG66" i="17"/>
  <c r="AI66" i="17"/>
  <c r="Y68" i="17"/>
  <c r="AE68" i="17"/>
  <c r="AG68" i="17"/>
  <c r="AI68" i="17"/>
  <c r="Y70" i="17"/>
  <c r="AE70" i="17"/>
  <c r="AG70" i="17"/>
  <c r="AI70" i="17"/>
  <c r="Y72" i="17"/>
  <c r="AE72" i="17"/>
  <c r="AG72" i="17"/>
  <c r="AI72" i="17"/>
  <c r="Y74" i="17"/>
  <c r="AE74" i="17"/>
  <c r="AG74" i="17"/>
  <c r="AI74" i="17"/>
  <c r="Y76" i="17"/>
  <c r="AE76" i="17"/>
  <c r="AG76" i="17"/>
  <c r="AI76" i="17"/>
  <c r="Y78" i="17"/>
  <c r="AE78" i="17"/>
  <c r="AG78" i="17"/>
  <c r="AI78" i="17"/>
  <c r="Y80" i="17"/>
  <c r="AE80" i="17"/>
  <c r="AG80" i="17"/>
  <c r="AI80" i="17"/>
  <c r="Y82" i="17"/>
  <c r="AE82" i="17"/>
  <c r="AG82" i="17"/>
  <c r="AI82" i="17"/>
  <c r="AI84" i="17"/>
  <c r="AI85" i="17"/>
  <c r="AI86" i="17"/>
  <c r="AI87" i="17"/>
  <c r="AI88" i="17"/>
  <c r="AI89" i="17"/>
  <c r="AI90" i="17"/>
  <c r="AI91" i="17"/>
  <c r="AI92" i="17"/>
  <c r="AI93" i="17"/>
  <c r="G9" i="17"/>
  <c r="H9" i="17"/>
  <c r="I9" i="17"/>
  <c r="AW9" i="17"/>
  <c r="G10" i="17"/>
  <c r="H10" i="17"/>
  <c r="I10" i="17"/>
  <c r="AW10" i="17"/>
  <c r="G11" i="17"/>
  <c r="H11" i="17"/>
  <c r="I11" i="17"/>
  <c r="AW11" i="17"/>
  <c r="G12" i="17"/>
  <c r="H12" i="17"/>
  <c r="I12" i="17"/>
  <c r="AW12" i="17"/>
  <c r="AX4" i="17"/>
  <c r="E78" i="9"/>
  <c r="G14" i="33"/>
  <c r="G19" i="33"/>
  <c r="L17" i="17"/>
  <c r="L5" i="17"/>
  <c r="M5" i="17"/>
  <c r="J5" i="17"/>
  <c r="AT5" i="17"/>
  <c r="K18" i="17"/>
  <c r="AS5" i="17"/>
  <c r="AU5" i="17"/>
  <c r="AX5" i="17"/>
  <c r="L18" i="17"/>
  <c r="L6" i="17"/>
  <c r="M6" i="17"/>
  <c r="J6" i="17"/>
  <c r="AT6" i="17"/>
  <c r="K19" i="17"/>
  <c r="AS6" i="17"/>
  <c r="AU6" i="17"/>
  <c r="AX6" i="17"/>
  <c r="L19" i="17"/>
  <c r="L7" i="17"/>
  <c r="M7" i="17"/>
  <c r="J7" i="17"/>
  <c r="AT7" i="17"/>
  <c r="K20" i="17"/>
  <c r="AS7" i="17"/>
  <c r="AU7" i="17"/>
  <c r="AX7" i="17"/>
  <c r="L20" i="17"/>
  <c r="L8" i="17"/>
  <c r="M8" i="17"/>
  <c r="J8" i="17"/>
  <c r="AT8" i="17"/>
  <c r="K21" i="17"/>
  <c r="AS8" i="17"/>
  <c r="AU8" i="17"/>
  <c r="AX8" i="17"/>
  <c r="L21" i="17"/>
  <c r="L9" i="17"/>
  <c r="M9" i="17"/>
  <c r="J9" i="17"/>
  <c r="AT9" i="17"/>
  <c r="K22" i="17"/>
  <c r="AS9" i="17"/>
  <c r="AU9" i="17"/>
  <c r="AX9" i="17"/>
  <c r="L22" i="17"/>
  <c r="L10" i="17"/>
  <c r="M10" i="17"/>
  <c r="J10" i="17"/>
  <c r="AT10" i="17"/>
  <c r="K23" i="17"/>
  <c r="AS10" i="17"/>
  <c r="AU10" i="17"/>
  <c r="AX10" i="17"/>
  <c r="L23" i="17"/>
  <c r="L11" i="17"/>
  <c r="M11" i="17"/>
  <c r="J11" i="17"/>
  <c r="AT11" i="17"/>
  <c r="K24" i="17"/>
  <c r="AS11" i="17"/>
  <c r="AU11" i="17"/>
  <c r="AX11" i="17"/>
  <c r="L24" i="17"/>
  <c r="L12" i="17"/>
  <c r="M12" i="17"/>
  <c r="J12" i="17"/>
  <c r="AT12" i="17"/>
  <c r="K25" i="17"/>
  <c r="AS12" i="17"/>
  <c r="AU12" i="17"/>
  <c r="AX12" i="17"/>
  <c r="L25" i="17"/>
  <c r="M17" i="17"/>
  <c r="N17" i="17" a="1"/>
  <c r="N17" i="17"/>
  <c r="O17" i="17"/>
  <c r="E30" i="17" a="1"/>
  <c r="E30" i="17"/>
  <c r="F30" i="17" a="1"/>
  <c r="F30" i="17"/>
  <c r="G30" i="17" a="1"/>
  <c r="H30" i="17" a="1"/>
  <c r="I30" i="17" a="1"/>
  <c r="J30" i="17" a="1"/>
  <c r="K30" i="17" a="1"/>
  <c r="L30" i="17" a="1"/>
  <c r="P17" i="17"/>
  <c r="M30" i="17" a="1"/>
  <c r="N30" i="17" a="1"/>
  <c r="O30" i="17" a="1"/>
  <c r="P30" i="17" a="1"/>
  <c r="Q30" i="17" a="1"/>
  <c r="R30" i="17" a="1"/>
  <c r="S30" i="17" a="1"/>
  <c r="T30" i="17" a="1"/>
  <c r="Q17" i="17"/>
  <c r="U30" i="17" a="1"/>
  <c r="V30" i="17" a="1"/>
  <c r="W30" i="17" a="1"/>
  <c r="X30" i="17" a="1"/>
  <c r="Y30" i="17" a="1"/>
  <c r="Z30" i="17" a="1"/>
  <c r="AA30" i="17" a="1"/>
  <c r="AB30" i="17" a="1"/>
  <c r="R17" i="17"/>
  <c r="AC30" i="17" a="1"/>
  <c r="AD30" i="17" a="1"/>
  <c r="AE30" i="17" a="1"/>
  <c r="AF30" i="17" a="1"/>
  <c r="AG30" i="17" a="1"/>
  <c r="AH30" i="17" a="1"/>
  <c r="AI30" i="17" a="1"/>
  <c r="AJ30" i="17" a="1"/>
  <c r="S17" i="17"/>
  <c r="AK30" i="17" a="1"/>
  <c r="AL30" i="17" a="1"/>
  <c r="AM30" i="17" a="1"/>
  <c r="AN30" i="17" a="1"/>
  <c r="AO30" i="17" a="1"/>
  <c r="AP30" i="17" a="1"/>
  <c r="AQ30" i="17" a="1"/>
  <c r="AR30" i="17" a="1"/>
  <c r="T17" i="17"/>
  <c r="AS30" i="17" a="1"/>
  <c r="AT30" i="17" a="1"/>
  <c r="AU30" i="17" a="1"/>
  <c r="AV30" i="17" a="1"/>
  <c r="AW30" i="17" a="1"/>
  <c r="AX30" i="17" a="1"/>
  <c r="AY30" i="17" a="1"/>
  <c r="AZ30" i="17" a="1"/>
  <c r="U17" i="17"/>
  <c r="BA30" i="17" a="1"/>
  <c r="BB30" i="17" a="1"/>
  <c r="BC30" i="17" a="1"/>
  <c r="BD30" i="17" a="1"/>
  <c r="BE30" i="17" a="1"/>
  <c r="BF30" i="17" a="1"/>
  <c r="BG30" i="17" a="1"/>
  <c r="BH30" i="17" a="1"/>
  <c r="V17" i="17"/>
  <c r="BI30" i="17" a="1"/>
  <c r="BJ30" i="17" a="1"/>
  <c r="BK30" i="17" a="1"/>
  <c r="BL30" i="17" a="1"/>
  <c r="BM30" i="17" a="1"/>
  <c r="BN30" i="17" a="1"/>
  <c r="BO30" i="17" a="1"/>
  <c r="BP30" i="17" a="1"/>
  <c r="G30" i="17"/>
  <c r="H30" i="17"/>
  <c r="I30" i="17"/>
  <c r="J30" i="17"/>
  <c r="K30" i="17"/>
  <c r="L30" i="17"/>
  <c r="M30" i="17"/>
  <c r="N30" i="17"/>
  <c r="O30" i="17"/>
  <c r="P30" i="17"/>
  <c r="Q30" i="17"/>
  <c r="R30" i="17"/>
  <c r="S30" i="17"/>
  <c r="T30" i="17"/>
  <c r="U30" i="17"/>
  <c r="V30" i="17"/>
  <c r="W30" i="17"/>
  <c r="X30" i="17"/>
  <c r="Y30" i="17"/>
  <c r="Z30" i="17"/>
  <c r="AA30" i="17"/>
  <c r="AB30" i="17"/>
  <c r="AC30" i="17"/>
  <c r="AD30" i="17"/>
  <c r="AE30" i="17"/>
  <c r="AF30" i="17"/>
  <c r="AG30" i="17"/>
  <c r="AH30" i="17"/>
  <c r="AI30" i="17"/>
  <c r="AJ30" i="17"/>
  <c r="AK30" i="17"/>
  <c r="AL30" i="17"/>
  <c r="AM30" i="17"/>
  <c r="AN30" i="17"/>
  <c r="AO30" i="17"/>
  <c r="AP30" i="17"/>
  <c r="AQ30" i="17"/>
  <c r="AR30" i="17"/>
  <c r="AS30" i="17"/>
  <c r="AT30" i="17"/>
  <c r="AU30" i="17"/>
  <c r="AV30" i="17"/>
  <c r="AW30" i="17"/>
  <c r="AX30" i="17"/>
  <c r="AY30" i="17"/>
  <c r="AZ30" i="17"/>
  <c r="BA30" i="17"/>
  <c r="BB30" i="17"/>
  <c r="BC30" i="17"/>
  <c r="BD30" i="17"/>
  <c r="BE30" i="17"/>
  <c r="BF30" i="17"/>
  <c r="BG30" i="17"/>
  <c r="BH30" i="17"/>
  <c r="BI30" i="17"/>
  <c r="BJ30" i="17"/>
  <c r="BK30" i="17"/>
  <c r="BL30" i="17"/>
  <c r="BM30" i="17"/>
  <c r="BN30" i="17"/>
  <c r="BO30" i="17"/>
  <c r="BP30" i="17"/>
  <c r="AA17" i="17"/>
  <c r="E41" i="17" a="1"/>
  <c r="E41" i="17"/>
  <c r="F41" i="17" a="1"/>
  <c r="F41" i="17"/>
  <c r="G41" i="17" a="1"/>
  <c r="H41" i="17" a="1"/>
  <c r="I41" i="17" a="1"/>
  <c r="J41" i="17" a="1"/>
  <c r="K41" i="17" a="1"/>
  <c r="L41" i="17" a="1"/>
  <c r="M41" i="17" a="1"/>
  <c r="N41" i="17" a="1"/>
  <c r="O41" i="17" a="1"/>
  <c r="P41" i="17" a="1"/>
  <c r="Q41" i="17" a="1"/>
  <c r="R41" i="17" a="1"/>
  <c r="S41" i="17" a="1"/>
  <c r="T41" i="17" a="1"/>
  <c r="U41" i="17" a="1"/>
  <c r="V41" i="17" a="1"/>
  <c r="W41" i="17" a="1"/>
  <c r="X41" i="17" a="1"/>
  <c r="Y41" i="17" a="1"/>
  <c r="Z41" i="17" a="1"/>
  <c r="AA41" i="17" a="1"/>
  <c r="AB41" i="17" a="1"/>
  <c r="AC41" i="17" a="1"/>
  <c r="AD41" i="17" a="1"/>
  <c r="AE41" i="17" a="1"/>
  <c r="AF41" i="17" a="1"/>
  <c r="AG41" i="17" a="1"/>
  <c r="AH41" i="17" a="1"/>
  <c r="AI41" i="17" a="1"/>
  <c r="AJ41" i="17" a="1"/>
  <c r="AK41" i="17" a="1"/>
  <c r="AL41" i="17" a="1"/>
  <c r="AM41" i="17" a="1"/>
  <c r="AN41" i="17" a="1"/>
  <c r="AO41" i="17" a="1"/>
  <c r="AP41" i="17" a="1"/>
  <c r="AQ41" i="17" a="1"/>
  <c r="AR41" i="17" a="1"/>
  <c r="AS41" i="17" a="1"/>
  <c r="AT41" i="17" a="1"/>
  <c r="AU41" i="17" a="1"/>
  <c r="AV41" i="17" a="1"/>
  <c r="AW41" i="17" a="1"/>
  <c r="AX41" i="17" a="1"/>
  <c r="AY41" i="17" a="1"/>
  <c r="AZ41" i="17" a="1"/>
  <c r="BA41" i="17" a="1"/>
  <c r="BB41" i="17" a="1"/>
  <c r="BC41" i="17" a="1"/>
  <c r="BD41" i="17" a="1"/>
  <c r="BE41" i="17" a="1"/>
  <c r="BF41" i="17" a="1"/>
  <c r="BG41" i="17" a="1"/>
  <c r="BH41" i="17" a="1"/>
  <c r="BI41" i="17" a="1"/>
  <c r="BJ41" i="17" a="1"/>
  <c r="BK41" i="17" a="1"/>
  <c r="BL41" i="17" a="1"/>
  <c r="BM41" i="17" a="1"/>
  <c r="BN41" i="17" a="1"/>
  <c r="BO41" i="17" a="1"/>
  <c r="BP41" i="17" a="1"/>
  <c r="G41" i="17"/>
  <c r="H41" i="17"/>
  <c r="I41" i="17"/>
  <c r="J41" i="17"/>
  <c r="K41" i="17"/>
  <c r="L41" i="17"/>
  <c r="M41" i="17"/>
  <c r="N41" i="17"/>
  <c r="O41" i="17"/>
  <c r="P41" i="17"/>
  <c r="Q41" i="17"/>
  <c r="R41" i="17"/>
  <c r="S41" i="17"/>
  <c r="T41" i="17"/>
  <c r="U41" i="17"/>
  <c r="V41" i="17"/>
  <c r="W41" i="17"/>
  <c r="X41" i="17"/>
  <c r="Y41" i="17"/>
  <c r="Z41" i="17"/>
  <c r="AA41" i="17"/>
  <c r="AB41" i="17"/>
  <c r="AC41" i="17"/>
  <c r="AD41" i="17"/>
  <c r="AE41" i="17"/>
  <c r="AF41" i="17"/>
  <c r="AG41" i="17"/>
  <c r="AH41" i="17"/>
  <c r="AI41" i="17"/>
  <c r="AJ41" i="17"/>
  <c r="AK41" i="17"/>
  <c r="AL41" i="17"/>
  <c r="AM41" i="17"/>
  <c r="AN41" i="17"/>
  <c r="AO41" i="17"/>
  <c r="AP41" i="17"/>
  <c r="AQ41" i="17"/>
  <c r="AR41" i="17"/>
  <c r="AS41" i="17"/>
  <c r="AT41" i="17"/>
  <c r="AU41" i="17"/>
  <c r="AV41" i="17"/>
  <c r="AW41" i="17"/>
  <c r="AX41" i="17"/>
  <c r="AY41" i="17"/>
  <c r="AZ41" i="17"/>
  <c r="BA41" i="17"/>
  <c r="BB41" i="17"/>
  <c r="BC41" i="17"/>
  <c r="BD41" i="17"/>
  <c r="BE41" i="17"/>
  <c r="BF41" i="17"/>
  <c r="BG41" i="17"/>
  <c r="BH41" i="17"/>
  <c r="BI41" i="17"/>
  <c r="BJ41" i="17"/>
  <c r="BK41" i="17"/>
  <c r="BL41" i="17"/>
  <c r="BM41" i="17"/>
  <c r="BN41" i="17"/>
  <c r="BO41" i="17"/>
  <c r="BP41" i="17"/>
  <c r="AB17" i="17"/>
  <c r="W17" i="17"/>
  <c r="M18" i="17"/>
  <c r="N18" i="17" a="1"/>
  <c r="N18" i="17"/>
  <c r="O18" i="17"/>
  <c r="E31" i="17" a="1"/>
  <c r="E31" i="17"/>
  <c r="F31" i="17" a="1"/>
  <c r="F31" i="17"/>
  <c r="G31" i="17" a="1"/>
  <c r="H31" i="17" a="1"/>
  <c r="I31" i="17" a="1"/>
  <c r="J31" i="17" a="1"/>
  <c r="K31" i="17" a="1"/>
  <c r="L31" i="17" a="1"/>
  <c r="P18" i="17"/>
  <c r="M31" i="17" a="1"/>
  <c r="N31" i="17" a="1"/>
  <c r="O31" i="17" a="1"/>
  <c r="P31" i="17" a="1"/>
  <c r="Q31" i="17" a="1"/>
  <c r="R31" i="17" a="1"/>
  <c r="S31" i="17" a="1"/>
  <c r="T31" i="17" a="1"/>
  <c r="Q18" i="17"/>
  <c r="U31" i="17" a="1"/>
  <c r="V31" i="17" a="1"/>
  <c r="W31" i="17" a="1"/>
  <c r="X31" i="17" a="1"/>
  <c r="Y31" i="17" a="1"/>
  <c r="Z31" i="17" a="1"/>
  <c r="AA31" i="17" a="1"/>
  <c r="AB31" i="17" a="1"/>
  <c r="R18" i="17"/>
  <c r="AC31" i="17" a="1"/>
  <c r="AD31" i="17" a="1"/>
  <c r="AE31" i="17" a="1"/>
  <c r="AF31" i="17" a="1"/>
  <c r="AG31" i="17" a="1"/>
  <c r="AH31" i="17" a="1"/>
  <c r="AI31" i="17" a="1"/>
  <c r="AJ31" i="17" a="1"/>
  <c r="S18" i="17"/>
  <c r="AK31" i="17" a="1"/>
  <c r="AL31" i="17" a="1"/>
  <c r="AM31" i="17" a="1"/>
  <c r="AN31" i="17" a="1"/>
  <c r="AO31" i="17" a="1"/>
  <c r="AP31" i="17" a="1"/>
  <c r="AQ31" i="17" a="1"/>
  <c r="AR31" i="17" a="1"/>
  <c r="T18" i="17"/>
  <c r="AS31" i="17" a="1"/>
  <c r="AT31" i="17" a="1"/>
  <c r="AU31" i="17" a="1"/>
  <c r="AV31" i="17" a="1"/>
  <c r="AW31" i="17" a="1"/>
  <c r="AX31" i="17" a="1"/>
  <c r="AY31" i="17" a="1"/>
  <c r="AZ31" i="17" a="1"/>
  <c r="U18" i="17"/>
  <c r="BA31" i="17" a="1"/>
  <c r="BB31" i="17" a="1"/>
  <c r="BC31" i="17" a="1"/>
  <c r="BD31" i="17" a="1"/>
  <c r="BE31" i="17" a="1"/>
  <c r="BF31" i="17" a="1"/>
  <c r="BG31" i="17" a="1"/>
  <c r="BH31" i="17" a="1"/>
  <c r="V18" i="17"/>
  <c r="BI31" i="17" a="1"/>
  <c r="BJ31" i="17" a="1"/>
  <c r="BK31" i="17" a="1"/>
  <c r="BL31" i="17" a="1"/>
  <c r="BM31" i="17" a="1"/>
  <c r="BN31" i="17" a="1"/>
  <c r="BO31" i="17" a="1"/>
  <c r="BP31" i="17" a="1"/>
  <c r="G31" i="17"/>
  <c r="H31" i="17"/>
  <c r="I31" i="17"/>
  <c r="J31" i="17"/>
  <c r="K31" i="17"/>
  <c r="L31" i="17"/>
  <c r="M31" i="17"/>
  <c r="N31" i="17"/>
  <c r="O31" i="17"/>
  <c r="P31" i="17"/>
  <c r="Q31" i="17"/>
  <c r="R31" i="17"/>
  <c r="S31" i="17"/>
  <c r="T31" i="17"/>
  <c r="U31" i="17"/>
  <c r="V31" i="17"/>
  <c r="W31" i="17"/>
  <c r="X31" i="17"/>
  <c r="Y31" i="17"/>
  <c r="Z31" i="17"/>
  <c r="AA31" i="17"/>
  <c r="AB31" i="17"/>
  <c r="AC31" i="17"/>
  <c r="AD31" i="17"/>
  <c r="AE31" i="17"/>
  <c r="AF31" i="17"/>
  <c r="AG31" i="17"/>
  <c r="AH31" i="17"/>
  <c r="AI31" i="17"/>
  <c r="AJ31" i="17"/>
  <c r="AK31" i="17"/>
  <c r="AL31" i="17"/>
  <c r="AM31" i="17"/>
  <c r="AN31" i="17"/>
  <c r="AO31" i="17"/>
  <c r="AP31" i="17"/>
  <c r="AQ31" i="17"/>
  <c r="AR31" i="17"/>
  <c r="AS31" i="17"/>
  <c r="AT31" i="17"/>
  <c r="AU31" i="17"/>
  <c r="AV31" i="17"/>
  <c r="AW31" i="17"/>
  <c r="AX31" i="17"/>
  <c r="AY31" i="17"/>
  <c r="AZ31" i="17"/>
  <c r="BA31" i="17"/>
  <c r="BB31" i="17"/>
  <c r="BC31" i="17"/>
  <c r="BD31" i="17"/>
  <c r="BE31" i="17"/>
  <c r="BF31" i="17"/>
  <c r="BG31" i="17"/>
  <c r="BH31" i="17"/>
  <c r="BI31" i="17"/>
  <c r="BJ31" i="17"/>
  <c r="BK31" i="17"/>
  <c r="BL31" i="17"/>
  <c r="BM31" i="17"/>
  <c r="BN31" i="17"/>
  <c r="BO31" i="17"/>
  <c r="BP31" i="17"/>
  <c r="AA18" i="17"/>
  <c r="E42" i="17" a="1"/>
  <c r="E42" i="17"/>
  <c r="F42" i="17" a="1"/>
  <c r="F42" i="17"/>
  <c r="G42" i="17" a="1"/>
  <c r="H42" i="17" a="1"/>
  <c r="I42" i="17" a="1"/>
  <c r="J42" i="17" a="1"/>
  <c r="K42" i="17" a="1"/>
  <c r="L42" i="17" a="1"/>
  <c r="M42" i="17" a="1"/>
  <c r="N42" i="17" a="1"/>
  <c r="O42" i="17" a="1"/>
  <c r="P42" i="17" a="1"/>
  <c r="Q42" i="17" a="1"/>
  <c r="R42" i="17" a="1"/>
  <c r="S42" i="17" a="1"/>
  <c r="T42" i="17" a="1"/>
  <c r="U42" i="17" a="1"/>
  <c r="V42" i="17" a="1"/>
  <c r="W42" i="17" a="1"/>
  <c r="X42" i="17" a="1"/>
  <c r="Y42" i="17" a="1"/>
  <c r="Z42" i="17" a="1"/>
  <c r="AA42" i="17" a="1"/>
  <c r="AB42" i="17" a="1"/>
  <c r="AC42" i="17" a="1"/>
  <c r="AD42" i="17" a="1"/>
  <c r="AE42" i="17" a="1"/>
  <c r="AF42" i="17" a="1"/>
  <c r="AG42" i="17" a="1"/>
  <c r="AH42" i="17" a="1"/>
  <c r="AI42" i="17" a="1"/>
  <c r="AJ42" i="17" a="1"/>
  <c r="AK42" i="17" a="1"/>
  <c r="AL42" i="17" a="1"/>
  <c r="AM42" i="17" a="1"/>
  <c r="AN42" i="17" a="1"/>
  <c r="AO42" i="17" a="1"/>
  <c r="AP42" i="17" a="1"/>
  <c r="AQ42" i="17" a="1"/>
  <c r="AR42" i="17" a="1"/>
  <c r="AS42" i="17" a="1"/>
  <c r="AT42" i="17" a="1"/>
  <c r="AU42" i="17" a="1"/>
  <c r="AV42" i="17" a="1"/>
  <c r="AW42" i="17" a="1"/>
  <c r="AX42" i="17" a="1"/>
  <c r="AY42" i="17" a="1"/>
  <c r="AZ42" i="17" a="1"/>
  <c r="BA42" i="17" a="1"/>
  <c r="BB42" i="17" a="1"/>
  <c r="BC42" i="17" a="1"/>
  <c r="BD42" i="17" a="1"/>
  <c r="BE42" i="17" a="1"/>
  <c r="BF42" i="17" a="1"/>
  <c r="BG42" i="17" a="1"/>
  <c r="BH42" i="17" a="1"/>
  <c r="BI42" i="17" a="1"/>
  <c r="BJ42" i="17" a="1"/>
  <c r="BK42" i="17" a="1"/>
  <c r="BL42" i="17" a="1"/>
  <c r="BM42" i="17" a="1"/>
  <c r="BN42" i="17" a="1"/>
  <c r="BO42" i="17" a="1"/>
  <c r="BP42" i="17" a="1"/>
  <c r="G42" i="17"/>
  <c r="H42" i="17"/>
  <c r="I42" i="17"/>
  <c r="J42" i="17"/>
  <c r="K42" i="17"/>
  <c r="L42" i="17"/>
  <c r="M42" i="17"/>
  <c r="N42" i="17"/>
  <c r="O42" i="17"/>
  <c r="P42" i="17"/>
  <c r="Q42" i="17"/>
  <c r="R42" i="17"/>
  <c r="S42" i="17"/>
  <c r="T42" i="17"/>
  <c r="U42" i="17"/>
  <c r="V42" i="17"/>
  <c r="W42" i="17"/>
  <c r="X42" i="17"/>
  <c r="Y42" i="17"/>
  <c r="Z42" i="17"/>
  <c r="AA42" i="17"/>
  <c r="AB42" i="17"/>
  <c r="AC42" i="17"/>
  <c r="AD42" i="17"/>
  <c r="AE42" i="17"/>
  <c r="AF42" i="17"/>
  <c r="AG42" i="17"/>
  <c r="AH42" i="17"/>
  <c r="AI42" i="17"/>
  <c r="AJ42" i="17"/>
  <c r="AK42" i="17"/>
  <c r="AL42" i="17"/>
  <c r="AM42" i="17"/>
  <c r="AN42" i="17"/>
  <c r="AO42" i="17"/>
  <c r="AP42" i="17"/>
  <c r="AQ42" i="17"/>
  <c r="AR42" i="17"/>
  <c r="AS42" i="17"/>
  <c r="AT42" i="17"/>
  <c r="AU42" i="17"/>
  <c r="AV42" i="17"/>
  <c r="AW42" i="17"/>
  <c r="AX42" i="17"/>
  <c r="AY42" i="17"/>
  <c r="AZ42" i="17"/>
  <c r="BA42" i="17"/>
  <c r="BB42" i="17"/>
  <c r="BC42" i="17"/>
  <c r="BD42" i="17"/>
  <c r="BE42" i="17"/>
  <c r="BF42" i="17"/>
  <c r="BG42" i="17"/>
  <c r="BH42" i="17"/>
  <c r="BI42" i="17"/>
  <c r="BJ42" i="17"/>
  <c r="BK42" i="17"/>
  <c r="BL42" i="17"/>
  <c r="BM42" i="17"/>
  <c r="BN42" i="17"/>
  <c r="BO42" i="17"/>
  <c r="BP42" i="17"/>
  <c r="AB18" i="17"/>
  <c r="W18" i="17"/>
  <c r="M19" i="17"/>
  <c r="N19" i="17" a="1"/>
  <c r="N19" i="17"/>
  <c r="O19" i="17"/>
  <c r="E32" i="17" a="1"/>
  <c r="E32" i="17"/>
  <c r="F32" i="17" a="1"/>
  <c r="F32" i="17"/>
  <c r="G32" i="17" a="1"/>
  <c r="H32" i="17" a="1"/>
  <c r="I32" i="17" a="1"/>
  <c r="J32" i="17" a="1"/>
  <c r="K32" i="17" a="1"/>
  <c r="L32" i="17" a="1"/>
  <c r="P19" i="17"/>
  <c r="M32" i="17" a="1"/>
  <c r="N32" i="17" a="1"/>
  <c r="O32" i="17" a="1"/>
  <c r="P32" i="17" a="1"/>
  <c r="Q32" i="17" a="1"/>
  <c r="R32" i="17" a="1"/>
  <c r="S32" i="17" a="1"/>
  <c r="T32" i="17" a="1"/>
  <c r="Q19" i="17"/>
  <c r="U32" i="17" a="1"/>
  <c r="V32" i="17" a="1"/>
  <c r="W32" i="17" a="1"/>
  <c r="X32" i="17" a="1"/>
  <c r="Y32" i="17" a="1"/>
  <c r="Z32" i="17" a="1"/>
  <c r="AA32" i="17" a="1"/>
  <c r="AB32" i="17" a="1"/>
  <c r="R19" i="17"/>
  <c r="AC32" i="17" a="1"/>
  <c r="AD32" i="17" a="1"/>
  <c r="AE32" i="17" a="1"/>
  <c r="AF32" i="17" a="1"/>
  <c r="AG32" i="17" a="1"/>
  <c r="AH32" i="17" a="1"/>
  <c r="AI32" i="17" a="1"/>
  <c r="AJ32" i="17" a="1"/>
  <c r="S19" i="17"/>
  <c r="AK32" i="17" a="1"/>
  <c r="AL32" i="17" a="1"/>
  <c r="AM32" i="17" a="1"/>
  <c r="AN32" i="17" a="1"/>
  <c r="AO32" i="17" a="1"/>
  <c r="AP32" i="17" a="1"/>
  <c r="AQ32" i="17" a="1"/>
  <c r="AR32" i="17" a="1"/>
  <c r="T19" i="17"/>
  <c r="AS32" i="17" a="1"/>
  <c r="AT32" i="17" a="1"/>
  <c r="AU32" i="17" a="1"/>
  <c r="AV32" i="17" a="1"/>
  <c r="AW32" i="17" a="1"/>
  <c r="AX32" i="17" a="1"/>
  <c r="AY32" i="17" a="1"/>
  <c r="AZ32" i="17" a="1"/>
  <c r="U19" i="17"/>
  <c r="BA32" i="17" a="1"/>
  <c r="BB32" i="17" a="1"/>
  <c r="BC32" i="17" a="1"/>
  <c r="BD32" i="17" a="1"/>
  <c r="BE32" i="17" a="1"/>
  <c r="BF32" i="17" a="1"/>
  <c r="BG32" i="17" a="1"/>
  <c r="BH32" i="17" a="1"/>
  <c r="V19" i="17"/>
  <c r="BI32" i="17" a="1"/>
  <c r="BJ32" i="17" a="1"/>
  <c r="BK32" i="17" a="1"/>
  <c r="BL32" i="17" a="1"/>
  <c r="BM32" i="17" a="1"/>
  <c r="BN32" i="17" a="1"/>
  <c r="BO32" i="17" a="1"/>
  <c r="BP32" i="17" a="1"/>
  <c r="G32" i="17"/>
  <c r="H32" i="17"/>
  <c r="I32" i="17"/>
  <c r="J32" i="17"/>
  <c r="K32" i="17"/>
  <c r="L32" i="17"/>
  <c r="M32" i="17"/>
  <c r="N32" i="17"/>
  <c r="O32" i="17"/>
  <c r="P32" i="17"/>
  <c r="Q32" i="17"/>
  <c r="R32" i="17"/>
  <c r="S32" i="17"/>
  <c r="T32" i="17"/>
  <c r="U32" i="17"/>
  <c r="V32" i="17"/>
  <c r="W32" i="17"/>
  <c r="X32" i="17"/>
  <c r="Y32" i="17"/>
  <c r="Z32" i="17"/>
  <c r="AA32" i="17"/>
  <c r="AB32" i="17"/>
  <c r="AC32" i="17"/>
  <c r="AD32" i="17"/>
  <c r="AE32" i="17"/>
  <c r="AF32" i="17"/>
  <c r="AG32" i="17"/>
  <c r="AH32" i="17"/>
  <c r="AI32" i="17"/>
  <c r="AJ32" i="17"/>
  <c r="AK32" i="17"/>
  <c r="AL32" i="17"/>
  <c r="AM32" i="17"/>
  <c r="AN32" i="17"/>
  <c r="AO32" i="17"/>
  <c r="AP32" i="17"/>
  <c r="AQ32" i="17"/>
  <c r="AR32" i="17"/>
  <c r="AS32" i="17"/>
  <c r="AT32" i="17"/>
  <c r="AU32" i="17"/>
  <c r="AV32" i="17"/>
  <c r="AW32" i="17"/>
  <c r="AX32" i="17"/>
  <c r="AY32" i="17"/>
  <c r="AZ32" i="17"/>
  <c r="BA32" i="17"/>
  <c r="BB32" i="17"/>
  <c r="BC32" i="17"/>
  <c r="BD32" i="17"/>
  <c r="BE32" i="17"/>
  <c r="BF32" i="17"/>
  <c r="BG32" i="17"/>
  <c r="BH32" i="17"/>
  <c r="BI32" i="17"/>
  <c r="BJ32" i="17"/>
  <c r="BK32" i="17"/>
  <c r="BL32" i="17"/>
  <c r="BM32" i="17"/>
  <c r="BN32" i="17"/>
  <c r="BO32" i="17"/>
  <c r="BP32" i="17"/>
  <c r="AA19" i="17"/>
  <c r="E43" i="17" a="1"/>
  <c r="E43" i="17"/>
  <c r="F43" i="17" a="1"/>
  <c r="F43" i="17"/>
  <c r="G43" i="17" a="1"/>
  <c r="H43" i="17" a="1"/>
  <c r="I43" i="17" a="1"/>
  <c r="J43" i="17" a="1"/>
  <c r="K43" i="17" a="1"/>
  <c r="L43" i="17" a="1"/>
  <c r="M43" i="17" a="1"/>
  <c r="N43" i="17" a="1"/>
  <c r="O43" i="17" a="1"/>
  <c r="P43" i="17" a="1"/>
  <c r="Q43" i="17" a="1"/>
  <c r="R43" i="17" a="1"/>
  <c r="S43" i="17" a="1"/>
  <c r="T43" i="17" a="1"/>
  <c r="U43" i="17" a="1"/>
  <c r="V43" i="17" a="1"/>
  <c r="W43" i="17" a="1"/>
  <c r="X43" i="17" a="1"/>
  <c r="Y43" i="17" a="1"/>
  <c r="Z43" i="17" a="1"/>
  <c r="AA43" i="17" a="1"/>
  <c r="AB43" i="17" a="1"/>
  <c r="AC43" i="17" a="1"/>
  <c r="AD43" i="17" a="1"/>
  <c r="AE43" i="17" a="1"/>
  <c r="AF43" i="17" a="1"/>
  <c r="AG43" i="17" a="1"/>
  <c r="AH43" i="17" a="1"/>
  <c r="AI43" i="17" a="1"/>
  <c r="AJ43" i="17" a="1"/>
  <c r="AK43" i="17" a="1"/>
  <c r="AL43" i="17" a="1"/>
  <c r="AM43" i="17" a="1"/>
  <c r="AN43" i="17" a="1"/>
  <c r="AO43" i="17" a="1"/>
  <c r="AP43" i="17" a="1"/>
  <c r="AQ43" i="17" a="1"/>
  <c r="AR43" i="17" a="1"/>
  <c r="AS43" i="17" a="1"/>
  <c r="AT43" i="17" a="1"/>
  <c r="AU43" i="17" a="1"/>
  <c r="AV43" i="17" a="1"/>
  <c r="AW43" i="17" a="1"/>
  <c r="AX43" i="17" a="1"/>
  <c r="AY43" i="17" a="1"/>
  <c r="AZ43" i="17" a="1"/>
  <c r="BA43" i="17" a="1"/>
  <c r="BB43" i="17" a="1"/>
  <c r="BC43" i="17" a="1"/>
  <c r="BD43" i="17" a="1"/>
  <c r="BE43" i="17" a="1"/>
  <c r="BF43" i="17" a="1"/>
  <c r="BG43" i="17" a="1"/>
  <c r="BH43" i="17" a="1"/>
  <c r="BI43" i="17" a="1"/>
  <c r="BJ43" i="17" a="1"/>
  <c r="BK43" i="17" a="1"/>
  <c r="BL43" i="17" a="1"/>
  <c r="BM43" i="17" a="1"/>
  <c r="BN43" i="17" a="1"/>
  <c r="BO43" i="17" a="1"/>
  <c r="BP43" i="17" a="1"/>
  <c r="G43" i="17"/>
  <c r="H43" i="17"/>
  <c r="I43" i="17"/>
  <c r="J43" i="17"/>
  <c r="K43" i="17"/>
  <c r="L43" i="17"/>
  <c r="M43" i="17"/>
  <c r="N43" i="17"/>
  <c r="O43" i="17"/>
  <c r="P43" i="17"/>
  <c r="Q43" i="17"/>
  <c r="R43" i="17"/>
  <c r="S43" i="17"/>
  <c r="T43" i="17"/>
  <c r="U43" i="17"/>
  <c r="V43" i="17"/>
  <c r="W43" i="17"/>
  <c r="X43" i="17"/>
  <c r="Y43" i="17"/>
  <c r="Z43" i="17"/>
  <c r="AA43" i="17"/>
  <c r="AB43" i="17"/>
  <c r="AC43" i="17"/>
  <c r="AD43" i="17"/>
  <c r="AE43" i="17"/>
  <c r="AF43" i="17"/>
  <c r="AG43" i="17"/>
  <c r="AH43" i="17"/>
  <c r="AI43" i="17"/>
  <c r="AJ43" i="17"/>
  <c r="AK43" i="17"/>
  <c r="AL43" i="17"/>
  <c r="AM43" i="17"/>
  <c r="AN43" i="17"/>
  <c r="AO43" i="17"/>
  <c r="AP43" i="17"/>
  <c r="AQ43" i="17"/>
  <c r="AR43" i="17"/>
  <c r="AS43" i="17"/>
  <c r="AT43" i="17"/>
  <c r="AU43" i="17"/>
  <c r="AV43" i="17"/>
  <c r="AW43" i="17"/>
  <c r="AX43" i="17"/>
  <c r="AY43" i="17"/>
  <c r="AZ43" i="17"/>
  <c r="BA43" i="17"/>
  <c r="BB43" i="17"/>
  <c r="BC43" i="17"/>
  <c r="BD43" i="17"/>
  <c r="BE43" i="17"/>
  <c r="BF43" i="17"/>
  <c r="BG43" i="17"/>
  <c r="BH43" i="17"/>
  <c r="BI43" i="17"/>
  <c r="BJ43" i="17"/>
  <c r="BK43" i="17"/>
  <c r="BL43" i="17"/>
  <c r="BM43" i="17"/>
  <c r="BN43" i="17"/>
  <c r="BO43" i="17"/>
  <c r="BP43" i="17"/>
  <c r="AB19" i="17"/>
  <c r="W19" i="17"/>
  <c r="M20" i="17"/>
  <c r="N20" i="17" a="1"/>
  <c r="N20" i="17"/>
  <c r="O20" i="17"/>
  <c r="E33" i="17" a="1"/>
  <c r="E33" i="17"/>
  <c r="F33" i="17" a="1"/>
  <c r="F33" i="17"/>
  <c r="G33" i="17" a="1"/>
  <c r="H33" i="17" a="1"/>
  <c r="I33" i="17" a="1"/>
  <c r="J33" i="17" a="1"/>
  <c r="K33" i="17" a="1"/>
  <c r="L33" i="17" a="1"/>
  <c r="P20" i="17"/>
  <c r="M33" i="17" a="1"/>
  <c r="N33" i="17" a="1"/>
  <c r="O33" i="17" a="1"/>
  <c r="P33" i="17" a="1"/>
  <c r="Q33" i="17" a="1"/>
  <c r="R33" i="17" a="1"/>
  <c r="S33" i="17" a="1"/>
  <c r="T33" i="17" a="1"/>
  <c r="Q20" i="17"/>
  <c r="U33" i="17" a="1"/>
  <c r="V33" i="17" a="1"/>
  <c r="W33" i="17" a="1"/>
  <c r="X33" i="17" a="1"/>
  <c r="Y33" i="17" a="1"/>
  <c r="Z33" i="17" a="1"/>
  <c r="AA33" i="17" a="1"/>
  <c r="AB33" i="17" a="1"/>
  <c r="R20" i="17"/>
  <c r="AC33" i="17" a="1"/>
  <c r="AD33" i="17" a="1"/>
  <c r="AE33" i="17" a="1"/>
  <c r="AF33" i="17" a="1"/>
  <c r="AG33" i="17" a="1"/>
  <c r="AH33" i="17" a="1"/>
  <c r="AI33" i="17" a="1"/>
  <c r="AJ33" i="17" a="1"/>
  <c r="S20" i="17"/>
  <c r="AK33" i="17" a="1"/>
  <c r="AL33" i="17" a="1"/>
  <c r="AM33" i="17" a="1"/>
  <c r="AN33" i="17" a="1"/>
  <c r="AO33" i="17" a="1"/>
  <c r="AP33" i="17" a="1"/>
  <c r="AQ33" i="17" a="1"/>
  <c r="AR33" i="17" a="1"/>
  <c r="T20" i="17"/>
  <c r="AS33" i="17" a="1"/>
  <c r="AT33" i="17" a="1"/>
  <c r="AU33" i="17" a="1"/>
  <c r="AV33" i="17" a="1"/>
  <c r="AW33" i="17" a="1"/>
  <c r="AX33" i="17" a="1"/>
  <c r="AY33" i="17" a="1"/>
  <c r="AZ33" i="17" a="1"/>
  <c r="U20" i="17"/>
  <c r="BA33" i="17" a="1"/>
  <c r="BB33" i="17" a="1"/>
  <c r="BC33" i="17" a="1"/>
  <c r="BD33" i="17" a="1"/>
  <c r="BE33" i="17" a="1"/>
  <c r="BF33" i="17" a="1"/>
  <c r="BG33" i="17" a="1"/>
  <c r="BH33" i="17" a="1"/>
  <c r="V20" i="17"/>
  <c r="BI33" i="17" a="1"/>
  <c r="BJ33" i="17" a="1"/>
  <c r="BK33" i="17" a="1"/>
  <c r="BL33" i="17" a="1"/>
  <c r="BM33" i="17" a="1"/>
  <c r="BN33" i="17" a="1"/>
  <c r="BO33" i="17" a="1"/>
  <c r="BP33" i="17" a="1"/>
  <c r="G33" i="17"/>
  <c r="H33" i="17"/>
  <c r="I33" i="17"/>
  <c r="J33" i="17"/>
  <c r="K33" i="17"/>
  <c r="L33" i="17"/>
  <c r="M33" i="17"/>
  <c r="N33" i="17"/>
  <c r="O33" i="17"/>
  <c r="P33" i="17"/>
  <c r="Q33" i="17"/>
  <c r="R33" i="17"/>
  <c r="S33" i="17"/>
  <c r="T33" i="17"/>
  <c r="U33" i="17"/>
  <c r="V33" i="17"/>
  <c r="W33" i="17"/>
  <c r="X33" i="17"/>
  <c r="Y33" i="17"/>
  <c r="Z33" i="17"/>
  <c r="AA33" i="17"/>
  <c r="AB33" i="17"/>
  <c r="AC33" i="17"/>
  <c r="AD33" i="17"/>
  <c r="AE33" i="17"/>
  <c r="AF33" i="17"/>
  <c r="AG33" i="17"/>
  <c r="AH33" i="17"/>
  <c r="AI33" i="17"/>
  <c r="AJ33" i="17"/>
  <c r="AK33" i="17"/>
  <c r="AL33" i="17"/>
  <c r="AM33" i="17"/>
  <c r="AN33" i="17"/>
  <c r="AO33" i="17"/>
  <c r="AP33" i="17"/>
  <c r="AQ33" i="17"/>
  <c r="AR33" i="17"/>
  <c r="AS33" i="17"/>
  <c r="AT33" i="17"/>
  <c r="AU33" i="17"/>
  <c r="AV33" i="17"/>
  <c r="AW33" i="17"/>
  <c r="AX33" i="17"/>
  <c r="AY33" i="17"/>
  <c r="AZ33" i="17"/>
  <c r="BA33" i="17"/>
  <c r="BB33" i="17"/>
  <c r="BC33" i="17"/>
  <c r="BD33" i="17"/>
  <c r="BE33" i="17"/>
  <c r="BF33" i="17"/>
  <c r="BG33" i="17"/>
  <c r="BH33" i="17"/>
  <c r="BI33" i="17"/>
  <c r="BJ33" i="17"/>
  <c r="BK33" i="17"/>
  <c r="BL33" i="17"/>
  <c r="BM33" i="17"/>
  <c r="BN33" i="17"/>
  <c r="BO33" i="17"/>
  <c r="BP33" i="17"/>
  <c r="AA20" i="17"/>
  <c r="E44" i="17" a="1"/>
  <c r="E44" i="17"/>
  <c r="F44" i="17" a="1"/>
  <c r="F44" i="17"/>
  <c r="G44" i="17" a="1"/>
  <c r="H44" i="17" a="1"/>
  <c r="I44" i="17" a="1"/>
  <c r="J44" i="17" a="1"/>
  <c r="K44" i="17" a="1"/>
  <c r="L44" i="17" a="1"/>
  <c r="M44" i="17" a="1"/>
  <c r="N44" i="17" a="1"/>
  <c r="O44" i="17" a="1"/>
  <c r="P44" i="17" a="1"/>
  <c r="Q44" i="17" a="1"/>
  <c r="R44" i="17" a="1"/>
  <c r="S44" i="17" a="1"/>
  <c r="T44" i="17" a="1"/>
  <c r="U44" i="17" a="1"/>
  <c r="V44" i="17" a="1"/>
  <c r="W44" i="17" a="1"/>
  <c r="X44" i="17" a="1"/>
  <c r="Y44" i="17" a="1"/>
  <c r="Z44" i="17" a="1"/>
  <c r="AA44" i="17" a="1"/>
  <c r="AB44" i="17" a="1"/>
  <c r="AC44" i="17" a="1"/>
  <c r="AD44" i="17" a="1"/>
  <c r="AE44" i="17" a="1"/>
  <c r="AF44" i="17" a="1"/>
  <c r="AG44" i="17" a="1"/>
  <c r="AH44" i="17" a="1"/>
  <c r="AI44" i="17" a="1"/>
  <c r="AJ44" i="17" a="1"/>
  <c r="AK44" i="17" a="1"/>
  <c r="AL44" i="17" a="1"/>
  <c r="AM44" i="17" a="1"/>
  <c r="AN44" i="17" a="1"/>
  <c r="AO44" i="17" a="1"/>
  <c r="AP44" i="17" a="1"/>
  <c r="AQ44" i="17" a="1"/>
  <c r="AR44" i="17" a="1"/>
  <c r="AS44" i="17" a="1"/>
  <c r="AT44" i="17" a="1"/>
  <c r="AU44" i="17" a="1"/>
  <c r="AV44" i="17" a="1"/>
  <c r="AW44" i="17" a="1"/>
  <c r="AX44" i="17" a="1"/>
  <c r="AY44" i="17" a="1"/>
  <c r="AZ44" i="17" a="1"/>
  <c r="BA44" i="17" a="1"/>
  <c r="BB44" i="17" a="1"/>
  <c r="BC44" i="17" a="1"/>
  <c r="BD44" i="17" a="1"/>
  <c r="BE44" i="17" a="1"/>
  <c r="BF44" i="17" a="1"/>
  <c r="BG44" i="17" a="1"/>
  <c r="BH44" i="17" a="1"/>
  <c r="BI44" i="17" a="1"/>
  <c r="BJ44" i="17" a="1"/>
  <c r="BK44" i="17" a="1"/>
  <c r="BL44" i="17" a="1"/>
  <c r="BM44" i="17" a="1"/>
  <c r="BN44" i="17" a="1"/>
  <c r="BO44" i="17" a="1"/>
  <c r="BP44" i="17" a="1"/>
  <c r="G44" i="17"/>
  <c r="H44" i="17"/>
  <c r="I44" i="17"/>
  <c r="J44" i="17"/>
  <c r="K44" i="17"/>
  <c r="L44" i="17"/>
  <c r="M44" i="17"/>
  <c r="N44" i="17"/>
  <c r="O44" i="17"/>
  <c r="P44" i="17"/>
  <c r="Q44" i="17"/>
  <c r="R44" i="17"/>
  <c r="S44" i="17"/>
  <c r="T44" i="17"/>
  <c r="U44" i="17"/>
  <c r="V44" i="17"/>
  <c r="W44" i="17"/>
  <c r="X44" i="17"/>
  <c r="Y44" i="17"/>
  <c r="Z44" i="17"/>
  <c r="AA44" i="17"/>
  <c r="AB44" i="17"/>
  <c r="AC44" i="17"/>
  <c r="AD44" i="17"/>
  <c r="AE44" i="17"/>
  <c r="AF44" i="17"/>
  <c r="AG44" i="17"/>
  <c r="AH44" i="17"/>
  <c r="AI44" i="17"/>
  <c r="AJ44" i="17"/>
  <c r="AK44" i="17"/>
  <c r="AL44" i="17"/>
  <c r="AM44" i="17"/>
  <c r="AN44" i="17"/>
  <c r="AO44" i="17"/>
  <c r="AP44" i="17"/>
  <c r="AQ44" i="17"/>
  <c r="AR44" i="17"/>
  <c r="AS44" i="17"/>
  <c r="AT44" i="17"/>
  <c r="AU44" i="17"/>
  <c r="AV44" i="17"/>
  <c r="AW44" i="17"/>
  <c r="AX44" i="17"/>
  <c r="AY44" i="17"/>
  <c r="AZ44" i="17"/>
  <c r="BA44" i="17"/>
  <c r="BB44" i="17"/>
  <c r="BC44" i="17"/>
  <c r="BD44" i="17"/>
  <c r="BE44" i="17"/>
  <c r="BF44" i="17"/>
  <c r="BG44" i="17"/>
  <c r="BH44" i="17"/>
  <c r="BI44" i="17"/>
  <c r="BJ44" i="17"/>
  <c r="BK44" i="17"/>
  <c r="BL44" i="17"/>
  <c r="BM44" i="17"/>
  <c r="BN44" i="17"/>
  <c r="BO44" i="17"/>
  <c r="BP44" i="17"/>
  <c r="AB20" i="17"/>
  <c r="W20" i="17"/>
  <c r="M21" i="17"/>
  <c r="N21" i="17" a="1"/>
  <c r="N21" i="17"/>
  <c r="O21" i="17"/>
  <c r="E34" i="17" a="1"/>
  <c r="E34" i="17"/>
  <c r="F34" i="17" a="1"/>
  <c r="F34" i="17"/>
  <c r="G34" i="17" a="1"/>
  <c r="H34" i="17" a="1"/>
  <c r="I34" i="17" a="1"/>
  <c r="J34" i="17" a="1"/>
  <c r="K34" i="17" a="1"/>
  <c r="L34" i="17" a="1"/>
  <c r="P21" i="17"/>
  <c r="M34" i="17" a="1"/>
  <c r="N34" i="17" a="1"/>
  <c r="O34" i="17" a="1"/>
  <c r="P34" i="17" a="1"/>
  <c r="Q34" i="17" a="1"/>
  <c r="R34" i="17" a="1"/>
  <c r="S34" i="17" a="1"/>
  <c r="T34" i="17" a="1"/>
  <c r="Q21" i="17"/>
  <c r="U34" i="17" a="1"/>
  <c r="V34" i="17" a="1"/>
  <c r="W34" i="17" a="1"/>
  <c r="X34" i="17" a="1"/>
  <c r="Y34" i="17" a="1"/>
  <c r="Z34" i="17" a="1"/>
  <c r="AA34" i="17" a="1"/>
  <c r="AB34" i="17" a="1"/>
  <c r="R21" i="17"/>
  <c r="AC34" i="17" a="1"/>
  <c r="AD34" i="17" a="1"/>
  <c r="AE34" i="17" a="1"/>
  <c r="AF34" i="17" a="1"/>
  <c r="AG34" i="17" a="1"/>
  <c r="AH34" i="17" a="1"/>
  <c r="AI34" i="17" a="1"/>
  <c r="AJ34" i="17" a="1"/>
  <c r="S21" i="17"/>
  <c r="AK34" i="17" a="1"/>
  <c r="AL34" i="17" a="1"/>
  <c r="AM34" i="17" a="1"/>
  <c r="AN34" i="17" a="1"/>
  <c r="AO34" i="17" a="1"/>
  <c r="AP34" i="17" a="1"/>
  <c r="AQ34" i="17" a="1"/>
  <c r="AR34" i="17" a="1"/>
  <c r="T21" i="17"/>
  <c r="AS34" i="17" a="1"/>
  <c r="AT34" i="17" a="1"/>
  <c r="AU34" i="17" a="1"/>
  <c r="AV34" i="17" a="1"/>
  <c r="AW34" i="17" a="1"/>
  <c r="AX34" i="17" a="1"/>
  <c r="AY34" i="17" a="1"/>
  <c r="AZ34" i="17" a="1"/>
  <c r="U21" i="17"/>
  <c r="BA34" i="17" a="1"/>
  <c r="BB34" i="17" a="1"/>
  <c r="BC34" i="17" a="1"/>
  <c r="BD34" i="17" a="1"/>
  <c r="BE34" i="17" a="1"/>
  <c r="BF34" i="17" a="1"/>
  <c r="BG34" i="17" a="1"/>
  <c r="BH34" i="17" a="1"/>
  <c r="V21" i="17"/>
  <c r="BI34" i="17" a="1"/>
  <c r="BJ34" i="17" a="1"/>
  <c r="BK34" i="17" a="1"/>
  <c r="BL34" i="17" a="1"/>
  <c r="BM34" i="17" a="1"/>
  <c r="BN34" i="17" a="1"/>
  <c r="BO34" i="17" a="1"/>
  <c r="BP34" i="17" a="1"/>
  <c r="G34" i="17"/>
  <c r="H34" i="17"/>
  <c r="I34" i="17"/>
  <c r="J34" i="17"/>
  <c r="K34" i="17"/>
  <c r="L34" i="17"/>
  <c r="M34" i="17"/>
  <c r="N34" i="17"/>
  <c r="O34" i="17"/>
  <c r="P34" i="17"/>
  <c r="Q34" i="17"/>
  <c r="R34" i="17"/>
  <c r="S34" i="17"/>
  <c r="T34" i="17"/>
  <c r="U34" i="17"/>
  <c r="V34" i="17"/>
  <c r="W34" i="17"/>
  <c r="X34" i="17"/>
  <c r="Y34" i="17"/>
  <c r="Z34" i="17"/>
  <c r="AA34" i="17"/>
  <c r="AB34" i="17"/>
  <c r="AC34" i="17"/>
  <c r="AD34" i="17"/>
  <c r="AE34" i="17"/>
  <c r="AF34" i="17"/>
  <c r="AG34" i="17"/>
  <c r="AH34" i="17"/>
  <c r="AI34" i="17"/>
  <c r="AJ34" i="17"/>
  <c r="AK34" i="17"/>
  <c r="AL34" i="17"/>
  <c r="AM34" i="17"/>
  <c r="AN34" i="17"/>
  <c r="AO34" i="17"/>
  <c r="AP34" i="17"/>
  <c r="AQ34" i="17"/>
  <c r="AR34" i="17"/>
  <c r="AS34" i="17"/>
  <c r="AT34" i="17"/>
  <c r="AU34" i="17"/>
  <c r="AV34" i="17"/>
  <c r="AW34" i="17"/>
  <c r="AX34" i="17"/>
  <c r="AY34" i="17"/>
  <c r="AZ34" i="17"/>
  <c r="BA34" i="17"/>
  <c r="BB34" i="17"/>
  <c r="BC34" i="17"/>
  <c r="BD34" i="17"/>
  <c r="BE34" i="17"/>
  <c r="BF34" i="17"/>
  <c r="BG34" i="17"/>
  <c r="BH34" i="17"/>
  <c r="BI34" i="17"/>
  <c r="BJ34" i="17"/>
  <c r="BK34" i="17"/>
  <c r="BL34" i="17"/>
  <c r="BM34" i="17"/>
  <c r="BN34" i="17"/>
  <c r="BO34" i="17"/>
  <c r="BP34" i="17"/>
  <c r="AA21" i="17"/>
  <c r="E45" i="17" a="1"/>
  <c r="E45" i="17"/>
  <c r="F45" i="17" a="1"/>
  <c r="F45" i="17"/>
  <c r="G45" i="17" a="1"/>
  <c r="H45" i="17" a="1"/>
  <c r="I45" i="17" a="1"/>
  <c r="J45" i="17" a="1"/>
  <c r="K45" i="17" a="1"/>
  <c r="L45" i="17" a="1"/>
  <c r="M45" i="17" a="1"/>
  <c r="N45" i="17" a="1"/>
  <c r="O45" i="17" a="1"/>
  <c r="P45" i="17" a="1"/>
  <c r="Q45" i="17" a="1"/>
  <c r="R45" i="17" a="1"/>
  <c r="S45" i="17" a="1"/>
  <c r="T45" i="17" a="1"/>
  <c r="U45" i="17" a="1"/>
  <c r="V45" i="17" a="1"/>
  <c r="W45" i="17" a="1"/>
  <c r="X45" i="17" a="1"/>
  <c r="Y45" i="17" a="1"/>
  <c r="Z45" i="17" a="1"/>
  <c r="AA45" i="17" a="1"/>
  <c r="AB45" i="17" a="1"/>
  <c r="AC45" i="17" a="1"/>
  <c r="AD45" i="17" a="1"/>
  <c r="AE45" i="17" a="1"/>
  <c r="AF45" i="17" a="1"/>
  <c r="AG45" i="17" a="1"/>
  <c r="AH45" i="17" a="1"/>
  <c r="AI45" i="17" a="1"/>
  <c r="AJ45" i="17" a="1"/>
  <c r="AK45" i="17" a="1"/>
  <c r="AL45" i="17" a="1"/>
  <c r="AM45" i="17" a="1"/>
  <c r="AN45" i="17" a="1"/>
  <c r="AO45" i="17" a="1"/>
  <c r="AP45" i="17" a="1"/>
  <c r="AQ45" i="17" a="1"/>
  <c r="AR45" i="17" a="1"/>
  <c r="AS45" i="17" a="1"/>
  <c r="AT45" i="17" a="1"/>
  <c r="AU45" i="17" a="1"/>
  <c r="AV45" i="17" a="1"/>
  <c r="AW45" i="17" a="1"/>
  <c r="AX45" i="17" a="1"/>
  <c r="AY45" i="17" a="1"/>
  <c r="AZ45" i="17" a="1"/>
  <c r="BA45" i="17" a="1"/>
  <c r="BB45" i="17" a="1"/>
  <c r="BC45" i="17" a="1"/>
  <c r="BD45" i="17" a="1"/>
  <c r="BE45" i="17" a="1"/>
  <c r="BF45" i="17" a="1"/>
  <c r="BG45" i="17" a="1"/>
  <c r="BH45" i="17" a="1"/>
  <c r="BI45" i="17" a="1"/>
  <c r="BJ45" i="17" a="1"/>
  <c r="BK45" i="17" a="1"/>
  <c r="BL45" i="17" a="1"/>
  <c r="BM45" i="17" a="1"/>
  <c r="BN45" i="17" a="1"/>
  <c r="BO45" i="17" a="1"/>
  <c r="BP45" i="17" a="1"/>
  <c r="G45" i="17"/>
  <c r="H45" i="17"/>
  <c r="I45" i="17"/>
  <c r="J45" i="17"/>
  <c r="K45" i="17"/>
  <c r="L45" i="17"/>
  <c r="M45" i="17"/>
  <c r="N45" i="17"/>
  <c r="O45" i="17"/>
  <c r="P45" i="17"/>
  <c r="Q45" i="17"/>
  <c r="R45" i="17"/>
  <c r="S45" i="17"/>
  <c r="T45" i="17"/>
  <c r="U45" i="17"/>
  <c r="V45" i="17"/>
  <c r="W45" i="17"/>
  <c r="X45" i="17"/>
  <c r="Y45" i="17"/>
  <c r="Z45" i="17"/>
  <c r="AA45" i="17"/>
  <c r="AB45" i="17"/>
  <c r="AC45" i="17"/>
  <c r="AD45" i="17"/>
  <c r="AE45" i="17"/>
  <c r="AF45" i="17"/>
  <c r="AG45" i="17"/>
  <c r="AH45" i="17"/>
  <c r="AI45" i="17"/>
  <c r="AJ45" i="17"/>
  <c r="AK45" i="17"/>
  <c r="AL45" i="17"/>
  <c r="AM45" i="17"/>
  <c r="AN45" i="17"/>
  <c r="AO45" i="17"/>
  <c r="AP45" i="17"/>
  <c r="AQ45" i="17"/>
  <c r="AR45" i="17"/>
  <c r="AS45" i="17"/>
  <c r="AT45" i="17"/>
  <c r="AU45" i="17"/>
  <c r="AV45" i="17"/>
  <c r="AW45" i="17"/>
  <c r="AX45" i="17"/>
  <c r="AY45" i="17"/>
  <c r="AZ45" i="17"/>
  <c r="BA45" i="17"/>
  <c r="BB45" i="17"/>
  <c r="BC45" i="17"/>
  <c r="BD45" i="17"/>
  <c r="BE45" i="17"/>
  <c r="BF45" i="17"/>
  <c r="BG45" i="17"/>
  <c r="BH45" i="17"/>
  <c r="BI45" i="17"/>
  <c r="BJ45" i="17"/>
  <c r="BK45" i="17"/>
  <c r="BL45" i="17"/>
  <c r="BM45" i="17"/>
  <c r="BN45" i="17"/>
  <c r="BO45" i="17"/>
  <c r="BP45" i="17"/>
  <c r="AB21" i="17"/>
  <c r="W21" i="17"/>
  <c r="M22" i="17"/>
  <c r="N22" i="17" a="1"/>
  <c r="N22" i="17"/>
  <c r="O22" i="17"/>
  <c r="BT52" i="17"/>
  <c r="BU52" i="17"/>
  <c r="BV52" i="17"/>
  <c r="BW52" i="17"/>
  <c r="BX52" i="17"/>
  <c r="BY52" i="17"/>
  <c r="BZ52" i="17"/>
  <c r="CA52" i="17"/>
  <c r="BS53" i="17"/>
  <c r="BU53" i="17"/>
  <c r="BV53" i="17"/>
  <c r="BW53" i="17"/>
  <c r="BX53" i="17"/>
  <c r="BY53" i="17"/>
  <c r="BZ53" i="17"/>
  <c r="CA53" i="17"/>
  <c r="BS54" i="17"/>
  <c r="BT54" i="17"/>
  <c r="BV54" i="17"/>
  <c r="BW54" i="17"/>
  <c r="BX54" i="17"/>
  <c r="BY54" i="17"/>
  <c r="BZ54" i="17"/>
  <c r="CA54" i="17"/>
  <c r="BS55" i="17"/>
  <c r="BT55" i="17"/>
  <c r="BU55" i="17"/>
  <c r="BW55" i="17"/>
  <c r="BX55" i="17"/>
  <c r="BY55" i="17"/>
  <c r="BZ55" i="17"/>
  <c r="CA55" i="17"/>
  <c r="BS56" i="17"/>
  <c r="BT56" i="17"/>
  <c r="BU56" i="17"/>
  <c r="BV56" i="17"/>
  <c r="BX56" i="17"/>
  <c r="BY56" i="17"/>
  <c r="BZ56" i="17"/>
  <c r="CA56" i="17"/>
  <c r="BS57" i="17"/>
  <c r="BT57" i="17"/>
  <c r="BU57" i="17"/>
  <c r="BV57" i="17"/>
  <c r="BW57" i="17"/>
  <c r="BY57" i="17"/>
  <c r="BZ57" i="17"/>
  <c r="CA57" i="17"/>
  <c r="BS58" i="17"/>
  <c r="BT58" i="17"/>
  <c r="BU58" i="17"/>
  <c r="BV58" i="17"/>
  <c r="BW58" i="17"/>
  <c r="BX58" i="17"/>
  <c r="BZ58" i="17"/>
  <c r="CA58" i="17"/>
  <c r="BS59" i="17"/>
  <c r="BT59" i="17"/>
  <c r="BU59" i="17"/>
  <c r="BV59" i="17"/>
  <c r="BW59" i="17"/>
  <c r="BX59" i="17"/>
  <c r="BY59" i="17"/>
  <c r="CA59" i="17"/>
  <c r="BS60" i="17"/>
  <c r="BT60" i="17"/>
  <c r="BU60" i="17"/>
  <c r="BV60" i="17"/>
  <c r="BW60" i="17"/>
  <c r="BX60" i="17"/>
  <c r="BY60" i="17"/>
  <c r="BZ60" i="17"/>
  <c r="E35" i="17" a="1"/>
  <c r="E35" i="17"/>
  <c r="F35" i="17" a="1"/>
  <c r="F35" i="17"/>
  <c r="G35" i="17" a="1"/>
  <c r="H35" i="17" a="1"/>
  <c r="I35" i="17" a="1"/>
  <c r="M23" i="17"/>
  <c r="N23" i="17" a="1"/>
  <c r="N23" i="17"/>
  <c r="O23" i="17"/>
  <c r="J35" i="17" a="1"/>
  <c r="M24" i="17"/>
  <c r="N24" i="17" a="1"/>
  <c r="N24" i="17"/>
  <c r="O24" i="17"/>
  <c r="K35" i="17" a="1"/>
  <c r="M25" i="17"/>
  <c r="N25" i="17" a="1"/>
  <c r="N25" i="17"/>
  <c r="O25" i="17"/>
  <c r="L35" i="17" a="1"/>
  <c r="P22" i="17"/>
  <c r="M35" i="17" a="1"/>
  <c r="N35" i="17" a="1"/>
  <c r="O35" i="17" a="1"/>
  <c r="P35" i="17" a="1"/>
  <c r="Q35" i="17" a="1"/>
  <c r="P23" i="17"/>
  <c r="R35" i="17" a="1"/>
  <c r="P24" i="17"/>
  <c r="S35" i="17" a="1"/>
  <c r="P25" i="17"/>
  <c r="T35" i="17" a="1"/>
  <c r="Q22" i="17"/>
  <c r="U35" i="17" a="1"/>
  <c r="V35" i="17" a="1"/>
  <c r="W35" i="17" a="1"/>
  <c r="X35" i="17" a="1"/>
  <c r="Y35" i="17" a="1"/>
  <c r="Q23" i="17"/>
  <c r="Z35" i="17" a="1"/>
  <c r="Q24" i="17"/>
  <c r="AA35" i="17" a="1"/>
  <c r="Q25" i="17"/>
  <c r="AB35" i="17" a="1"/>
  <c r="R22" i="17"/>
  <c r="AC35" i="17" a="1"/>
  <c r="AD35" i="17" a="1"/>
  <c r="AE35" i="17" a="1"/>
  <c r="AF35" i="17" a="1"/>
  <c r="AG35" i="17" a="1"/>
  <c r="R23" i="17"/>
  <c r="AH35" i="17" a="1"/>
  <c r="R24" i="17"/>
  <c r="AI35" i="17" a="1"/>
  <c r="R25" i="17"/>
  <c r="AJ35" i="17" a="1"/>
  <c r="S22" i="17"/>
  <c r="AK35" i="17" a="1"/>
  <c r="AL35" i="17" a="1"/>
  <c r="AM35" i="17" a="1"/>
  <c r="AN35" i="17" a="1"/>
  <c r="AO35" i="17" a="1"/>
  <c r="S23" i="17"/>
  <c r="AP35" i="17" a="1"/>
  <c r="S24" i="17"/>
  <c r="AQ35" i="17" a="1"/>
  <c r="S25" i="17"/>
  <c r="AR35" i="17" a="1"/>
  <c r="T22" i="17"/>
  <c r="AS35" i="17" a="1"/>
  <c r="AT35" i="17" a="1"/>
  <c r="AU35" i="17" a="1"/>
  <c r="AV35" i="17" a="1"/>
  <c r="AW35" i="17" a="1"/>
  <c r="T23" i="17"/>
  <c r="AX35" i="17" a="1"/>
  <c r="T24" i="17"/>
  <c r="AY35" i="17" a="1"/>
  <c r="T25" i="17"/>
  <c r="AZ35" i="17" a="1"/>
  <c r="U22" i="17"/>
  <c r="BA35" i="17" a="1"/>
  <c r="BB35" i="17" a="1"/>
  <c r="BC35" i="17" a="1"/>
  <c r="BD35" i="17" a="1"/>
  <c r="BE35" i="17" a="1"/>
  <c r="U23" i="17"/>
  <c r="BF35" i="17" a="1"/>
  <c r="U24" i="17"/>
  <c r="BG35" i="17" a="1"/>
  <c r="U25" i="17"/>
  <c r="BH35" i="17" a="1"/>
  <c r="V22" i="17"/>
  <c r="BI35" i="17" a="1"/>
  <c r="BJ35" i="17" a="1"/>
  <c r="BK35" i="17" a="1"/>
  <c r="BL35" i="17" a="1"/>
  <c r="BM35" i="17" a="1"/>
  <c r="V23" i="17"/>
  <c r="BN35" i="17" a="1"/>
  <c r="V24" i="17"/>
  <c r="BO35" i="17" a="1"/>
  <c r="V25" i="17"/>
  <c r="BP35" i="17" a="1"/>
  <c r="G35" i="17"/>
  <c r="H35" i="17"/>
  <c r="I35" i="17"/>
  <c r="J35" i="17"/>
  <c r="K35" i="17"/>
  <c r="L35" i="17"/>
  <c r="M35" i="17"/>
  <c r="N35" i="17"/>
  <c r="O35" i="17"/>
  <c r="P35" i="17"/>
  <c r="Q35" i="17"/>
  <c r="R35" i="17"/>
  <c r="S35" i="17"/>
  <c r="T35" i="17"/>
  <c r="U35" i="17"/>
  <c r="V35" i="17"/>
  <c r="W35" i="17"/>
  <c r="X35" i="17"/>
  <c r="Y35" i="17"/>
  <c r="Z35" i="17"/>
  <c r="AA35" i="17"/>
  <c r="AB35" i="17"/>
  <c r="AC35" i="17"/>
  <c r="AD35" i="17"/>
  <c r="AE35" i="17"/>
  <c r="AF35" i="17"/>
  <c r="AG35" i="17"/>
  <c r="AH35" i="17"/>
  <c r="AI35" i="17"/>
  <c r="AJ35" i="17"/>
  <c r="AK35" i="17"/>
  <c r="AL35" i="17"/>
  <c r="AM35" i="17"/>
  <c r="AN35" i="17"/>
  <c r="AO35" i="17"/>
  <c r="AP35" i="17"/>
  <c r="AQ35" i="17"/>
  <c r="AR35" i="17"/>
  <c r="AS35" i="17"/>
  <c r="AT35" i="17"/>
  <c r="AU35" i="17"/>
  <c r="AV35" i="17"/>
  <c r="AW35" i="17"/>
  <c r="AX35" i="17"/>
  <c r="AY35" i="17"/>
  <c r="AZ35" i="17"/>
  <c r="BA35" i="17"/>
  <c r="BB35" i="17"/>
  <c r="BC35" i="17"/>
  <c r="BD35" i="17"/>
  <c r="BE35" i="17"/>
  <c r="BF35" i="17"/>
  <c r="BG35" i="17"/>
  <c r="BH35" i="17"/>
  <c r="BI35" i="17"/>
  <c r="BJ35" i="17"/>
  <c r="BK35" i="17"/>
  <c r="BL35" i="17"/>
  <c r="BM35" i="17"/>
  <c r="BN35" i="17"/>
  <c r="BO35" i="17"/>
  <c r="BP35" i="17"/>
  <c r="AA22" i="17"/>
  <c r="BT30" i="17"/>
  <c r="BS31" i="17"/>
  <c r="BT41" i="17"/>
  <c r="BU30" i="17"/>
  <c r="BS32" i="17"/>
  <c r="BU41" i="17"/>
  <c r="BV30" i="17"/>
  <c r="BS33" i="17"/>
  <c r="BV41" i="17"/>
  <c r="BW30" i="17"/>
  <c r="BS34" i="17"/>
  <c r="BW41" i="17"/>
  <c r="BX30" i="17"/>
  <c r="BS35" i="17"/>
  <c r="BX41" i="17"/>
  <c r="BY30" i="17"/>
  <c r="BS36" i="17"/>
  <c r="BY41" i="17"/>
  <c r="BZ30" i="17"/>
  <c r="BS37" i="17"/>
  <c r="BZ41" i="17"/>
  <c r="CA30" i="17"/>
  <c r="BS38" i="17"/>
  <c r="CA41" i="17"/>
  <c r="BS42" i="17"/>
  <c r="BU31" i="17"/>
  <c r="BT32" i="17"/>
  <c r="BU42" i="17"/>
  <c r="BV31" i="17"/>
  <c r="BT33" i="17"/>
  <c r="BV42" i="17"/>
  <c r="BW31" i="17"/>
  <c r="BT34" i="17"/>
  <c r="BW42" i="17"/>
  <c r="BX31" i="17"/>
  <c r="BT35" i="17"/>
  <c r="BX42" i="17"/>
  <c r="BY31" i="17"/>
  <c r="BT36" i="17"/>
  <c r="BY42" i="17"/>
  <c r="BZ31" i="17"/>
  <c r="BT37" i="17"/>
  <c r="BZ42" i="17"/>
  <c r="CA31" i="17"/>
  <c r="BT38" i="17"/>
  <c r="CA42" i="17"/>
  <c r="BS43" i="17"/>
  <c r="BT43" i="17"/>
  <c r="BV32" i="17"/>
  <c r="BU33" i="17"/>
  <c r="BV43" i="17"/>
  <c r="BW32" i="17"/>
  <c r="BU34" i="17"/>
  <c r="BW43" i="17"/>
  <c r="BX32" i="17"/>
  <c r="BU35" i="17"/>
  <c r="BX43" i="17"/>
  <c r="BY32" i="17"/>
  <c r="BU36" i="17"/>
  <c r="BY43" i="17"/>
  <c r="BZ32" i="17"/>
  <c r="BU37" i="17"/>
  <c r="BZ43" i="17"/>
  <c r="CA32" i="17"/>
  <c r="BU38" i="17"/>
  <c r="CA43" i="17"/>
  <c r="BS44" i="17"/>
  <c r="BT44" i="17"/>
  <c r="BU44" i="17"/>
  <c r="BW33" i="17"/>
  <c r="BV34" i="17"/>
  <c r="BW44" i="17"/>
  <c r="BX33" i="17"/>
  <c r="BV35" i="17"/>
  <c r="BX44" i="17"/>
  <c r="BY33" i="17"/>
  <c r="BV36" i="17"/>
  <c r="BY44" i="17"/>
  <c r="BZ33" i="17"/>
  <c r="BV37" i="17"/>
  <c r="BZ44" i="17"/>
  <c r="CA33" i="17"/>
  <c r="BV38" i="17"/>
  <c r="CA44" i="17"/>
  <c r="BS45" i="17"/>
  <c r="BT45" i="17"/>
  <c r="BU45" i="17"/>
  <c r="BV45" i="17"/>
  <c r="BX34" i="17"/>
  <c r="BW35" i="17"/>
  <c r="BX45" i="17"/>
  <c r="BY34" i="17"/>
  <c r="BW36" i="17"/>
  <c r="BY45" i="17"/>
  <c r="BZ34" i="17"/>
  <c r="BW37" i="17"/>
  <c r="BZ45" i="17"/>
  <c r="CA34" i="17"/>
  <c r="BW38" i="17"/>
  <c r="CA45" i="17"/>
  <c r="BS46" i="17"/>
  <c r="BT46" i="17"/>
  <c r="BU46" i="17"/>
  <c r="BV46" i="17"/>
  <c r="BW46" i="17"/>
  <c r="BY35" i="17"/>
  <c r="BX36" i="17"/>
  <c r="BY46" i="17"/>
  <c r="BZ35" i="17"/>
  <c r="BX37" i="17"/>
  <c r="BZ46" i="17"/>
  <c r="CA35" i="17"/>
  <c r="BX38" i="17"/>
  <c r="CA46" i="17"/>
  <c r="BS47" i="17"/>
  <c r="BT47" i="17"/>
  <c r="BU47" i="17"/>
  <c r="BV47" i="17"/>
  <c r="BW47" i="17"/>
  <c r="BX47" i="17"/>
  <c r="BZ36" i="17"/>
  <c r="BY37" i="17"/>
  <c r="BZ47" i="17"/>
  <c r="CA36" i="17"/>
  <c r="BY38" i="17"/>
  <c r="CA47" i="17"/>
  <c r="BS48" i="17"/>
  <c r="BT48" i="17"/>
  <c r="BU48" i="17"/>
  <c r="BV48" i="17"/>
  <c r="BW48" i="17"/>
  <c r="BX48" i="17"/>
  <c r="BY48" i="17"/>
  <c r="CA37" i="17"/>
  <c r="BZ38" i="17"/>
  <c r="CA48" i="17"/>
  <c r="BS49" i="17"/>
  <c r="BT49" i="17"/>
  <c r="BU49" i="17"/>
  <c r="BV49" i="17"/>
  <c r="BW49" i="17"/>
  <c r="BX49" i="17"/>
  <c r="BY49" i="17"/>
  <c r="BZ49" i="17"/>
  <c r="E46" i="17" a="1"/>
  <c r="E46" i="17"/>
  <c r="F46" i="17" a="1"/>
  <c r="F46" i="17"/>
  <c r="G46" i="17" a="1"/>
  <c r="H46" i="17" a="1"/>
  <c r="I46" i="17" a="1"/>
  <c r="J46" i="17" a="1"/>
  <c r="K46" i="17" a="1"/>
  <c r="L46" i="17" a="1"/>
  <c r="M46" i="17" a="1"/>
  <c r="N46" i="17" a="1"/>
  <c r="O46" i="17" a="1"/>
  <c r="P46" i="17" a="1"/>
  <c r="Q46" i="17" a="1"/>
  <c r="R46" i="17" a="1"/>
  <c r="S46" i="17" a="1"/>
  <c r="T46" i="17" a="1"/>
  <c r="U46" i="17" a="1"/>
  <c r="V46" i="17" a="1"/>
  <c r="W46" i="17" a="1"/>
  <c r="X46" i="17" a="1"/>
  <c r="Y46" i="17" a="1"/>
  <c r="Z46" i="17" a="1"/>
  <c r="AA46" i="17" a="1"/>
  <c r="AB46" i="17" a="1"/>
  <c r="AC46" i="17" a="1"/>
  <c r="AD46" i="17" a="1"/>
  <c r="AE46" i="17" a="1"/>
  <c r="AF46" i="17" a="1"/>
  <c r="AG46" i="17" a="1"/>
  <c r="AH46" i="17" a="1"/>
  <c r="AI46" i="17" a="1"/>
  <c r="AJ46" i="17" a="1"/>
  <c r="AK46" i="17" a="1"/>
  <c r="AL46" i="17" a="1"/>
  <c r="AM46" i="17" a="1"/>
  <c r="AN46" i="17" a="1"/>
  <c r="AO46" i="17" a="1"/>
  <c r="AP46" i="17" a="1"/>
  <c r="AQ46" i="17" a="1"/>
  <c r="AR46" i="17" a="1"/>
  <c r="AS46" i="17" a="1"/>
  <c r="AT46" i="17" a="1"/>
  <c r="AU46" i="17" a="1"/>
  <c r="AV46" i="17" a="1"/>
  <c r="AW46" i="17" a="1"/>
  <c r="AX46" i="17" a="1"/>
  <c r="AY46" i="17" a="1"/>
  <c r="AZ46" i="17" a="1"/>
  <c r="BA46" i="17" a="1"/>
  <c r="BB46" i="17" a="1"/>
  <c r="BC46" i="17" a="1"/>
  <c r="BD46" i="17" a="1"/>
  <c r="BE46" i="17" a="1"/>
  <c r="BF46" i="17" a="1"/>
  <c r="BG46" i="17" a="1"/>
  <c r="BH46" i="17" a="1"/>
  <c r="BI46" i="17" a="1"/>
  <c r="BJ46" i="17" a="1"/>
  <c r="BK46" i="17" a="1"/>
  <c r="BL46" i="17" a="1"/>
  <c r="BM46" i="17" a="1"/>
  <c r="BN46" i="17" a="1"/>
  <c r="BO46" i="17" a="1"/>
  <c r="BP46" i="17" a="1"/>
  <c r="G46" i="17"/>
  <c r="H46" i="17"/>
  <c r="I46" i="17"/>
  <c r="J46" i="17"/>
  <c r="K46" i="17"/>
  <c r="L46" i="17"/>
  <c r="M46" i="17"/>
  <c r="N46" i="17"/>
  <c r="O46" i="17"/>
  <c r="P46" i="17"/>
  <c r="Q46" i="17"/>
  <c r="R46" i="17"/>
  <c r="S46" i="17"/>
  <c r="T46" i="17"/>
  <c r="U46" i="17"/>
  <c r="V46" i="17"/>
  <c r="W46" i="17"/>
  <c r="X46" i="17"/>
  <c r="Y46" i="17"/>
  <c r="Z46" i="17"/>
  <c r="AA46" i="17"/>
  <c r="AB46" i="17"/>
  <c r="AC46" i="17"/>
  <c r="AD46" i="17"/>
  <c r="AE46" i="17"/>
  <c r="AF46" i="17"/>
  <c r="AG46" i="17"/>
  <c r="AH46" i="17"/>
  <c r="AI46" i="17"/>
  <c r="AJ46" i="17"/>
  <c r="AK46" i="17"/>
  <c r="AL46" i="17"/>
  <c r="AM46" i="17"/>
  <c r="AN46" i="17"/>
  <c r="AO46" i="17"/>
  <c r="AP46" i="17"/>
  <c r="AQ46" i="17"/>
  <c r="AR46" i="17"/>
  <c r="AS46" i="17"/>
  <c r="AT46" i="17"/>
  <c r="AU46" i="17"/>
  <c r="AV46" i="17"/>
  <c r="AW46" i="17"/>
  <c r="AX46" i="17"/>
  <c r="AY46" i="17"/>
  <c r="AZ46" i="17"/>
  <c r="BA46" i="17"/>
  <c r="BB46" i="17"/>
  <c r="BC46" i="17"/>
  <c r="BD46" i="17"/>
  <c r="BE46" i="17"/>
  <c r="BF46" i="17"/>
  <c r="BG46" i="17"/>
  <c r="BH46" i="17"/>
  <c r="BI46" i="17"/>
  <c r="BJ46" i="17"/>
  <c r="BK46" i="17"/>
  <c r="BL46" i="17"/>
  <c r="BM46" i="17"/>
  <c r="BN46" i="17"/>
  <c r="BO46" i="17"/>
  <c r="BP46" i="17"/>
  <c r="AB22" i="17"/>
  <c r="W22" i="17"/>
  <c r="E36" i="17" a="1"/>
  <c r="E36" i="17"/>
  <c r="F36" i="17" a="1"/>
  <c r="F36" i="17"/>
  <c r="G36" i="17" a="1"/>
  <c r="H36" i="17" a="1"/>
  <c r="I36" i="17" a="1"/>
  <c r="J36" i="17" a="1"/>
  <c r="K36" i="17" a="1"/>
  <c r="L36" i="17" a="1"/>
  <c r="M36" i="17" a="1"/>
  <c r="N36" i="17" a="1"/>
  <c r="O36" i="17" a="1"/>
  <c r="P36" i="17" a="1"/>
  <c r="Q36" i="17" a="1"/>
  <c r="R36" i="17" a="1"/>
  <c r="S36" i="17" a="1"/>
  <c r="T36" i="17" a="1"/>
  <c r="U36" i="17" a="1"/>
  <c r="V36" i="17" a="1"/>
  <c r="W36" i="17" a="1"/>
  <c r="X36" i="17" a="1"/>
  <c r="Y36" i="17" a="1"/>
  <c r="Z36" i="17" a="1"/>
  <c r="AA36" i="17" a="1"/>
  <c r="AB36" i="17" a="1"/>
  <c r="AC36" i="17" a="1"/>
  <c r="AD36" i="17" a="1"/>
  <c r="AE36" i="17" a="1"/>
  <c r="AF36" i="17" a="1"/>
  <c r="AG36" i="17" a="1"/>
  <c r="AH36" i="17" a="1"/>
  <c r="AI36" i="17" a="1"/>
  <c r="AJ36" i="17" a="1"/>
  <c r="AK36" i="17" a="1"/>
  <c r="AL36" i="17" a="1"/>
  <c r="AM36" i="17" a="1"/>
  <c r="AN36" i="17" a="1"/>
  <c r="AO36" i="17" a="1"/>
  <c r="AP36" i="17" a="1"/>
  <c r="AQ36" i="17" a="1"/>
  <c r="AR36" i="17" a="1"/>
  <c r="AS36" i="17" a="1"/>
  <c r="AT36" i="17" a="1"/>
  <c r="AU36" i="17" a="1"/>
  <c r="AV36" i="17" a="1"/>
  <c r="AW36" i="17" a="1"/>
  <c r="AX36" i="17" a="1"/>
  <c r="AY36" i="17" a="1"/>
  <c r="AZ36" i="17" a="1"/>
  <c r="BA36" i="17" a="1"/>
  <c r="BB36" i="17" a="1"/>
  <c r="BC36" i="17" a="1"/>
  <c r="BD36" i="17" a="1"/>
  <c r="BE36" i="17" a="1"/>
  <c r="BF36" i="17" a="1"/>
  <c r="BG36" i="17" a="1"/>
  <c r="BH36" i="17" a="1"/>
  <c r="BI36" i="17" a="1"/>
  <c r="BJ36" i="17" a="1"/>
  <c r="BK36" i="17" a="1"/>
  <c r="BL36" i="17" a="1"/>
  <c r="BM36" i="17" a="1"/>
  <c r="BN36" i="17" a="1"/>
  <c r="BO36" i="17" a="1"/>
  <c r="BP36" i="17" a="1"/>
  <c r="G36" i="17"/>
  <c r="H36" i="17"/>
  <c r="I36" i="17"/>
  <c r="J36" i="17"/>
  <c r="K36" i="17"/>
  <c r="L36" i="17"/>
  <c r="M36" i="17"/>
  <c r="N36" i="17"/>
  <c r="O36" i="17"/>
  <c r="P36" i="17"/>
  <c r="Q36" i="17"/>
  <c r="R36" i="17"/>
  <c r="S36" i="17"/>
  <c r="T36" i="17"/>
  <c r="U36" i="17"/>
  <c r="V36" i="17"/>
  <c r="W36" i="17"/>
  <c r="X36" i="17"/>
  <c r="Y36" i="17"/>
  <c r="Z36" i="17"/>
  <c r="AA36" i="17"/>
  <c r="AB36" i="17"/>
  <c r="AC36" i="17"/>
  <c r="AD36" i="17"/>
  <c r="AE36" i="17"/>
  <c r="AF36" i="17"/>
  <c r="AG36" i="17"/>
  <c r="AH36" i="17"/>
  <c r="AI36" i="17"/>
  <c r="AJ36" i="17"/>
  <c r="AK36" i="17"/>
  <c r="AL36" i="17"/>
  <c r="AM36" i="17"/>
  <c r="AN36" i="17"/>
  <c r="AO36" i="17"/>
  <c r="AP36" i="17"/>
  <c r="AQ36" i="17"/>
  <c r="AR36" i="17"/>
  <c r="AS36" i="17"/>
  <c r="AT36" i="17"/>
  <c r="AU36" i="17"/>
  <c r="AV36" i="17"/>
  <c r="AW36" i="17"/>
  <c r="AX36" i="17"/>
  <c r="AY36" i="17"/>
  <c r="AZ36" i="17"/>
  <c r="BA36" i="17"/>
  <c r="BB36" i="17"/>
  <c r="BC36" i="17"/>
  <c r="BD36" i="17"/>
  <c r="BE36" i="17"/>
  <c r="BF36" i="17"/>
  <c r="BG36" i="17"/>
  <c r="BH36" i="17"/>
  <c r="BI36" i="17"/>
  <c r="BJ36" i="17"/>
  <c r="BK36" i="17"/>
  <c r="BL36" i="17"/>
  <c r="BM36" i="17"/>
  <c r="BN36" i="17"/>
  <c r="BO36" i="17"/>
  <c r="BP36" i="17"/>
  <c r="AA23" i="17"/>
  <c r="E47" i="17" a="1"/>
  <c r="E47" i="17"/>
  <c r="F47" i="17" a="1"/>
  <c r="F47" i="17"/>
  <c r="G47" i="17" a="1"/>
  <c r="H47" i="17" a="1"/>
  <c r="I47" i="17" a="1"/>
  <c r="J47" i="17" a="1"/>
  <c r="K47" i="17" a="1"/>
  <c r="L47" i="17" a="1"/>
  <c r="M47" i="17" a="1"/>
  <c r="N47" i="17" a="1"/>
  <c r="O47" i="17" a="1"/>
  <c r="P47" i="17" a="1"/>
  <c r="Q47" i="17" a="1"/>
  <c r="R47" i="17" a="1"/>
  <c r="S47" i="17" a="1"/>
  <c r="T47" i="17" a="1"/>
  <c r="U47" i="17" a="1"/>
  <c r="V47" i="17" a="1"/>
  <c r="W47" i="17" a="1"/>
  <c r="X47" i="17" a="1"/>
  <c r="Y47" i="17" a="1"/>
  <c r="Z47" i="17" a="1"/>
  <c r="AA47" i="17" a="1"/>
  <c r="AB47" i="17" a="1"/>
  <c r="AC47" i="17" a="1"/>
  <c r="AD47" i="17" a="1"/>
  <c r="AE47" i="17" a="1"/>
  <c r="AF47" i="17" a="1"/>
  <c r="AG47" i="17" a="1"/>
  <c r="AH47" i="17" a="1"/>
  <c r="AI47" i="17" a="1"/>
  <c r="AJ47" i="17" a="1"/>
  <c r="AK47" i="17" a="1"/>
  <c r="AL47" i="17" a="1"/>
  <c r="AM47" i="17" a="1"/>
  <c r="AN47" i="17" a="1"/>
  <c r="AO47" i="17" a="1"/>
  <c r="AP47" i="17" a="1"/>
  <c r="AQ47" i="17" a="1"/>
  <c r="AR47" i="17" a="1"/>
  <c r="AS47" i="17" a="1"/>
  <c r="AT47" i="17" a="1"/>
  <c r="AU47" i="17" a="1"/>
  <c r="AV47" i="17" a="1"/>
  <c r="AW47" i="17" a="1"/>
  <c r="AX47" i="17" a="1"/>
  <c r="AY47" i="17" a="1"/>
  <c r="AZ47" i="17" a="1"/>
  <c r="BA47" i="17" a="1"/>
  <c r="BB47" i="17" a="1"/>
  <c r="BC47" i="17" a="1"/>
  <c r="BD47" i="17" a="1"/>
  <c r="BE47" i="17" a="1"/>
  <c r="BF47" i="17" a="1"/>
  <c r="BG47" i="17" a="1"/>
  <c r="BH47" i="17" a="1"/>
  <c r="BI47" i="17" a="1"/>
  <c r="BJ47" i="17" a="1"/>
  <c r="BK47" i="17" a="1"/>
  <c r="BL47" i="17" a="1"/>
  <c r="BM47" i="17" a="1"/>
  <c r="BN47" i="17" a="1"/>
  <c r="BO47" i="17" a="1"/>
  <c r="BP47" i="17" a="1"/>
  <c r="G47" i="17"/>
  <c r="H47" i="17"/>
  <c r="I47" i="17"/>
  <c r="J47" i="17"/>
  <c r="K47" i="17"/>
  <c r="L47" i="17"/>
  <c r="M47" i="17"/>
  <c r="N47" i="17"/>
  <c r="O47" i="17"/>
  <c r="P47" i="17"/>
  <c r="Q47" i="17"/>
  <c r="R47" i="17"/>
  <c r="S47" i="17"/>
  <c r="T47" i="17"/>
  <c r="U47" i="17"/>
  <c r="V47" i="17"/>
  <c r="W47" i="17"/>
  <c r="X47" i="17"/>
  <c r="Y47" i="17"/>
  <c r="Z47" i="17"/>
  <c r="AA47" i="17"/>
  <c r="AB47" i="17"/>
  <c r="AC47" i="17"/>
  <c r="AD47" i="17"/>
  <c r="AE47" i="17"/>
  <c r="AF47" i="17"/>
  <c r="AG47" i="17"/>
  <c r="AH47" i="17"/>
  <c r="AI47" i="17"/>
  <c r="AJ47" i="17"/>
  <c r="AK47" i="17"/>
  <c r="AL47" i="17"/>
  <c r="AM47" i="17"/>
  <c r="AN47" i="17"/>
  <c r="AO47" i="17"/>
  <c r="AP47" i="17"/>
  <c r="AQ47" i="17"/>
  <c r="AR47" i="17"/>
  <c r="AS47" i="17"/>
  <c r="AT47" i="17"/>
  <c r="AU47" i="17"/>
  <c r="AV47" i="17"/>
  <c r="AW47" i="17"/>
  <c r="AX47" i="17"/>
  <c r="AY47" i="17"/>
  <c r="AZ47" i="17"/>
  <c r="BA47" i="17"/>
  <c r="BB47" i="17"/>
  <c r="BC47" i="17"/>
  <c r="BD47" i="17"/>
  <c r="BE47" i="17"/>
  <c r="BF47" i="17"/>
  <c r="BG47" i="17"/>
  <c r="BH47" i="17"/>
  <c r="BI47" i="17"/>
  <c r="BJ47" i="17"/>
  <c r="BK47" i="17"/>
  <c r="BL47" i="17"/>
  <c r="BM47" i="17"/>
  <c r="BN47" i="17"/>
  <c r="BO47" i="17"/>
  <c r="BP47" i="17"/>
  <c r="AB23" i="17"/>
  <c r="W23" i="17"/>
  <c r="E37" i="17" a="1"/>
  <c r="E37" i="17"/>
  <c r="F37" i="17" a="1"/>
  <c r="F37" i="17"/>
  <c r="G37" i="17" a="1"/>
  <c r="H37" i="17" a="1"/>
  <c r="I37" i="17" a="1"/>
  <c r="J37" i="17" a="1"/>
  <c r="K37" i="17" a="1"/>
  <c r="L37" i="17" a="1"/>
  <c r="M37" i="17" a="1"/>
  <c r="N37" i="17" a="1"/>
  <c r="O37" i="17" a="1"/>
  <c r="P37" i="17" a="1"/>
  <c r="Q37" i="17" a="1"/>
  <c r="R37" i="17" a="1"/>
  <c r="S37" i="17" a="1"/>
  <c r="T37" i="17" a="1"/>
  <c r="U37" i="17" a="1"/>
  <c r="V37" i="17" a="1"/>
  <c r="W37" i="17" a="1"/>
  <c r="X37" i="17" a="1"/>
  <c r="Y37" i="17" a="1"/>
  <c r="Z37" i="17" a="1"/>
  <c r="AA37" i="17" a="1"/>
  <c r="AB37" i="17" a="1"/>
  <c r="AC37" i="17" a="1"/>
  <c r="AD37" i="17" a="1"/>
  <c r="AE37" i="17" a="1"/>
  <c r="AF37" i="17" a="1"/>
  <c r="AG37" i="17" a="1"/>
  <c r="AH37" i="17" a="1"/>
  <c r="AI37" i="17" a="1"/>
  <c r="AJ37" i="17" a="1"/>
  <c r="AK37" i="17" a="1"/>
  <c r="AL37" i="17" a="1"/>
  <c r="AM37" i="17" a="1"/>
  <c r="AN37" i="17" a="1"/>
  <c r="AO37" i="17" a="1"/>
  <c r="AP37" i="17" a="1"/>
  <c r="AQ37" i="17" a="1"/>
  <c r="AR37" i="17" a="1"/>
  <c r="AS37" i="17" a="1"/>
  <c r="AT37" i="17" a="1"/>
  <c r="AU37" i="17" a="1"/>
  <c r="AV37" i="17" a="1"/>
  <c r="AW37" i="17" a="1"/>
  <c r="AX37" i="17" a="1"/>
  <c r="AY37" i="17" a="1"/>
  <c r="AZ37" i="17" a="1"/>
  <c r="BA37" i="17" a="1"/>
  <c r="BB37" i="17" a="1"/>
  <c r="BC37" i="17" a="1"/>
  <c r="BD37" i="17" a="1"/>
  <c r="BE37" i="17" a="1"/>
  <c r="BF37" i="17" a="1"/>
  <c r="BG37" i="17" a="1"/>
  <c r="BH37" i="17" a="1"/>
  <c r="BI37" i="17" a="1"/>
  <c r="BJ37" i="17" a="1"/>
  <c r="BK37" i="17" a="1"/>
  <c r="BL37" i="17" a="1"/>
  <c r="BM37" i="17" a="1"/>
  <c r="BN37" i="17" a="1"/>
  <c r="BO37" i="17" a="1"/>
  <c r="BP37" i="17" a="1"/>
  <c r="G37" i="17"/>
  <c r="H37" i="17"/>
  <c r="I37" i="17"/>
  <c r="J37" i="17"/>
  <c r="K37" i="17"/>
  <c r="L37" i="17"/>
  <c r="M37" i="17"/>
  <c r="N37" i="17"/>
  <c r="O37" i="17"/>
  <c r="P37" i="17"/>
  <c r="Q37" i="17"/>
  <c r="R37" i="17"/>
  <c r="S37" i="17"/>
  <c r="T37" i="17"/>
  <c r="U37" i="17"/>
  <c r="V37" i="17"/>
  <c r="W37" i="17"/>
  <c r="X37" i="17"/>
  <c r="Y37" i="17"/>
  <c r="Z37" i="17"/>
  <c r="AA37" i="17"/>
  <c r="AB37" i="17"/>
  <c r="AC37" i="17"/>
  <c r="AD37" i="17"/>
  <c r="AE37" i="17"/>
  <c r="AF37" i="17"/>
  <c r="AG37" i="17"/>
  <c r="AH37" i="17"/>
  <c r="AI37" i="17"/>
  <c r="AJ37" i="17"/>
  <c r="AK37" i="17"/>
  <c r="AL37" i="17"/>
  <c r="AM37" i="17"/>
  <c r="AN37" i="17"/>
  <c r="AO37" i="17"/>
  <c r="AP37" i="17"/>
  <c r="AQ37" i="17"/>
  <c r="AR37" i="17"/>
  <c r="AS37" i="17"/>
  <c r="AT37" i="17"/>
  <c r="AU37" i="17"/>
  <c r="AV37" i="17"/>
  <c r="AW37" i="17"/>
  <c r="AX37" i="17"/>
  <c r="AY37" i="17"/>
  <c r="AZ37" i="17"/>
  <c r="BA37" i="17"/>
  <c r="BB37" i="17"/>
  <c r="BC37" i="17"/>
  <c r="BD37" i="17"/>
  <c r="BE37" i="17"/>
  <c r="BF37" i="17"/>
  <c r="BG37" i="17"/>
  <c r="BH37" i="17"/>
  <c r="BI37" i="17"/>
  <c r="BJ37" i="17"/>
  <c r="BK37" i="17"/>
  <c r="BL37" i="17"/>
  <c r="BM37" i="17"/>
  <c r="BN37" i="17"/>
  <c r="BO37" i="17"/>
  <c r="BP37" i="17"/>
  <c r="AA24" i="17"/>
  <c r="E48" i="17" a="1"/>
  <c r="E48" i="17"/>
  <c r="F48" i="17" a="1"/>
  <c r="F48" i="17"/>
  <c r="G48" i="17" a="1"/>
  <c r="H48" i="17" a="1"/>
  <c r="I48" i="17" a="1"/>
  <c r="J48" i="17" a="1"/>
  <c r="K48" i="17" a="1"/>
  <c r="L48" i="17" a="1"/>
  <c r="M48" i="17" a="1"/>
  <c r="N48" i="17" a="1"/>
  <c r="O48" i="17" a="1"/>
  <c r="P48" i="17" a="1"/>
  <c r="Q48" i="17" a="1"/>
  <c r="R48" i="17" a="1"/>
  <c r="S48" i="17" a="1"/>
  <c r="T48" i="17" a="1"/>
  <c r="U48" i="17" a="1"/>
  <c r="V48" i="17" a="1"/>
  <c r="W48" i="17" a="1"/>
  <c r="X48" i="17" a="1"/>
  <c r="Y48" i="17" a="1"/>
  <c r="Z48" i="17" a="1"/>
  <c r="AA48" i="17" a="1"/>
  <c r="AB48" i="17" a="1"/>
  <c r="AC48" i="17" a="1"/>
  <c r="AD48" i="17" a="1"/>
  <c r="AE48" i="17" a="1"/>
  <c r="AF48" i="17" a="1"/>
  <c r="AG48" i="17" a="1"/>
  <c r="AH48" i="17" a="1"/>
  <c r="AI48" i="17" a="1"/>
  <c r="AJ48" i="17" a="1"/>
  <c r="AK48" i="17" a="1"/>
  <c r="AL48" i="17" a="1"/>
  <c r="AM48" i="17" a="1"/>
  <c r="AN48" i="17" a="1"/>
  <c r="AO48" i="17" a="1"/>
  <c r="AP48" i="17" a="1"/>
  <c r="AQ48" i="17" a="1"/>
  <c r="AR48" i="17" a="1"/>
  <c r="AS48" i="17" a="1"/>
  <c r="AT48" i="17" a="1"/>
  <c r="AU48" i="17" a="1"/>
  <c r="AV48" i="17" a="1"/>
  <c r="AW48" i="17" a="1"/>
  <c r="AX48" i="17" a="1"/>
  <c r="AY48" i="17" a="1"/>
  <c r="AZ48" i="17" a="1"/>
  <c r="BA48" i="17" a="1"/>
  <c r="BB48" i="17" a="1"/>
  <c r="BC48" i="17" a="1"/>
  <c r="BD48" i="17" a="1"/>
  <c r="BE48" i="17" a="1"/>
  <c r="BF48" i="17" a="1"/>
  <c r="BG48" i="17" a="1"/>
  <c r="BH48" i="17" a="1"/>
  <c r="BI48" i="17" a="1"/>
  <c r="BJ48" i="17" a="1"/>
  <c r="BK48" i="17" a="1"/>
  <c r="BL48" i="17" a="1"/>
  <c r="BM48" i="17" a="1"/>
  <c r="BN48" i="17" a="1"/>
  <c r="BO48" i="17" a="1"/>
  <c r="BP48" i="17" a="1"/>
  <c r="G48" i="17"/>
  <c r="H48" i="17"/>
  <c r="I48" i="17"/>
  <c r="J48" i="17"/>
  <c r="K48" i="17"/>
  <c r="L48" i="17"/>
  <c r="M48" i="17"/>
  <c r="N48" i="17"/>
  <c r="O48" i="17"/>
  <c r="P48" i="17"/>
  <c r="Q48" i="17"/>
  <c r="R48" i="17"/>
  <c r="S48" i="17"/>
  <c r="T48" i="17"/>
  <c r="U48" i="17"/>
  <c r="V48" i="17"/>
  <c r="W48" i="17"/>
  <c r="X48" i="17"/>
  <c r="Y48" i="17"/>
  <c r="Z48" i="17"/>
  <c r="AA48" i="17"/>
  <c r="AB48" i="17"/>
  <c r="AC48" i="17"/>
  <c r="AD48" i="17"/>
  <c r="AE48" i="17"/>
  <c r="AF48" i="17"/>
  <c r="AG48" i="17"/>
  <c r="AH48" i="17"/>
  <c r="AI48" i="17"/>
  <c r="AJ48" i="17"/>
  <c r="AK48" i="17"/>
  <c r="AL48" i="17"/>
  <c r="AM48" i="17"/>
  <c r="AN48" i="17"/>
  <c r="AO48" i="17"/>
  <c r="AP48" i="17"/>
  <c r="AQ48" i="17"/>
  <c r="AR48" i="17"/>
  <c r="AS48" i="17"/>
  <c r="AT48" i="17"/>
  <c r="AU48" i="17"/>
  <c r="AV48" i="17"/>
  <c r="AW48" i="17"/>
  <c r="AX48" i="17"/>
  <c r="AY48" i="17"/>
  <c r="AZ48" i="17"/>
  <c r="BA48" i="17"/>
  <c r="BB48" i="17"/>
  <c r="BC48" i="17"/>
  <c r="BD48" i="17"/>
  <c r="BE48" i="17"/>
  <c r="BF48" i="17"/>
  <c r="BG48" i="17"/>
  <c r="BH48" i="17"/>
  <c r="BI48" i="17"/>
  <c r="BJ48" i="17"/>
  <c r="BK48" i="17"/>
  <c r="BL48" i="17"/>
  <c r="BM48" i="17"/>
  <c r="BN48" i="17"/>
  <c r="BO48" i="17"/>
  <c r="BP48" i="17"/>
  <c r="AB24" i="17"/>
  <c r="W24" i="17"/>
  <c r="E38" i="17" a="1"/>
  <c r="E38" i="17"/>
  <c r="F38" i="17" a="1"/>
  <c r="F38" i="17"/>
  <c r="G38" i="17" a="1"/>
  <c r="H38" i="17" a="1"/>
  <c r="I38" i="17" a="1"/>
  <c r="J38" i="17" a="1"/>
  <c r="K38" i="17" a="1"/>
  <c r="L38" i="17" a="1"/>
  <c r="M38" i="17" a="1"/>
  <c r="N38" i="17" a="1"/>
  <c r="O38" i="17" a="1"/>
  <c r="P38" i="17" a="1"/>
  <c r="Q38" i="17" a="1"/>
  <c r="R38" i="17" a="1"/>
  <c r="S38" i="17" a="1"/>
  <c r="T38" i="17" a="1"/>
  <c r="U38" i="17" a="1"/>
  <c r="V38" i="17" a="1"/>
  <c r="W38" i="17" a="1"/>
  <c r="X38" i="17" a="1"/>
  <c r="Y38" i="17" a="1"/>
  <c r="Z38" i="17" a="1"/>
  <c r="AA38" i="17" a="1"/>
  <c r="AB38" i="17" a="1"/>
  <c r="AC38" i="17" a="1"/>
  <c r="AD38" i="17" a="1"/>
  <c r="AE38" i="17" a="1"/>
  <c r="AF38" i="17" a="1"/>
  <c r="AG38" i="17" a="1"/>
  <c r="AH38" i="17" a="1"/>
  <c r="AI38" i="17" a="1"/>
  <c r="AJ38" i="17" a="1"/>
  <c r="AK38" i="17" a="1"/>
  <c r="AL38" i="17" a="1"/>
  <c r="AM38" i="17" a="1"/>
  <c r="AN38" i="17" a="1"/>
  <c r="AO38" i="17" a="1"/>
  <c r="AP38" i="17" a="1"/>
  <c r="AQ38" i="17" a="1"/>
  <c r="AR38" i="17" a="1"/>
  <c r="AS38" i="17" a="1"/>
  <c r="AT38" i="17" a="1"/>
  <c r="AU38" i="17" a="1"/>
  <c r="AV38" i="17" a="1"/>
  <c r="AW38" i="17" a="1"/>
  <c r="AX38" i="17" a="1"/>
  <c r="AY38" i="17" a="1"/>
  <c r="AZ38" i="17" a="1"/>
  <c r="BA38" i="17" a="1"/>
  <c r="BB38" i="17" a="1"/>
  <c r="BC38" i="17" a="1"/>
  <c r="BD38" i="17" a="1"/>
  <c r="BE38" i="17" a="1"/>
  <c r="BF38" i="17" a="1"/>
  <c r="BG38" i="17" a="1"/>
  <c r="BH38" i="17" a="1"/>
  <c r="BI38" i="17" a="1"/>
  <c r="BJ38" i="17" a="1"/>
  <c r="BK38" i="17" a="1"/>
  <c r="BL38" i="17" a="1"/>
  <c r="BM38" i="17" a="1"/>
  <c r="BN38" i="17" a="1"/>
  <c r="BO38" i="17" a="1"/>
  <c r="BP38" i="17" a="1"/>
  <c r="G38" i="17"/>
  <c r="H38" i="17"/>
  <c r="I38" i="17"/>
  <c r="J38" i="17"/>
  <c r="K38" i="17"/>
  <c r="L38" i="17"/>
  <c r="M38" i="17"/>
  <c r="N38" i="17"/>
  <c r="O38" i="17"/>
  <c r="P38" i="17"/>
  <c r="Q38" i="17"/>
  <c r="R38" i="17"/>
  <c r="S38" i="17"/>
  <c r="T38" i="17"/>
  <c r="U38" i="17"/>
  <c r="V38" i="17"/>
  <c r="W38" i="17"/>
  <c r="X38" i="17"/>
  <c r="Y38" i="17"/>
  <c r="Z38" i="17"/>
  <c r="AA38" i="17"/>
  <c r="AB38" i="17"/>
  <c r="AC38" i="17"/>
  <c r="AD38" i="17"/>
  <c r="AE38" i="17"/>
  <c r="AF38" i="17"/>
  <c r="AG38" i="17"/>
  <c r="AH38" i="17"/>
  <c r="AI38" i="17"/>
  <c r="AJ38" i="17"/>
  <c r="AK38" i="17"/>
  <c r="AL38" i="17"/>
  <c r="AM38" i="17"/>
  <c r="AN38" i="17"/>
  <c r="AO38" i="17"/>
  <c r="AP38" i="17"/>
  <c r="AQ38" i="17"/>
  <c r="AR38" i="17"/>
  <c r="AS38" i="17"/>
  <c r="AT38" i="17"/>
  <c r="AU38" i="17"/>
  <c r="AV38" i="17"/>
  <c r="AW38" i="17"/>
  <c r="AX38" i="17"/>
  <c r="AY38" i="17"/>
  <c r="AZ38" i="17"/>
  <c r="BA38" i="17"/>
  <c r="BB38" i="17"/>
  <c r="BC38" i="17"/>
  <c r="BD38" i="17"/>
  <c r="BE38" i="17"/>
  <c r="BF38" i="17"/>
  <c r="BG38" i="17"/>
  <c r="BH38" i="17"/>
  <c r="BI38" i="17"/>
  <c r="BJ38" i="17"/>
  <c r="BK38" i="17"/>
  <c r="BL38" i="17"/>
  <c r="BM38" i="17"/>
  <c r="BN38" i="17"/>
  <c r="BO38" i="17"/>
  <c r="BP38" i="17"/>
  <c r="AA25" i="17"/>
  <c r="E49" i="17" a="1"/>
  <c r="E49" i="17"/>
  <c r="F49" i="17" a="1"/>
  <c r="F49" i="17"/>
  <c r="G49" i="17" a="1"/>
  <c r="H49" i="17" a="1"/>
  <c r="I49" i="17" a="1"/>
  <c r="J49" i="17" a="1"/>
  <c r="K49" i="17" a="1"/>
  <c r="L49" i="17" a="1"/>
  <c r="M49" i="17" a="1"/>
  <c r="N49" i="17" a="1"/>
  <c r="O49" i="17" a="1"/>
  <c r="P49" i="17" a="1"/>
  <c r="Q49" i="17" a="1"/>
  <c r="R49" i="17" a="1"/>
  <c r="S49" i="17" a="1"/>
  <c r="T49" i="17" a="1"/>
  <c r="U49" i="17" a="1"/>
  <c r="V49" i="17" a="1"/>
  <c r="W49" i="17" a="1"/>
  <c r="X49" i="17" a="1"/>
  <c r="Y49" i="17" a="1"/>
  <c r="Z49" i="17" a="1"/>
  <c r="AA49" i="17" a="1"/>
  <c r="AB49" i="17" a="1"/>
  <c r="AC49" i="17" a="1"/>
  <c r="AD49" i="17" a="1"/>
  <c r="AE49" i="17" a="1"/>
  <c r="AF49" i="17" a="1"/>
  <c r="AG49" i="17" a="1"/>
  <c r="AH49" i="17" a="1"/>
  <c r="AI49" i="17" a="1"/>
  <c r="AJ49" i="17" a="1"/>
  <c r="AK49" i="17" a="1"/>
  <c r="AL49" i="17" a="1"/>
  <c r="AM49" i="17" a="1"/>
  <c r="AN49" i="17" a="1"/>
  <c r="AO49" i="17" a="1"/>
  <c r="AP49" i="17" a="1"/>
  <c r="AQ49" i="17" a="1"/>
  <c r="AR49" i="17" a="1"/>
  <c r="AS49" i="17" a="1"/>
  <c r="AT49" i="17" a="1"/>
  <c r="AU49" i="17" a="1"/>
  <c r="AV49" i="17" a="1"/>
  <c r="AW49" i="17" a="1"/>
  <c r="AX49" i="17" a="1"/>
  <c r="AY49" i="17" a="1"/>
  <c r="AZ49" i="17" a="1"/>
  <c r="BA49" i="17" a="1"/>
  <c r="BB49" i="17" a="1"/>
  <c r="BC49" i="17" a="1"/>
  <c r="BD49" i="17" a="1"/>
  <c r="BE49" i="17" a="1"/>
  <c r="BF49" i="17" a="1"/>
  <c r="BG49" i="17" a="1"/>
  <c r="BH49" i="17" a="1"/>
  <c r="BI49" i="17" a="1"/>
  <c r="BJ49" i="17" a="1"/>
  <c r="BK49" i="17" a="1"/>
  <c r="BL49" i="17" a="1"/>
  <c r="BM49" i="17" a="1"/>
  <c r="BN49" i="17" a="1"/>
  <c r="BO49" i="17" a="1"/>
  <c r="BP49" i="17" a="1"/>
  <c r="G49" i="17"/>
  <c r="H49" i="17"/>
  <c r="I49" i="17"/>
  <c r="J49" i="17"/>
  <c r="K49" i="17"/>
  <c r="L49" i="17"/>
  <c r="M49" i="17"/>
  <c r="N49" i="17"/>
  <c r="O49" i="17"/>
  <c r="P49" i="17"/>
  <c r="Q49" i="17"/>
  <c r="R49" i="17"/>
  <c r="S49" i="17"/>
  <c r="T49" i="17"/>
  <c r="U49" i="17"/>
  <c r="V49" i="17"/>
  <c r="W49" i="17"/>
  <c r="X49" i="17"/>
  <c r="Y49" i="17"/>
  <c r="Z49" i="17"/>
  <c r="AA49" i="17"/>
  <c r="AB49" i="17"/>
  <c r="AC49" i="17"/>
  <c r="AD49" i="17"/>
  <c r="AE49" i="17"/>
  <c r="AF49" i="17"/>
  <c r="AG49" i="17"/>
  <c r="AH49" i="17"/>
  <c r="AI49" i="17"/>
  <c r="AJ49" i="17"/>
  <c r="AK49" i="17"/>
  <c r="AL49" i="17"/>
  <c r="AM49" i="17"/>
  <c r="AN49" i="17"/>
  <c r="AO49" i="17"/>
  <c r="AP49" i="17"/>
  <c r="AQ49" i="17"/>
  <c r="AR49" i="17"/>
  <c r="AS49" i="17"/>
  <c r="AT49" i="17"/>
  <c r="AU49" i="17"/>
  <c r="AV49" i="17"/>
  <c r="AW49" i="17"/>
  <c r="AX49" i="17"/>
  <c r="AY49" i="17"/>
  <c r="AZ49" i="17"/>
  <c r="BA49" i="17"/>
  <c r="BB49" i="17"/>
  <c r="BC49" i="17"/>
  <c r="BD49" i="17"/>
  <c r="BE49" i="17"/>
  <c r="BF49" i="17"/>
  <c r="BG49" i="17"/>
  <c r="BH49" i="17"/>
  <c r="BI49" i="17"/>
  <c r="BJ49" i="17"/>
  <c r="BK49" i="17"/>
  <c r="BL49" i="17"/>
  <c r="BM49" i="17"/>
  <c r="BN49" i="17"/>
  <c r="BO49" i="17"/>
  <c r="BP49" i="17"/>
  <c r="AB25" i="17"/>
  <c r="W25" i="17"/>
  <c r="I12" i="31"/>
  <c r="K12" i="31"/>
  <c r="AC12" i="31"/>
  <c r="AD12" i="31"/>
  <c r="U12" i="31"/>
  <c r="I13" i="31"/>
  <c r="K13" i="31"/>
  <c r="AC13" i="31"/>
  <c r="AD13" i="31"/>
  <c r="U13" i="31"/>
  <c r="I14" i="31"/>
  <c r="K14" i="31"/>
  <c r="AC14" i="31"/>
  <c r="AD14" i="31"/>
  <c r="U14" i="31"/>
  <c r="I15" i="31"/>
  <c r="K15" i="31"/>
  <c r="AC15" i="31"/>
  <c r="AD15" i="31"/>
  <c r="U15" i="31"/>
  <c r="I16" i="31"/>
  <c r="K16" i="31"/>
  <c r="AC16" i="31"/>
  <c r="AD16" i="31"/>
  <c r="U16" i="31"/>
  <c r="I17" i="31"/>
  <c r="K17" i="31"/>
  <c r="AC17" i="31"/>
  <c r="AD17" i="31"/>
  <c r="U17" i="31"/>
  <c r="AD17" i="17"/>
  <c r="Y17" i="17"/>
  <c r="X17" i="17"/>
  <c r="AD18" i="17"/>
  <c r="Y18" i="17"/>
  <c r="X18" i="17"/>
  <c r="AD19" i="17"/>
  <c r="Y19" i="17"/>
  <c r="X19" i="17"/>
  <c r="AD20" i="17"/>
  <c r="Y20" i="17"/>
  <c r="X20" i="17"/>
  <c r="AD21" i="17"/>
  <c r="Y21" i="17"/>
  <c r="X21" i="17"/>
  <c r="AD22" i="17"/>
  <c r="Y22" i="17"/>
  <c r="X22" i="17"/>
  <c r="X23" i="17"/>
  <c r="X24" i="17"/>
  <c r="X25" i="17"/>
  <c r="E4" i="17"/>
  <c r="D4" i="17"/>
  <c r="E5" i="17"/>
  <c r="D5" i="17"/>
  <c r="E6" i="17"/>
  <c r="D6" i="17"/>
  <c r="E7" i="17"/>
  <c r="D7" i="17"/>
  <c r="E8" i="17"/>
  <c r="D8" i="17"/>
  <c r="E9" i="17"/>
  <c r="D9" i="17"/>
  <c r="E10" i="17"/>
  <c r="D10" i="17"/>
  <c r="E11" i="17"/>
  <c r="D11" i="17"/>
  <c r="E12" i="17"/>
  <c r="D12" i="17"/>
  <c r="C4" i="17"/>
  <c r="C5" i="17"/>
  <c r="X22" i="6"/>
  <c r="G13" i="37"/>
  <c r="V64" i="34"/>
  <c r="AJ64" i="34"/>
  <c r="W64" i="34"/>
  <c r="AA64" i="34"/>
  <c r="V65" i="34"/>
  <c r="V66" i="34"/>
  <c r="V67" i="34"/>
  <c r="V68" i="34"/>
  <c r="V69" i="34"/>
  <c r="V70" i="34"/>
  <c r="V71" i="34"/>
  <c r="V72" i="34"/>
  <c r="V73" i="34"/>
  <c r="V74" i="34"/>
  <c r="V75" i="34"/>
  <c r="V76" i="34"/>
  <c r="V77" i="34"/>
  <c r="V78" i="34"/>
  <c r="V79" i="34"/>
  <c r="V80" i="34"/>
  <c r="V81" i="34"/>
  <c r="V82" i="34"/>
  <c r="V83" i="34"/>
  <c r="V84" i="34"/>
  <c r="V85" i="34"/>
  <c r="V86" i="34"/>
  <c r="V87" i="34"/>
  <c r="V88" i="34"/>
  <c r="V89" i="34"/>
  <c r="V90" i="34"/>
  <c r="V91" i="34"/>
  <c r="V92" i="34"/>
  <c r="V93" i="34"/>
  <c r="AJ65" i="34"/>
  <c r="AJ66" i="34"/>
  <c r="AJ67" i="34"/>
  <c r="AJ68" i="34"/>
  <c r="AJ69" i="34"/>
  <c r="AJ70" i="34"/>
  <c r="AJ71" i="34"/>
  <c r="AJ72" i="34"/>
  <c r="AJ73" i="34"/>
  <c r="AJ74" i="34"/>
  <c r="AJ75" i="34"/>
  <c r="AJ76" i="34"/>
  <c r="AJ77" i="34"/>
  <c r="AJ78" i="34"/>
  <c r="AJ79" i="34"/>
  <c r="AJ80" i="34"/>
  <c r="AJ81" i="34"/>
  <c r="AJ82" i="34"/>
  <c r="AJ83" i="34"/>
  <c r="AJ84" i="34"/>
  <c r="AJ85" i="34"/>
  <c r="AJ86" i="34"/>
  <c r="AJ87" i="34"/>
  <c r="AJ88" i="34"/>
  <c r="AJ89" i="34"/>
  <c r="AJ90" i="34"/>
  <c r="AJ91" i="34"/>
  <c r="AJ92" i="34"/>
  <c r="AJ93" i="34"/>
  <c r="W65" i="34"/>
  <c r="AA65" i="34"/>
  <c r="W66" i="34"/>
  <c r="AA66" i="34"/>
  <c r="W67" i="34"/>
  <c r="AA67" i="34"/>
  <c r="W68" i="34"/>
  <c r="AA68" i="34"/>
  <c r="W69" i="34"/>
  <c r="AA69" i="34"/>
  <c r="W70" i="34"/>
  <c r="AA70" i="34"/>
  <c r="W71" i="34"/>
  <c r="AA71" i="34"/>
  <c r="W72" i="34"/>
  <c r="AA72" i="34"/>
  <c r="W73" i="34"/>
  <c r="AA73" i="34"/>
  <c r="W74" i="34"/>
  <c r="AA74" i="34"/>
  <c r="W75" i="34"/>
  <c r="AA75" i="34"/>
  <c r="W76" i="34"/>
  <c r="AA76" i="34"/>
  <c r="W77" i="34"/>
  <c r="AA77" i="34"/>
  <c r="W78" i="34"/>
  <c r="AA78" i="34"/>
  <c r="W79" i="34"/>
  <c r="AA79" i="34"/>
  <c r="W80" i="34"/>
  <c r="AA80" i="34"/>
  <c r="W81" i="34"/>
  <c r="AA81" i="34"/>
  <c r="W82" i="34"/>
  <c r="AA82" i="34"/>
  <c r="W83" i="34"/>
  <c r="AA83" i="34"/>
  <c r="W84" i="34"/>
  <c r="AA84" i="34"/>
  <c r="W85" i="34"/>
  <c r="AA85" i="34"/>
  <c r="W86" i="34"/>
  <c r="AA86" i="34"/>
  <c r="W87" i="34"/>
  <c r="AA87" i="34"/>
  <c r="W88" i="34"/>
  <c r="AA88" i="34"/>
  <c r="W89" i="34"/>
  <c r="AA89" i="34"/>
  <c r="W90" i="34"/>
  <c r="AA90" i="34"/>
  <c r="W91" i="34"/>
  <c r="AA91" i="34"/>
  <c r="W92" i="34"/>
  <c r="AA92" i="34"/>
  <c r="W93" i="34"/>
  <c r="AA93" i="34"/>
  <c r="AK64" i="34"/>
  <c r="AK65" i="34"/>
  <c r="AK66" i="34"/>
  <c r="AK67" i="34"/>
  <c r="AK68" i="34"/>
  <c r="AK69" i="34"/>
  <c r="AK70" i="34"/>
  <c r="AK71" i="34"/>
  <c r="AK72" i="34"/>
  <c r="AK73" i="34"/>
  <c r="AK74" i="34"/>
  <c r="AK75" i="34"/>
  <c r="AK76" i="34"/>
  <c r="AK77" i="34"/>
  <c r="AK78" i="34"/>
  <c r="AK79" i="34"/>
  <c r="AK80" i="34"/>
  <c r="AK81" i="34"/>
  <c r="AK82" i="34"/>
  <c r="AK83" i="34"/>
  <c r="AK84" i="34"/>
  <c r="AK85" i="34"/>
  <c r="AK86" i="34"/>
  <c r="AK87" i="34"/>
  <c r="AK88" i="34"/>
  <c r="AK89" i="34"/>
  <c r="AK90" i="34"/>
  <c r="AK91" i="34"/>
  <c r="AK92" i="34"/>
  <c r="AK93" i="34"/>
  <c r="K4" i="34"/>
  <c r="K5" i="34"/>
  <c r="K6" i="34"/>
  <c r="K7" i="34"/>
  <c r="K8" i="34"/>
  <c r="K9" i="34"/>
  <c r="K10" i="34"/>
  <c r="K11" i="34"/>
  <c r="K12" i="34"/>
  <c r="K13" i="34"/>
  <c r="L4" i="34"/>
  <c r="M4" i="34"/>
  <c r="J4" i="34"/>
  <c r="AT4" i="34"/>
  <c r="K17" i="34"/>
  <c r="AS4" i="34"/>
  <c r="AU4" i="34"/>
  <c r="X72" i="34"/>
  <c r="AD72" i="34"/>
  <c r="AF72" i="34"/>
  <c r="AH72" i="34"/>
  <c r="X82" i="34"/>
  <c r="AD82" i="34"/>
  <c r="AF82" i="34"/>
  <c r="AH82" i="34"/>
  <c r="Y68" i="34"/>
  <c r="AE68" i="34"/>
  <c r="AG68" i="34"/>
  <c r="AI68" i="34"/>
  <c r="Y78" i="34"/>
  <c r="AE78" i="34"/>
  <c r="AG78" i="34"/>
  <c r="AI78" i="34"/>
  <c r="G4" i="34"/>
  <c r="Y72" i="34"/>
  <c r="AE72" i="34"/>
  <c r="AG72" i="34"/>
  <c r="AI72" i="34"/>
  <c r="Y82" i="34"/>
  <c r="AE82" i="34"/>
  <c r="AG82" i="34"/>
  <c r="AI82" i="34"/>
  <c r="X68" i="34"/>
  <c r="AD68" i="34"/>
  <c r="AF68" i="34"/>
  <c r="AH68" i="34"/>
  <c r="X78" i="34"/>
  <c r="AD78" i="34"/>
  <c r="AF78" i="34"/>
  <c r="AH78" i="34"/>
  <c r="H4" i="34"/>
  <c r="I4" i="34"/>
  <c r="AW4" i="34"/>
  <c r="X70" i="34"/>
  <c r="AD70" i="34"/>
  <c r="AF70" i="34"/>
  <c r="AH70" i="34"/>
  <c r="X76" i="34"/>
  <c r="AD76" i="34"/>
  <c r="AF76" i="34"/>
  <c r="AH76" i="34"/>
  <c r="Y64" i="34"/>
  <c r="AE64" i="34"/>
  <c r="AG64" i="34"/>
  <c r="AI64" i="34"/>
  <c r="G5" i="34"/>
  <c r="Y70" i="34"/>
  <c r="AE70" i="34"/>
  <c r="AG70" i="34"/>
  <c r="AI70" i="34"/>
  <c r="Y76" i="34"/>
  <c r="AE76" i="34"/>
  <c r="AG76" i="34"/>
  <c r="AI76" i="34"/>
  <c r="X64" i="34"/>
  <c r="AD64" i="34"/>
  <c r="AF64" i="34"/>
  <c r="AH64" i="34"/>
  <c r="H5" i="34"/>
  <c r="I5" i="34"/>
  <c r="AW5" i="34"/>
  <c r="X66" i="34"/>
  <c r="AD66" i="34"/>
  <c r="AF66" i="34"/>
  <c r="AH66" i="34"/>
  <c r="X74" i="34"/>
  <c r="AD74" i="34"/>
  <c r="AF74" i="34"/>
  <c r="AH74" i="34"/>
  <c r="G6" i="34"/>
  <c r="Y66" i="34"/>
  <c r="AE66" i="34"/>
  <c r="AG66" i="34"/>
  <c r="AI66" i="34"/>
  <c r="Y74" i="34"/>
  <c r="AE74" i="34"/>
  <c r="AG74" i="34"/>
  <c r="AI74" i="34"/>
  <c r="H6" i="34"/>
  <c r="I6" i="34"/>
  <c r="AW6" i="34"/>
  <c r="X80" i="34"/>
  <c r="AD80" i="34"/>
  <c r="AF80" i="34"/>
  <c r="AH80" i="34"/>
  <c r="G7" i="34"/>
  <c r="Y80" i="34"/>
  <c r="AE80" i="34"/>
  <c r="AG80" i="34"/>
  <c r="AI80" i="34"/>
  <c r="H7" i="34"/>
  <c r="I7" i="34"/>
  <c r="AW7" i="34"/>
  <c r="G8" i="34"/>
  <c r="H8" i="34"/>
  <c r="I8" i="34"/>
  <c r="AW8" i="34"/>
  <c r="AH84" i="34"/>
  <c r="AH85" i="34"/>
  <c r="AH86" i="34"/>
  <c r="AH87" i="34"/>
  <c r="X65" i="34"/>
  <c r="AD65" i="34"/>
  <c r="AF65" i="34"/>
  <c r="AH65" i="34"/>
  <c r="X67" i="34"/>
  <c r="AD67" i="34"/>
  <c r="AF67" i="34"/>
  <c r="AH67" i="34"/>
  <c r="X69" i="34"/>
  <c r="AD69" i="34"/>
  <c r="AF69" i="34"/>
  <c r="AH69" i="34"/>
  <c r="X71" i="34"/>
  <c r="AD71" i="34"/>
  <c r="AF71" i="34"/>
  <c r="AH71" i="34"/>
  <c r="X73" i="34"/>
  <c r="AD73" i="34"/>
  <c r="AF73" i="34"/>
  <c r="AH73" i="34"/>
  <c r="X75" i="34"/>
  <c r="AD75" i="34"/>
  <c r="AF75" i="34"/>
  <c r="AH75" i="34"/>
  <c r="X77" i="34"/>
  <c r="AD77" i="34"/>
  <c r="AF77" i="34"/>
  <c r="AH77" i="34"/>
  <c r="X79" i="34"/>
  <c r="AD79" i="34"/>
  <c r="AF79" i="34"/>
  <c r="AH79" i="34"/>
  <c r="X81" i="34"/>
  <c r="AD81" i="34"/>
  <c r="AF81" i="34"/>
  <c r="AH81" i="34"/>
  <c r="X83" i="34"/>
  <c r="AD83" i="34"/>
  <c r="AF83" i="34"/>
  <c r="AH83" i="34"/>
  <c r="AH88" i="34"/>
  <c r="AH89" i="34"/>
  <c r="AH90" i="34"/>
  <c r="AH91" i="34"/>
  <c r="AH92" i="34"/>
  <c r="AH93" i="34"/>
  <c r="Y65" i="34"/>
  <c r="AE65" i="34"/>
  <c r="AG65" i="34"/>
  <c r="AI65" i="34"/>
  <c r="Y67" i="34"/>
  <c r="AE67" i="34"/>
  <c r="AG67" i="34"/>
  <c r="AI67" i="34"/>
  <c r="Y69" i="34"/>
  <c r="AE69" i="34"/>
  <c r="AG69" i="34"/>
  <c r="AI69" i="34"/>
  <c r="Y71" i="34"/>
  <c r="AE71" i="34"/>
  <c r="AG71" i="34"/>
  <c r="AI71" i="34"/>
  <c r="Y73" i="34"/>
  <c r="AE73" i="34"/>
  <c r="AG73" i="34"/>
  <c r="AI73" i="34"/>
  <c r="Y75" i="34"/>
  <c r="AE75" i="34"/>
  <c r="AG75" i="34"/>
  <c r="AI75" i="34"/>
  <c r="Y77" i="34"/>
  <c r="AE77" i="34"/>
  <c r="AG77" i="34"/>
  <c r="AI77" i="34"/>
  <c r="Y79" i="34"/>
  <c r="AE79" i="34"/>
  <c r="AG79" i="34"/>
  <c r="AI79" i="34"/>
  <c r="Y81" i="34"/>
  <c r="AE81" i="34"/>
  <c r="AG81" i="34"/>
  <c r="AI81" i="34"/>
  <c r="Y83" i="34"/>
  <c r="AE83" i="34"/>
  <c r="AG83" i="34"/>
  <c r="AI83" i="34"/>
  <c r="AI84" i="34"/>
  <c r="AI85" i="34"/>
  <c r="AI86" i="34"/>
  <c r="AI87" i="34"/>
  <c r="AI88" i="34"/>
  <c r="AI89" i="34"/>
  <c r="AI90" i="34"/>
  <c r="AI91" i="34"/>
  <c r="AI92" i="34"/>
  <c r="AI93" i="34"/>
  <c r="G9" i="34"/>
  <c r="H9" i="34"/>
  <c r="I9" i="34"/>
  <c r="AW9" i="34"/>
  <c r="G10" i="34"/>
  <c r="H10" i="34"/>
  <c r="I10" i="34"/>
  <c r="AW10" i="34"/>
  <c r="G11" i="34"/>
  <c r="H11" i="34"/>
  <c r="I11" i="34"/>
  <c r="AW11" i="34"/>
  <c r="G12" i="34"/>
  <c r="H12" i="34"/>
  <c r="I12" i="34"/>
  <c r="AW12" i="34"/>
  <c r="AX4" i="34"/>
  <c r="L17" i="34"/>
  <c r="L5" i="34"/>
  <c r="M5" i="34"/>
  <c r="J5" i="34"/>
  <c r="AT5" i="34"/>
  <c r="K18" i="34"/>
  <c r="AS5" i="34"/>
  <c r="AU5" i="34"/>
  <c r="AX5" i="34"/>
  <c r="L18" i="34"/>
  <c r="L6" i="34"/>
  <c r="M6" i="34"/>
  <c r="J6" i="34"/>
  <c r="AT6" i="34"/>
  <c r="K19" i="34"/>
  <c r="AS6" i="34"/>
  <c r="AU6" i="34"/>
  <c r="AX6" i="34"/>
  <c r="L19" i="34"/>
  <c r="L7" i="34"/>
  <c r="M7" i="34"/>
  <c r="J7" i="34"/>
  <c r="AT7" i="34"/>
  <c r="K20" i="34"/>
  <c r="AS7" i="34"/>
  <c r="AU7" i="34"/>
  <c r="AX7" i="34"/>
  <c r="L20" i="34"/>
  <c r="L8" i="34"/>
  <c r="M8" i="34"/>
  <c r="J8" i="34"/>
  <c r="AT8" i="34"/>
  <c r="K21" i="34"/>
  <c r="AS8" i="34"/>
  <c r="AU8" i="34"/>
  <c r="AX8" i="34"/>
  <c r="L21" i="34"/>
  <c r="L9" i="34"/>
  <c r="M9" i="34"/>
  <c r="J9" i="34"/>
  <c r="AT9" i="34"/>
  <c r="K22" i="34"/>
  <c r="AS9" i="34"/>
  <c r="AU9" i="34"/>
  <c r="AX9" i="34"/>
  <c r="L22" i="34"/>
  <c r="L10" i="34"/>
  <c r="M10" i="34"/>
  <c r="J10" i="34"/>
  <c r="AT10" i="34"/>
  <c r="K23" i="34"/>
  <c r="AS10" i="34"/>
  <c r="AU10" i="34"/>
  <c r="AX10" i="34"/>
  <c r="L23" i="34"/>
  <c r="L11" i="34"/>
  <c r="M11" i="34"/>
  <c r="J11" i="34"/>
  <c r="AT11" i="34"/>
  <c r="K24" i="34"/>
  <c r="AS11" i="34"/>
  <c r="AU11" i="34"/>
  <c r="AX11" i="34"/>
  <c r="L24" i="34"/>
  <c r="L12" i="34"/>
  <c r="M12" i="34"/>
  <c r="J12" i="34"/>
  <c r="AT12" i="34"/>
  <c r="K25" i="34"/>
  <c r="AS12" i="34"/>
  <c r="AU12" i="34"/>
  <c r="AX12" i="34"/>
  <c r="L25" i="34"/>
  <c r="M17" i="34"/>
  <c r="N17" i="34" a="1"/>
  <c r="N17" i="34"/>
  <c r="O17" i="34"/>
  <c r="E30" i="34" a="1"/>
  <c r="E30" i="34"/>
  <c r="F30" i="34" a="1"/>
  <c r="F30" i="34"/>
  <c r="G30" i="34" a="1"/>
  <c r="H30" i="34" a="1"/>
  <c r="I30" i="34" a="1"/>
  <c r="J30" i="34" a="1"/>
  <c r="K30" i="34" a="1"/>
  <c r="L30" i="34" a="1"/>
  <c r="P17" i="34"/>
  <c r="M30" i="34" a="1"/>
  <c r="N30" i="34" a="1"/>
  <c r="O30" i="34" a="1"/>
  <c r="P30" i="34" a="1"/>
  <c r="Q30" i="34" a="1"/>
  <c r="R30" i="34" a="1"/>
  <c r="S30" i="34" a="1"/>
  <c r="T30" i="34" a="1"/>
  <c r="Q17" i="34"/>
  <c r="U30" i="34" a="1"/>
  <c r="V30" i="34" a="1"/>
  <c r="W30" i="34" a="1"/>
  <c r="X30" i="34" a="1"/>
  <c r="Y30" i="34" a="1"/>
  <c r="Z30" i="34" a="1"/>
  <c r="AA30" i="34" a="1"/>
  <c r="AB30" i="34" a="1"/>
  <c r="R17" i="34"/>
  <c r="AC30" i="34" a="1"/>
  <c r="AD30" i="34" a="1"/>
  <c r="AE30" i="34" a="1"/>
  <c r="AF30" i="34" a="1"/>
  <c r="AG30" i="34" a="1"/>
  <c r="AH30" i="34" a="1"/>
  <c r="AI30" i="34" a="1"/>
  <c r="AJ30" i="34" a="1"/>
  <c r="S17" i="34"/>
  <c r="AK30" i="34" a="1"/>
  <c r="AL30" i="34" a="1"/>
  <c r="AM30" i="34" a="1"/>
  <c r="AN30" i="34" a="1"/>
  <c r="AO30" i="34" a="1"/>
  <c r="AP30" i="34" a="1"/>
  <c r="AQ30" i="34" a="1"/>
  <c r="AR30" i="34" a="1"/>
  <c r="T17" i="34"/>
  <c r="AS30" i="34" a="1"/>
  <c r="AT30" i="34" a="1"/>
  <c r="AU30" i="34" a="1"/>
  <c r="AV30" i="34" a="1"/>
  <c r="AW30" i="34" a="1"/>
  <c r="AX30" i="34" a="1"/>
  <c r="AY30" i="34" a="1"/>
  <c r="AZ30" i="34" a="1"/>
  <c r="U17" i="34"/>
  <c r="BA30" i="34" a="1"/>
  <c r="BB30" i="34" a="1"/>
  <c r="BC30" i="34" a="1"/>
  <c r="BD30" i="34" a="1"/>
  <c r="BE30" i="34" a="1"/>
  <c r="BF30" i="34" a="1"/>
  <c r="BG30" i="34" a="1"/>
  <c r="BH30" i="34" a="1"/>
  <c r="V17" i="34"/>
  <c r="BI30" i="34" a="1"/>
  <c r="BJ30" i="34" a="1"/>
  <c r="BK30" i="34" a="1"/>
  <c r="BL30" i="34" a="1"/>
  <c r="BM30" i="34" a="1"/>
  <c r="BN30" i="34" a="1"/>
  <c r="BO30" i="34" a="1"/>
  <c r="BP30" i="34" a="1"/>
  <c r="G30" i="34"/>
  <c r="H30" i="34"/>
  <c r="I30" i="34"/>
  <c r="J30" i="34"/>
  <c r="K30" i="34"/>
  <c r="L30" i="34"/>
  <c r="M30" i="34"/>
  <c r="N30" i="34"/>
  <c r="O30" i="34"/>
  <c r="P30" i="34"/>
  <c r="Q30" i="34"/>
  <c r="R30" i="34"/>
  <c r="S30" i="34"/>
  <c r="T30" i="34"/>
  <c r="U30" i="34"/>
  <c r="V30" i="34"/>
  <c r="W30" i="34"/>
  <c r="X30" i="34"/>
  <c r="Y30" i="34"/>
  <c r="Z30" i="34"/>
  <c r="AA30" i="34"/>
  <c r="AB30" i="34"/>
  <c r="AC30" i="34"/>
  <c r="AD30" i="34"/>
  <c r="AE30" i="34"/>
  <c r="AF30" i="34"/>
  <c r="AG30" i="34"/>
  <c r="AH30" i="34"/>
  <c r="AI30" i="34"/>
  <c r="AJ30" i="34"/>
  <c r="AK30" i="34"/>
  <c r="AL30" i="34"/>
  <c r="AM30" i="34"/>
  <c r="AN30" i="34"/>
  <c r="AO30" i="34"/>
  <c r="AP30" i="34"/>
  <c r="AQ30" i="34"/>
  <c r="AR30" i="34"/>
  <c r="AS30" i="34"/>
  <c r="AT30" i="34"/>
  <c r="AU30" i="34"/>
  <c r="AV30" i="34"/>
  <c r="AW30" i="34"/>
  <c r="AX30" i="34"/>
  <c r="AY30" i="34"/>
  <c r="AZ30" i="34"/>
  <c r="BA30" i="34"/>
  <c r="BB30" i="34"/>
  <c r="BC30" i="34"/>
  <c r="BD30" i="34"/>
  <c r="BE30" i="34"/>
  <c r="BF30" i="34"/>
  <c r="BG30" i="34"/>
  <c r="BH30" i="34"/>
  <c r="BI30" i="34"/>
  <c r="BJ30" i="34"/>
  <c r="BK30" i="34"/>
  <c r="BL30" i="34"/>
  <c r="BM30" i="34"/>
  <c r="BN30" i="34"/>
  <c r="BO30" i="34"/>
  <c r="BP30" i="34"/>
  <c r="AA17" i="34"/>
  <c r="E41" i="34" a="1"/>
  <c r="E41" i="34"/>
  <c r="F41" i="34" a="1"/>
  <c r="F41" i="34"/>
  <c r="G41" i="34" a="1"/>
  <c r="H41" i="34" a="1"/>
  <c r="I41" i="34" a="1"/>
  <c r="J41" i="34" a="1"/>
  <c r="K41" i="34" a="1"/>
  <c r="L41" i="34" a="1"/>
  <c r="M41" i="34" a="1"/>
  <c r="N41" i="34" a="1"/>
  <c r="O41" i="34" a="1"/>
  <c r="P41" i="34" a="1"/>
  <c r="Q41" i="34" a="1"/>
  <c r="R41" i="34" a="1"/>
  <c r="S41" i="34" a="1"/>
  <c r="T41" i="34" a="1"/>
  <c r="U41" i="34" a="1"/>
  <c r="V41" i="34" a="1"/>
  <c r="W41" i="34" a="1"/>
  <c r="X41" i="34" a="1"/>
  <c r="Y41" i="34" a="1"/>
  <c r="Z41" i="34" a="1"/>
  <c r="AA41" i="34" a="1"/>
  <c r="AB41" i="34" a="1"/>
  <c r="AC41" i="34" a="1"/>
  <c r="AD41" i="34" a="1"/>
  <c r="AE41" i="34" a="1"/>
  <c r="AF41" i="34" a="1"/>
  <c r="AG41" i="34" a="1"/>
  <c r="AH41" i="34" a="1"/>
  <c r="AI41" i="34" a="1"/>
  <c r="AJ41" i="34" a="1"/>
  <c r="AK41" i="34" a="1"/>
  <c r="AL41" i="34" a="1"/>
  <c r="AM41" i="34" a="1"/>
  <c r="AN41" i="34" a="1"/>
  <c r="AO41" i="34" a="1"/>
  <c r="AP41" i="34" a="1"/>
  <c r="AQ41" i="34" a="1"/>
  <c r="AR41" i="34" a="1"/>
  <c r="AS41" i="34" a="1"/>
  <c r="AT41" i="34" a="1"/>
  <c r="AU41" i="34" a="1"/>
  <c r="AV41" i="34" a="1"/>
  <c r="AW41" i="34" a="1"/>
  <c r="AX41" i="34" a="1"/>
  <c r="AY41" i="34" a="1"/>
  <c r="AZ41" i="34" a="1"/>
  <c r="BA41" i="34" a="1"/>
  <c r="BB41" i="34" a="1"/>
  <c r="BC41" i="34" a="1"/>
  <c r="BD41" i="34" a="1"/>
  <c r="BE41" i="34" a="1"/>
  <c r="BF41" i="34" a="1"/>
  <c r="BG41" i="34" a="1"/>
  <c r="BH41" i="34" a="1"/>
  <c r="BI41" i="34" a="1"/>
  <c r="BJ41" i="34" a="1"/>
  <c r="BK41" i="34" a="1"/>
  <c r="BL41" i="34" a="1"/>
  <c r="BM41" i="34" a="1"/>
  <c r="BN41" i="34" a="1"/>
  <c r="BO41" i="34" a="1"/>
  <c r="BP41" i="34" a="1"/>
  <c r="G41" i="34"/>
  <c r="H41" i="34"/>
  <c r="I41" i="34"/>
  <c r="J41" i="34"/>
  <c r="K41" i="34"/>
  <c r="L41" i="34"/>
  <c r="M41" i="34"/>
  <c r="N41" i="34"/>
  <c r="O41" i="34"/>
  <c r="P41" i="34"/>
  <c r="Q41" i="34"/>
  <c r="R41" i="34"/>
  <c r="S41" i="34"/>
  <c r="T41" i="34"/>
  <c r="U41" i="34"/>
  <c r="V41" i="34"/>
  <c r="W41" i="34"/>
  <c r="X41" i="34"/>
  <c r="Y41" i="34"/>
  <c r="Z41" i="34"/>
  <c r="AA41" i="34"/>
  <c r="AB41" i="34"/>
  <c r="AC41" i="34"/>
  <c r="AD41" i="34"/>
  <c r="AE41" i="34"/>
  <c r="AF41" i="34"/>
  <c r="AG41" i="34"/>
  <c r="AH41" i="34"/>
  <c r="AI41" i="34"/>
  <c r="AJ41" i="34"/>
  <c r="AK41" i="34"/>
  <c r="AL41" i="34"/>
  <c r="AM41" i="34"/>
  <c r="AN41" i="34"/>
  <c r="AO41" i="34"/>
  <c r="AP41" i="34"/>
  <c r="AQ41" i="34"/>
  <c r="AR41" i="34"/>
  <c r="AS41" i="34"/>
  <c r="AT41" i="34"/>
  <c r="AU41" i="34"/>
  <c r="AV41" i="34"/>
  <c r="AW41" i="34"/>
  <c r="AX41" i="34"/>
  <c r="AY41" i="34"/>
  <c r="AZ41" i="34"/>
  <c r="BA41" i="34"/>
  <c r="BB41" i="34"/>
  <c r="BC41" i="34"/>
  <c r="BD41" i="34"/>
  <c r="BE41" i="34"/>
  <c r="BF41" i="34"/>
  <c r="BG41" i="34"/>
  <c r="BH41" i="34"/>
  <c r="BI41" i="34"/>
  <c r="BJ41" i="34"/>
  <c r="BK41" i="34"/>
  <c r="BL41" i="34"/>
  <c r="BM41" i="34"/>
  <c r="BN41" i="34"/>
  <c r="BO41" i="34"/>
  <c r="BP41" i="34"/>
  <c r="AB17" i="34"/>
  <c r="W17" i="34"/>
  <c r="M18" i="34"/>
  <c r="N18" i="34" a="1"/>
  <c r="N18" i="34"/>
  <c r="O18" i="34"/>
  <c r="E31" i="34" a="1"/>
  <c r="E31" i="34"/>
  <c r="F31" i="34" a="1"/>
  <c r="F31" i="34"/>
  <c r="G31" i="34" a="1"/>
  <c r="H31" i="34" a="1"/>
  <c r="I31" i="34" a="1"/>
  <c r="J31" i="34" a="1"/>
  <c r="K31" i="34" a="1"/>
  <c r="L31" i="34" a="1"/>
  <c r="P18" i="34"/>
  <c r="M31" i="34" a="1"/>
  <c r="N31" i="34" a="1"/>
  <c r="O31" i="34" a="1"/>
  <c r="P31" i="34" a="1"/>
  <c r="Q31" i="34" a="1"/>
  <c r="R31" i="34" a="1"/>
  <c r="S31" i="34" a="1"/>
  <c r="T31" i="34" a="1"/>
  <c r="Q18" i="34"/>
  <c r="U31" i="34" a="1"/>
  <c r="V31" i="34" a="1"/>
  <c r="W31" i="34" a="1"/>
  <c r="X31" i="34" a="1"/>
  <c r="Y31" i="34" a="1"/>
  <c r="Z31" i="34" a="1"/>
  <c r="AA31" i="34" a="1"/>
  <c r="AB31" i="34" a="1"/>
  <c r="R18" i="34"/>
  <c r="AC31" i="34" a="1"/>
  <c r="AD31" i="34" a="1"/>
  <c r="AE31" i="34" a="1"/>
  <c r="AF31" i="34" a="1"/>
  <c r="AG31" i="34" a="1"/>
  <c r="AH31" i="34" a="1"/>
  <c r="AI31" i="34" a="1"/>
  <c r="AJ31" i="34" a="1"/>
  <c r="S18" i="34"/>
  <c r="AK31" i="34" a="1"/>
  <c r="AL31" i="34" a="1"/>
  <c r="AM31" i="34" a="1"/>
  <c r="AN31" i="34" a="1"/>
  <c r="AO31" i="34" a="1"/>
  <c r="AP31" i="34" a="1"/>
  <c r="AQ31" i="34" a="1"/>
  <c r="AR31" i="34" a="1"/>
  <c r="T18" i="34"/>
  <c r="AS31" i="34" a="1"/>
  <c r="AT31" i="34" a="1"/>
  <c r="AU31" i="34" a="1"/>
  <c r="AV31" i="34" a="1"/>
  <c r="AW31" i="34" a="1"/>
  <c r="AX31" i="34" a="1"/>
  <c r="AY31" i="34" a="1"/>
  <c r="AZ31" i="34" a="1"/>
  <c r="U18" i="34"/>
  <c r="BA31" i="34" a="1"/>
  <c r="BB31" i="34" a="1"/>
  <c r="BC31" i="34" a="1"/>
  <c r="BD31" i="34" a="1"/>
  <c r="BE31" i="34" a="1"/>
  <c r="BF31" i="34" a="1"/>
  <c r="BG31" i="34" a="1"/>
  <c r="BH31" i="34" a="1"/>
  <c r="V18" i="34"/>
  <c r="BI31" i="34" a="1"/>
  <c r="BJ31" i="34" a="1"/>
  <c r="BK31" i="34" a="1"/>
  <c r="BL31" i="34" a="1"/>
  <c r="BM31" i="34" a="1"/>
  <c r="BN31" i="34" a="1"/>
  <c r="BO31" i="34" a="1"/>
  <c r="BP31" i="34" a="1"/>
  <c r="G31" i="34"/>
  <c r="H31" i="34"/>
  <c r="I31" i="34"/>
  <c r="J31" i="34"/>
  <c r="K31" i="34"/>
  <c r="L31" i="34"/>
  <c r="M31" i="34"/>
  <c r="N31" i="34"/>
  <c r="O31" i="34"/>
  <c r="P31" i="34"/>
  <c r="Q31" i="34"/>
  <c r="R31" i="34"/>
  <c r="S31" i="34"/>
  <c r="T31" i="34"/>
  <c r="U31" i="34"/>
  <c r="V31" i="34"/>
  <c r="W31" i="34"/>
  <c r="X31" i="34"/>
  <c r="Y31" i="34"/>
  <c r="Z31" i="34"/>
  <c r="AA31" i="34"/>
  <c r="AB31" i="34"/>
  <c r="AC31" i="34"/>
  <c r="AD31" i="34"/>
  <c r="AE31" i="34"/>
  <c r="AF31" i="34"/>
  <c r="AG31" i="34"/>
  <c r="AH31" i="34"/>
  <c r="AI31" i="34"/>
  <c r="AJ31" i="34"/>
  <c r="AK31" i="34"/>
  <c r="AL31" i="34"/>
  <c r="AM31" i="34"/>
  <c r="AN31" i="34"/>
  <c r="AO31" i="34"/>
  <c r="AP31" i="34"/>
  <c r="AQ31" i="34"/>
  <c r="AR31" i="34"/>
  <c r="AS31" i="34"/>
  <c r="AT31" i="34"/>
  <c r="AU31" i="34"/>
  <c r="AV31" i="34"/>
  <c r="AW31" i="34"/>
  <c r="AX31" i="34"/>
  <c r="AY31" i="34"/>
  <c r="AZ31" i="34"/>
  <c r="BA31" i="34"/>
  <c r="BB31" i="34"/>
  <c r="BC31" i="34"/>
  <c r="BD31" i="34"/>
  <c r="BE31" i="34"/>
  <c r="BF31" i="34"/>
  <c r="BG31" i="34"/>
  <c r="BH31" i="34"/>
  <c r="BI31" i="34"/>
  <c r="BJ31" i="34"/>
  <c r="BK31" i="34"/>
  <c r="BL31" i="34"/>
  <c r="BM31" i="34"/>
  <c r="BN31" i="34"/>
  <c r="BO31" i="34"/>
  <c r="BP31" i="34"/>
  <c r="AA18" i="34"/>
  <c r="E42" i="34" a="1"/>
  <c r="E42" i="34"/>
  <c r="F42" i="34" a="1"/>
  <c r="F42" i="34"/>
  <c r="G42" i="34" a="1"/>
  <c r="H42" i="34" a="1"/>
  <c r="I42" i="34" a="1"/>
  <c r="J42" i="34" a="1"/>
  <c r="K42" i="34" a="1"/>
  <c r="L42" i="34" a="1"/>
  <c r="M42" i="34" a="1"/>
  <c r="N42" i="34" a="1"/>
  <c r="O42" i="34" a="1"/>
  <c r="P42" i="34" a="1"/>
  <c r="Q42" i="34" a="1"/>
  <c r="R42" i="34" a="1"/>
  <c r="S42" i="34" a="1"/>
  <c r="T42" i="34" a="1"/>
  <c r="U42" i="34" a="1"/>
  <c r="V42" i="34" a="1"/>
  <c r="W42" i="34" a="1"/>
  <c r="X42" i="34" a="1"/>
  <c r="Y42" i="34" a="1"/>
  <c r="Z42" i="34" a="1"/>
  <c r="AA42" i="34" a="1"/>
  <c r="AB42" i="34" a="1"/>
  <c r="AC42" i="34" a="1"/>
  <c r="AD42" i="34" a="1"/>
  <c r="AE42" i="34" a="1"/>
  <c r="AF42" i="34" a="1"/>
  <c r="AG42" i="34" a="1"/>
  <c r="AH42" i="34" a="1"/>
  <c r="AI42" i="34" a="1"/>
  <c r="AJ42" i="34" a="1"/>
  <c r="AK42" i="34" a="1"/>
  <c r="AL42" i="34" a="1"/>
  <c r="AM42" i="34" a="1"/>
  <c r="AN42" i="34" a="1"/>
  <c r="AO42" i="34" a="1"/>
  <c r="AP42" i="34" a="1"/>
  <c r="AQ42" i="34" a="1"/>
  <c r="AR42" i="34" a="1"/>
  <c r="AS42" i="34" a="1"/>
  <c r="AT42" i="34" a="1"/>
  <c r="AU42" i="34" a="1"/>
  <c r="AV42" i="34" a="1"/>
  <c r="AW42" i="34" a="1"/>
  <c r="AX42" i="34" a="1"/>
  <c r="AY42" i="34" a="1"/>
  <c r="AZ42" i="34" a="1"/>
  <c r="BA42" i="34" a="1"/>
  <c r="BB42" i="34" a="1"/>
  <c r="BC42" i="34" a="1"/>
  <c r="BD42" i="34" a="1"/>
  <c r="BE42" i="34" a="1"/>
  <c r="BF42" i="34" a="1"/>
  <c r="BG42" i="34" a="1"/>
  <c r="BH42" i="34" a="1"/>
  <c r="BI42" i="34" a="1"/>
  <c r="BJ42" i="34" a="1"/>
  <c r="BK42" i="34" a="1"/>
  <c r="BL42" i="34" a="1"/>
  <c r="BM42" i="34" a="1"/>
  <c r="BN42" i="34" a="1"/>
  <c r="BO42" i="34" a="1"/>
  <c r="BP42" i="34" a="1"/>
  <c r="G42" i="34"/>
  <c r="H42" i="34"/>
  <c r="I42" i="34"/>
  <c r="J42" i="34"/>
  <c r="K42" i="34"/>
  <c r="L42" i="34"/>
  <c r="M42" i="34"/>
  <c r="N42" i="34"/>
  <c r="O42" i="34"/>
  <c r="P42" i="34"/>
  <c r="Q42" i="34"/>
  <c r="R42" i="34"/>
  <c r="S42" i="34"/>
  <c r="T42" i="34"/>
  <c r="U42" i="34"/>
  <c r="V42" i="34"/>
  <c r="W42" i="34"/>
  <c r="X42" i="34"/>
  <c r="Y42" i="34"/>
  <c r="Z42" i="34"/>
  <c r="AA42" i="34"/>
  <c r="AB42" i="34"/>
  <c r="AC42" i="34"/>
  <c r="AD42" i="34"/>
  <c r="AE42" i="34"/>
  <c r="AF42" i="34"/>
  <c r="AG42" i="34"/>
  <c r="AH42" i="34"/>
  <c r="AI42" i="34"/>
  <c r="AJ42" i="34"/>
  <c r="AK42" i="34"/>
  <c r="AL42" i="34"/>
  <c r="AM42" i="34"/>
  <c r="AN42" i="34"/>
  <c r="AO42" i="34"/>
  <c r="AP42" i="34"/>
  <c r="AQ42" i="34"/>
  <c r="AR42" i="34"/>
  <c r="AS42" i="34"/>
  <c r="AT42" i="34"/>
  <c r="AU42" i="34"/>
  <c r="AV42" i="34"/>
  <c r="AW42" i="34"/>
  <c r="AX42" i="34"/>
  <c r="AY42" i="34"/>
  <c r="AZ42" i="34"/>
  <c r="BA42" i="34"/>
  <c r="BB42" i="34"/>
  <c r="BC42" i="34"/>
  <c r="BD42" i="34"/>
  <c r="BE42" i="34"/>
  <c r="BF42" i="34"/>
  <c r="BG42" i="34"/>
  <c r="BH42" i="34"/>
  <c r="BI42" i="34"/>
  <c r="BJ42" i="34"/>
  <c r="BK42" i="34"/>
  <c r="BL42" i="34"/>
  <c r="BM42" i="34"/>
  <c r="BN42" i="34"/>
  <c r="BO42" i="34"/>
  <c r="BP42" i="34"/>
  <c r="AB18" i="34"/>
  <c r="W18" i="34"/>
  <c r="M19" i="34"/>
  <c r="N19" i="34" a="1"/>
  <c r="N19" i="34"/>
  <c r="O19" i="34"/>
  <c r="E32" i="34" a="1"/>
  <c r="E32" i="34"/>
  <c r="F32" i="34" a="1"/>
  <c r="F32" i="34"/>
  <c r="G32" i="34" a="1"/>
  <c r="H32" i="34" a="1"/>
  <c r="I32" i="34" a="1"/>
  <c r="J32" i="34" a="1"/>
  <c r="K32" i="34" a="1"/>
  <c r="L32" i="34" a="1"/>
  <c r="P19" i="34"/>
  <c r="M32" i="34" a="1"/>
  <c r="N32" i="34" a="1"/>
  <c r="O32" i="34" a="1"/>
  <c r="P32" i="34" a="1"/>
  <c r="Q32" i="34" a="1"/>
  <c r="R32" i="34" a="1"/>
  <c r="S32" i="34" a="1"/>
  <c r="T32" i="34" a="1"/>
  <c r="Q19" i="34"/>
  <c r="U32" i="34" a="1"/>
  <c r="V32" i="34" a="1"/>
  <c r="W32" i="34" a="1"/>
  <c r="X32" i="34" a="1"/>
  <c r="Y32" i="34" a="1"/>
  <c r="Z32" i="34" a="1"/>
  <c r="AA32" i="34" a="1"/>
  <c r="AB32" i="34" a="1"/>
  <c r="R19" i="34"/>
  <c r="AC32" i="34" a="1"/>
  <c r="AD32" i="34" a="1"/>
  <c r="AE32" i="34" a="1"/>
  <c r="AF32" i="34" a="1"/>
  <c r="AG32" i="34" a="1"/>
  <c r="AH32" i="34" a="1"/>
  <c r="AI32" i="34" a="1"/>
  <c r="AJ32" i="34" a="1"/>
  <c r="S19" i="34"/>
  <c r="AK32" i="34" a="1"/>
  <c r="AL32" i="34" a="1"/>
  <c r="AM32" i="34" a="1"/>
  <c r="AN32" i="34" a="1"/>
  <c r="AO32" i="34" a="1"/>
  <c r="AP32" i="34" a="1"/>
  <c r="AQ32" i="34" a="1"/>
  <c r="AR32" i="34" a="1"/>
  <c r="T19" i="34"/>
  <c r="AS32" i="34" a="1"/>
  <c r="AT32" i="34" a="1"/>
  <c r="AU32" i="34" a="1"/>
  <c r="AV32" i="34" a="1"/>
  <c r="AW32" i="34" a="1"/>
  <c r="AX32" i="34" a="1"/>
  <c r="AY32" i="34" a="1"/>
  <c r="AZ32" i="34" a="1"/>
  <c r="U19" i="34"/>
  <c r="BA32" i="34" a="1"/>
  <c r="BB32" i="34" a="1"/>
  <c r="BC32" i="34" a="1"/>
  <c r="BD32" i="34" a="1"/>
  <c r="BE32" i="34" a="1"/>
  <c r="BF32" i="34" a="1"/>
  <c r="BG32" i="34" a="1"/>
  <c r="BH32" i="34" a="1"/>
  <c r="V19" i="34"/>
  <c r="BI32" i="34" a="1"/>
  <c r="BJ32" i="34" a="1"/>
  <c r="BK32" i="34" a="1"/>
  <c r="BL32" i="34" a="1"/>
  <c r="BM32" i="34" a="1"/>
  <c r="BN32" i="34" a="1"/>
  <c r="BO32" i="34" a="1"/>
  <c r="BP32" i="34" a="1"/>
  <c r="G32" i="34"/>
  <c r="H32" i="34"/>
  <c r="I32" i="34"/>
  <c r="J32" i="34"/>
  <c r="K32" i="34"/>
  <c r="L32" i="34"/>
  <c r="M32" i="34"/>
  <c r="N32" i="34"/>
  <c r="O32" i="34"/>
  <c r="P32" i="34"/>
  <c r="Q32" i="34"/>
  <c r="R32" i="34"/>
  <c r="S32" i="34"/>
  <c r="T32" i="34"/>
  <c r="U32" i="34"/>
  <c r="V32" i="34"/>
  <c r="W32" i="34"/>
  <c r="X32" i="34"/>
  <c r="Y32" i="34"/>
  <c r="Z32" i="34"/>
  <c r="AA32" i="34"/>
  <c r="AB32" i="34"/>
  <c r="AC32" i="34"/>
  <c r="AD32" i="34"/>
  <c r="AE32" i="34"/>
  <c r="AF32" i="34"/>
  <c r="AG32" i="34"/>
  <c r="AH32" i="34"/>
  <c r="AI32" i="34"/>
  <c r="AJ32" i="34"/>
  <c r="AK32" i="34"/>
  <c r="AL32" i="34"/>
  <c r="AM32" i="34"/>
  <c r="AN32" i="34"/>
  <c r="AO32" i="34"/>
  <c r="AP32" i="34"/>
  <c r="AQ32" i="34"/>
  <c r="AR32" i="34"/>
  <c r="AS32" i="34"/>
  <c r="AT32" i="34"/>
  <c r="AU32" i="34"/>
  <c r="AV32" i="34"/>
  <c r="AW32" i="34"/>
  <c r="AX32" i="34"/>
  <c r="AY32" i="34"/>
  <c r="AZ32" i="34"/>
  <c r="BA32" i="34"/>
  <c r="BB32" i="34"/>
  <c r="BC32" i="34"/>
  <c r="BD32" i="34"/>
  <c r="BE32" i="34"/>
  <c r="BF32" i="34"/>
  <c r="BG32" i="34"/>
  <c r="BH32" i="34"/>
  <c r="BI32" i="34"/>
  <c r="BJ32" i="34"/>
  <c r="BK32" i="34"/>
  <c r="BL32" i="34"/>
  <c r="BM32" i="34"/>
  <c r="BN32" i="34"/>
  <c r="BO32" i="34"/>
  <c r="BP32" i="34"/>
  <c r="AA19" i="34"/>
  <c r="E43" i="34" a="1"/>
  <c r="E43" i="34"/>
  <c r="F43" i="34" a="1"/>
  <c r="F43" i="34"/>
  <c r="G43" i="34" a="1"/>
  <c r="H43" i="34" a="1"/>
  <c r="I43" i="34" a="1"/>
  <c r="J43" i="34" a="1"/>
  <c r="K43" i="34" a="1"/>
  <c r="L43" i="34" a="1"/>
  <c r="M43" i="34" a="1"/>
  <c r="N43" i="34" a="1"/>
  <c r="O43" i="34" a="1"/>
  <c r="P43" i="34" a="1"/>
  <c r="Q43" i="34" a="1"/>
  <c r="R43" i="34" a="1"/>
  <c r="S43" i="34" a="1"/>
  <c r="T43" i="34" a="1"/>
  <c r="U43" i="34" a="1"/>
  <c r="V43" i="34" a="1"/>
  <c r="W43" i="34" a="1"/>
  <c r="X43" i="34" a="1"/>
  <c r="Y43" i="34" a="1"/>
  <c r="Z43" i="34" a="1"/>
  <c r="AA43" i="34" a="1"/>
  <c r="AB43" i="34" a="1"/>
  <c r="AC43" i="34" a="1"/>
  <c r="AD43" i="34" a="1"/>
  <c r="AE43" i="34" a="1"/>
  <c r="AF43" i="34" a="1"/>
  <c r="AG43" i="34" a="1"/>
  <c r="AH43" i="34" a="1"/>
  <c r="AI43" i="34" a="1"/>
  <c r="AJ43" i="34" a="1"/>
  <c r="AK43" i="34" a="1"/>
  <c r="AL43" i="34" a="1"/>
  <c r="AM43" i="34" a="1"/>
  <c r="AN43" i="34" a="1"/>
  <c r="AO43" i="34" a="1"/>
  <c r="AP43" i="34" a="1"/>
  <c r="AQ43" i="34" a="1"/>
  <c r="AR43" i="34" a="1"/>
  <c r="AS43" i="34" a="1"/>
  <c r="AT43" i="34" a="1"/>
  <c r="AU43" i="34" a="1"/>
  <c r="AV43" i="34" a="1"/>
  <c r="AW43" i="34" a="1"/>
  <c r="AX43" i="34" a="1"/>
  <c r="AY43" i="34" a="1"/>
  <c r="AZ43" i="34" a="1"/>
  <c r="BA43" i="34" a="1"/>
  <c r="BB43" i="34" a="1"/>
  <c r="BC43" i="34" a="1"/>
  <c r="BD43" i="34" a="1"/>
  <c r="BE43" i="34" a="1"/>
  <c r="BF43" i="34" a="1"/>
  <c r="BG43" i="34" a="1"/>
  <c r="BH43" i="34" a="1"/>
  <c r="BI43" i="34" a="1"/>
  <c r="BJ43" i="34" a="1"/>
  <c r="BK43" i="34" a="1"/>
  <c r="BL43" i="34" a="1"/>
  <c r="BM43" i="34" a="1"/>
  <c r="BN43" i="34" a="1"/>
  <c r="BO43" i="34" a="1"/>
  <c r="BP43" i="34" a="1"/>
  <c r="G43" i="34"/>
  <c r="H43" i="34"/>
  <c r="I43" i="34"/>
  <c r="J43" i="34"/>
  <c r="K43" i="34"/>
  <c r="L43" i="34"/>
  <c r="M43" i="34"/>
  <c r="N43" i="34"/>
  <c r="O43" i="34"/>
  <c r="P43" i="34"/>
  <c r="Q43" i="34"/>
  <c r="R43" i="34"/>
  <c r="S43" i="34"/>
  <c r="T43" i="34"/>
  <c r="U43" i="34"/>
  <c r="V43" i="34"/>
  <c r="W43" i="34"/>
  <c r="X43" i="34"/>
  <c r="Y43" i="34"/>
  <c r="Z43" i="34"/>
  <c r="AA43" i="34"/>
  <c r="AB43" i="34"/>
  <c r="AC43" i="34"/>
  <c r="AD43" i="34"/>
  <c r="AE43" i="34"/>
  <c r="AF43" i="34"/>
  <c r="AG43" i="34"/>
  <c r="AH43" i="34"/>
  <c r="AI43" i="34"/>
  <c r="AJ43" i="34"/>
  <c r="AK43" i="34"/>
  <c r="AL43" i="34"/>
  <c r="AM43" i="34"/>
  <c r="AN43" i="34"/>
  <c r="AO43" i="34"/>
  <c r="AP43" i="34"/>
  <c r="AQ43" i="34"/>
  <c r="AR43" i="34"/>
  <c r="AS43" i="34"/>
  <c r="AT43" i="34"/>
  <c r="AU43" i="34"/>
  <c r="AV43" i="34"/>
  <c r="AW43" i="34"/>
  <c r="AX43" i="34"/>
  <c r="AY43" i="34"/>
  <c r="AZ43" i="34"/>
  <c r="BA43" i="34"/>
  <c r="BB43" i="34"/>
  <c r="BC43" i="34"/>
  <c r="BD43" i="34"/>
  <c r="BE43" i="34"/>
  <c r="BF43" i="34"/>
  <c r="BG43" i="34"/>
  <c r="BH43" i="34"/>
  <c r="BI43" i="34"/>
  <c r="BJ43" i="34"/>
  <c r="BK43" i="34"/>
  <c r="BL43" i="34"/>
  <c r="BM43" i="34"/>
  <c r="BN43" i="34"/>
  <c r="BO43" i="34"/>
  <c r="BP43" i="34"/>
  <c r="AB19" i="34"/>
  <c r="W19" i="34"/>
  <c r="M20" i="34"/>
  <c r="N20" i="34" a="1"/>
  <c r="N20" i="34"/>
  <c r="O20" i="34"/>
  <c r="E33" i="34" a="1"/>
  <c r="E33" i="34"/>
  <c r="F33" i="34" a="1"/>
  <c r="F33" i="34"/>
  <c r="G33" i="34" a="1"/>
  <c r="H33" i="34" a="1"/>
  <c r="I33" i="34" a="1"/>
  <c r="J33" i="34" a="1"/>
  <c r="K33" i="34" a="1"/>
  <c r="L33" i="34" a="1"/>
  <c r="P20" i="34"/>
  <c r="M33" i="34" a="1"/>
  <c r="N33" i="34" a="1"/>
  <c r="O33" i="34" a="1"/>
  <c r="P33" i="34" a="1"/>
  <c r="Q33" i="34" a="1"/>
  <c r="R33" i="34" a="1"/>
  <c r="S33" i="34" a="1"/>
  <c r="T33" i="34" a="1"/>
  <c r="Q20" i="34"/>
  <c r="U33" i="34" a="1"/>
  <c r="V33" i="34" a="1"/>
  <c r="W33" i="34" a="1"/>
  <c r="X33" i="34" a="1"/>
  <c r="Y33" i="34" a="1"/>
  <c r="Z33" i="34" a="1"/>
  <c r="AA33" i="34" a="1"/>
  <c r="AB33" i="34" a="1"/>
  <c r="R20" i="34"/>
  <c r="AC33" i="34" a="1"/>
  <c r="AD33" i="34" a="1"/>
  <c r="AE33" i="34" a="1"/>
  <c r="AF33" i="34" a="1"/>
  <c r="AG33" i="34" a="1"/>
  <c r="AH33" i="34" a="1"/>
  <c r="AI33" i="34" a="1"/>
  <c r="AJ33" i="34" a="1"/>
  <c r="S20" i="34"/>
  <c r="AK33" i="34" a="1"/>
  <c r="AL33" i="34" a="1"/>
  <c r="AM33" i="34" a="1"/>
  <c r="AN33" i="34" a="1"/>
  <c r="AO33" i="34" a="1"/>
  <c r="AP33" i="34" a="1"/>
  <c r="AQ33" i="34" a="1"/>
  <c r="AR33" i="34" a="1"/>
  <c r="T20" i="34"/>
  <c r="AS33" i="34" a="1"/>
  <c r="AT33" i="34" a="1"/>
  <c r="AU33" i="34" a="1"/>
  <c r="AV33" i="34" a="1"/>
  <c r="AW33" i="34" a="1"/>
  <c r="AX33" i="34" a="1"/>
  <c r="AY33" i="34" a="1"/>
  <c r="AZ33" i="34" a="1"/>
  <c r="U20" i="34"/>
  <c r="BA33" i="34" a="1"/>
  <c r="BB33" i="34" a="1"/>
  <c r="BC33" i="34" a="1"/>
  <c r="BD33" i="34" a="1"/>
  <c r="BE33" i="34" a="1"/>
  <c r="BF33" i="34" a="1"/>
  <c r="BG33" i="34" a="1"/>
  <c r="BH33" i="34" a="1"/>
  <c r="V20" i="34"/>
  <c r="BI33" i="34" a="1"/>
  <c r="BJ33" i="34" a="1"/>
  <c r="BK33" i="34" a="1"/>
  <c r="BL33" i="34" a="1"/>
  <c r="BM33" i="34" a="1"/>
  <c r="BN33" i="34" a="1"/>
  <c r="BO33" i="34" a="1"/>
  <c r="BP33" i="34" a="1"/>
  <c r="G33" i="34"/>
  <c r="H33" i="34"/>
  <c r="I33" i="34"/>
  <c r="J33" i="34"/>
  <c r="K33" i="34"/>
  <c r="L33" i="34"/>
  <c r="M33" i="34"/>
  <c r="N33" i="34"/>
  <c r="O33" i="34"/>
  <c r="P33" i="34"/>
  <c r="Q33" i="34"/>
  <c r="R33" i="34"/>
  <c r="S33" i="34"/>
  <c r="T33" i="34"/>
  <c r="U33" i="34"/>
  <c r="V33" i="34"/>
  <c r="W33" i="34"/>
  <c r="X33" i="34"/>
  <c r="Y33" i="34"/>
  <c r="Z33" i="34"/>
  <c r="AA33" i="34"/>
  <c r="AB33" i="34"/>
  <c r="AC33" i="34"/>
  <c r="AD33" i="34"/>
  <c r="AE33" i="34"/>
  <c r="AF33" i="34"/>
  <c r="AG33" i="34"/>
  <c r="AH33" i="34"/>
  <c r="AI33" i="34"/>
  <c r="AJ33" i="34"/>
  <c r="AK33" i="34"/>
  <c r="AL33" i="34"/>
  <c r="AM33" i="34"/>
  <c r="AN33" i="34"/>
  <c r="AO33" i="34"/>
  <c r="AP33" i="34"/>
  <c r="AQ33" i="34"/>
  <c r="AR33" i="34"/>
  <c r="AS33" i="34"/>
  <c r="AT33" i="34"/>
  <c r="AU33" i="34"/>
  <c r="AV33" i="34"/>
  <c r="AW33" i="34"/>
  <c r="AX33" i="34"/>
  <c r="AY33" i="34"/>
  <c r="AZ33" i="34"/>
  <c r="BA33" i="34"/>
  <c r="BB33" i="34"/>
  <c r="BC33" i="34"/>
  <c r="BD33" i="34"/>
  <c r="BE33" i="34"/>
  <c r="BF33" i="34"/>
  <c r="BG33" i="34"/>
  <c r="BH33" i="34"/>
  <c r="BI33" i="34"/>
  <c r="BJ33" i="34"/>
  <c r="BK33" i="34"/>
  <c r="BL33" i="34"/>
  <c r="BM33" i="34"/>
  <c r="BN33" i="34"/>
  <c r="BO33" i="34"/>
  <c r="BP33" i="34"/>
  <c r="AA20" i="34"/>
  <c r="E44" i="34" a="1"/>
  <c r="E44" i="34"/>
  <c r="F44" i="34" a="1"/>
  <c r="F44" i="34"/>
  <c r="G44" i="34" a="1"/>
  <c r="H44" i="34" a="1"/>
  <c r="I44" i="34" a="1"/>
  <c r="J44" i="34" a="1"/>
  <c r="K44" i="34" a="1"/>
  <c r="L44" i="34" a="1"/>
  <c r="M44" i="34" a="1"/>
  <c r="N44" i="34" a="1"/>
  <c r="O44" i="34" a="1"/>
  <c r="P44" i="34" a="1"/>
  <c r="Q44" i="34" a="1"/>
  <c r="R44" i="34" a="1"/>
  <c r="S44" i="34" a="1"/>
  <c r="T44" i="34" a="1"/>
  <c r="U44" i="34" a="1"/>
  <c r="V44" i="34" a="1"/>
  <c r="W44" i="34" a="1"/>
  <c r="X44" i="34" a="1"/>
  <c r="Y44" i="34" a="1"/>
  <c r="Z44" i="34" a="1"/>
  <c r="AA44" i="34" a="1"/>
  <c r="AB44" i="34" a="1"/>
  <c r="AC44" i="34" a="1"/>
  <c r="AD44" i="34" a="1"/>
  <c r="AE44" i="34" a="1"/>
  <c r="AF44" i="34" a="1"/>
  <c r="AG44" i="34" a="1"/>
  <c r="AH44" i="34" a="1"/>
  <c r="AI44" i="34" a="1"/>
  <c r="AJ44" i="34" a="1"/>
  <c r="AK44" i="34" a="1"/>
  <c r="AL44" i="34" a="1"/>
  <c r="AM44" i="34" a="1"/>
  <c r="AN44" i="34" a="1"/>
  <c r="AO44" i="34" a="1"/>
  <c r="AP44" i="34" a="1"/>
  <c r="AQ44" i="34" a="1"/>
  <c r="AR44" i="34" a="1"/>
  <c r="AS44" i="34" a="1"/>
  <c r="AT44" i="34" a="1"/>
  <c r="AU44" i="34" a="1"/>
  <c r="AV44" i="34" a="1"/>
  <c r="AW44" i="34" a="1"/>
  <c r="AX44" i="34" a="1"/>
  <c r="AY44" i="34" a="1"/>
  <c r="AZ44" i="34" a="1"/>
  <c r="BA44" i="34" a="1"/>
  <c r="BB44" i="34" a="1"/>
  <c r="BC44" i="34" a="1"/>
  <c r="BD44" i="34" a="1"/>
  <c r="BE44" i="34" a="1"/>
  <c r="BF44" i="34" a="1"/>
  <c r="BG44" i="34" a="1"/>
  <c r="BH44" i="34" a="1"/>
  <c r="BI44" i="34" a="1"/>
  <c r="BJ44" i="34" a="1"/>
  <c r="BK44" i="34" a="1"/>
  <c r="BL44" i="34" a="1"/>
  <c r="BM44" i="34" a="1"/>
  <c r="BN44" i="34" a="1"/>
  <c r="BO44" i="34" a="1"/>
  <c r="BP44" i="34" a="1"/>
  <c r="G44" i="34"/>
  <c r="H44" i="34"/>
  <c r="I44" i="34"/>
  <c r="J44" i="34"/>
  <c r="K44" i="34"/>
  <c r="L44" i="34"/>
  <c r="M44" i="34"/>
  <c r="N44" i="34"/>
  <c r="O44" i="34"/>
  <c r="P44" i="34"/>
  <c r="Q44" i="34"/>
  <c r="R44" i="34"/>
  <c r="S44" i="34"/>
  <c r="T44" i="34"/>
  <c r="U44" i="34"/>
  <c r="V44" i="34"/>
  <c r="W44" i="34"/>
  <c r="X44" i="34"/>
  <c r="Y44" i="34"/>
  <c r="Z44" i="34"/>
  <c r="AA44" i="34"/>
  <c r="AB44" i="34"/>
  <c r="AC44" i="34"/>
  <c r="AD44" i="34"/>
  <c r="AE44" i="34"/>
  <c r="AF44" i="34"/>
  <c r="AG44" i="34"/>
  <c r="AH44" i="34"/>
  <c r="AI44" i="34"/>
  <c r="AJ44" i="34"/>
  <c r="AK44" i="34"/>
  <c r="AL44" i="34"/>
  <c r="AM44" i="34"/>
  <c r="AN44" i="34"/>
  <c r="AO44" i="34"/>
  <c r="AP44" i="34"/>
  <c r="AQ44" i="34"/>
  <c r="AR44" i="34"/>
  <c r="AS44" i="34"/>
  <c r="AT44" i="34"/>
  <c r="AU44" i="34"/>
  <c r="AV44" i="34"/>
  <c r="AW44" i="34"/>
  <c r="AX44" i="34"/>
  <c r="AY44" i="34"/>
  <c r="AZ44" i="34"/>
  <c r="BA44" i="34"/>
  <c r="BB44" i="34"/>
  <c r="BC44" i="34"/>
  <c r="BD44" i="34"/>
  <c r="BE44" i="34"/>
  <c r="BF44" i="34"/>
  <c r="BG44" i="34"/>
  <c r="BH44" i="34"/>
  <c r="BI44" i="34"/>
  <c r="BJ44" i="34"/>
  <c r="BK44" i="34"/>
  <c r="BL44" i="34"/>
  <c r="BM44" i="34"/>
  <c r="BN44" i="34"/>
  <c r="BO44" i="34"/>
  <c r="BP44" i="34"/>
  <c r="AB20" i="34"/>
  <c r="W20" i="34"/>
  <c r="M21" i="34"/>
  <c r="N21" i="34" a="1"/>
  <c r="N21" i="34"/>
  <c r="O21" i="34"/>
  <c r="E34" i="34" a="1"/>
  <c r="E34" i="34"/>
  <c r="F34" i="34" a="1"/>
  <c r="F34" i="34"/>
  <c r="G34" i="34" a="1"/>
  <c r="H34" i="34" a="1"/>
  <c r="I34" i="34" a="1"/>
  <c r="J34" i="34" a="1"/>
  <c r="K34" i="34" a="1"/>
  <c r="L34" i="34" a="1"/>
  <c r="P21" i="34"/>
  <c r="M34" i="34" a="1"/>
  <c r="N34" i="34" a="1"/>
  <c r="O34" i="34" a="1"/>
  <c r="P34" i="34" a="1"/>
  <c r="Q34" i="34" a="1"/>
  <c r="R34" i="34" a="1"/>
  <c r="S34" i="34" a="1"/>
  <c r="T34" i="34" a="1"/>
  <c r="Q21" i="34"/>
  <c r="U34" i="34" a="1"/>
  <c r="V34" i="34" a="1"/>
  <c r="W34" i="34" a="1"/>
  <c r="X34" i="34" a="1"/>
  <c r="Y34" i="34" a="1"/>
  <c r="Z34" i="34" a="1"/>
  <c r="AA34" i="34" a="1"/>
  <c r="AB34" i="34" a="1"/>
  <c r="R21" i="34"/>
  <c r="AC34" i="34" a="1"/>
  <c r="AD34" i="34" a="1"/>
  <c r="AE34" i="34" a="1"/>
  <c r="AF34" i="34" a="1"/>
  <c r="AG34" i="34" a="1"/>
  <c r="AH34" i="34" a="1"/>
  <c r="AI34" i="34" a="1"/>
  <c r="AJ34" i="34" a="1"/>
  <c r="S21" i="34"/>
  <c r="AK34" i="34" a="1"/>
  <c r="AL34" i="34" a="1"/>
  <c r="AM34" i="34" a="1"/>
  <c r="AN34" i="34" a="1"/>
  <c r="AO34" i="34" a="1"/>
  <c r="AP34" i="34" a="1"/>
  <c r="AQ34" i="34" a="1"/>
  <c r="AR34" i="34" a="1"/>
  <c r="T21" i="34"/>
  <c r="AS34" i="34" a="1"/>
  <c r="AT34" i="34" a="1"/>
  <c r="AU34" i="34" a="1"/>
  <c r="AV34" i="34" a="1"/>
  <c r="AW34" i="34" a="1"/>
  <c r="AX34" i="34" a="1"/>
  <c r="AY34" i="34" a="1"/>
  <c r="AZ34" i="34" a="1"/>
  <c r="U21" i="34"/>
  <c r="BA34" i="34" a="1"/>
  <c r="BB34" i="34" a="1"/>
  <c r="BC34" i="34" a="1"/>
  <c r="BD34" i="34" a="1"/>
  <c r="BE34" i="34" a="1"/>
  <c r="BF34" i="34" a="1"/>
  <c r="BG34" i="34" a="1"/>
  <c r="BH34" i="34" a="1"/>
  <c r="V21" i="34"/>
  <c r="BI34" i="34" a="1"/>
  <c r="BJ34" i="34" a="1"/>
  <c r="BK34" i="34" a="1"/>
  <c r="BL34" i="34" a="1"/>
  <c r="BM34" i="34" a="1"/>
  <c r="BN34" i="34" a="1"/>
  <c r="BO34" i="34" a="1"/>
  <c r="BP34" i="34" a="1"/>
  <c r="G34" i="34"/>
  <c r="H34" i="34"/>
  <c r="I34" i="34"/>
  <c r="J34" i="34"/>
  <c r="K34" i="34"/>
  <c r="L34" i="34"/>
  <c r="M34" i="34"/>
  <c r="N34" i="34"/>
  <c r="O34" i="34"/>
  <c r="P34" i="34"/>
  <c r="Q34" i="34"/>
  <c r="R34" i="34"/>
  <c r="S34" i="34"/>
  <c r="T34" i="34"/>
  <c r="U34" i="34"/>
  <c r="V34" i="34"/>
  <c r="W34" i="34"/>
  <c r="X34" i="34"/>
  <c r="Y34" i="34"/>
  <c r="Z34" i="34"/>
  <c r="AA34" i="34"/>
  <c r="AB34" i="34"/>
  <c r="AC34" i="34"/>
  <c r="AD34" i="34"/>
  <c r="AE34" i="34"/>
  <c r="AF34" i="34"/>
  <c r="AG34" i="34"/>
  <c r="AH34" i="34"/>
  <c r="AI34" i="34"/>
  <c r="AJ34" i="34"/>
  <c r="AK34" i="34"/>
  <c r="AL34" i="34"/>
  <c r="AM34" i="34"/>
  <c r="AN34" i="34"/>
  <c r="AO34" i="34"/>
  <c r="AP34" i="34"/>
  <c r="AQ34" i="34"/>
  <c r="AR34" i="34"/>
  <c r="AS34" i="34"/>
  <c r="AT34" i="34"/>
  <c r="AU34" i="34"/>
  <c r="AV34" i="34"/>
  <c r="AW34" i="34"/>
  <c r="AX34" i="34"/>
  <c r="AY34" i="34"/>
  <c r="AZ34" i="34"/>
  <c r="BA34" i="34"/>
  <c r="BB34" i="34"/>
  <c r="BC34" i="34"/>
  <c r="BD34" i="34"/>
  <c r="BE34" i="34"/>
  <c r="BF34" i="34"/>
  <c r="BG34" i="34"/>
  <c r="BH34" i="34"/>
  <c r="BI34" i="34"/>
  <c r="BJ34" i="34"/>
  <c r="BK34" i="34"/>
  <c r="BL34" i="34"/>
  <c r="BM34" i="34"/>
  <c r="BN34" i="34"/>
  <c r="BO34" i="34"/>
  <c r="BP34" i="34"/>
  <c r="AA21" i="34"/>
  <c r="E45" i="34" a="1"/>
  <c r="E45" i="34"/>
  <c r="F45" i="34" a="1"/>
  <c r="F45" i="34"/>
  <c r="G45" i="34" a="1"/>
  <c r="H45" i="34" a="1"/>
  <c r="I45" i="34" a="1"/>
  <c r="J45" i="34" a="1"/>
  <c r="K45" i="34" a="1"/>
  <c r="L45" i="34" a="1"/>
  <c r="M45" i="34" a="1"/>
  <c r="N45" i="34" a="1"/>
  <c r="O45" i="34" a="1"/>
  <c r="P45" i="34" a="1"/>
  <c r="Q45" i="34" a="1"/>
  <c r="R45" i="34" a="1"/>
  <c r="S45" i="34" a="1"/>
  <c r="T45" i="34" a="1"/>
  <c r="U45" i="34" a="1"/>
  <c r="V45" i="34" a="1"/>
  <c r="W45" i="34" a="1"/>
  <c r="X45" i="34" a="1"/>
  <c r="Y45" i="34" a="1"/>
  <c r="Z45" i="34" a="1"/>
  <c r="AA45" i="34" a="1"/>
  <c r="AB45" i="34" a="1"/>
  <c r="AC45" i="34" a="1"/>
  <c r="AD45" i="34" a="1"/>
  <c r="AE45" i="34" a="1"/>
  <c r="AF45" i="34" a="1"/>
  <c r="AG45" i="34" a="1"/>
  <c r="AH45" i="34" a="1"/>
  <c r="AI45" i="34" a="1"/>
  <c r="AJ45" i="34" a="1"/>
  <c r="AK45" i="34" a="1"/>
  <c r="AL45" i="34" a="1"/>
  <c r="AM45" i="34" a="1"/>
  <c r="AN45" i="34" a="1"/>
  <c r="AO45" i="34" a="1"/>
  <c r="AP45" i="34" a="1"/>
  <c r="AQ45" i="34" a="1"/>
  <c r="AR45" i="34" a="1"/>
  <c r="AS45" i="34" a="1"/>
  <c r="AT45" i="34" a="1"/>
  <c r="AU45" i="34" a="1"/>
  <c r="AV45" i="34" a="1"/>
  <c r="AW45" i="34" a="1"/>
  <c r="AX45" i="34" a="1"/>
  <c r="AY45" i="34" a="1"/>
  <c r="AZ45" i="34" a="1"/>
  <c r="BA45" i="34" a="1"/>
  <c r="BB45" i="34" a="1"/>
  <c r="BC45" i="34" a="1"/>
  <c r="BD45" i="34" a="1"/>
  <c r="BE45" i="34" a="1"/>
  <c r="BF45" i="34" a="1"/>
  <c r="BG45" i="34" a="1"/>
  <c r="BH45" i="34" a="1"/>
  <c r="BI45" i="34" a="1"/>
  <c r="BJ45" i="34" a="1"/>
  <c r="BK45" i="34" a="1"/>
  <c r="BL45" i="34" a="1"/>
  <c r="BM45" i="34" a="1"/>
  <c r="BN45" i="34" a="1"/>
  <c r="BO45" i="34" a="1"/>
  <c r="BP45" i="34" a="1"/>
  <c r="G45" i="34"/>
  <c r="H45" i="34"/>
  <c r="I45" i="34"/>
  <c r="J45" i="34"/>
  <c r="K45" i="34"/>
  <c r="L45" i="34"/>
  <c r="M45" i="34"/>
  <c r="N45" i="34"/>
  <c r="O45" i="34"/>
  <c r="P45" i="34"/>
  <c r="Q45" i="34"/>
  <c r="R45" i="34"/>
  <c r="S45" i="34"/>
  <c r="T45" i="34"/>
  <c r="U45" i="34"/>
  <c r="V45" i="34"/>
  <c r="W45" i="34"/>
  <c r="X45" i="34"/>
  <c r="Y45" i="34"/>
  <c r="Z45" i="34"/>
  <c r="AA45" i="34"/>
  <c r="AB45" i="34"/>
  <c r="AC45" i="34"/>
  <c r="AD45" i="34"/>
  <c r="AE45" i="34"/>
  <c r="AF45" i="34"/>
  <c r="AG45" i="34"/>
  <c r="AH45" i="34"/>
  <c r="AI45" i="34"/>
  <c r="AJ45" i="34"/>
  <c r="AK45" i="34"/>
  <c r="AL45" i="34"/>
  <c r="AM45" i="34"/>
  <c r="AN45" i="34"/>
  <c r="AO45" i="34"/>
  <c r="AP45" i="34"/>
  <c r="AQ45" i="34"/>
  <c r="AR45" i="34"/>
  <c r="AS45" i="34"/>
  <c r="AT45" i="34"/>
  <c r="AU45" i="34"/>
  <c r="AV45" i="34"/>
  <c r="AW45" i="34"/>
  <c r="AX45" i="34"/>
  <c r="AY45" i="34"/>
  <c r="AZ45" i="34"/>
  <c r="BA45" i="34"/>
  <c r="BB45" i="34"/>
  <c r="BC45" i="34"/>
  <c r="BD45" i="34"/>
  <c r="BE45" i="34"/>
  <c r="BF45" i="34"/>
  <c r="BG45" i="34"/>
  <c r="BH45" i="34"/>
  <c r="BI45" i="34"/>
  <c r="BJ45" i="34"/>
  <c r="BK45" i="34"/>
  <c r="BL45" i="34"/>
  <c r="BM45" i="34"/>
  <c r="BN45" i="34"/>
  <c r="BO45" i="34"/>
  <c r="BP45" i="34"/>
  <c r="AB21" i="34"/>
  <c r="W21" i="34"/>
  <c r="M22" i="34"/>
  <c r="N22" i="34" a="1"/>
  <c r="N22" i="34"/>
  <c r="O22" i="34"/>
  <c r="BT52" i="34"/>
  <c r="BU52" i="34"/>
  <c r="BV52" i="34"/>
  <c r="BW52" i="34"/>
  <c r="BX52" i="34"/>
  <c r="BY52" i="34"/>
  <c r="BZ52" i="34"/>
  <c r="CA52" i="34"/>
  <c r="BS53" i="34"/>
  <c r="BU53" i="34"/>
  <c r="BV53" i="34"/>
  <c r="BW53" i="34"/>
  <c r="BX53" i="34"/>
  <c r="BY53" i="34"/>
  <c r="BZ53" i="34"/>
  <c r="CA53" i="34"/>
  <c r="BS54" i="34"/>
  <c r="BT54" i="34"/>
  <c r="BV54" i="34"/>
  <c r="BW54" i="34"/>
  <c r="BX54" i="34"/>
  <c r="BY54" i="34"/>
  <c r="BZ54" i="34"/>
  <c r="CA54" i="34"/>
  <c r="BS55" i="34"/>
  <c r="BT55" i="34"/>
  <c r="BU55" i="34"/>
  <c r="BW55" i="34"/>
  <c r="BX55" i="34"/>
  <c r="BY55" i="34"/>
  <c r="BZ55" i="34"/>
  <c r="CA55" i="34"/>
  <c r="BS56" i="34"/>
  <c r="BT56" i="34"/>
  <c r="BU56" i="34"/>
  <c r="BV56" i="34"/>
  <c r="BX56" i="34"/>
  <c r="BY56" i="34"/>
  <c r="BZ56" i="34"/>
  <c r="CA56" i="34"/>
  <c r="BS57" i="34"/>
  <c r="BT57" i="34"/>
  <c r="BU57" i="34"/>
  <c r="BV57" i="34"/>
  <c r="BW57" i="34"/>
  <c r="BY57" i="34"/>
  <c r="BZ57" i="34"/>
  <c r="CA57" i="34"/>
  <c r="BS58" i="34"/>
  <c r="BT58" i="34"/>
  <c r="BU58" i="34"/>
  <c r="BV58" i="34"/>
  <c r="BW58" i="34"/>
  <c r="BX58" i="34"/>
  <c r="BZ58" i="34"/>
  <c r="CA58" i="34"/>
  <c r="BS59" i="34"/>
  <c r="BT59" i="34"/>
  <c r="BU59" i="34"/>
  <c r="BV59" i="34"/>
  <c r="BW59" i="34"/>
  <c r="BX59" i="34"/>
  <c r="BY59" i="34"/>
  <c r="CA59" i="34"/>
  <c r="BS60" i="34"/>
  <c r="BT60" i="34"/>
  <c r="BU60" i="34"/>
  <c r="BV60" i="34"/>
  <c r="BW60" i="34"/>
  <c r="BX60" i="34"/>
  <c r="BY60" i="34"/>
  <c r="BZ60" i="34"/>
  <c r="E35" i="34" a="1"/>
  <c r="E35" i="34"/>
  <c r="F35" i="34" a="1"/>
  <c r="F35" i="34"/>
  <c r="G35" i="34" a="1"/>
  <c r="H35" i="34" a="1"/>
  <c r="I35" i="34" a="1"/>
  <c r="M23" i="34"/>
  <c r="N23" i="34" a="1"/>
  <c r="N23" i="34"/>
  <c r="O23" i="34"/>
  <c r="J35" i="34" a="1"/>
  <c r="M24" i="34"/>
  <c r="N24" i="34" a="1"/>
  <c r="N24" i="34"/>
  <c r="O24" i="34"/>
  <c r="K35" i="34" a="1"/>
  <c r="M25" i="34"/>
  <c r="N25" i="34" a="1"/>
  <c r="N25" i="34"/>
  <c r="O25" i="34"/>
  <c r="L35" i="34" a="1"/>
  <c r="P22" i="34"/>
  <c r="M35" i="34" a="1"/>
  <c r="N35" i="34" a="1"/>
  <c r="O35" i="34" a="1"/>
  <c r="P35" i="34" a="1"/>
  <c r="Q35" i="34" a="1"/>
  <c r="P23" i="34"/>
  <c r="R35" i="34" a="1"/>
  <c r="P24" i="34"/>
  <c r="S35" i="34" a="1"/>
  <c r="P25" i="34"/>
  <c r="T35" i="34" a="1"/>
  <c r="Q22" i="34"/>
  <c r="U35" i="34" a="1"/>
  <c r="V35" i="34" a="1"/>
  <c r="W35" i="34" a="1"/>
  <c r="X35" i="34" a="1"/>
  <c r="Y35" i="34" a="1"/>
  <c r="Q23" i="34"/>
  <c r="Z35" i="34" a="1"/>
  <c r="Q24" i="34"/>
  <c r="AA35" i="34" a="1"/>
  <c r="Q25" i="34"/>
  <c r="AB35" i="34" a="1"/>
  <c r="R22" i="34"/>
  <c r="AC35" i="34" a="1"/>
  <c r="AD35" i="34" a="1"/>
  <c r="AE35" i="34" a="1"/>
  <c r="AF35" i="34" a="1"/>
  <c r="AG35" i="34" a="1"/>
  <c r="R23" i="34"/>
  <c r="AH35" i="34" a="1"/>
  <c r="R24" i="34"/>
  <c r="AI35" i="34" a="1"/>
  <c r="R25" i="34"/>
  <c r="AJ35" i="34" a="1"/>
  <c r="S22" i="34"/>
  <c r="AK35" i="34" a="1"/>
  <c r="AL35" i="34" a="1"/>
  <c r="AM35" i="34" a="1"/>
  <c r="AN35" i="34" a="1"/>
  <c r="AO35" i="34" a="1"/>
  <c r="S23" i="34"/>
  <c r="AP35" i="34" a="1"/>
  <c r="S24" i="34"/>
  <c r="AQ35" i="34" a="1"/>
  <c r="S25" i="34"/>
  <c r="AR35" i="34" a="1"/>
  <c r="T22" i="34"/>
  <c r="AS35" i="34" a="1"/>
  <c r="AT35" i="34" a="1"/>
  <c r="AU35" i="34" a="1"/>
  <c r="AV35" i="34" a="1"/>
  <c r="AW35" i="34" a="1"/>
  <c r="T23" i="34"/>
  <c r="AX35" i="34" a="1"/>
  <c r="T24" i="34"/>
  <c r="AY35" i="34" a="1"/>
  <c r="T25" i="34"/>
  <c r="AZ35" i="34" a="1"/>
  <c r="U22" i="34"/>
  <c r="BA35" i="34" a="1"/>
  <c r="BB35" i="34" a="1"/>
  <c r="BC35" i="34" a="1"/>
  <c r="BD35" i="34" a="1"/>
  <c r="BE35" i="34" a="1"/>
  <c r="U23" i="34"/>
  <c r="BF35" i="34" a="1"/>
  <c r="U24" i="34"/>
  <c r="BG35" i="34" a="1"/>
  <c r="U25" i="34"/>
  <c r="BH35" i="34" a="1"/>
  <c r="V22" i="34"/>
  <c r="BI35" i="34" a="1"/>
  <c r="BJ35" i="34" a="1"/>
  <c r="BK35" i="34" a="1"/>
  <c r="BL35" i="34" a="1"/>
  <c r="BM35" i="34" a="1"/>
  <c r="V23" i="34"/>
  <c r="BN35" i="34" a="1"/>
  <c r="V24" i="34"/>
  <c r="BO35" i="34" a="1"/>
  <c r="V25" i="34"/>
  <c r="BP35" i="34" a="1"/>
  <c r="G35" i="34"/>
  <c r="H35" i="34"/>
  <c r="I35" i="34"/>
  <c r="J35" i="34"/>
  <c r="K35" i="34"/>
  <c r="L35" i="34"/>
  <c r="M35" i="34"/>
  <c r="N35" i="34"/>
  <c r="O35" i="34"/>
  <c r="P35" i="34"/>
  <c r="Q35" i="34"/>
  <c r="R35" i="34"/>
  <c r="S35" i="34"/>
  <c r="T35" i="34"/>
  <c r="U35" i="34"/>
  <c r="V35" i="34"/>
  <c r="W35" i="34"/>
  <c r="X35" i="34"/>
  <c r="Y35" i="34"/>
  <c r="Z35" i="34"/>
  <c r="AA35" i="34"/>
  <c r="AB35" i="34"/>
  <c r="AC35" i="34"/>
  <c r="AD35" i="34"/>
  <c r="AE35" i="34"/>
  <c r="AF35" i="34"/>
  <c r="AG35" i="34"/>
  <c r="AH35" i="34"/>
  <c r="AI35" i="34"/>
  <c r="AJ35" i="34"/>
  <c r="AK35" i="34"/>
  <c r="AL35" i="34"/>
  <c r="AM35" i="34"/>
  <c r="AN35" i="34"/>
  <c r="AO35" i="34"/>
  <c r="AP35" i="34"/>
  <c r="AQ35" i="34"/>
  <c r="AR35" i="34"/>
  <c r="AS35" i="34"/>
  <c r="AT35" i="34"/>
  <c r="AU35" i="34"/>
  <c r="AV35" i="34"/>
  <c r="AW35" i="34"/>
  <c r="AX35" i="34"/>
  <c r="AY35" i="34"/>
  <c r="AZ35" i="34"/>
  <c r="BA35" i="34"/>
  <c r="BB35" i="34"/>
  <c r="BC35" i="34"/>
  <c r="BD35" i="34"/>
  <c r="BE35" i="34"/>
  <c r="BF35" i="34"/>
  <c r="BG35" i="34"/>
  <c r="BH35" i="34"/>
  <c r="BI35" i="34"/>
  <c r="BJ35" i="34"/>
  <c r="BK35" i="34"/>
  <c r="BL35" i="34"/>
  <c r="BM35" i="34"/>
  <c r="BN35" i="34"/>
  <c r="BO35" i="34"/>
  <c r="BP35" i="34"/>
  <c r="AA22" i="34"/>
  <c r="BT30" i="34"/>
  <c r="BS31" i="34"/>
  <c r="BT41" i="34"/>
  <c r="BU30" i="34"/>
  <c r="BS32" i="34"/>
  <c r="BU41" i="34"/>
  <c r="BV30" i="34"/>
  <c r="BS33" i="34"/>
  <c r="BV41" i="34"/>
  <c r="BW30" i="34"/>
  <c r="BS34" i="34"/>
  <c r="BW41" i="34"/>
  <c r="BX30" i="34"/>
  <c r="BS35" i="34"/>
  <c r="BX41" i="34"/>
  <c r="BY30" i="34"/>
  <c r="BS36" i="34"/>
  <c r="BY41" i="34"/>
  <c r="BZ30" i="34"/>
  <c r="BS37" i="34"/>
  <c r="BZ41" i="34"/>
  <c r="CA30" i="34"/>
  <c r="BS38" i="34"/>
  <c r="CA41" i="34"/>
  <c r="BS42" i="34"/>
  <c r="BU31" i="34"/>
  <c r="BT32" i="34"/>
  <c r="BU42" i="34"/>
  <c r="BV31" i="34"/>
  <c r="BT33" i="34"/>
  <c r="BV42" i="34"/>
  <c r="BW31" i="34"/>
  <c r="BT34" i="34"/>
  <c r="BW42" i="34"/>
  <c r="BX31" i="34"/>
  <c r="BT35" i="34"/>
  <c r="BX42" i="34"/>
  <c r="BY31" i="34"/>
  <c r="BT36" i="34"/>
  <c r="BY42" i="34"/>
  <c r="BZ31" i="34"/>
  <c r="BT37" i="34"/>
  <c r="BZ42" i="34"/>
  <c r="CA31" i="34"/>
  <c r="BT38" i="34"/>
  <c r="CA42" i="34"/>
  <c r="BS43" i="34"/>
  <c r="BT43" i="34"/>
  <c r="BV32" i="34"/>
  <c r="BU33" i="34"/>
  <c r="BV43" i="34"/>
  <c r="BW32" i="34"/>
  <c r="BU34" i="34"/>
  <c r="BW43" i="34"/>
  <c r="BX32" i="34"/>
  <c r="BU35" i="34"/>
  <c r="BX43" i="34"/>
  <c r="BY32" i="34"/>
  <c r="BU36" i="34"/>
  <c r="BY43" i="34"/>
  <c r="BZ32" i="34"/>
  <c r="BU37" i="34"/>
  <c r="BZ43" i="34"/>
  <c r="CA32" i="34"/>
  <c r="BU38" i="34"/>
  <c r="CA43" i="34"/>
  <c r="BS44" i="34"/>
  <c r="BT44" i="34"/>
  <c r="BU44" i="34"/>
  <c r="BW33" i="34"/>
  <c r="BV34" i="34"/>
  <c r="BW44" i="34"/>
  <c r="BX33" i="34"/>
  <c r="BV35" i="34"/>
  <c r="BX44" i="34"/>
  <c r="BY33" i="34"/>
  <c r="BV36" i="34"/>
  <c r="BY44" i="34"/>
  <c r="BZ33" i="34"/>
  <c r="BV37" i="34"/>
  <c r="BZ44" i="34"/>
  <c r="CA33" i="34"/>
  <c r="BV38" i="34"/>
  <c r="CA44" i="34"/>
  <c r="BS45" i="34"/>
  <c r="BT45" i="34"/>
  <c r="BU45" i="34"/>
  <c r="BV45" i="34"/>
  <c r="BX34" i="34"/>
  <c r="BW35" i="34"/>
  <c r="BX45" i="34"/>
  <c r="BY34" i="34"/>
  <c r="BW36" i="34"/>
  <c r="BY45" i="34"/>
  <c r="BZ34" i="34"/>
  <c r="BW37" i="34"/>
  <c r="BZ45" i="34"/>
  <c r="CA34" i="34"/>
  <c r="BW38" i="34"/>
  <c r="CA45" i="34"/>
  <c r="BS46" i="34"/>
  <c r="BT46" i="34"/>
  <c r="BU46" i="34"/>
  <c r="BV46" i="34"/>
  <c r="BW46" i="34"/>
  <c r="BY35" i="34"/>
  <c r="BX36" i="34"/>
  <c r="BY46" i="34"/>
  <c r="BZ35" i="34"/>
  <c r="BX37" i="34"/>
  <c r="BZ46" i="34"/>
  <c r="CA35" i="34"/>
  <c r="BX38" i="34"/>
  <c r="CA46" i="34"/>
  <c r="BS47" i="34"/>
  <c r="BT47" i="34"/>
  <c r="BU47" i="34"/>
  <c r="BV47" i="34"/>
  <c r="BW47" i="34"/>
  <c r="BX47" i="34"/>
  <c r="BZ36" i="34"/>
  <c r="BY37" i="34"/>
  <c r="BZ47" i="34"/>
  <c r="CA36" i="34"/>
  <c r="BY38" i="34"/>
  <c r="CA47" i="34"/>
  <c r="BS48" i="34"/>
  <c r="BT48" i="34"/>
  <c r="BU48" i="34"/>
  <c r="BV48" i="34"/>
  <c r="BW48" i="34"/>
  <c r="BX48" i="34"/>
  <c r="BY48" i="34"/>
  <c r="CA37" i="34"/>
  <c r="BZ38" i="34"/>
  <c r="CA48" i="34"/>
  <c r="BS49" i="34"/>
  <c r="BT49" i="34"/>
  <c r="BU49" i="34"/>
  <c r="BV49" i="34"/>
  <c r="BW49" i="34"/>
  <c r="BX49" i="34"/>
  <c r="BY49" i="34"/>
  <c r="BZ49" i="34"/>
  <c r="E46" i="34" a="1"/>
  <c r="E46" i="34"/>
  <c r="F46" i="34" a="1"/>
  <c r="F46" i="34"/>
  <c r="G46" i="34" a="1"/>
  <c r="H46" i="34" a="1"/>
  <c r="I46" i="34" a="1"/>
  <c r="J46" i="34" a="1"/>
  <c r="K46" i="34" a="1"/>
  <c r="L46" i="34" a="1"/>
  <c r="M46" i="34" a="1"/>
  <c r="N46" i="34" a="1"/>
  <c r="O46" i="34" a="1"/>
  <c r="P46" i="34" a="1"/>
  <c r="Q46" i="34" a="1"/>
  <c r="R46" i="34" a="1"/>
  <c r="S46" i="34" a="1"/>
  <c r="T46" i="34" a="1"/>
  <c r="U46" i="34" a="1"/>
  <c r="V46" i="34" a="1"/>
  <c r="W46" i="34" a="1"/>
  <c r="X46" i="34" a="1"/>
  <c r="Y46" i="34" a="1"/>
  <c r="Z46" i="34" a="1"/>
  <c r="AA46" i="34" a="1"/>
  <c r="AB46" i="34" a="1"/>
  <c r="AC46" i="34" a="1"/>
  <c r="AD46" i="34" a="1"/>
  <c r="AE46" i="34" a="1"/>
  <c r="AF46" i="34" a="1"/>
  <c r="AG46" i="34" a="1"/>
  <c r="AH46" i="34" a="1"/>
  <c r="AI46" i="34" a="1"/>
  <c r="AJ46" i="34" a="1"/>
  <c r="AK46" i="34" a="1"/>
  <c r="AL46" i="34" a="1"/>
  <c r="AM46" i="34" a="1"/>
  <c r="AN46" i="34" a="1"/>
  <c r="AO46" i="34" a="1"/>
  <c r="AP46" i="34" a="1"/>
  <c r="AQ46" i="34" a="1"/>
  <c r="AR46" i="34" a="1"/>
  <c r="AS46" i="34" a="1"/>
  <c r="AT46" i="34" a="1"/>
  <c r="AU46" i="34" a="1"/>
  <c r="AV46" i="34" a="1"/>
  <c r="AW46" i="34" a="1"/>
  <c r="AX46" i="34" a="1"/>
  <c r="AY46" i="34" a="1"/>
  <c r="AZ46" i="34" a="1"/>
  <c r="BA46" i="34" a="1"/>
  <c r="BB46" i="34" a="1"/>
  <c r="BC46" i="34" a="1"/>
  <c r="BD46" i="34" a="1"/>
  <c r="BE46" i="34" a="1"/>
  <c r="BF46" i="34" a="1"/>
  <c r="BG46" i="34" a="1"/>
  <c r="BH46" i="34" a="1"/>
  <c r="BI46" i="34" a="1"/>
  <c r="BJ46" i="34" a="1"/>
  <c r="BK46" i="34" a="1"/>
  <c r="BL46" i="34" a="1"/>
  <c r="BM46" i="34" a="1"/>
  <c r="BN46" i="34" a="1"/>
  <c r="BO46" i="34" a="1"/>
  <c r="BP46" i="34" a="1"/>
  <c r="G46" i="34"/>
  <c r="H46" i="34"/>
  <c r="I46" i="34"/>
  <c r="J46" i="34"/>
  <c r="K46" i="34"/>
  <c r="L46" i="34"/>
  <c r="M46" i="34"/>
  <c r="N46" i="34"/>
  <c r="O46" i="34"/>
  <c r="P46" i="34"/>
  <c r="Q46" i="34"/>
  <c r="R46" i="34"/>
  <c r="S46" i="34"/>
  <c r="T46" i="34"/>
  <c r="U46" i="34"/>
  <c r="V46" i="34"/>
  <c r="W46" i="34"/>
  <c r="X46" i="34"/>
  <c r="Y46" i="34"/>
  <c r="Z46" i="34"/>
  <c r="AA46" i="34"/>
  <c r="AB46" i="34"/>
  <c r="AC46" i="34"/>
  <c r="AD46" i="34"/>
  <c r="AE46" i="34"/>
  <c r="AF46" i="34"/>
  <c r="AG46" i="34"/>
  <c r="AH46" i="34"/>
  <c r="AI46" i="34"/>
  <c r="AJ46" i="34"/>
  <c r="AK46" i="34"/>
  <c r="AL46" i="34"/>
  <c r="AM46" i="34"/>
  <c r="AN46" i="34"/>
  <c r="AO46" i="34"/>
  <c r="AP46" i="34"/>
  <c r="AQ46" i="34"/>
  <c r="AR46" i="34"/>
  <c r="AS46" i="34"/>
  <c r="AT46" i="34"/>
  <c r="AU46" i="34"/>
  <c r="AV46" i="34"/>
  <c r="AW46" i="34"/>
  <c r="AX46" i="34"/>
  <c r="AY46" i="34"/>
  <c r="AZ46" i="34"/>
  <c r="BA46" i="34"/>
  <c r="BB46" i="34"/>
  <c r="BC46" i="34"/>
  <c r="BD46" i="34"/>
  <c r="BE46" i="34"/>
  <c r="BF46" i="34"/>
  <c r="BG46" i="34"/>
  <c r="BH46" i="34"/>
  <c r="BI46" i="34"/>
  <c r="BJ46" i="34"/>
  <c r="BK46" i="34"/>
  <c r="BL46" i="34"/>
  <c r="BM46" i="34"/>
  <c r="BN46" i="34"/>
  <c r="BO46" i="34"/>
  <c r="BP46" i="34"/>
  <c r="AB22" i="34"/>
  <c r="W22" i="34"/>
  <c r="E36" i="34" a="1"/>
  <c r="E36" i="34"/>
  <c r="F36" i="34" a="1"/>
  <c r="F36" i="34"/>
  <c r="G36" i="34" a="1"/>
  <c r="H36" i="34" a="1"/>
  <c r="I36" i="34" a="1"/>
  <c r="J36" i="34" a="1"/>
  <c r="K36" i="34" a="1"/>
  <c r="L36" i="34" a="1"/>
  <c r="M36" i="34" a="1"/>
  <c r="N36" i="34" a="1"/>
  <c r="O36" i="34" a="1"/>
  <c r="P36" i="34" a="1"/>
  <c r="Q36" i="34" a="1"/>
  <c r="R36" i="34" a="1"/>
  <c r="S36" i="34" a="1"/>
  <c r="T36" i="34" a="1"/>
  <c r="U36" i="34" a="1"/>
  <c r="V36" i="34" a="1"/>
  <c r="W36" i="34" a="1"/>
  <c r="X36" i="34" a="1"/>
  <c r="Y36" i="34" a="1"/>
  <c r="Z36" i="34" a="1"/>
  <c r="AA36" i="34" a="1"/>
  <c r="AB36" i="34" a="1"/>
  <c r="AC36" i="34" a="1"/>
  <c r="AD36" i="34" a="1"/>
  <c r="AE36" i="34" a="1"/>
  <c r="AF36" i="34" a="1"/>
  <c r="AG36" i="34" a="1"/>
  <c r="AH36" i="34" a="1"/>
  <c r="AI36" i="34" a="1"/>
  <c r="AJ36" i="34" a="1"/>
  <c r="AK36" i="34" a="1"/>
  <c r="AL36" i="34" a="1"/>
  <c r="AM36" i="34" a="1"/>
  <c r="AN36" i="34" a="1"/>
  <c r="AO36" i="34" a="1"/>
  <c r="AP36" i="34" a="1"/>
  <c r="AQ36" i="34" a="1"/>
  <c r="AR36" i="34" a="1"/>
  <c r="AS36" i="34" a="1"/>
  <c r="AT36" i="34" a="1"/>
  <c r="AU36" i="34" a="1"/>
  <c r="AV36" i="34" a="1"/>
  <c r="AW36" i="34" a="1"/>
  <c r="AX36" i="34" a="1"/>
  <c r="AY36" i="34" a="1"/>
  <c r="AZ36" i="34" a="1"/>
  <c r="BA36" i="34" a="1"/>
  <c r="BB36" i="34" a="1"/>
  <c r="BC36" i="34" a="1"/>
  <c r="BD36" i="34" a="1"/>
  <c r="BE36" i="34" a="1"/>
  <c r="BF36" i="34" a="1"/>
  <c r="BG36" i="34" a="1"/>
  <c r="BH36" i="34" a="1"/>
  <c r="BI36" i="34" a="1"/>
  <c r="BJ36" i="34" a="1"/>
  <c r="BK36" i="34" a="1"/>
  <c r="BL36" i="34" a="1"/>
  <c r="BM36" i="34" a="1"/>
  <c r="BN36" i="34" a="1"/>
  <c r="BO36" i="34" a="1"/>
  <c r="BP36" i="34" a="1"/>
  <c r="G36" i="34"/>
  <c r="H36" i="34"/>
  <c r="I36" i="34"/>
  <c r="J36" i="34"/>
  <c r="K36" i="34"/>
  <c r="L36" i="34"/>
  <c r="M36" i="34"/>
  <c r="N36" i="34"/>
  <c r="O36" i="34"/>
  <c r="P36" i="34"/>
  <c r="Q36" i="34"/>
  <c r="R36" i="34"/>
  <c r="S36" i="34"/>
  <c r="T36" i="34"/>
  <c r="U36" i="34"/>
  <c r="V36" i="34"/>
  <c r="W36" i="34"/>
  <c r="X36" i="34"/>
  <c r="Y36" i="34"/>
  <c r="Z36" i="34"/>
  <c r="AA36" i="34"/>
  <c r="AB36" i="34"/>
  <c r="AC36" i="34"/>
  <c r="AD36" i="34"/>
  <c r="AE36" i="34"/>
  <c r="AF36" i="34"/>
  <c r="AG36" i="34"/>
  <c r="AH36" i="34"/>
  <c r="AI36" i="34"/>
  <c r="AJ36" i="34"/>
  <c r="AK36" i="34"/>
  <c r="AL36" i="34"/>
  <c r="AM36" i="34"/>
  <c r="AN36" i="34"/>
  <c r="AO36" i="34"/>
  <c r="AP36" i="34"/>
  <c r="AQ36" i="34"/>
  <c r="AR36" i="34"/>
  <c r="AS36" i="34"/>
  <c r="AT36" i="34"/>
  <c r="AU36" i="34"/>
  <c r="AV36" i="34"/>
  <c r="AW36" i="34"/>
  <c r="AX36" i="34"/>
  <c r="AY36" i="34"/>
  <c r="AZ36" i="34"/>
  <c r="BA36" i="34"/>
  <c r="BB36" i="34"/>
  <c r="BC36" i="34"/>
  <c r="BD36" i="34"/>
  <c r="BE36" i="34"/>
  <c r="BF36" i="34"/>
  <c r="BG36" i="34"/>
  <c r="BH36" i="34"/>
  <c r="BI36" i="34"/>
  <c r="BJ36" i="34"/>
  <c r="BK36" i="34"/>
  <c r="BL36" i="34"/>
  <c r="BM36" i="34"/>
  <c r="BN36" i="34"/>
  <c r="BO36" i="34"/>
  <c r="BP36" i="34"/>
  <c r="AA23" i="34"/>
  <c r="E47" i="34" a="1"/>
  <c r="E47" i="34"/>
  <c r="F47" i="34" a="1"/>
  <c r="F47" i="34"/>
  <c r="G47" i="34" a="1"/>
  <c r="H47" i="34" a="1"/>
  <c r="I47" i="34" a="1"/>
  <c r="J47" i="34" a="1"/>
  <c r="K47" i="34" a="1"/>
  <c r="L47" i="34" a="1"/>
  <c r="M47" i="34" a="1"/>
  <c r="N47" i="34" a="1"/>
  <c r="O47" i="34" a="1"/>
  <c r="P47" i="34" a="1"/>
  <c r="Q47" i="34" a="1"/>
  <c r="R47" i="34" a="1"/>
  <c r="S47" i="34" a="1"/>
  <c r="T47" i="34" a="1"/>
  <c r="U47" i="34" a="1"/>
  <c r="V47" i="34" a="1"/>
  <c r="W47" i="34" a="1"/>
  <c r="X47" i="34" a="1"/>
  <c r="Y47" i="34" a="1"/>
  <c r="Z47" i="34" a="1"/>
  <c r="AA47" i="34" a="1"/>
  <c r="AB47" i="34" a="1"/>
  <c r="AC47" i="34" a="1"/>
  <c r="AD47" i="34" a="1"/>
  <c r="AE47" i="34" a="1"/>
  <c r="AF47" i="34" a="1"/>
  <c r="AG47" i="34" a="1"/>
  <c r="AH47" i="34" a="1"/>
  <c r="AI47" i="34" a="1"/>
  <c r="AJ47" i="34" a="1"/>
  <c r="AK47" i="34" a="1"/>
  <c r="AL47" i="34" a="1"/>
  <c r="AM47" i="34" a="1"/>
  <c r="AN47" i="34" a="1"/>
  <c r="AO47" i="34" a="1"/>
  <c r="AP47" i="34" a="1"/>
  <c r="AQ47" i="34" a="1"/>
  <c r="AR47" i="34" a="1"/>
  <c r="AS47" i="34" a="1"/>
  <c r="AT47" i="34" a="1"/>
  <c r="AU47" i="34" a="1"/>
  <c r="AV47" i="34" a="1"/>
  <c r="AW47" i="34" a="1"/>
  <c r="AX47" i="34" a="1"/>
  <c r="AY47" i="34" a="1"/>
  <c r="AZ47" i="34" a="1"/>
  <c r="BA47" i="34" a="1"/>
  <c r="BB47" i="34" a="1"/>
  <c r="BC47" i="34" a="1"/>
  <c r="BD47" i="34" a="1"/>
  <c r="BE47" i="34" a="1"/>
  <c r="BF47" i="34" a="1"/>
  <c r="BG47" i="34" a="1"/>
  <c r="BH47" i="34" a="1"/>
  <c r="BI47" i="34" a="1"/>
  <c r="BJ47" i="34" a="1"/>
  <c r="BK47" i="34" a="1"/>
  <c r="BL47" i="34" a="1"/>
  <c r="BM47" i="34" a="1"/>
  <c r="BN47" i="34" a="1"/>
  <c r="BO47" i="34" a="1"/>
  <c r="BP47" i="34" a="1"/>
  <c r="G47" i="34"/>
  <c r="H47" i="34"/>
  <c r="I47" i="34"/>
  <c r="J47" i="34"/>
  <c r="K47" i="34"/>
  <c r="L47" i="34"/>
  <c r="M47" i="34"/>
  <c r="N47" i="34"/>
  <c r="O47" i="34"/>
  <c r="P47" i="34"/>
  <c r="Q47" i="34"/>
  <c r="R47" i="34"/>
  <c r="S47" i="34"/>
  <c r="T47" i="34"/>
  <c r="U47" i="34"/>
  <c r="V47" i="34"/>
  <c r="W47" i="34"/>
  <c r="X47" i="34"/>
  <c r="Y47" i="34"/>
  <c r="Z47" i="34"/>
  <c r="AA47" i="34"/>
  <c r="AB47" i="34"/>
  <c r="AC47" i="34"/>
  <c r="AD47" i="34"/>
  <c r="AE47" i="34"/>
  <c r="AF47" i="34"/>
  <c r="AG47" i="34"/>
  <c r="AH47" i="34"/>
  <c r="AI47" i="34"/>
  <c r="AJ47" i="34"/>
  <c r="AK47" i="34"/>
  <c r="AL47" i="34"/>
  <c r="AM47" i="34"/>
  <c r="AN47" i="34"/>
  <c r="AO47" i="34"/>
  <c r="AP47" i="34"/>
  <c r="AQ47" i="34"/>
  <c r="AR47" i="34"/>
  <c r="AS47" i="34"/>
  <c r="AT47" i="34"/>
  <c r="AU47" i="34"/>
  <c r="AV47" i="34"/>
  <c r="AW47" i="34"/>
  <c r="AX47" i="34"/>
  <c r="AY47" i="34"/>
  <c r="AZ47" i="34"/>
  <c r="BA47" i="34"/>
  <c r="BB47" i="34"/>
  <c r="BC47" i="34"/>
  <c r="BD47" i="34"/>
  <c r="BE47" i="34"/>
  <c r="BF47" i="34"/>
  <c r="BG47" i="34"/>
  <c r="BH47" i="34"/>
  <c r="BI47" i="34"/>
  <c r="BJ47" i="34"/>
  <c r="BK47" i="34"/>
  <c r="BL47" i="34"/>
  <c r="BM47" i="34"/>
  <c r="BN47" i="34"/>
  <c r="BO47" i="34"/>
  <c r="BP47" i="34"/>
  <c r="AB23" i="34"/>
  <c r="W23" i="34"/>
  <c r="E37" i="34" a="1"/>
  <c r="E37" i="34"/>
  <c r="F37" i="34" a="1"/>
  <c r="F37" i="34"/>
  <c r="G37" i="34" a="1"/>
  <c r="H37" i="34" a="1"/>
  <c r="I37" i="34" a="1"/>
  <c r="J37" i="34" a="1"/>
  <c r="K37" i="34" a="1"/>
  <c r="L37" i="34" a="1"/>
  <c r="M37" i="34" a="1"/>
  <c r="N37" i="34" a="1"/>
  <c r="O37" i="34" a="1"/>
  <c r="P37" i="34" a="1"/>
  <c r="Q37" i="34" a="1"/>
  <c r="R37" i="34" a="1"/>
  <c r="S37" i="34" a="1"/>
  <c r="T37" i="34" a="1"/>
  <c r="U37" i="34" a="1"/>
  <c r="V37" i="34" a="1"/>
  <c r="W37" i="34" a="1"/>
  <c r="X37" i="34" a="1"/>
  <c r="Y37" i="34" a="1"/>
  <c r="Z37" i="34" a="1"/>
  <c r="AA37" i="34" a="1"/>
  <c r="AB37" i="34" a="1"/>
  <c r="AC37" i="34" a="1"/>
  <c r="AD37" i="34" a="1"/>
  <c r="AE37" i="34" a="1"/>
  <c r="AF37" i="34" a="1"/>
  <c r="AG37" i="34" a="1"/>
  <c r="AH37" i="34" a="1"/>
  <c r="AI37" i="34" a="1"/>
  <c r="AJ37" i="34" a="1"/>
  <c r="AK37" i="34" a="1"/>
  <c r="AL37" i="34" a="1"/>
  <c r="AM37" i="34" a="1"/>
  <c r="AN37" i="34" a="1"/>
  <c r="AO37" i="34" a="1"/>
  <c r="AP37" i="34" a="1"/>
  <c r="AQ37" i="34" a="1"/>
  <c r="AR37" i="34" a="1"/>
  <c r="AS37" i="34" a="1"/>
  <c r="AT37" i="34" a="1"/>
  <c r="AU37" i="34" a="1"/>
  <c r="AV37" i="34" a="1"/>
  <c r="AW37" i="34" a="1"/>
  <c r="AX37" i="34" a="1"/>
  <c r="AY37" i="34" a="1"/>
  <c r="AZ37" i="34" a="1"/>
  <c r="BA37" i="34" a="1"/>
  <c r="BB37" i="34" a="1"/>
  <c r="BC37" i="34" a="1"/>
  <c r="BD37" i="34" a="1"/>
  <c r="BE37" i="34" a="1"/>
  <c r="BF37" i="34" a="1"/>
  <c r="BG37" i="34" a="1"/>
  <c r="BH37" i="34" a="1"/>
  <c r="BI37" i="34" a="1"/>
  <c r="BJ37" i="34" a="1"/>
  <c r="BK37" i="34" a="1"/>
  <c r="BL37" i="34" a="1"/>
  <c r="BM37" i="34" a="1"/>
  <c r="BN37" i="34" a="1"/>
  <c r="BO37" i="34" a="1"/>
  <c r="BP37" i="34" a="1"/>
  <c r="G37" i="34"/>
  <c r="H37" i="34"/>
  <c r="I37" i="34"/>
  <c r="J37" i="34"/>
  <c r="K37" i="34"/>
  <c r="L37" i="34"/>
  <c r="M37" i="34"/>
  <c r="N37" i="34"/>
  <c r="O37" i="34"/>
  <c r="P37" i="34"/>
  <c r="Q37" i="34"/>
  <c r="R37" i="34"/>
  <c r="S37" i="34"/>
  <c r="T37" i="34"/>
  <c r="U37" i="34"/>
  <c r="V37" i="34"/>
  <c r="W37" i="34"/>
  <c r="X37" i="34"/>
  <c r="Y37" i="34"/>
  <c r="Z37" i="34"/>
  <c r="AA37" i="34"/>
  <c r="AB37" i="34"/>
  <c r="AC37" i="34"/>
  <c r="AD37" i="34"/>
  <c r="AE37" i="34"/>
  <c r="AF37" i="34"/>
  <c r="AG37" i="34"/>
  <c r="AH37" i="34"/>
  <c r="AI37" i="34"/>
  <c r="AJ37" i="34"/>
  <c r="AK37" i="34"/>
  <c r="AL37" i="34"/>
  <c r="AM37" i="34"/>
  <c r="AN37" i="34"/>
  <c r="AO37" i="34"/>
  <c r="AP37" i="34"/>
  <c r="AQ37" i="34"/>
  <c r="AR37" i="34"/>
  <c r="AS37" i="34"/>
  <c r="AT37" i="34"/>
  <c r="AU37" i="34"/>
  <c r="AV37" i="34"/>
  <c r="AW37" i="34"/>
  <c r="AX37" i="34"/>
  <c r="AY37" i="34"/>
  <c r="AZ37" i="34"/>
  <c r="BA37" i="34"/>
  <c r="BB37" i="34"/>
  <c r="BC37" i="34"/>
  <c r="BD37" i="34"/>
  <c r="BE37" i="34"/>
  <c r="BF37" i="34"/>
  <c r="BG37" i="34"/>
  <c r="BH37" i="34"/>
  <c r="BI37" i="34"/>
  <c r="BJ37" i="34"/>
  <c r="BK37" i="34"/>
  <c r="BL37" i="34"/>
  <c r="BM37" i="34"/>
  <c r="BN37" i="34"/>
  <c r="BO37" i="34"/>
  <c r="BP37" i="34"/>
  <c r="AA24" i="34"/>
  <c r="E48" i="34" a="1"/>
  <c r="E48" i="34"/>
  <c r="F48" i="34" a="1"/>
  <c r="F48" i="34"/>
  <c r="G48" i="34" a="1"/>
  <c r="H48" i="34" a="1"/>
  <c r="I48" i="34" a="1"/>
  <c r="J48" i="34" a="1"/>
  <c r="K48" i="34" a="1"/>
  <c r="L48" i="34" a="1"/>
  <c r="M48" i="34" a="1"/>
  <c r="N48" i="34" a="1"/>
  <c r="O48" i="34" a="1"/>
  <c r="P48" i="34" a="1"/>
  <c r="Q48" i="34" a="1"/>
  <c r="R48" i="34" a="1"/>
  <c r="S48" i="34" a="1"/>
  <c r="T48" i="34" a="1"/>
  <c r="U48" i="34" a="1"/>
  <c r="V48" i="34" a="1"/>
  <c r="W48" i="34" a="1"/>
  <c r="X48" i="34" a="1"/>
  <c r="Y48" i="34" a="1"/>
  <c r="Z48" i="34" a="1"/>
  <c r="AA48" i="34" a="1"/>
  <c r="AB48" i="34" a="1"/>
  <c r="AC48" i="34" a="1"/>
  <c r="AD48" i="34" a="1"/>
  <c r="AE48" i="34" a="1"/>
  <c r="AF48" i="34" a="1"/>
  <c r="AG48" i="34" a="1"/>
  <c r="AH48" i="34" a="1"/>
  <c r="AI48" i="34" a="1"/>
  <c r="AJ48" i="34" a="1"/>
  <c r="AK48" i="34" a="1"/>
  <c r="AL48" i="34" a="1"/>
  <c r="AM48" i="34" a="1"/>
  <c r="AN48" i="34" a="1"/>
  <c r="AO48" i="34" a="1"/>
  <c r="AP48" i="34" a="1"/>
  <c r="AQ48" i="34" a="1"/>
  <c r="AR48" i="34" a="1"/>
  <c r="AS48" i="34" a="1"/>
  <c r="AT48" i="34" a="1"/>
  <c r="AU48" i="34" a="1"/>
  <c r="AV48" i="34" a="1"/>
  <c r="AW48" i="34" a="1"/>
  <c r="AX48" i="34" a="1"/>
  <c r="AY48" i="34" a="1"/>
  <c r="AZ48" i="34" a="1"/>
  <c r="BA48" i="34" a="1"/>
  <c r="BB48" i="34" a="1"/>
  <c r="BC48" i="34" a="1"/>
  <c r="BD48" i="34" a="1"/>
  <c r="BE48" i="34" a="1"/>
  <c r="BF48" i="34" a="1"/>
  <c r="BG48" i="34" a="1"/>
  <c r="BH48" i="34" a="1"/>
  <c r="BI48" i="34" a="1"/>
  <c r="BJ48" i="34" a="1"/>
  <c r="BK48" i="34" a="1"/>
  <c r="BL48" i="34" a="1"/>
  <c r="BM48" i="34" a="1"/>
  <c r="BN48" i="34" a="1"/>
  <c r="BO48" i="34" a="1"/>
  <c r="BP48" i="34" a="1"/>
  <c r="G48" i="34"/>
  <c r="H48" i="34"/>
  <c r="I48" i="34"/>
  <c r="J48" i="34"/>
  <c r="K48" i="34"/>
  <c r="L48" i="34"/>
  <c r="M48" i="34"/>
  <c r="N48" i="34"/>
  <c r="O48" i="34"/>
  <c r="P48" i="34"/>
  <c r="Q48" i="34"/>
  <c r="R48" i="34"/>
  <c r="S48" i="34"/>
  <c r="T48" i="34"/>
  <c r="U48" i="34"/>
  <c r="V48" i="34"/>
  <c r="W48" i="34"/>
  <c r="X48" i="34"/>
  <c r="Y48" i="34"/>
  <c r="Z48" i="34"/>
  <c r="AA48" i="34"/>
  <c r="AB48" i="34"/>
  <c r="AC48" i="34"/>
  <c r="AD48" i="34"/>
  <c r="AE48" i="34"/>
  <c r="AF48" i="34"/>
  <c r="AG48" i="34"/>
  <c r="AH48" i="34"/>
  <c r="AI48" i="34"/>
  <c r="AJ48" i="34"/>
  <c r="AK48" i="34"/>
  <c r="AL48" i="34"/>
  <c r="AM48" i="34"/>
  <c r="AN48" i="34"/>
  <c r="AO48" i="34"/>
  <c r="AP48" i="34"/>
  <c r="AQ48" i="34"/>
  <c r="AR48" i="34"/>
  <c r="AS48" i="34"/>
  <c r="AT48" i="34"/>
  <c r="AU48" i="34"/>
  <c r="AV48" i="34"/>
  <c r="AW48" i="34"/>
  <c r="AX48" i="34"/>
  <c r="AY48" i="34"/>
  <c r="AZ48" i="34"/>
  <c r="BA48" i="34"/>
  <c r="BB48" i="34"/>
  <c r="BC48" i="34"/>
  <c r="BD48" i="34"/>
  <c r="BE48" i="34"/>
  <c r="BF48" i="34"/>
  <c r="BG48" i="34"/>
  <c r="BH48" i="34"/>
  <c r="BI48" i="34"/>
  <c r="BJ48" i="34"/>
  <c r="BK48" i="34"/>
  <c r="BL48" i="34"/>
  <c r="BM48" i="34"/>
  <c r="BN48" i="34"/>
  <c r="BO48" i="34"/>
  <c r="BP48" i="34"/>
  <c r="AB24" i="34"/>
  <c r="W24" i="34"/>
  <c r="E38" i="34" a="1"/>
  <c r="E38" i="34"/>
  <c r="F38" i="34" a="1"/>
  <c r="F38" i="34"/>
  <c r="G38" i="34" a="1"/>
  <c r="H38" i="34" a="1"/>
  <c r="I38" i="34" a="1"/>
  <c r="J38" i="34" a="1"/>
  <c r="K38" i="34" a="1"/>
  <c r="L38" i="34" a="1"/>
  <c r="M38" i="34" a="1"/>
  <c r="N38" i="34" a="1"/>
  <c r="O38" i="34" a="1"/>
  <c r="P38" i="34" a="1"/>
  <c r="Q38" i="34" a="1"/>
  <c r="R38" i="34" a="1"/>
  <c r="S38" i="34" a="1"/>
  <c r="T38" i="34" a="1"/>
  <c r="U38" i="34" a="1"/>
  <c r="V38" i="34" a="1"/>
  <c r="W38" i="34" a="1"/>
  <c r="X38" i="34" a="1"/>
  <c r="Y38" i="34" a="1"/>
  <c r="Z38" i="34" a="1"/>
  <c r="AA38" i="34" a="1"/>
  <c r="AB38" i="34" a="1"/>
  <c r="AC38" i="34" a="1"/>
  <c r="AD38" i="34" a="1"/>
  <c r="AE38" i="34" a="1"/>
  <c r="AF38" i="34" a="1"/>
  <c r="AG38" i="34" a="1"/>
  <c r="AH38" i="34" a="1"/>
  <c r="AI38" i="34" a="1"/>
  <c r="AJ38" i="34" a="1"/>
  <c r="AK38" i="34" a="1"/>
  <c r="AL38" i="34" a="1"/>
  <c r="AM38" i="34" a="1"/>
  <c r="AN38" i="34" a="1"/>
  <c r="AO38" i="34" a="1"/>
  <c r="AP38" i="34" a="1"/>
  <c r="AQ38" i="34" a="1"/>
  <c r="AR38" i="34" a="1"/>
  <c r="AS38" i="34" a="1"/>
  <c r="AT38" i="34" a="1"/>
  <c r="AU38" i="34" a="1"/>
  <c r="AV38" i="34" a="1"/>
  <c r="AW38" i="34" a="1"/>
  <c r="AX38" i="34" a="1"/>
  <c r="AY38" i="34" a="1"/>
  <c r="AZ38" i="34" a="1"/>
  <c r="BA38" i="34" a="1"/>
  <c r="BB38" i="34" a="1"/>
  <c r="BC38" i="34" a="1"/>
  <c r="BD38" i="34" a="1"/>
  <c r="BE38" i="34" a="1"/>
  <c r="BF38" i="34" a="1"/>
  <c r="BG38" i="34" a="1"/>
  <c r="BH38" i="34" a="1"/>
  <c r="BI38" i="34" a="1"/>
  <c r="BJ38" i="34" a="1"/>
  <c r="BK38" i="34" a="1"/>
  <c r="BL38" i="34" a="1"/>
  <c r="BM38" i="34" a="1"/>
  <c r="BN38" i="34" a="1"/>
  <c r="BO38" i="34" a="1"/>
  <c r="BP38" i="34" a="1"/>
  <c r="G38" i="34"/>
  <c r="H38" i="34"/>
  <c r="I38" i="34"/>
  <c r="J38" i="34"/>
  <c r="K38" i="34"/>
  <c r="L38" i="34"/>
  <c r="M38" i="34"/>
  <c r="N38" i="34"/>
  <c r="O38" i="34"/>
  <c r="P38" i="34"/>
  <c r="Q38" i="34"/>
  <c r="R38" i="34"/>
  <c r="S38" i="34"/>
  <c r="T38" i="34"/>
  <c r="U38" i="34"/>
  <c r="V38" i="34"/>
  <c r="W38" i="34"/>
  <c r="X38" i="34"/>
  <c r="Y38" i="34"/>
  <c r="Z38" i="34"/>
  <c r="AA38" i="34"/>
  <c r="AB38" i="34"/>
  <c r="AC38" i="34"/>
  <c r="AD38" i="34"/>
  <c r="AE38" i="34"/>
  <c r="AF38" i="34"/>
  <c r="AG38" i="34"/>
  <c r="AH38" i="34"/>
  <c r="AI38" i="34"/>
  <c r="AJ38" i="34"/>
  <c r="AK38" i="34"/>
  <c r="AL38" i="34"/>
  <c r="AM38" i="34"/>
  <c r="AN38" i="34"/>
  <c r="AO38" i="34"/>
  <c r="AP38" i="34"/>
  <c r="AQ38" i="34"/>
  <c r="AR38" i="34"/>
  <c r="AS38" i="34"/>
  <c r="AT38" i="34"/>
  <c r="AU38" i="34"/>
  <c r="AV38" i="34"/>
  <c r="AW38" i="34"/>
  <c r="AX38" i="34"/>
  <c r="AY38" i="34"/>
  <c r="AZ38" i="34"/>
  <c r="BA38" i="34"/>
  <c r="BB38" i="34"/>
  <c r="BC38" i="34"/>
  <c r="BD38" i="34"/>
  <c r="BE38" i="34"/>
  <c r="BF38" i="34"/>
  <c r="BG38" i="34"/>
  <c r="BH38" i="34"/>
  <c r="BI38" i="34"/>
  <c r="BJ38" i="34"/>
  <c r="BK38" i="34"/>
  <c r="BL38" i="34"/>
  <c r="BM38" i="34"/>
  <c r="BN38" i="34"/>
  <c r="BO38" i="34"/>
  <c r="BP38" i="34"/>
  <c r="AA25" i="34"/>
  <c r="E49" i="34" a="1"/>
  <c r="E49" i="34"/>
  <c r="F49" i="34" a="1"/>
  <c r="F49" i="34"/>
  <c r="G49" i="34" a="1"/>
  <c r="H49" i="34" a="1"/>
  <c r="I49" i="34" a="1"/>
  <c r="J49" i="34" a="1"/>
  <c r="K49" i="34" a="1"/>
  <c r="L49" i="34" a="1"/>
  <c r="M49" i="34" a="1"/>
  <c r="N49" i="34" a="1"/>
  <c r="O49" i="34" a="1"/>
  <c r="P49" i="34" a="1"/>
  <c r="Q49" i="34" a="1"/>
  <c r="R49" i="34" a="1"/>
  <c r="S49" i="34" a="1"/>
  <c r="T49" i="34" a="1"/>
  <c r="U49" i="34" a="1"/>
  <c r="V49" i="34" a="1"/>
  <c r="W49" i="34" a="1"/>
  <c r="X49" i="34" a="1"/>
  <c r="Y49" i="34" a="1"/>
  <c r="Z49" i="34" a="1"/>
  <c r="AA49" i="34" a="1"/>
  <c r="AB49" i="34" a="1"/>
  <c r="AC49" i="34" a="1"/>
  <c r="AD49" i="34" a="1"/>
  <c r="AE49" i="34" a="1"/>
  <c r="AF49" i="34" a="1"/>
  <c r="AG49" i="34" a="1"/>
  <c r="AH49" i="34" a="1"/>
  <c r="AI49" i="34" a="1"/>
  <c r="AJ49" i="34" a="1"/>
  <c r="AK49" i="34" a="1"/>
  <c r="AL49" i="34" a="1"/>
  <c r="AM49" i="34" a="1"/>
  <c r="AN49" i="34" a="1"/>
  <c r="AO49" i="34" a="1"/>
  <c r="AP49" i="34" a="1"/>
  <c r="AQ49" i="34" a="1"/>
  <c r="AR49" i="34" a="1"/>
  <c r="AS49" i="34" a="1"/>
  <c r="AT49" i="34" a="1"/>
  <c r="AU49" i="34" a="1"/>
  <c r="AV49" i="34" a="1"/>
  <c r="AW49" i="34" a="1"/>
  <c r="AX49" i="34" a="1"/>
  <c r="AY49" i="34" a="1"/>
  <c r="AZ49" i="34" a="1"/>
  <c r="BA49" i="34" a="1"/>
  <c r="BB49" i="34" a="1"/>
  <c r="BC49" i="34" a="1"/>
  <c r="BD49" i="34" a="1"/>
  <c r="BE49" i="34" a="1"/>
  <c r="BF49" i="34" a="1"/>
  <c r="BG49" i="34" a="1"/>
  <c r="BH49" i="34" a="1"/>
  <c r="BI49" i="34" a="1"/>
  <c r="BJ49" i="34" a="1"/>
  <c r="BK49" i="34" a="1"/>
  <c r="BL49" i="34" a="1"/>
  <c r="BM49" i="34" a="1"/>
  <c r="BN49" i="34" a="1"/>
  <c r="BO49" i="34" a="1"/>
  <c r="BP49" i="34" a="1"/>
  <c r="G49" i="34"/>
  <c r="H49" i="34"/>
  <c r="I49" i="34"/>
  <c r="J49" i="34"/>
  <c r="K49" i="34"/>
  <c r="L49" i="34"/>
  <c r="M49" i="34"/>
  <c r="N49" i="34"/>
  <c r="O49" i="34"/>
  <c r="P49" i="34"/>
  <c r="Q49" i="34"/>
  <c r="R49" i="34"/>
  <c r="S49" i="34"/>
  <c r="T49" i="34"/>
  <c r="U49" i="34"/>
  <c r="V49" i="34"/>
  <c r="W49" i="34"/>
  <c r="X49" i="34"/>
  <c r="Y49" i="34"/>
  <c r="Z49" i="34"/>
  <c r="AA49" i="34"/>
  <c r="AB49" i="34"/>
  <c r="AC49" i="34"/>
  <c r="AD49" i="34"/>
  <c r="AE49" i="34"/>
  <c r="AF49" i="34"/>
  <c r="AG49" i="34"/>
  <c r="AH49" i="34"/>
  <c r="AI49" i="34"/>
  <c r="AJ49" i="34"/>
  <c r="AK49" i="34"/>
  <c r="AL49" i="34"/>
  <c r="AM49" i="34"/>
  <c r="AN49" i="34"/>
  <c r="AO49" i="34"/>
  <c r="AP49" i="34"/>
  <c r="AQ49" i="34"/>
  <c r="AR49" i="34"/>
  <c r="AS49" i="34"/>
  <c r="AT49" i="34"/>
  <c r="AU49" i="34"/>
  <c r="AV49" i="34"/>
  <c r="AW49" i="34"/>
  <c r="AX49" i="34"/>
  <c r="AY49" i="34"/>
  <c r="AZ49" i="34"/>
  <c r="BA49" i="34"/>
  <c r="BB49" i="34"/>
  <c r="BC49" i="34"/>
  <c r="BD49" i="34"/>
  <c r="BE49" i="34"/>
  <c r="BF49" i="34"/>
  <c r="BG49" i="34"/>
  <c r="BH49" i="34"/>
  <c r="BI49" i="34"/>
  <c r="BJ49" i="34"/>
  <c r="BK49" i="34"/>
  <c r="BL49" i="34"/>
  <c r="BM49" i="34"/>
  <c r="BN49" i="34"/>
  <c r="BO49" i="34"/>
  <c r="BP49" i="34"/>
  <c r="AB25" i="34"/>
  <c r="W25" i="34"/>
  <c r="AD17" i="34"/>
  <c r="Y17" i="34"/>
  <c r="X17" i="34"/>
  <c r="AD18" i="34"/>
  <c r="Y18" i="34"/>
  <c r="X18" i="34"/>
  <c r="AD19" i="34"/>
  <c r="Y19" i="34"/>
  <c r="X19" i="34"/>
  <c r="AD20" i="34"/>
  <c r="Y20" i="34"/>
  <c r="X20" i="34"/>
  <c r="AD21" i="34"/>
  <c r="Y21" i="34"/>
  <c r="X21" i="34"/>
  <c r="AD22" i="34"/>
  <c r="Y22" i="34"/>
  <c r="X22" i="34"/>
  <c r="X23" i="34"/>
  <c r="X24" i="34"/>
  <c r="X25" i="34"/>
  <c r="E4" i="34"/>
  <c r="D4" i="34"/>
  <c r="E5" i="34"/>
  <c r="D5" i="34"/>
  <c r="E6" i="34"/>
  <c r="D6" i="34"/>
  <c r="E7" i="34"/>
  <c r="D7" i="34"/>
  <c r="E8" i="34"/>
  <c r="D8" i="34"/>
  <c r="E9" i="34"/>
  <c r="D9" i="34"/>
  <c r="E10" i="34"/>
  <c r="D10" i="34"/>
  <c r="E11" i="34"/>
  <c r="D11" i="34"/>
  <c r="E12" i="34"/>
  <c r="D12" i="34"/>
  <c r="C4" i="34"/>
  <c r="C5" i="34"/>
  <c r="C6" i="34"/>
  <c r="N4" i="34"/>
  <c r="N5" i="34"/>
  <c r="N6" i="34"/>
  <c r="C7" i="34"/>
  <c r="N7" i="34"/>
  <c r="C8" i="34"/>
  <c r="N8" i="34"/>
  <c r="C9" i="34"/>
  <c r="N9" i="34"/>
  <c r="C10" i="34"/>
  <c r="N10" i="34"/>
  <c r="C11" i="34"/>
  <c r="N11" i="34"/>
  <c r="C12" i="34"/>
  <c r="N12" i="34"/>
  <c r="X13" i="6"/>
  <c r="I13" i="37"/>
  <c r="AH13" i="37"/>
  <c r="AI13" i="37"/>
  <c r="AJ13" i="37"/>
  <c r="AK13" i="37"/>
  <c r="W10" i="37"/>
  <c r="Y13" i="37"/>
  <c r="AA13" i="37"/>
  <c r="Z13" i="37"/>
  <c r="AB13" i="37"/>
  <c r="AN13" i="37"/>
  <c r="AL13" i="37"/>
  <c r="AC13" i="37"/>
  <c r="AO13" i="37"/>
  <c r="W13" i="37"/>
  <c r="X13" i="37"/>
  <c r="AE13" i="37"/>
  <c r="AF13" i="37"/>
  <c r="X12" i="6"/>
  <c r="G12" i="37"/>
  <c r="C6" i="17"/>
  <c r="C7" i="17"/>
  <c r="X23" i="6"/>
  <c r="I12" i="37"/>
  <c r="AH12" i="37"/>
  <c r="AI12" i="37"/>
  <c r="AJ12" i="37"/>
  <c r="AK12" i="37"/>
  <c r="Y12" i="37"/>
  <c r="AA12" i="37"/>
  <c r="Z12" i="37"/>
  <c r="AB12" i="37"/>
  <c r="AN12" i="37"/>
  <c r="AL12" i="37"/>
  <c r="AC12" i="37"/>
  <c r="AO12" i="37"/>
  <c r="X12" i="37"/>
  <c r="G15" i="37"/>
  <c r="I15" i="37"/>
  <c r="AH15" i="37"/>
  <c r="AI15" i="37"/>
  <c r="AJ15" i="37"/>
  <c r="AK15" i="37"/>
  <c r="Y15" i="37"/>
  <c r="AA15" i="37"/>
  <c r="Z15" i="37"/>
  <c r="AB15" i="37"/>
  <c r="AN15" i="37"/>
  <c r="AL15" i="37"/>
  <c r="AC15" i="37"/>
  <c r="AO15" i="37"/>
  <c r="W15" i="37"/>
  <c r="X15" i="37"/>
  <c r="AE15" i="37"/>
  <c r="AF15" i="37"/>
  <c r="W12" i="37"/>
  <c r="G16" i="37"/>
  <c r="I16" i="37"/>
  <c r="AH16" i="37"/>
  <c r="AI16" i="37"/>
  <c r="AJ16" i="37"/>
  <c r="AK16" i="37"/>
  <c r="Y16" i="37"/>
  <c r="AA16" i="37"/>
  <c r="Z16" i="37"/>
  <c r="AB16" i="37"/>
  <c r="AN16" i="37"/>
  <c r="AL16" i="37"/>
  <c r="AC16" i="37"/>
  <c r="AO16" i="37"/>
  <c r="W16" i="37"/>
  <c r="X16" i="37"/>
  <c r="AE16" i="37"/>
  <c r="AF16" i="37"/>
  <c r="N4" i="17"/>
  <c r="N5" i="17"/>
  <c r="N6" i="17"/>
  <c r="N7" i="17"/>
  <c r="C8" i="17"/>
  <c r="N8" i="17"/>
  <c r="C9" i="17"/>
  <c r="N9" i="17"/>
  <c r="C10" i="17"/>
  <c r="N10" i="17"/>
  <c r="C11" i="17"/>
  <c r="N11" i="17"/>
  <c r="C12" i="17"/>
  <c r="N12" i="17"/>
  <c r="X16" i="6"/>
  <c r="G13" i="21"/>
  <c r="X26" i="6"/>
  <c r="I13" i="21"/>
  <c r="AH13" i="21"/>
  <c r="AI13" i="21"/>
  <c r="AJ13" i="21"/>
  <c r="X15" i="6"/>
  <c r="G14" i="21"/>
  <c r="X25" i="6"/>
  <c r="I14" i="21"/>
  <c r="AH14" i="21"/>
  <c r="AI14" i="21"/>
  <c r="AJ14" i="21"/>
  <c r="X14" i="6"/>
  <c r="G15" i="21"/>
  <c r="X24" i="6"/>
  <c r="I15" i="21"/>
  <c r="AH15" i="21"/>
  <c r="AI15" i="21"/>
  <c r="AJ15" i="21"/>
  <c r="G16" i="21"/>
  <c r="I16" i="21"/>
  <c r="AH16" i="21"/>
  <c r="AI16" i="21"/>
  <c r="AJ16" i="21"/>
  <c r="G17" i="21"/>
  <c r="I17" i="21"/>
  <c r="AH17" i="21"/>
  <c r="AI17" i="21"/>
  <c r="AJ17" i="21"/>
  <c r="X17" i="6"/>
  <c r="G12" i="21"/>
  <c r="X27" i="6"/>
  <c r="I12" i="21"/>
  <c r="AJ12" i="21"/>
  <c r="AI12" i="21"/>
  <c r="AH12" i="21"/>
  <c r="G13" i="24"/>
  <c r="I13" i="24"/>
  <c r="AH13" i="24"/>
  <c r="AI13" i="24"/>
  <c r="AJ13" i="24"/>
  <c r="G14" i="24"/>
  <c r="I14" i="24"/>
  <c r="AH14" i="24"/>
  <c r="AI14" i="24"/>
  <c r="AJ14" i="24"/>
  <c r="G15" i="24"/>
  <c r="I15" i="24"/>
  <c r="AH15" i="24"/>
  <c r="AI15" i="24"/>
  <c r="AJ15" i="24"/>
  <c r="G17" i="24"/>
  <c r="I17" i="24"/>
  <c r="AH17" i="24"/>
  <c r="AI17" i="24"/>
  <c r="AJ17" i="24"/>
  <c r="G18" i="24"/>
  <c r="I18" i="24"/>
  <c r="AH18" i="24"/>
  <c r="AI18" i="24"/>
  <c r="AJ18" i="24"/>
  <c r="AK17" i="24"/>
  <c r="W10" i="24"/>
  <c r="Y17" i="24"/>
  <c r="AA17" i="24"/>
  <c r="Z17" i="24"/>
  <c r="AB17" i="24"/>
  <c r="AN17" i="24"/>
  <c r="AL17" i="24"/>
  <c r="AC17" i="24"/>
  <c r="AO17" i="24"/>
  <c r="X17" i="24"/>
  <c r="G20" i="24"/>
  <c r="AK18" i="24"/>
  <c r="Y18" i="24"/>
  <c r="AA18" i="24"/>
  <c r="Z18" i="24"/>
  <c r="AB18" i="24"/>
  <c r="AN18" i="24"/>
  <c r="AL18" i="24"/>
  <c r="AC18" i="24"/>
  <c r="AO18" i="24"/>
  <c r="X18" i="24"/>
  <c r="I20" i="24"/>
  <c r="AH20" i="24"/>
  <c r="AI20" i="24"/>
  <c r="AJ20" i="24"/>
  <c r="W17" i="24"/>
  <c r="G21" i="24"/>
  <c r="W18" i="24"/>
  <c r="I21" i="24"/>
  <c r="AH21" i="24"/>
  <c r="AI21" i="24"/>
  <c r="AJ21" i="24"/>
  <c r="G12" i="24"/>
  <c r="I12" i="24"/>
  <c r="AJ12" i="24"/>
  <c r="AI12" i="24"/>
  <c r="AH12" i="24"/>
  <c r="X12" i="31"/>
  <c r="Y12" i="31"/>
  <c r="W12" i="31"/>
  <c r="Z12" i="31"/>
  <c r="AA12" i="31"/>
  <c r="AE12" i="31"/>
  <c r="AW10" i="27"/>
  <c r="AS26" i="27"/>
  <c r="E58" i="9"/>
  <c r="AA17" i="27"/>
  <c r="AR17" i="27"/>
  <c r="E59" i="9"/>
  <c r="AA24" i="27"/>
  <c r="AR24" i="27"/>
  <c r="I27" i="27"/>
  <c r="AS27" i="27"/>
  <c r="K27" i="27"/>
  <c r="AX27" i="27"/>
  <c r="AY27" i="27"/>
  <c r="AZ27" i="27"/>
  <c r="AW27" i="27"/>
  <c r="U27" i="27"/>
  <c r="AS12" i="27"/>
  <c r="I29" i="27"/>
  <c r="AS13" i="27"/>
  <c r="K29" i="27"/>
  <c r="AX29" i="27"/>
  <c r="AY29" i="27"/>
  <c r="AZ29" i="27"/>
  <c r="AW29" i="27"/>
  <c r="W29" i="27"/>
  <c r="E99" i="9"/>
  <c r="V29" i="27"/>
  <c r="U29" i="27"/>
  <c r="AS19" i="27"/>
  <c r="I28" i="27"/>
  <c r="AS20" i="27"/>
  <c r="K28" i="27"/>
  <c r="AX28" i="27"/>
  <c r="AY28" i="27"/>
  <c r="AZ28" i="27"/>
  <c r="AW28" i="27"/>
  <c r="W28" i="27"/>
  <c r="V28" i="27"/>
  <c r="U28" i="27"/>
  <c r="W27" i="27"/>
  <c r="V27" i="27"/>
  <c r="AS14" i="27"/>
  <c r="I26" i="27"/>
  <c r="AS15" i="27"/>
  <c r="K26" i="27"/>
  <c r="AX26" i="27"/>
  <c r="AY26" i="27"/>
  <c r="AZ26" i="27"/>
  <c r="AW26" i="27"/>
  <c r="W26" i="27"/>
  <c r="V26" i="27"/>
  <c r="U26" i="27"/>
  <c r="AS21" i="27"/>
  <c r="I25" i="27"/>
  <c r="AS22" i="27"/>
  <c r="K25" i="27"/>
  <c r="AX25" i="27"/>
  <c r="AY25" i="27"/>
  <c r="AZ25" i="27"/>
  <c r="AW25" i="27"/>
  <c r="W25" i="27"/>
  <c r="V25" i="27"/>
  <c r="U25" i="27"/>
  <c r="AS28" i="27"/>
  <c r="I24" i="27"/>
  <c r="AS29" i="27"/>
  <c r="K24" i="27"/>
  <c r="AX24" i="27"/>
  <c r="AY24" i="27"/>
  <c r="AZ24" i="27"/>
  <c r="AW24" i="27"/>
  <c r="W24" i="27"/>
  <c r="V24" i="27"/>
  <c r="U24" i="27"/>
  <c r="I23" i="27"/>
  <c r="K23" i="27"/>
  <c r="AX23" i="27"/>
  <c r="AY23" i="27"/>
  <c r="AZ23" i="27"/>
  <c r="AW23" i="27"/>
  <c r="W23" i="27"/>
  <c r="V23" i="27"/>
  <c r="U23" i="27"/>
  <c r="I22" i="27"/>
  <c r="K22" i="27"/>
  <c r="AX22" i="27"/>
  <c r="AY22" i="27"/>
  <c r="AZ22" i="27"/>
  <c r="AW22" i="27"/>
  <c r="W22" i="27"/>
  <c r="V22" i="27"/>
  <c r="U22" i="27"/>
  <c r="I21" i="27"/>
  <c r="K21" i="27"/>
  <c r="AX21" i="27"/>
  <c r="AY21" i="27"/>
  <c r="AZ21" i="27"/>
  <c r="AW21" i="27"/>
  <c r="W21" i="27"/>
  <c r="V21" i="27"/>
  <c r="U21" i="27"/>
  <c r="I20" i="27"/>
  <c r="K20" i="27"/>
  <c r="AX20" i="27"/>
  <c r="AY20" i="27"/>
  <c r="AZ20" i="27"/>
  <c r="AW20" i="27"/>
  <c r="W20" i="27"/>
  <c r="V20" i="27"/>
  <c r="U20" i="27"/>
  <c r="I19" i="27"/>
  <c r="K19" i="27"/>
  <c r="AX19" i="27"/>
  <c r="AY19" i="27"/>
  <c r="AZ19" i="27"/>
  <c r="AW19" i="27"/>
  <c r="W19" i="27"/>
  <c r="V19" i="27"/>
  <c r="U19" i="27"/>
  <c r="I18" i="27"/>
  <c r="K18" i="27"/>
  <c r="AX18" i="27"/>
  <c r="AY18" i="27"/>
  <c r="AZ18" i="27"/>
  <c r="AW18" i="27"/>
  <c r="W18" i="27"/>
  <c r="V18" i="27"/>
  <c r="U18" i="27"/>
  <c r="I17" i="27"/>
  <c r="K17" i="27"/>
  <c r="AX17" i="27"/>
  <c r="AY17" i="27"/>
  <c r="AZ17" i="27"/>
  <c r="AW17" i="27"/>
  <c r="W17" i="27"/>
  <c r="V17" i="27"/>
  <c r="U17" i="27"/>
  <c r="I16" i="27"/>
  <c r="K16" i="27"/>
  <c r="AX16" i="27"/>
  <c r="AY16" i="27"/>
  <c r="AZ16" i="27"/>
  <c r="AW16" i="27"/>
  <c r="W16" i="27"/>
  <c r="V16" i="27"/>
  <c r="U16" i="27"/>
  <c r="I15" i="27"/>
  <c r="K15" i="27"/>
  <c r="AX15" i="27"/>
  <c r="AY15" i="27"/>
  <c r="AZ15" i="27"/>
  <c r="AW15" i="27"/>
  <c r="W15" i="27"/>
  <c r="V15" i="27"/>
  <c r="U15" i="27"/>
  <c r="I14" i="27"/>
  <c r="K14" i="27"/>
  <c r="AX14" i="27"/>
  <c r="AY14" i="27"/>
  <c r="AZ14" i="27"/>
  <c r="AW14" i="27"/>
  <c r="W14" i="27"/>
  <c r="V14" i="27"/>
  <c r="U14" i="27"/>
  <c r="I13" i="27"/>
  <c r="K13" i="27"/>
  <c r="AX13" i="27"/>
  <c r="AY13" i="27"/>
  <c r="AZ13" i="27"/>
  <c r="AW13" i="27"/>
  <c r="W13" i="27"/>
  <c r="V13" i="27"/>
  <c r="U13" i="27"/>
  <c r="AZ12" i="27"/>
  <c r="AY12" i="27"/>
  <c r="AX12" i="27"/>
  <c r="I12" i="27"/>
  <c r="K12" i="27"/>
  <c r="AW12" i="27"/>
  <c r="W12" i="27"/>
  <c r="U12" i="27"/>
  <c r="BA12" i="27"/>
  <c r="BB12" i="27"/>
  <c r="BC12" i="27"/>
  <c r="Q64" i="30"/>
  <c r="F4" i="30"/>
  <c r="V64" i="30"/>
  <c r="AJ64" i="30"/>
  <c r="W64" i="30"/>
  <c r="AA64" i="30"/>
  <c r="V65" i="30"/>
  <c r="V66" i="30"/>
  <c r="V67" i="30"/>
  <c r="V68" i="30"/>
  <c r="V69" i="30"/>
  <c r="V70" i="30"/>
  <c r="V71" i="30"/>
  <c r="V72" i="30"/>
  <c r="V73" i="30"/>
  <c r="V74" i="30"/>
  <c r="V75" i="30"/>
  <c r="V76" i="30"/>
  <c r="V77" i="30"/>
  <c r="V78" i="30"/>
  <c r="V79" i="30"/>
  <c r="V80" i="30"/>
  <c r="V81" i="30"/>
  <c r="AJ65" i="30"/>
  <c r="AJ66" i="30"/>
  <c r="AJ67" i="30"/>
  <c r="AJ68" i="30"/>
  <c r="AJ69" i="30"/>
  <c r="AJ70" i="30"/>
  <c r="AJ71" i="30"/>
  <c r="AJ72" i="30"/>
  <c r="AJ73" i="30"/>
  <c r="AJ74" i="30"/>
  <c r="AJ75" i="30"/>
  <c r="AJ76" i="30"/>
  <c r="AJ77" i="30"/>
  <c r="AJ78" i="30"/>
  <c r="AJ79" i="30"/>
  <c r="AJ80" i="30"/>
  <c r="AJ81" i="30"/>
  <c r="W65" i="30"/>
  <c r="AA65" i="30"/>
  <c r="W66" i="30"/>
  <c r="AA66" i="30"/>
  <c r="W67" i="30"/>
  <c r="AA67" i="30"/>
  <c r="W68" i="30"/>
  <c r="AA68" i="30"/>
  <c r="W69" i="30"/>
  <c r="AA69" i="30"/>
  <c r="W70" i="30"/>
  <c r="AA70" i="30"/>
  <c r="W71" i="30"/>
  <c r="AA71" i="30"/>
  <c r="W72" i="30"/>
  <c r="AA72" i="30"/>
  <c r="W73" i="30"/>
  <c r="AA73" i="30"/>
  <c r="W74" i="30"/>
  <c r="AA74" i="30"/>
  <c r="W75" i="30"/>
  <c r="AA75" i="30"/>
  <c r="W76" i="30"/>
  <c r="AA76" i="30"/>
  <c r="W77" i="30"/>
  <c r="AA77" i="30"/>
  <c r="W78" i="30"/>
  <c r="AA78" i="30"/>
  <c r="W79" i="30"/>
  <c r="AA79" i="30"/>
  <c r="W80" i="30"/>
  <c r="AA80" i="30"/>
  <c r="W81" i="30"/>
  <c r="AA81" i="30"/>
  <c r="AK64" i="30"/>
  <c r="AK65" i="30"/>
  <c r="AK66" i="30"/>
  <c r="AK67" i="30"/>
  <c r="AK68" i="30"/>
  <c r="AK69" i="30"/>
  <c r="AK70" i="30"/>
  <c r="AK71" i="30"/>
  <c r="AK72" i="30"/>
  <c r="AK73" i="30"/>
  <c r="AK74" i="30"/>
  <c r="AK75" i="30"/>
  <c r="AK76" i="30"/>
  <c r="AK77" i="30"/>
  <c r="AK78" i="30"/>
  <c r="AK79" i="30"/>
  <c r="AK80" i="30"/>
  <c r="AK81" i="30"/>
  <c r="K4" i="30"/>
  <c r="Q65" i="30"/>
  <c r="F5" i="30"/>
  <c r="K5" i="30"/>
  <c r="Q66" i="30"/>
  <c r="F6" i="30"/>
  <c r="K6" i="30"/>
  <c r="Q67" i="30"/>
  <c r="F7" i="30"/>
  <c r="K7" i="30"/>
  <c r="K8" i="30"/>
  <c r="K9" i="30"/>
  <c r="K10" i="30"/>
  <c r="K11" i="30"/>
  <c r="K12" i="30"/>
  <c r="K13" i="30"/>
  <c r="F13" i="30"/>
  <c r="Q64" i="29"/>
  <c r="F4" i="29"/>
  <c r="V64" i="29"/>
  <c r="AJ64" i="29"/>
  <c r="W64" i="29"/>
  <c r="AA64" i="29"/>
  <c r="V65" i="29"/>
  <c r="V66" i="29"/>
  <c r="V67" i="29"/>
  <c r="V68" i="29"/>
  <c r="V69" i="29"/>
  <c r="V70" i="29"/>
  <c r="V71" i="29"/>
  <c r="V72" i="29"/>
  <c r="V73" i="29"/>
  <c r="V74" i="29"/>
  <c r="V75" i="29"/>
  <c r="V76" i="29"/>
  <c r="V77" i="29"/>
  <c r="V78" i="29"/>
  <c r="V79" i="29"/>
  <c r="V80" i="29"/>
  <c r="V81" i="29"/>
  <c r="AJ65" i="29"/>
  <c r="AJ66" i="29"/>
  <c r="AJ67" i="29"/>
  <c r="AJ68" i="29"/>
  <c r="AJ69" i="29"/>
  <c r="AJ70" i="29"/>
  <c r="AJ71" i="29"/>
  <c r="AJ72" i="29"/>
  <c r="AJ73" i="29"/>
  <c r="AJ74" i="29"/>
  <c r="AJ75" i="29"/>
  <c r="AJ76" i="29"/>
  <c r="AJ77" i="29"/>
  <c r="AJ78" i="29"/>
  <c r="AJ79" i="29"/>
  <c r="AJ80" i="29"/>
  <c r="AJ81" i="29"/>
  <c r="W65" i="29"/>
  <c r="AA65" i="29"/>
  <c r="W66" i="29"/>
  <c r="AA66" i="29"/>
  <c r="W67" i="29"/>
  <c r="AA67" i="29"/>
  <c r="W68" i="29"/>
  <c r="AA68" i="29"/>
  <c r="W69" i="29"/>
  <c r="AA69" i="29"/>
  <c r="W70" i="29"/>
  <c r="AA70" i="29"/>
  <c r="W71" i="29"/>
  <c r="AA71" i="29"/>
  <c r="W72" i="29"/>
  <c r="AA72" i="29"/>
  <c r="W73" i="29"/>
  <c r="AA73" i="29"/>
  <c r="W74" i="29"/>
  <c r="AA74" i="29"/>
  <c r="W75" i="29"/>
  <c r="AA75" i="29"/>
  <c r="W76" i="29"/>
  <c r="AA76" i="29"/>
  <c r="W77" i="29"/>
  <c r="AA77" i="29"/>
  <c r="W78" i="29"/>
  <c r="AA78" i="29"/>
  <c r="W79" i="29"/>
  <c r="AA79" i="29"/>
  <c r="W80" i="29"/>
  <c r="AA80" i="29"/>
  <c r="W81" i="29"/>
  <c r="AA81" i="29"/>
  <c r="AK64" i="29"/>
  <c r="AK65" i="29"/>
  <c r="AK66" i="29"/>
  <c r="AK67" i="29"/>
  <c r="AK68" i="29"/>
  <c r="AK69" i="29"/>
  <c r="AK70" i="29"/>
  <c r="AK71" i="29"/>
  <c r="AK72" i="29"/>
  <c r="AK73" i="29"/>
  <c r="AK74" i="29"/>
  <c r="AK75" i="29"/>
  <c r="AK76" i="29"/>
  <c r="AK77" i="29"/>
  <c r="AK78" i="29"/>
  <c r="AK79" i="29"/>
  <c r="AK80" i="29"/>
  <c r="AK81" i="29"/>
  <c r="K4" i="29"/>
  <c r="Q65" i="29"/>
  <c r="F5" i="29"/>
  <c r="K5" i="29"/>
  <c r="Q66" i="29"/>
  <c r="F6" i="29"/>
  <c r="K6" i="29"/>
  <c r="Q67" i="29"/>
  <c r="F7" i="29"/>
  <c r="K7" i="29"/>
  <c r="K8" i="29"/>
  <c r="K9" i="29"/>
  <c r="K10" i="29"/>
  <c r="K11" i="29"/>
  <c r="K12" i="29"/>
  <c r="K13" i="29"/>
  <c r="F13" i="29"/>
  <c r="Q64" i="28"/>
  <c r="F4" i="28"/>
  <c r="V64" i="28"/>
  <c r="AJ64" i="28"/>
  <c r="W64" i="28"/>
  <c r="AA64" i="28"/>
  <c r="V65" i="28"/>
  <c r="V66" i="28"/>
  <c r="V67" i="28"/>
  <c r="V68" i="28"/>
  <c r="V69" i="28"/>
  <c r="V70" i="28"/>
  <c r="V71" i="28"/>
  <c r="V72" i="28"/>
  <c r="V73" i="28"/>
  <c r="V74" i="28"/>
  <c r="V75" i="28"/>
  <c r="V76" i="28"/>
  <c r="V77" i="28"/>
  <c r="V78" i="28"/>
  <c r="V79" i="28"/>
  <c r="V80" i="28"/>
  <c r="V81" i="28"/>
  <c r="AJ65" i="28"/>
  <c r="AJ66" i="28"/>
  <c r="AJ67" i="28"/>
  <c r="AJ68" i="28"/>
  <c r="AJ69" i="28"/>
  <c r="AJ70" i="28"/>
  <c r="AJ71" i="28"/>
  <c r="AJ72" i="28"/>
  <c r="AJ73" i="28"/>
  <c r="AJ74" i="28"/>
  <c r="AJ75" i="28"/>
  <c r="AJ76" i="28"/>
  <c r="AJ77" i="28"/>
  <c r="AJ78" i="28"/>
  <c r="AJ79" i="28"/>
  <c r="AJ80" i="28"/>
  <c r="AJ81" i="28"/>
  <c r="W65" i="28"/>
  <c r="AA65" i="28"/>
  <c r="W66" i="28"/>
  <c r="AA66" i="28"/>
  <c r="W67" i="28"/>
  <c r="AA67" i="28"/>
  <c r="W68" i="28"/>
  <c r="AA68" i="28"/>
  <c r="W69" i="28"/>
  <c r="AA69" i="28"/>
  <c r="W70" i="28"/>
  <c r="AA70" i="28"/>
  <c r="W71" i="28"/>
  <c r="AA71" i="28"/>
  <c r="W72" i="28"/>
  <c r="AA72" i="28"/>
  <c r="W73" i="28"/>
  <c r="AA73" i="28"/>
  <c r="W74" i="28"/>
  <c r="AA74" i="28"/>
  <c r="W75" i="28"/>
  <c r="AA75" i="28"/>
  <c r="W76" i="28"/>
  <c r="AA76" i="28"/>
  <c r="W77" i="28"/>
  <c r="AA77" i="28"/>
  <c r="W78" i="28"/>
  <c r="AA78" i="28"/>
  <c r="W79" i="28"/>
  <c r="AA79" i="28"/>
  <c r="W80" i="28"/>
  <c r="AA80" i="28"/>
  <c r="W81" i="28"/>
  <c r="AA81" i="28"/>
  <c r="AK64" i="28"/>
  <c r="AK65" i="28"/>
  <c r="AK66" i="28"/>
  <c r="AK67" i="28"/>
  <c r="AK68" i="28"/>
  <c r="AK69" i="28"/>
  <c r="AK70" i="28"/>
  <c r="AK71" i="28"/>
  <c r="AK72" i="28"/>
  <c r="AK73" i="28"/>
  <c r="AK74" i="28"/>
  <c r="AK75" i="28"/>
  <c r="AK76" i="28"/>
  <c r="AK77" i="28"/>
  <c r="AK78" i="28"/>
  <c r="AK79" i="28"/>
  <c r="AK80" i="28"/>
  <c r="AK81" i="28"/>
  <c r="K4" i="28"/>
  <c r="Q65" i="28"/>
  <c r="F5" i="28"/>
  <c r="K5" i="28"/>
  <c r="Q66" i="28"/>
  <c r="F6" i="28"/>
  <c r="K6" i="28"/>
  <c r="Q67" i="28"/>
  <c r="F7" i="28"/>
  <c r="K7" i="28"/>
  <c r="K8" i="28"/>
  <c r="K9" i="28"/>
  <c r="K10" i="28"/>
  <c r="K11" i="28"/>
  <c r="K12" i="28"/>
  <c r="K13" i="28"/>
  <c r="L4" i="28"/>
  <c r="M4" i="28"/>
  <c r="J4" i="28"/>
  <c r="AT4" i="28"/>
  <c r="K17" i="28"/>
  <c r="AS4" i="28"/>
  <c r="AU4" i="28"/>
  <c r="X66" i="28"/>
  <c r="AD66" i="28"/>
  <c r="AF66" i="28"/>
  <c r="AH66" i="28"/>
  <c r="X72" i="28"/>
  <c r="AD72" i="28"/>
  <c r="AF72" i="28"/>
  <c r="AH72" i="28"/>
  <c r="X81" i="28"/>
  <c r="AD81" i="28"/>
  <c r="AF81" i="28"/>
  <c r="AH81" i="28"/>
  <c r="G4" i="28"/>
  <c r="Y66" i="28"/>
  <c r="AE66" i="28"/>
  <c r="AG66" i="28"/>
  <c r="AI66" i="28"/>
  <c r="Y72" i="28"/>
  <c r="AE72" i="28"/>
  <c r="AG72" i="28"/>
  <c r="AI72" i="28"/>
  <c r="Y81" i="28"/>
  <c r="AE81" i="28"/>
  <c r="AG81" i="28"/>
  <c r="AI81" i="28"/>
  <c r="H4" i="28"/>
  <c r="I4" i="28"/>
  <c r="AW4" i="28"/>
  <c r="X69" i="28"/>
  <c r="AD69" i="28"/>
  <c r="AF69" i="28"/>
  <c r="AH69" i="28"/>
  <c r="X75" i="28"/>
  <c r="AD75" i="28"/>
  <c r="AF75" i="28"/>
  <c r="AH75" i="28"/>
  <c r="G5" i="28"/>
  <c r="Y69" i="28"/>
  <c r="AE69" i="28"/>
  <c r="AG69" i="28"/>
  <c r="AI69" i="28"/>
  <c r="Y75" i="28"/>
  <c r="AE75" i="28"/>
  <c r="AG75" i="28"/>
  <c r="AI75" i="28"/>
  <c r="H5" i="28"/>
  <c r="I5" i="28"/>
  <c r="AW5" i="28"/>
  <c r="X78" i="28"/>
  <c r="AD78" i="28"/>
  <c r="AF78" i="28"/>
  <c r="AH78" i="28"/>
  <c r="G6" i="28"/>
  <c r="Y78" i="28"/>
  <c r="AE78" i="28"/>
  <c r="AG78" i="28"/>
  <c r="AI78" i="28"/>
  <c r="H6" i="28"/>
  <c r="I6" i="28"/>
  <c r="AW6" i="28"/>
  <c r="G7" i="28"/>
  <c r="H7" i="28"/>
  <c r="I7" i="28"/>
  <c r="AW7" i="28"/>
  <c r="AH76" i="28"/>
  <c r="AI64" i="28"/>
  <c r="AI67" i="28"/>
  <c r="AI70" i="28"/>
  <c r="Y65" i="28"/>
  <c r="AE65" i="28"/>
  <c r="AG65" i="28"/>
  <c r="AI65" i="28"/>
  <c r="Y68" i="28"/>
  <c r="AE68" i="28"/>
  <c r="AG68" i="28"/>
  <c r="AI68" i="28"/>
  <c r="Y71" i="28"/>
  <c r="AE71" i="28"/>
  <c r="AG71" i="28"/>
  <c r="AI71" i="28"/>
  <c r="AI73" i="28"/>
  <c r="Y74" i="28"/>
  <c r="AE74" i="28"/>
  <c r="AG74" i="28"/>
  <c r="AI74" i="28"/>
  <c r="AI76" i="28"/>
  <c r="Y77" i="28"/>
  <c r="AE77" i="28"/>
  <c r="AG77" i="28"/>
  <c r="AI77" i="28"/>
  <c r="Y79" i="28"/>
  <c r="AE79" i="28"/>
  <c r="AG79" i="28"/>
  <c r="AI79" i="28"/>
  <c r="Y80" i="28"/>
  <c r="AE80" i="28"/>
  <c r="AG80" i="28"/>
  <c r="AI80" i="28"/>
  <c r="G8" i="28"/>
  <c r="AH64" i="28"/>
  <c r="AH67" i="28"/>
  <c r="AH70" i="28"/>
  <c r="AH73" i="28"/>
  <c r="H8" i="28"/>
  <c r="I8" i="28"/>
  <c r="AW8" i="28"/>
  <c r="G9" i="28"/>
  <c r="H9" i="28"/>
  <c r="I9" i="28"/>
  <c r="AW9" i="28"/>
  <c r="G10" i="28"/>
  <c r="H10" i="28"/>
  <c r="I10" i="28"/>
  <c r="AW10" i="28"/>
  <c r="G11" i="28"/>
  <c r="H11" i="28"/>
  <c r="I11" i="28"/>
  <c r="AW11" i="28"/>
  <c r="G12" i="28"/>
  <c r="H12" i="28"/>
  <c r="I12" i="28"/>
  <c r="AW12" i="28"/>
  <c r="AX4" i="28"/>
  <c r="L17" i="28"/>
  <c r="L5" i="28"/>
  <c r="M5" i="28"/>
  <c r="J5" i="28"/>
  <c r="AT5" i="28"/>
  <c r="K18" i="28"/>
  <c r="AS5" i="28"/>
  <c r="AU5" i="28"/>
  <c r="AX5" i="28"/>
  <c r="L18" i="28"/>
  <c r="L6" i="28"/>
  <c r="M6" i="28"/>
  <c r="J6" i="28"/>
  <c r="AT6" i="28"/>
  <c r="K19" i="28"/>
  <c r="AS6" i="28"/>
  <c r="AU6" i="28"/>
  <c r="AX6" i="28"/>
  <c r="L19" i="28"/>
  <c r="L7" i="28"/>
  <c r="M7" i="28"/>
  <c r="J7" i="28"/>
  <c r="AT7" i="28"/>
  <c r="K20" i="28"/>
  <c r="AS7" i="28"/>
  <c r="AU7" i="28"/>
  <c r="AX7" i="28"/>
  <c r="L20" i="28"/>
  <c r="L8" i="28"/>
  <c r="M8" i="28"/>
  <c r="J8" i="28"/>
  <c r="AT8" i="28"/>
  <c r="K21" i="28"/>
  <c r="AS8" i="28"/>
  <c r="AU8" i="28"/>
  <c r="AX8" i="28"/>
  <c r="L21" i="28"/>
  <c r="L9" i="28"/>
  <c r="M9" i="28"/>
  <c r="J9" i="28"/>
  <c r="AT9" i="28"/>
  <c r="K22" i="28"/>
  <c r="AS9" i="28"/>
  <c r="AU9" i="28"/>
  <c r="AX9" i="28"/>
  <c r="L22" i="28"/>
  <c r="L10" i="28"/>
  <c r="M10" i="28"/>
  <c r="J10" i="28"/>
  <c r="AT10" i="28"/>
  <c r="K23" i="28"/>
  <c r="AS10" i="28"/>
  <c r="AU10" i="28"/>
  <c r="AX10" i="28"/>
  <c r="L23" i="28"/>
  <c r="L11" i="28"/>
  <c r="M11" i="28"/>
  <c r="J11" i="28"/>
  <c r="AT11" i="28"/>
  <c r="K24" i="28"/>
  <c r="AS11" i="28"/>
  <c r="AU11" i="28"/>
  <c r="AX11" i="28"/>
  <c r="L24" i="28"/>
  <c r="L12" i="28"/>
  <c r="M12" i="28"/>
  <c r="J12" i="28"/>
  <c r="AT12" i="28"/>
  <c r="K25" i="28"/>
  <c r="AS12" i="28"/>
  <c r="AU12" i="28"/>
  <c r="AX12" i="28"/>
  <c r="L25" i="28"/>
  <c r="M17" i="28"/>
  <c r="N17" i="28" a="1"/>
  <c r="N17" i="28"/>
  <c r="O17" i="28"/>
  <c r="C17" i="28"/>
  <c r="E30" i="28" a="1"/>
  <c r="E30" i="28"/>
  <c r="F30" i="28" a="1"/>
  <c r="F30" i="28"/>
  <c r="G30" i="28" a="1"/>
  <c r="H30" i="28" a="1"/>
  <c r="I30" i="28" a="1"/>
  <c r="J30" i="28" a="1"/>
  <c r="K30" i="28" a="1"/>
  <c r="L30" i="28" a="1"/>
  <c r="P17" i="28"/>
  <c r="M30" i="28" a="1"/>
  <c r="N30" i="28" a="1"/>
  <c r="O30" i="28" a="1"/>
  <c r="P30" i="28" a="1"/>
  <c r="Q30" i="28" a="1"/>
  <c r="R30" i="28" a="1"/>
  <c r="S30" i="28" a="1"/>
  <c r="T30" i="28" a="1"/>
  <c r="Q17" i="28"/>
  <c r="U30" i="28" a="1"/>
  <c r="V30" i="28" a="1"/>
  <c r="W30" i="28" a="1"/>
  <c r="X30" i="28" a="1"/>
  <c r="Y30" i="28" a="1"/>
  <c r="Z30" i="28" a="1"/>
  <c r="AA30" i="28" a="1"/>
  <c r="AB30" i="28" a="1"/>
  <c r="R17" i="28"/>
  <c r="AC30" i="28" a="1"/>
  <c r="AD30" i="28" a="1"/>
  <c r="AE30" i="28" a="1"/>
  <c r="AF30" i="28" a="1"/>
  <c r="AG30" i="28" a="1"/>
  <c r="AH30" i="28" a="1"/>
  <c r="AI30" i="28" a="1"/>
  <c r="AJ30" i="28" a="1"/>
  <c r="S17" i="28"/>
  <c r="AK30" i="28" a="1"/>
  <c r="AL30" i="28" a="1"/>
  <c r="AM30" i="28" a="1"/>
  <c r="AN30" i="28" a="1"/>
  <c r="AO30" i="28" a="1"/>
  <c r="AP30" i="28" a="1"/>
  <c r="AQ30" i="28" a="1"/>
  <c r="AR30" i="28" a="1"/>
  <c r="T17" i="28"/>
  <c r="AS30" i="28" a="1"/>
  <c r="AT30" i="28" a="1"/>
  <c r="AU30" i="28" a="1"/>
  <c r="AV30" i="28" a="1"/>
  <c r="AW30" i="28" a="1"/>
  <c r="AX30" i="28" a="1"/>
  <c r="AY30" i="28" a="1"/>
  <c r="AZ30" i="28" a="1"/>
  <c r="U17" i="28"/>
  <c r="BA30" i="28" a="1"/>
  <c r="BB30" i="28" a="1"/>
  <c r="BC30" i="28" a="1"/>
  <c r="BD30" i="28" a="1"/>
  <c r="BE30" i="28" a="1"/>
  <c r="BF30" i="28" a="1"/>
  <c r="BG30" i="28" a="1"/>
  <c r="BH30" i="28" a="1"/>
  <c r="V17" i="28"/>
  <c r="BI30" i="28" a="1"/>
  <c r="BJ30" i="28" a="1"/>
  <c r="BK30" i="28" a="1"/>
  <c r="BL30" i="28" a="1"/>
  <c r="BM30" i="28" a="1"/>
  <c r="BN30" i="28" a="1"/>
  <c r="BO30" i="28" a="1"/>
  <c r="BP30" i="28" a="1"/>
  <c r="G30" i="28"/>
  <c r="H30" i="28"/>
  <c r="I30" i="28"/>
  <c r="J30" i="28"/>
  <c r="K30" i="28"/>
  <c r="L30" i="28"/>
  <c r="M30" i="28"/>
  <c r="N30" i="28"/>
  <c r="O30" i="28"/>
  <c r="P30" i="28"/>
  <c r="Q30" i="28"/>
  <c r="R30" i="28"/>
  <c r="S30" i="28"/>
  <c r="T30" i="28"/>
  <c r="U30" i="28"/>
  <c r="V30" i="28"/>
  <c r="W30" i="28"/>
  <c r="X30" i="28"/>
  <c r="Y30" i="28"/>
  <c r="Z30" i="28"/>
  <c r="AA30" i="28"/>
  <c r="AB30" i="28"/>
  <c r="AC30" i="28"/>
  <c r="AD30" i="28"/>
  <c r="AE30" i="28"/>
  <c r="AF30" i="28"/>
  <c r="AG30" i="28"/>
  <c r="AH30" i="28"/>
  <c r="AI30" i="28"/>
  <c r="AJ30" i="28"/>
  <c r="AK30" i="28"/>
  <c r="AL30" i="28"/>
  <c r="AM30" i="28"/>
  <c r="AN30" i="28"/>
  <c r="AO30" i="28"/>
  <c r="AP30" i="28"/>
  <c r="AQ30" i="28"/>
  <c r="AR30" i="28"/>
  <c r="AS30" i="28"/>
  <c r="AT30" i="28"/>
  <c r="AU30" i="28"/>
  <c r="AV30" i="28"/>
  <c r="AW30" i="28"/>
  <c r="AX30" i="28"/>
  <c r="AY30" i="28"/>
  <c r="AZ30" i="28"/>
  <c r="BA30" i="28"/>
  <c r="BB30" i="28"/>
  <c r="BC30" i="28"/>
  <c r="BD30" i="28"/>
  <c r="BE30" i="28"/>
  <c r="BF30" i="28"/>
  <c r="BG30" i="28"/>
  <c r="BH30" i="28"/>
  <c r="BI30" i="28"/>
  <c r="BJ30" i="28"/>
  <c r="BK30" i="28"/>
  <c r="BL30" i="28"/>
  <c r="BM30" i="28"/>
  <c r="BN30" i="28"/>
  <c r="BO30" i="28"/>
  <c r="BP30" i="28"/>
  <c r="AA17" i="28"/>
  <c r="E41" i="28" a="1"/>
  <c r="E41" i="28"/>
  <c r="F41" i="28" a="1"/>
  <c r="F41" i="28"/>
  <c r="G41" i="28" a="1"/>
  <c r="H41" i="28" a="1"/>
  <c r="I41" i="28" a="1"/>
  <c r="J41" i="28" a="1"/>
  <c r="K41" i="28" a="1"/>
  <c r="L41" i="28" a="1"/>
  <c r="M41" i="28" a="1"/>
  <c r="N41" i="28" a="1"/>
  <c r="O41" i="28" a="1"/>
  <c r="P41" i="28" a="1"/>
  <c r="Q41" i="28" a="1"/>
  <c r="R41" i="28" a="1"/>
  <c r="S41" i="28" a="1"/>
  <c r="T41" i="28" a="1"/>
  <c r="U41" i="28" a="1"/>
  <c r="V41" i="28" a="1"/>
  <c r="W41" i="28" a="1"/>
  <c r="X41" i="28" a="1"/>
  <c r="Y41" i="28" a="1"/>
  <c r="Z41" i="28" a="1"/>
  <c r="AA41" i="28" a="1"/>
  <c r="AB41" i="28" a="1"/>
  <c r="AC41" i="28" a="1"/>
  <c r="AD41" i="28" a="1"/>
  <c r="AE41" i="28" a="1"/>
  <c r="AF41" i="28" a="1"/>
  <c r="AG41" i="28" a="1"/>
  <c r="AH41" i="28" a="1"/>
  <c r="AI41" i="28" a="1"/>
  <c r="AJ41" i="28" a="1"/>
  <c r="AK41" i="28" a="1"/>
  <c r="AL41" i="28" a="1"/>
  <c r="AM41" i="28" a="1"/>
  <c r="AN41" i="28" a="1"/>
  <c r="AO41" i="28" a="1"/>
  <c r="AP41" i="28" a="1"/>
  <c r="AQ41" i="28" a="1"/>
  <c r="AR41" i="28" a="1"/>
  <c r="AS41" i="28" a="1"/>
  <c r="AT41" i="28" a="1"/>
  <c r="AU41" i="28" a="1"/>
  <c r="AV41" i="28" a="1"/>
  <c r="AW41" i="28" a="1"/>
  <c r="AX41" i="28" a="1"/>
  <c r="AY41" i="28" a="1"/>
  <c r="AZ41" i="28" a="1"/>
  <c r="BA41" i="28" a="1"/>
  <c r="BB41" i="28" a="1"/>
  <c r="BC41" i="28" a="1"/>
  <c r="BD41" i="28" a="1"/>
  <c r="BE41" i="28" a="1"/>
  <c r="BF41" i="28" a="1"/>
  <c r="BG41" i="28" a="1"/>
  <c r="BH41" i="28" a="1"/>
  <c r="BI41" i="28" a="1"/>
  <c r="BJ41" i="28" a="1"/>
  <c r="BK41" i="28" a="1"/>
  <c r="BL41" i="28" a="1"/>
  <c r="BM41" i="28" a="1"/>
  <c r="BN41" i="28" a="1"/>
  <c r="BO41" i="28" a="1"/>
  <c r="BP41" i="28" a="1"/>
  <c r="G41" i="28"/>
  <c r="H41" i="28"/>
  <c r="I41" i="28"/>
  <c r="J41" i="28"/>
  <c r="K41" i="28"/>
  <c r="L41" i="28"/>
  <c r="M41" i="28"/>
  <c r="N41" i="28"/>
  <c r="O41" i="28"/>
  <c r="P41" i="28"/>
  <c r="Q41" i="28"/>
  <c r="R41" i="28"/>
  <c r="S41" i="28"/>
  <c r="T41" i="28"/>
  <c r="U41" i="28"/>
  <c r="V41" i="28"/>
  <c r="W41" i="28"/>
  <c r="X41" i="28"/>
  <c r="Y41" i="28"/>
  <c r="Z41" i="28"/>
  <c r="AA41" i="28"/>
  <c r="AB41" i="28"/>
  <c r="AC41" i="28"/>
  <c r="AD41" i="28"/>
  <c r="AE41" i="28"/>
  <c r="AF41" i="28"/>
  <c r="AG41" i="28"/>
  <c r="AH41" i="28"/>
  <c r="AI41" i="28"/>
  <c r="AJ41" i="28"/>
  <c r="AK41" i="28"/>
  <c r="AL41" i="28"/>
  <c r="AM41" i="28"/>
  <c r="AN41" i="28"/>
  <c r="AO41" i="28"/>
  <c r="AP41" i="28"/>
  <c r="AQ41" i="28"/>
  <c r="AR41" i="28"/>
  <c r="AS41" i="28"/>
  <c r="AT41" i="28"/>
  <c r="AU41" i="28"/>
  <c r="AV41" i="28"/>
  <c r="AW41" i="28"/>
  <c r="AX41" i="28"/>
  <c r="AY41" i="28"/>
  <c r="AZ41" i="28"/>
  <c r="BA41" i="28"/>
  <c r="BB41" i="28"/>
  <c r="BC41" i="28"/>
  <c r="BD41" i="28"/>
  <c r="BE41" i="28"/>
  <c r="BF41" i="28"/>
  <c r="BG41" i="28"/>
  <c r="BH41" i="28"/>
  <c r="BI41" i="28"/>
  <c r="BJ41" i="28"/>
  <c r="BK41" i="28"/>
  <c r="BL41" i="28"/>
  <c r="BM41" i="28"/>
  <c r="BN41" i="28"/>
  <c r="BO41" i="28"/>
  <c r="BP41" i="28"/>
  <c r="AB17" i="28"/>
  <c r="W17" i="28"/>
  <c r="M18" i="28"/>
  <c r="N18" i="28" a="1"/>
  <c r="N18" i="28"/>
  <c r="O18" i="28"/>
  <c r="C18" i="28"/>
  <c r="E31" i="28" a="1"/>
  <c r="E31" i="28"/>
  <c r="F31" i="28" a="1"/>
  <c r="F31" i="28"/>
  <c r="G31" i="28" a="1"/>
  <c r="H31" i="28" a="1"/>
  <c r="I31" i="28" a="1"/>
  <c r="J31" i="28" a="1"/>
  <c r="K31" i="28" a="1"/>
  <c r="L31" i="28" a="1"/>
  <c r="P18" i="28"/>
  <c r="M31" i="28" a="1"/>
  <c r="N31" i="28" a="1"/>
  <c r="O31" i="28" a="1"/>
  <c r="P31" i="28" a="1"/>
  <c r="Q31" i="28" a="1"/>
  <c r="R31" i="28" a="1"/>
  <c r="S31" i="28" a="1"/>
  <c r="T31" i="28" a="1"/>
  <c r="Q18" i="28"/>
  <c r="U31" i="28" a="1"/>
  <c r="V31" i="28" a="1"/>
  <c r="W31" i="28" a="1"/>
  <c r="X31" i="28" a="1"/>
  <c r="Y31" i="28" a="1"/>
  <c r="Z31" i="28" a="1"/>
  <c r="AA31" i="28" a="1"/>
  <c r="AB31" i="28" a="1"/>
  <c r="R18" i="28"/>
  <c r="AC31" i="28" a="1"/>
  <c r="AD31" i="28" a="1"/>
  <c r="AE31" i="28" a="1"/>
  <c r="AF31" i="28" a="1"/>
  <c r="AG31" i="28" a="1"/>
  <c r="AH31" i="28" a="1"/>
  <c r="AI31" i="28" a="1"/>
  <c r="AJ31" i="28" a="1"/>
  <c r="S18" i="28"/>
  <c r="AK31" i="28" a="1"/>
  <c r="AL31" i="28" a="1"/>
  <c r="AM31" i="28" a="1"/>
  <c r="AN31" i="28" a="1"/>
  <c r="AO31" i="28" a="1"/>
  <c r="AP31" i="28" a="1"/>
  <c r="AQ31" i="28" a="1"/>
  <c r="AR31" i="28" a="1"/>
  <c r="T18" i="28"/>
  <c r="AS31" i="28" a="1"/>
  <c r="AT31" i="28" a="1"/>
  <c r="AU31" i="28" a="1"/>
  <c r="AV31" i="28" a="1"/>
  <c r="AW31" i="28" a="1"/>
  <c r="AX31" i="28" a="1"/>
  <c r="AY31" i="28" a="1"/>
  <c r="AZ31" i="28" a="1"/>
  <c r="U18" i="28"/>
  <c r="BA31" i="28" a="1"/>
  <c r="BB31" i="28" a="1"/>
  <c r="BC31" i="28" a="1"/>
  <c r="BD31" i="28" a="1"/>
  <c r="BE31" i="28" a="1"/>
  <c r="BF31" i="28" a="1"/>
  <c r="BG31" i="28" a="1"/>
  <c r="BH31" i="28" a="1"/>
  <c r="V18" i="28"/>
  <c r="BI31" i="28" a="1"/>
  <c r="BJ31" i="28" a="1"/>
  <c r="BK31" i="28" a="1"/>
  <c r="BL31" i="28" a="1"/>
  <c r="BM31" i="28" a="1"/>
  <c r="BN31" i="28" a="1"/>
  <c r="BO31" i="28" a="1"/>
  <c r="BP31" i="28" a="1"/>
  <c r="G31" i="28"/>
  <c r="H31" i="28"/>
  <c r="I31" i="28"/>
  <c r="J31" i="28"/>
  <c r="K31" i="28"/>
  <c r="L31" i="28"/>
  <c r="M31" i="28"/>
  <c r="N31" i="28"/>
  <c r="O31" i="28"/>
  <c r="P31" i="28"/>
  <c r="Q31" i="28"/>
  <c r="R31" i="28"/>
  <c r="S31" i="28"/>
  <c r="T31" i="28"/>
  <c r="U31" i="28"/>
  <c r="V31" i="28"/>
  <c r="W31" i="28"/>
  <c r="X31" i="28"/>
  <c r="Y31" i="28"/>
  <c r="Z31" i="28"/>
  <c r="AA31" i="28"/>
  <c r="AB31" i="28"/>
  <c r="AC31" i="28"/>
  <c r="AD31" i="28"/>
  <c r="AE31" i="28"/>
  <c r="AF31" i="28"/>
  <c r="AG31" i="28"/>
  <c r="AH31" i="28"/>
  <c r="AI31" i="28"/>
  <c r="AJ31" i="28"/>
  <c r="AK31" i="28"/>
  <c r="AL31" i="28"/>
  <c r="AM31" i="28"/>
  <c r="AN31" i="28"/>
  <c r="AO31" i="28"/>
  <c r="AP31" i="28"/>
  <c r="AQ31" i="28"/>
  <c r="AR31" i="28"/>
  <c r="AS31" i="28"/>
  <c r="AT31" i="28"/>
  <c r="AU31" i="28"/>
  <c r="AV31" i="28"/>
  <c r="AW31" i="28"/>
  <c r="AX31" i="28"/>
  <c r="AY31" i="28"/>
  <c r="AZ31" i="28"/>
  <c r="BA31" i="28"/>
  <c r="BB31" i="28"/>
  <c r="BC31" i="28"/>
  <c r="BD31" i="28"/>
  <c r="BE31" i="28"/>
  <c r="BF31" i="28"/>
  <c r="BG31" i="28"/>
  <c r="BH31" i="28"/>
  <c r="BI31" i="28"/>
  <c r="BJ31" i="28"/>
  <c r="BK31" i="28"/>
  <c r="BL31" i="28"/>
  <c r="BM31" i="28"/>
  <c r="BN31" i="28"/>
  <c r="BO31" i="28"/>
  <c r="BP31" i="28"/>
  <c r="AA18" i="28"/>
  <c r="E42" i="28" a="1"/>
  <c r="E42" i="28"/>
  <c r="F42" i="28" a="1"/>
  <c r="F42" i="28"/>
  <c r="G42" i="28" a="1"/>
  <c r="H42" i="28" a="1"/>
  <c r="I42" i="28" a="1"/>
  <c r="J42" i="28" a="1"/>
  <c r="K42" i="28" a="1"/>
  <c r="L42" i="28" a="1"/>
  <c r="M42" i="28" a="1"/>
  <c r="N42" i="28" a="1"/>
  <c r="O42" i="28" a="1"/>
  <c r="P42" i="28" a="1"/>
  <c r="Q42" i="28" a="1"/>
  <c r="R42" i="28" a="1"/>
  <c r="S42" i="28" a="1"/>
  <c r="T42" i="28" a="1"/>
  <c r="U42" i="28" a="1"/>
  <c r="V42" i="28" a="1"/>
  <c r="W42" i="28" a="1"/>
  <c r="X42" i="28" a="1"/>
  <c r="Y42" i="28" a="1"/>
  <c r="Z42" i="28" a="1"/>
  <c r="AA42" i="28" a="1"/>
  <c r="AB42" i="28" a="1"/>
  <c r="AC42" i="28" a="1"/>
  <c r="AD42" i="28" a="1"/>
  <c r="AE42" i="28" a="1"/>
  <c r="AF42" i="28" a="1"/>
  <c r="AG42" i="28" a="1"/>
  <c r="AH42" i="28" a="1"/>
  <c r="AI42" i="28" a="1"/>
  <c r="AJ42" i="28" a="1"/>
  <c r="AK42" i="28" a="1"/>
  <c r="AL42" i="28" a="1"/>
  <c r="AM42" i="28" a="1"/>
  <c r="AN42" i="28" a="1"/>
  <c r="AO42" i="28" a="1"/>
  <c r="AP42" i="28" a="1"/>
  <c r="AQ42" i="28" a="1"/>
  <c r="AR42" i="28" a="1"/>
  <c r="AS42" i="28" a="1"/>
  <c r="AT42" i="28" a="1"/>
  <c r="AU42" i="28" a="1"/>
  <c r="AV42" i="28" a="1"/>
  <c r="AW42" i="28" a="1"/>
  <c r="AX42" i="28" a="1"/>
  <c r="AY42" i="28" a="1"/>
  <c r="AZ42" i="28" a="1"/>
  <c r="BA42" i="28" a="1"/>
  <c r="BB42" i="28" a="1"/>
  <c r="BC42" i="28" a="1"/>
  <c r="BD42" i="28" a="1"/>
  <c r="BE42" i="28" a="1"/>
  <c r="BF42" i="28" a="1"/>
  <c r="BG42" i="28" a="1"/>
  <c r="BH42" i="28" a="1"/>
  <c r="BI42" i="28" a="1"/>
  <c r="BJ42" i="28" a="1"/>
  <c r="BK42" i="28" a="1"/>
  <c r="BL42" i="28" a="1"/>
  <c r="BM42" i="28" a="1"/>
  <c r="BN42" i="28" a="1"/>
  <c r="BO42" i="28" a="1"/>
  <c r="BP42" i="28" a="1"/>
  <c r="G42" i="28"/>
  <c r="H42" i="28"/>
  <c r="I42" i="28"/>
  <c r="J42" i="28"/>
  <c r="K42" i="28"/>
  <c r="L42" i="28"/>
  <c r="M42" i="28"/>
  <c r="N42" i="28"/>
  <c r="O42" i="28"/>
  <c r="P42" i="28"/>
  <c r="Q42" i="28"/>
  <c r="R42" i="28"/>
  <c r="S42" i="28"/>
  <c r="T42" i="28"/>
  <c r="U42" i="28"/>
  <c r="V42" i="28"/>
  <c r="W42" i="28"/>
  <c r="X42" i="28"/>
  <c r="Y42" i="28"/>
  <c r="Z42" i="28"/>
  <c r="AA42" i="28"/>
  <c r="AB42" i="28"/>
  <c r="AC42" i="28"/>
  <c r="AD42" i="28"/>
  <c r="AE42" i="28"/>
  <c r="AF42" i="28"/>
  <c r="AG42" i="28"/>
  <c r="AH42" i="28"/>
  <c r="AI42" i="28"/>
  <c r="AJ42" i="28"/>
  <c r="AK42" i="28"/>
  <c r="AL42" i="28"/>
  <c r="AM42" i="28"/>
  <c r="AN42" i="28"/>
  <c r="AO42" i="28"/>
  <c r="AP42" i="28"/>
  <c r="AQ42" i="28"/>
  <c r="AR42" i="28"/>
  <c r="AS42" i="28"/>
  <c r="AT42" i="28"/>
  <c r="AU42" i="28"/>
  <c r="AV42" i="28"/>
  <c r="AW42" i="28"/>
  <c r="AX42" i="28"/>
  <c r="AY42" i="28"/>
  <c r="AZ42" i="28"/>
  <c r="BA42" i="28"/>
  <c r="BB42" i="28"/>
  <c r="BC42" i="28"/>
  <c r="BD42" i="28"/>
  <c r="BE42" i="28"/>
  <c r="BF42" i="28"/>
  <c r="BG42" i="28"/>
  <c r="BH42" i="28"/>
  <c r="BI42" i="28"/>
  <c r="BJ42" i="28"/>
  <c r="BK42" i="28"/>
  <c r="BL42" i="28"/>
  <c r="BM42" i="28"/>
  <c r="BN42" i="28"/>
  <c r="BO42" i="28"/>
  <c r="BP42" i="28"/>
  <c r="AB18" i="28"/>
  <c r="W18" i="28"/>
  <c r="M19" i="28"/>
  <c r="N19" i="28" a="1"/>
  <c r="N19" i="28"/>
  <c r="O19" i="28"/>
  <c r="C19" i="28"/>
  <c r="E32" i="28" a="1"/>
  <c r="E32" i="28"/>
  <c r="F32" i="28" a="1"/>
  <c r="F32" i="28"/>
  <c r="G32" i="28" a="1"/>
  <c r="H32" i="28" a="1"/>
  <c r="I32" i="28" a="1"/>
  <c r="J32" i="28" a="1"/>
  <c r="K32" i="28" a="1"/>
  <c r="L32" i="28" a="1"/>
  <c r="P19" i="28"/>
  <c r="M32" i="28" a="1"/>
  <c r="N32" i="28" a="1"/>
  <c r="O32" i="28" a="1"/>
  <c r="P32" i="28" a="1"/>
  <c r="Q32" i="28" a="1"/>
  <c r="R32" i="28" a="1"/>
  <c r="S32" i="28" a="1"/>
  <c r="T32" i="28" a="1"/>
  <c r="Q19" i="28"/>
  <c r="U32" i="28" a="1"/>
  <c r="V32" i="28" a="1"/>
  <c r="W32" i="28" a="1"/>
  <c r="X32" i="28" a="1"/>
  <c r="Y32" i="28" a="1"/>
  <c r="Z32" i="28" a="1"/>
  <c r="AA32" i="28" a="1"/>
  <c r="AB32" i="28" a="1"/>
  <c r="R19" i="28"/>
  <c r="AC32" i="28" a="1"/>
  <c r="AD32" i="28" a="1"/>
  <c r="AE32" i="28" a="1"/>
  <c r="AF32" i="28" a="1"/>
  <c r="AG32" i="28" a="1"/>
  <c r="AH32" i="28" a="1"/>
  <c r="AI32" i="28" a="1"/>
  <c r="AJ32" i="28" a="1"/>
  <c r="S19" i="28"/>
  <c r="AK32" i="28" a="1"/>
  <c r="AL32" i="28" a="1"/>
  <c r="AM32" i="28" a="1"/>
  <c r="AN32" i="28" a="1"/>
  <c r="AO32" i="28" a="1"/>
  <c r="AP32" i="28" a="1"/>
  <c r="AQ32" i="28" a="1"/>
  <c r="AR32" i="28" a="1"/>
  <c r="T19" i="28"/>
  <c r="AS32" i="28" a="1"/>
  <c r="AT32" i="28" a="1"/>
  <c r="AU32" i="28" a="1"/>
  <c r="AV32" i="28" a="1"/>
  <c r="AW32" i="28" a="1"/>
  <c r="AX32" i="28" a="1"/>
  <c r="AY32" i="28" a="1"/>
  <c r="AZ32" i="28" a="1"/>
  <c r="U19" i="28"/>
  <c r="BA32" i="28" a="1"/>
  <c r="BB32" i="28" a="1"/>
  <c r="BC32" i="28" a="1"/>
  <c r="BD32" i="28" a="1"/>
  <c r="BE32" i="28" a="1"/>
  <c r="BF32" i="28" a="1"/>
  <c r="BG32" i="28" a="1"/>
  <c r="BH32" i="28" a="1"/>
  <c r="V19" i="28"/>
  <c r="BI32" i="28" a="1"/>
  <c r="BJ32" i="28" a="1"/>
  <c r="BK32" i="28" a="1"/>
  <c r="BL32" i="28" a="1"/>
  <c r="BM32" i="28" a="1"/>
  <c r="BN32" i="28" a="1"/>
  <c r="BO32" i="28" a="1"/>
  <c r="BP32" i="28" a="1"/>
  <c r="G32" i="28"/>
  <c r="H32" i="28"/>
  <c r="I32" i="28"/>
  <c r="J32" i="28"/>
  <c r="K32" i="28"/>
  <c r="L32" i="28"/>
  <c r="M32" i="28"/>
  <c r="N32" i="28"/>
  <c r="O32" i="28"/>
  <c r="P32" i="28"/>
  <c r="Q32" i="28"/>
  <c r="R32" i="28"/>
  <c r="S32" i="28"/>
  <c r="T32" i="28"/>
  <c r="U32" i="28"/>
  <c r="V32" i="28"/>
  <c r="W32" i="28"/>
  <c r="X32" i="28"/>
  <c r="Y32" i="28"/>
  <c r="Z32" i="28"/>
  <c r="AA32" i="28"/>
  <c r="AB32" i="28"/>
  <c r="AC32" i="28"/>
  <c r="AD32" i="28"/>
  <c r="AE32" i="28"/>
  <c r="AF32" i="28"/>
  <c r="AG32" i="28"/>
  <c r="AH32" i="28"/>
  <c r="AI32" i="28"/>
  <c r="AJ32" i="28"/>
  <c r="AK32" i="28"/>
  <c r="AL32" i="28"/>
  <c r="AM32" i="28"/>
  <c r="AN32" i="28"/>
  <c r="AO32" i="28"/>
  <c r="AP32" i="28"/>
  <c r="AQ32" i="28"/>
  <c r="AR32" i="28"/>
  <c r="AS32" i="28"/>
  <c r="AT32" i="28"/>
  <c r="AU32" i="28"/>
  <c r="AV32" i="28"/>
  <c r="AW32" i="28"/>
  <c r="AX32" i="28"/>
  <c r="AY32" i="28"/>
  <c r="AZ32" i="28"/>
  <c r="BA32" i="28"/>
  <c r="BB32" i="28"/>
  <c r="BC32" i="28"/>
  <c r="BD32" i="28"/>
  <c r="BE32" i="28"/>
  <c r="BF32" i="28"/>
  <c r="BG32" i="28"/>
  <c r="BH32" i="28"/>
  <c r="BI32" i="28"/>
  <c r="BJ32" i="28"/>
  <c r="BK32" i="28"/>
  <c r="BL32" i="28"/>
  <c r="BM32" i="28"/>
  <c r="BN32" i="28"/>
  <c r="BO32" i="28"/>
  <c r="BP32" i="28"/>
  <c r="AA19" i="28"/>
  <c r="E43" i="28" a="1"/>
  <c r="E43" i="28"/>
  <c r="F43" i="28" a="1"/>
  <c r="F43" i="28"/>
  <c r="G43" i="28" a="1"/>
  <c r="H43" i="28" a="1"/>
  <c r="I43" i="28" a="1"/>
  <c r="J43" i="28" a="1"/>
  <c r="K43" i="28" a="1"/>
  <c r="L43" i="28" a="1"/>
  <c r="M43" i="28" a="1"/>
  <c r="N43" i="28" a="1"/>
  <c r="O43" i="28" a="1"/>
  <c r="P43" i="28" a="1"/>
  <c r="Q43" i="28" a="1"/>
  <c r="R43" i="28" a="1"/>
  <c r="S43" i="28" a="1"/>
  <c r="T43" i="28" a="1"/>
  <c r="U43" i="28" a="1"/>
  <c r="V43" i="28" a="1"/>
  <c r="W43" i="28" a="1"/>
  <c r="X43" i="28" a="1"/>
  <c r="Y43" i="28" a="1"/>
  <c r="Z43" i="28" a="1"/>
  <c r="AA43" i="28" a="1"/>
  <c r="AB43" i="28" a="1"/>
  <c r="AC43" i="28" a="1"/>
  <c r="AD43" i="28" a="1"/>
  <c r="AE43" i="28" a="1"/>
  <c r="AF43" i="28" a="1"/>
  <c r="AG43" i="28" a="1"/>
  <c r="AH43" i="28" a="1"/>
  <c r="AI43" i="28" a="1"/>
  <c r="AJ43" i="28" a="1"/>
  <c r="AK43" i="28" a="1"/>
  <c r="AL43" i="28" a="1"/>
  <c r="AM43" i="28" a="1"/>
  <c r="AN43" i="28" a="1"/>
  <c r="AO43" i="28" a="1"/>
  <c r="AP43" i="28" a="1"/>
  <c r="AQ43" i="28" a="1"/>
  <c r="AR43" i="28" a="1"/>
  <c r="AS43" i="28" a="1"/>
  <c r="AT43" i="28" a="1"/>
  <c r="AU43" i="28" a="1"/>
  <c r="AV43" i="28" a="1"/>
  <c r="AW43" i="28" a="1"/>
  <c r="AX43" i="28" a="1"/>
  <c r="AY43" i="28" a="1"/>
  <c r="AZ43" i="28" a="1"/>
  <c r="BA43" i="28" a="1"/>
  <c r="BB43" i="28" a="1"/>
  <c r="BC43" i="28" a="1"/>
  <c r="BD43" i="28" a="1"/>
  <c r="BE43" i="28" a="1"/>
  <c r="BF43" i="28" a="1"/>
  <c r="BG43" i="28" a="1"/>
  <c r="BH43" i="28" a="1"/>
  <c r="BI43" i="28" a="1"/>
  <c r="BJ43" i="28" a="1"/>
  <c r="BK43" i="28" a="1"/>
  <c r="BL43" i="28" a="1"/>
  <c r="BM43" i="28" a="1"/>
  <c r="BN43" i="28" a="1"/>
  <c r="BO43" i="28" a="1"/>
  <c r="BP43" i="28" a="1"/>
  <c r="G43" i="28"/>
  <c r="H43" i="28"/>
  <c r="I43" i="28"/>
  <c r="J43" i="28"/>
  <c r="K43" i="28"/>
  <c r="L43" i="28"/>
  <c r="M43" i="28"/>
  <c r="N43" i="28"/>
  <c r="O43" i="28"/>
  <c r="P43" i="28"/>
  <c r="Q43" i="28"/>
  <c r="R43" i="28"/>
  <c r="S43" i="28"/>
  <c r="T43" i="28"/>
  <c r="U43" i="28"/>
  <c r="V43" i="28"/>
  <c r="W43" i="28"/>
  <c r="X43" i="28"/>
  <c r="Y43" i="28"/>
  <c r="Z43" i="28"/>
  <c r="AA43" i="28"/>
  <c r="AB43" i="28"/>
  <c r="AC43" i="28"/>
  <c r="AD43" i="28"/>
  <c r="AE43" i="28"/>
  <c r="AF43" i="28"/>
  <c r="AG43" i="28"/>
  <c r="AH43" i="28"/>
  <c r="AI43" i="28"/>
  <c r="AJ43" i="28"/>
  <c r="AK43" i="28"/>
  <c r="AL43" i="28"/>
  <c r="AM43" i="28"/>
  <c r="AN43" i="28"/>
  <c r="AO43" i="28"/>
  <c r="AP43" i="28"/>
  <c r="AQ43" i="28"/>
  <c r="AR43" i="28"/>
  <c r="AS43" i="28"/>
  <c r="AT43" i="28"/>
  <c r="AU43" i="28"/>
  <c r="AV43" i="28"/>
  <c r="AW43" i="28"/>
  <c r="AX43" i="28"/>
  <c r="AY43" i="28"/>
  <c r="AZ43" i="28"/>
  <c r="BA43" i="28"/>
  <c r="BB43" i="28"/>
  <c r="BC43" i="28"/>
  <c r="BD43" i="28"/>
  <c r="BE43" i="28"/>
  <c r="BF43" i="28"/>
  <c r="BG43" i="28"/>
  <c r="BH43" i="28"/>
  <c r="BI43" i="28"/>
  <c r="BJ43" i="28"/>
  <c r="BK43" i="28"/>
  <c r="BL43" i="28"/>
  <c r="BM43" i="28"/>
  <c r="BN43" i="28"/>
  <c r="BO43" i="28"/>
  <c r="BP43" i="28"/>
  <c r="AB19" i="28"/>
  <c r="W19" i="28"/>
  <c r="M20" i="28"/>
  <c r="N20" i="28" a="1"/>
  <c r="N20" i="28"/>
  <c r="O20" i="28"/>
  <c r="C20" i="28"/>
  <c r="E33" i="28" a="1"/>
  <c r="E33" i="28"/>
  <c r="F33" i="28" a="1"/>
  <c r="F33" i="28"/>
  <c r="G33" i="28" a="1"/>
  <c r="H33" i="28" a="1"/>
  <c r="I33" i="28" a="1"/>
  <c r="J33" i="28" a="1"/>
  <c r="K33" i="28" a="1"/>
  <c r="L33" i="28" a="1"/>
  <c r="P20" i="28"/>
  <c r="M33" i="28" a="1"/>
  <c r="N33" i="28" a="1"/>
  <c r="O33" i="28" a="1"/>
  <c r="P33" i="28" a="1"/>
  <c r="Q33" i="28" a="1"/>
  <c r="R33" i="28" a="1"/>
  <c r="S33" i="28" a="1"/>
  <c r="T33" i="28" a="1"/>
  <c r="Q20" i="28"/>
  <c r="U33" i="28" a="1"/>
  <c r="V33" i="28" a="1"/>
  <c r="W33" i="28" a="1"/>
  <c r="X33" i="28" a="1"/>
  <c r="Y33" i="28" a="1"/>
  <c r="Z33" i="28" a="1"/>
  <c r="AA33" i="28" a="1"/>
  <c r="AB33" i="28" a="1"/>
  <c r="R20" i="28"/>
  <c r="AC33" i="28" a="1"/>
  <c r="AD33" i="28" a="1"/>
  <c r="AE33" i="28" a="1"/>
  <c r="AF33" i="28" a="1"/>
  <c r="AG33" i="28" a="1"/>
  <c r="AH33" i="28" a="1"/>
  <c r="AI33" i="28" a="1"/>
  <c r="AJ33" i="28" a="1"/>
  <c r="S20" i="28"/>
  <c r="AK33" i="28" a="1"/>
  <c r="AL33" i="28" a="1"/>
  <c r="AM33" i="28" a="1"/>
  <c r="AN33" i="28" a="1"/>
  <c r="AO33" i="28" a="1"/>
  <c r="AP33" i="28" a="1"/>
  <c r="AQ33" i="28" a="1"/>
  <c r="AR33" i="28" a="1"/>
  <c r="T20" i="28"/>
  <c r="AS33" i="28" a="1"/>
  <c r="AT33" i="28" a="1"/>
  <c r="AU33" i="28" a="1"/>
  <c r="AV33" i="28" a="1"/>
  <c r="AW33" i="28" a="1"/>
  <c r="AX33" i="28" a="1"/>
  <c r="AY33" i="28" a="1"/>
  <c r="AZ33" i="28" a="1"/>
  <c r="U20" i="28"/>
  <c r="BA33" i="28" a="1"/>
  <c r="BB33" i="28" a="1"/>
  <c r="BC33" i="28" a="1"/>
  <c r="BD33" i="28" a="1"/>
  <c r="BE33" i="28" a="1"/>
  <c r="BF33" i="28" a="1"/>
  <c r="BG33" i="28" a="1"/>
  <c r="BH33" i="28" a="1"/>
  <c r="V20" i="28"/>
  <c r="BI33" i="28" a="1"/>
  <c r="BJ33" i="28" a="1"/>
  <c r="BK33" i="28" a="1"/>
  <c r="BL33" i="28" a="1"/>
  <c r="BM33" i="28" a="1"/>
  <c r="BN33" i="28" a="1"/>
  <c r="BO33" i="28" a="1"/>
  <c r="BP33" i="28" a="1"/>
  <c r="G33" i="28"/>
  <c r="H33" i="28"/>
  <c r="I33" i="28"/>
  <c r="J33" i="28"/>
  <c r="K33" i="28"/>
  <c r="L33" i="28"/>
  <c r="M33" i="28"/>
  <c r="N33" i="28"/>
  <c r="O33" i="28"/>
  <c r="P33" i="28"/>
  <c r="Q33" i="28"/>
  <c r="R33" i="28"/>
  <c r="S33" i="28"/>
  <c r="T33" i="28"/>
  <c r="U33" i="28"/>
  <c r="V33" i="28"/>
  <c r="W33" i="28"/>
  <c r="X33" i="28"/>
  <c r="Y33" i="28"/>
  <c r="Z33" i="28"/>
  <c r="AA33" i="28"/>
  <c r="AB33" i="28"/>
  <c r="AC33" i="28"/>
  <c r="AD33" i="28"/>
  <c r="AE33" i="28"/>
  <c r="AF33" i="28"/>
  <c r="AG33" i="28"/>
  <c r="AH33" i="28"/>
  <c r="AI33" i="28"/>
  <c r="AJ33" i="28"/>
  <c r="AK33" i="28"/>
  <c r="AL33" i="28"/>
  <c r="AM33" i="28"/>
  <c r="AN33" i="28"/>
  <c r="AO33" i="28"/>
  <c r="AP33" i="28"/>
  <c r="AQ33" i="28"/>
  <c r="AR33" i="28"/>
  <c r="AS33" i="28"/>
  <c r="AT33" i="28"/>
  <c r="AU33" i="28"/>
  <c r="AV33" i="28"/>
  <c r="AW33" i="28"/>
  <c r="AX33" i="28"/>
  <c r="AY33" i="28"/>
  <c r="AZ33" i="28"/>
  <c r="BA33" i="28"/>
  <c r="BB33" i="28"/>
  <c r="BC33" i="28"/>
  <c r="BD33" i="28"/>
  <c r="BE33" i="28"/>
  <c r="BF33" i="28"/>
  <c r="BG33" i="28"/>
  <c r="BH33" i="28"/>
  <c r="BI33" i="28"/>
  <c r="BJ33" i="28"/>
  <c r="BK33" i="28"/>
  <c r="BL33" i="28"/>
  <c r="BM33" i="28"/>
  <c r="BN33" i="28"/>
  <c r="BO33" i="28"/>
  <c r="BP33" i="28"/>
  <c r="AA20" i="28"/>
  <c r="E44" i="28" a="1"/>
  <c r="E44" i="28"/>
  <c r="F44" i="28" a="1"/>
  <c r="F44" i="28"/>
  <c r="G44" i="28" a="1"/>
  <c r="H44" i="28" a="1"/>
  <c r="I44" i="28" a="1"/>
  <c r="J44" i="28" a="1"/>
  <c r="K44" i="28" a="1"/>
  <c r="L44" i="28" a="1"/>
  <c r="M44" i="28" a="1"/>
  <c r="N44" i="28" a="1"/>
  <c r="O44" i="28" a="1"/>
  <c r="P44" i="28" a="1"/>
  <c r="Q44" i="28" a="1"/>
  <c r="R44" i="28" a="1"/>
  <c r="S44" i="28" a="1"/>
  <c r="T44" i="28" a="1"/>
  <c r="U44" i="28" a="1"/>
  <c r="V44" i="28" a="1"/>
  <c r="W44" i="28" a="1"/>
  <c r="X44" i="28" a="1"/>
  <c r="Y44" i="28" a="1"/>
  <c r="Z44" i="28" a="1"/>
  <c r="AA44" i="28" a="1"/>
  <c r="AB44" i="28" a="1"/>
  <c r="AC44" i="28" a="1"/>
  <c r="AD44" i="28" a="1"/>
  <c r="AE44" i="28" a="1"/>
  <c r="AF44" i="28" a="1"/>
  <c r="AG44" i="28" a="1"/>
  <c r="AH44" i="28" a="1"/>
  <c r="AI44" i="28" a="1"/>
  <c r="AJ44" i="28" a="1"/>
  <c r="AK44" i="28" a="1"/>
  <c r="AL44" i="28" a="1"/>
  <c r="AM44" i="28" a="1"/>
  <c r="AN44" i="28" a="1"/>
  <c r="AO44" i="28" a="1"/>
  <c r="AP44" i="28" a="1"/>
  <c r="AQ44" i="28" a="1"/>
  <c r="AR44" i="28" a="1"/>
  <c r="AS44" i="28" a="1"/>
  <c r="AT44" i="28" a="1"/>
  <c r="AU44" i="28" a="1"/>
  <c r="AV44" i="28" a="1"/>
  <c r="AW44" i="28" a="1"/>
  <c r="AX44" i="28" a="1"/>
  <c r="AY44" i="28" a="1"/>
  <c r="AZ44" i="28" a="1"/>
  <c r="BA44" i="28" a="1"/>
  <c r="BB44" i="28" a="1"/>
  <c r="BC44" i="28" a="1"/>
  <c r="BD44" i="28" a="1"/>
  <c r="BE44" i="28" a="1"/>
  <c r="BF44" i="28" a="1"/>
  <c r="BG44" i="28" a="1"/>
  <c r="BH44" i="28" a="1"/>
  <c r="BI44" i="28" a="1"/>
  <c r="BJ44" i="28" a="1"/>
  <c r="BK44" i="28" a="1"/>
  <c r="BL44" i="28" a="1"/>
  <c r="BM44" i="28" a="1"/>
  <c r="BN44" i="28" a="1"/>
  <c r="BO44" i="28" a="1"/>
  <c r="BP44" i="28" a="1"/>
  <c r="G44" i="28"/>
  <c r="H44" i="28"/>
  <c r="I44" i="28"/>
  <c r="J44" i="28"/>
  <c r="K44" i="28"/>
  <c r="L44" i="28"/>
  <c r="M44" i="28"/>
  <c r="N44" i="28"/>
  <c r="O44" i="28"/>
  <c r="P44" i="28"/>
  <c r="Q44" i="28"/>
  <c r="R44" i="28"/>
  <c r="S44" i="28"/>
  <c r="T44" i="28"/>
  <c r="U44" i="28"/>
  <c r="V44" i="28"/>
  <c r="W44" i="28"/>
  <c r="X44" i="28"/>
  <c r="Y44" i="28"/>
  <c r="Z44" i="28"/>
  <c r="AA44" i="28"/>
  <c r="AB44" i="28"/>
  <c r="AC44" i="28"/>
  <c r="AD44" i="28"/>
  <c r="AE44" i="28"/>
  <c r="AF44" i="28"/>
  <c r="AG44" i="28"/>
  <c r="AH44" i="28"/>
  <c r="AI44" i="28"/>
  <c r="AJ44" i="28"/>
  <c r="AK44" i="28"/>
  <c r="AL44" i="28"/>
  <c r="AM44" i="28"/>
  <c r="AN44" i="28"/>
  <c r="AO44" i="28"/>
  <c r="AP44" i="28"/>
  <c r="AQ44" i="28"/>
  <c r="AR44" i="28"/>
  <c r="AS44" i="28"/>
  <c r="AT44" i="28"/>
  <c r="AU44" i="28"/>
  <c r="AV44" i="28"/>
  <c r="AW44" i="28"/>
  <c r="AX44" i="28"/>
  <c r="AY44" i="28"/>
  <c r="AZ44" i="28"/>
  <c r="BA44" i="28"/>
  <c r="BB44" i="28"/>
  <c r="BC44" i="28"/>
  <c r="BD44" i="28"/>
  <c r="BE44" i="28"/>
  <c r="BF44" i="28"/>
  <c r="BG44" i="28"/>
  <c r="BH44" i="28"/>
  <c r="BI44" i="28"/>
  <c r="BJ44" i="28"/>
  <c r="BK44" i="28"/>
  <c r="BL44" i="28"/>
  <c r="BM44" i="28"/>
  <c r="BN44" i="28"/>
  <c r="BO44" i="28"/>
  <c r="BP44" i="28"/>
  <c r="AB20" i="28"/>
  <c r="W20" i="28"/>
  <c r="M21" i="28"/>
  <c r="N21" i="28" a="1"/>
  <c r="N21" i="28"/>
  <c r="O21" i="28"/>
  <c r="BR52" i="28"/>
  <c r="BS51" i="28"/>
  <c r="BT51" i="28"/>
  <c r="BT52" i="28"/>
  <c r="BU51" i="28"/>
  <c r="BU52" i="28"/>
  <c r="BV51" i="28"/>
  <c r="BV52" i="28"/>
  <c r="BW52" i="28"/>
  <c r="BX52" i="28"/>
  <c r="BY52" i="28"/>
  <c r="BZ52" i="28"/>
  <c r="CA52" i="28"/>
  <c r="BR53" i="28"/>
  <c r="BS53" i="28"/>
  <c r="BU53" i="28"/>
  <c r="BV53" i="28"/>
  <c r="BW53" i="28"/>
  <c r="BX53" i="28"/>
  <c r="BY53" i="28"/>
  <c r="BZ53" i="28"/>
  <c r="CA53" i="28"/>
  <c r="BR54" i="28"/>
  <c r="BS54" i="28"/>
  <c r="BT54" i="28"/>
  <c r="BV54" i="28"/>
  <c r="BW54" i="28"/>
  <c r="BX54" i="28"/>
  <c r="BY54" i="28"/>
  <c r="BZ54" i="28"/>
  <c r="CA54" i="28"/>
  <c r="BR55" i="28"/>
  <c r="BS55" i="28"/>
  <c r="BT55" i="28"/>
  <c r="BU55" i="28"/>
  <c r="BW55" i="28"/>
  <c r="BX55" i="28"/>
  <c r="BY55" i="28"/>
  <c r="BZ55" i="28"/>
  <c r="CA55" i="28"/>
  <c r="BS56" i="28"/>
  <c r="BT56" i="28"/>
  <c r="BU56" i="28"/>
  <c r="BV56" i="28"/>
  <c r="BX56" i="28"/>
  <c r="BY56" i="28"/>
  <c r="BZ56" i="28"/>
  <c r="CA56" i="28"/>
  <c r="BS57" i="28"/>
  <c r="BT57" i="28"/>
  <c r="BU57" i="28"/>
  <c r="BV57" i="28"/>
  <c r="BW57" i="28"/>
  <c r="BY57" i="28"/>
  <c r="BZ57" i="28"/>
  <c r="CA57" i="28"/>
  <c r="BS58" i="28"/>
  <c r="BT58" i="28"/>
  <c r="BU58" i="28"/>
  <c r="BV58" i="28"/>
  <c r="BW58" i="28"/>
  <c r="BX58" i="28"/>
  <c r="BZ58" i="28"/>
  <c r="CA58" i="28"/>
  <c r="BS59" i="28"/>
  <c r="BT59" i="28"/>
  <c r="BU59" i="28"/>
  <c r="BV59" i="28"/>
  <c r="BW59" i="28"/>
  <c r="BX59" i="28"/>
  <c r="BY59" i="28"/>
  <c r="CA59" i="28"/>
  <c r="BS60" i="28"/>
  <c r="BT60" i="28"/>
  <c r="BU60" i="28"/>
  <c r="BV60" i="28"/>
  <c r="BW60" i="28"/>
  <c r="BX60" i="28"/>
  <c r="BY60" i="28"/>
  <c r="BZ60" i="28"/>
  <c r="E34" i="28" a="1"/>
  <c r="E34" i="28"/>
  <c r="F34" i="28" a="1"/>
  <c r="F34" i="28"/>
  <c r="G34" i="28" a="1"/>
  <c r="H34" i="28" a="1"/>
  <c r="M22" i="28"/>
  <c r="N22" i="28" a="1"/>
  <c r="N22" i="28"/>
  <c r="O22" i="28"/>
  <c r="I34" i="28" a="1"/>
  <c r="M23" i="28"/>
  <c r="N23" i="28" a="1"/>
  <c r="N23" i="28"/>
  <c r="O23" i="28"/>
  <c r="J34" i="28" a="1"/>
  <c r="M24" i="28"/>
  <c r="N24" i="28" a="1"/>
  <c r="N24" i="28"/>
  <c r="O24" i="28"/>
  <c r="K34" i="28" a="1"/>
  <c r="M25" i="28"/>
  <c r="N25" i="28" a="1"/>
  <c r="N25" i="28"/>
  <c r="O25" i="28"/>
  <c r="L34" i="28" a="1"/>
  <c r="P21" i="28"/>
  <c r="M34" i="28" a="1"/>
  <c r="N34" i="28" a="1"/>
  <c r="O34" i="28" a="1"/>
  <c r="P34" i="28" a="1"/>
  <c r="P22" i="28"/>
  <c r="Q34" i="28" a="1"/>
  <c r="P23" i="28"/>
  <c r="R34" i="28" a="1"/>
  <c r="P24" i="28"/>
  <c r="S34" i="28" a="1"/>
  <c r="P25" i="28"/>
  <c r="T34" i="28" a="1"/>
  <c r="Q21" i="28"/>
  <c r="U34" i="28" a="1"/>
  <c r="V34" i="28" a="1"/>
  <c r="W34" i="28" a="1"/>
  <c r="X34" i="28" a="1"/>
  <c r="Q22" i="28"/>
  <c r="Y34" i="28" a="1"/>
  <c r="Q23" i="28"/>
  <c r="Z34" i="28" a="1"/>
  <c r="Q24" i="28"/>
  <c r="AA34" i="28" a="1"/>
  <c r="Q25" i="28"/>
  <c r="AB34" i="28" a="1"/>
  <c r="R21" i="28"/>
  <c r="AC34" i="28" a="1"/>
  <c r="AD34" i="28" a="1"/>
  <c r="AE34" i="28" a="1"/>
  <c r="AF34" i="28" a="1"/>
  <c r="R22" i="28"/>
  <c r="AG34" i="28" a="1"/>
  <c r="R23" i="28"/>
  <c r="AH34" i="28" a="1"/>
  <c r="R24" i="28"/>
  <c r="AI34" i="28" a="1"/>
  <c r="R25" i="28"/>
  <c r="AJ34" i="28" a="1"/>
  <c r="S21" i="28"/>
  <c r="AK34" i="28" a="1"/>
  <c r="AL34" i="28" a="1"/>
  <c r="AM34" i="28" a="1"/>
  <c r="AN34" i="28" a="1"/>
  <c r="S22" i="28"/>
  <c r="AO34" i="28" a="1"/>
  <c r="S23" i="28"/>
  <c r="AP34" i="28" a="1"/>
  <c r="S24" i="28"/>
  <c r="AQ34" i="28" a="1"/>
  <c r="S25" i="28"/>
  <c r="AR34" i="28" a="1"/>
  <c r="T21" i="28"/>
  <c r="AS34" i="28" a="1"/>
  <c r="AT34" i="28" a="1"/>
  <c r="AU34" i="28" a="1"/>
  <c r="AV34" i="28" a="1"/>
  <c r="T22" i="28"/>
  <c r="AW34" i="28" a="1"/>
  <c r="T23" i="28"/>
  <c r="AX34" i="28" a="1"/>
  <c r="T24" i="28"/>
  <c r="AY34" i="28" a="1"/>
  <c r="T25" i="28"/>
  <c r="AZ34" i="28" a="1"/>
  <c r="U21" i="28"/>
  <c r="BA34" i="28" a="1"/>
  <c r="BB34" i="28" a="1"/>
  <c r="BC34" i="28" a="1"/>
  <c r="BD34" i="28" a="1"/>
  <c r="U22" i="28"/>
  <c r="BE34" i="28" a="1"/>
  <c r="U23" i="28"/>
  <c r="BF34" i="28" a="1"/>
  <c r="U24" i="28"/>
  <c r="BG34" i="28" a="1"/>
  <c r="U25" i="28"/>
  <c r="BH34" i="28" a="1"/>
  <c r="V21" i="28"/>
  <c r="BI34" i="28" a="1"/>
  <c r="BJ34" i="28" a="1"/>
  <c r="BK34" i="28" a="1"/>
  <c r="BL34" i="28" a="1"/>
  <c r="V22" i="28"/>
  <c r="BM34" i="28" a="1"/>
  <c r="V23" i="28"/>
  <c r="BN34" i="28" a="1"/>
  <c r="V24" i="28"/>
  <c r="BO34" i="28" a="1"/>
  <c r="V25" i="28"/>
  <c r="BP34" i="28" a="1"/>
  <c r="G34" i="28"/>
  <c r="H34" i="28"/>
  <c r="I34" i="28"/>
  <c r="J34" i="28"/>
  <c r="K34" i="28"/>
  <c r="L34" i="28"/>
  <c r="M34" i="28"/>
  <c r="N34" i="28"/>
  <c r="O34" i="28"/>
  <c r="P34" i="28"/>
  <c r="Q34" i="28"/>
  <c r="R34" i="28"/>
  <c r="S34" i="28"/>
  <c r="T34" i="28"/>
  <c r="U34" i="28"/>
  <c r="V34" i="28"/>
  <c r="W34" i="28"/>
  <c r="X34" i="28"/>
  <c r="Y34" i="28"/>
  <c r="Z34" i="28"/>
  <c r="AA34" i="28"/>
  <c r="AB34" i="28"/>
  <c r="AC34" i="28"/>
  <c r="AD34" i="28"/>
  <c r="AE34" i="28"/>
  <c r="AF34" i="28"/>
  <c r="AG34" i="28"/>
  <c r="AH34" i="28"/>
  <c r="AI34" i="28"/>
  <c r="AJ34" i="28"/>
  <c r="AK34" i="28"/>
  <c r="AL34" i="28"/>
  <c r="AM34" i="28"/>
  <c r="AN34" i="28"/>
  <c r="AO34" i="28"/>
  <c r="AP34" i="28"/>
  <c r="AQ34" i="28"/>
  <c r="AR34" i="28"/>
  <c r="AS34" i="28"/>
  <c r="AT34" i="28"/>
  <c r="AU34" i="28"/>
  <c r="AV34" i="28"/>
  <c r="AW34" i="28"/>
  <c r="AX34" i="28"/>
  <c r="AY34" i="28"/>
  <c r="AZ34" i="28"/>
  <c r="BA34" i="28"/>
  <c r="BB34" i="28"/>
  <c r="BC34" i="28"/>
  <c r="BD34" i="28"/>
  <c r="BE34" i="28"/>
  <c r="BF34" i="28"/>
  <c r="BG34" i="28"/>
  <c r="BH34" i="28"/>
  <c r="BI34" i="28"/>
  <c r="BJ34" i="28"/>
  <c r="BK34" i="28"/>
  <c r="BL34" i="28"/>
  <c r="BM34" i="28"/>
  <c r="BN34" i="28"/>
  <c r="BO34" i="28"/>
  <c r="BP34" i="28"/>
  <c r="AA21" i="28"/>
  <c r="BR41" i="28"/>
  <c r="BS40" i="28"/>
  <c r="BT40" i="28"/>
  <c r="BR30" i="28"/>
  <c r="BT29" i="28"/>
  <c r="BT30" i="28"/>
  <c r="BR31" i="28"/>
  <c r="BS29" i="28"/>
  <c r="BS31" i="28"/>
  <c r="BT41" i="28"/>
  <c r="BU40" i="28"/>
  <c r="BU29" i="28"/>
  <c r="BU30" i="28"/>
  <c r="BR32" i="28"/>
  <c r="BS32" i="28"/>
  <c r="BU41" i="28"/>
  <c r="BV40" i="28"/>
  <c r="BV29" i="28"/>
  <c r="BV30" i="28"/>
  <c r="BR33" i="28"/>
  <c r="BS33" i="28"/>
  <c r="BV41" i="28"/>
  <c r="BW30" i="28"/>
  <c r="BS34" i="28"/>
  <c r="BW41" i="28"/>
  <c r="BX30" i="28"/>
  <c r="BS35" i="28"/>
  <c r="BX41" i="28"/>
  <c r="BY30" i="28"/>
  <c r="BS36" i="28"/>
  <c r="BY41" i="28"/>
  <c r="BZ30" i="28"/>
  <c r="BS37" i="28"/>
  <c r="BZ41" i="28"/>
  <c r="CA30" i="28"/>
  <c r="BS38" i="28"/>
  <c r="CA41" i="28"/>
  <c r="BR42" i="28"/>
  <c r="BS42" i="28"/>
  <c r="BU31" i="28"/>
  <c r="BT32" i="28"/>
  <c r="BU42" i="28"/>
  <c r="BV31" i="28"/>
  <c r="BT33" i="28"/>
  <c r="BV42" i="28"/>
  <c r="BW31" i="28"/>
  <c r="BT34" i="28"/>
  <c r="BW42" i="28"/>
  <c r="BX31" i="28"/>
  <c r="BT35" i="28"/>
  <c r="BX42" i="28"/>
  <c r="BY31" i="28"/>
  <c r="BT36" i="28"/>
  <c r="BY42" i="28"/>
  <c r="BZ31" i="28"/>
  <c r="BT37" i="28"/>
  <c r="BZ42" i="28"/>
  <c r="CA31" i="28"/>
  <c r="BT38" i="28"/>
  <c r="CA42" i="28"/>
  <c r="BR43" i="28"/>
  <c r="BS43" i="28"/>
  <c r="BT43" i="28"/>
  <c r="BV32" i="28"/>
  <c r="BU33" i="28"/>
  <c r="BV43" i="28"/>
  <c r="BW32" i="28"/>
  <c r="BU34" i="28"/>
  <c r="BW43" i="28"/>
  <c r="BX32" i="28"/>
  <c r="BU35" i="28"/>
  <c r="BX43" i="28"/>
  <c r="BY32" i="28"/>
  <c r="BU36" i="28"/>
  <c r="BY43" i="28"/>
  <c r="BZ32" i="28"/>
  <c r="BU37" i="28"/>
  <c r="BZ43" i="28"/>
  <c r="CA32" i="28"/>
  <c r="BU38" i="28"/>
  <c r="CA43" i="28"/>
  <c r="BR44" i="28"/>
  <c r="BS44" i="28"/>
  <c r="BT44" i="28"/>
  <c r="BU44" i="28"/>
  <c r="BW33" i="28"/>
  <c r="BV34" i="28"/>
  <c r="BW44" i="28"/>
  <c r="BX33" i="28"/>
  <c r="BV35" i="28"/>
  <c r="BX44" i="28"/>
  <c r="BY33" i="28"/>
  <c r="BV36" i="28"/>
  <c r="BY44" i="28"/>
  <c r="BZ33" i="28"/>
  <c r="BV37" i="28"/>
  <c r="BZ44" i="28"/>
  <c r="CA33" i="28"/>
  <c r="BV38" i="28"/>
  <c r="CA44" i="28"/>
  <c r="BS45" i="28"/>
  <c r="BT45" i="28"/>
  <c r="BU45" i="28"/>
  <c r="BV45" i="28"/>
  <c r="BX34" i="28"/>
  <c r="BW35" i="28"/>
  <c r="BX45" i="28"/>
  <c r="BY34" i="28"/>
  <c r="BW36" i="28"/>
  <c r="BY45" i="28"/>
  <c r="BZ34" i="28"/>
  <c r="BW37" i="28"/>
  <c r="BZ45" i="28"/>
  <c r="CA34" i="28"/>
  <c r="BW38" i="28"/>
  <c r="CA45" i="28"/>
  <c r="BS46" i="28"/>
  <c r="BT46" i="28"/>
  <c r="BU46" i="28"/>
  <c r="BV46" i="28"/>
  <c r="BW46" i="28"/>
  <c r="BY35" i="28"/>
  <c r="BX36" i="28"/>
  <c r="BY46" i="28"/>
  <c r="BZ35" i="28"/>
  <c r="BX37" i="28"/>
  <c r="BZ46" i="28"/>
  <c r="CA35" i="28"/>
  <c r="BX38" i="28"/>
  <c r="CA46" i="28"/>
  <c r="BS47" i="28"/>
  <c r="BT47" i="28"/>
  <c r="BU47" i="28"/>
  <c r="BV47" i="28"/>
  <c r="BW47" i="28"/>
  <c r="BX47" i="28"/>
  <c r="BZ36" i="28"/>
  <c r="BY37" i="28"/>
  <c r="BZ47" i="28"/>
  <c r="CA36" i="28"/>
  <c r="BY38" i="28"/>
  <c r="CA47" i="28"/>
  <c r="BS48" i="28"/>
  <c r="BT48" i="28"/>
  <c r="BU48" i="28"/>
  <c r="BV48" i="28"/>
  <c r="BW48" i="28"/>
  <c r="BX48" i="28"/>
  <c r="BY48" i="28"/>
  <c r="CA37" i="28"/>
  <c r="BZ38" i="28"/>
  <c r="CA48" i="28"/>
  <c r="BS49" i="28"/>
  <c r="BT49" i="28"/>
  <c r="BU49" i="28"/>
  <c r="BV49" i="28"/>
  <c r="BW49" i="28"/>
  <c r="BX49" i="28"/>
  <c r="BY49" i="28"/>
  <c r="BZ49" i="28"/>
  <c r="E45" i="28" a="1"/>
  <c r="E45" i="28"/>
  <c r="F45" i="28" a="1"/>
  <c r="F45" i="28"/>
  <c r="G45" i="28" a="1"/>
  <c r="H45" i="28" a="1"/>
  <c r="I45" i="28" a="1"/>
  <c r="J45" i="28" a="1"/>
  <c r="K45" i="28" a="1"/>
  <c r="L45" i="28" a="1"/>
  <c r="M45" i="28" a="1"/>
  <c r="N45" i="28" a="1"/>
  <c r="O45" i="28" a="1"/>
  <c r="P45" i="28" a="1"/>
  <c r="Q45" i="28" a="1"/>
  <c r="R45" i="28" a="1"/>
  <c r="S45" i="28" a="1"/>
  <c r="T45" i="28" a="1"/>
  <c r="U45" i="28" a="1"/>
  <c r="V45" i="28" a="1"/>
  <c r="W45" i="28" a="1"/>
  <c r="X45" i="28" a="1"/>
  <c r="Y45" i="28" a="1"/>
  <c r="Z45" i="28" a="1"/>
  <c r="AA45" i="28" a="1"/>
  <c r="AB45" i="28" a="1"/>
  <c r="AC45" i="28" a="1"/>
  <c r="AD45" i="28" a="1"/>
  <c r="AE45" i="28" a="1"/>
  <c r="AF45" i="28" a="1"/>
  <c r="AG45" i="28" a="1"/>
  <c r="AH45" i="28" a="1"/>
  <c r="AI45" i="28" a="1"/>
  <c r="AJ45" i="28" a="1"/>
  <c r="AK45" i="28" a="1"/>
  <c r="AL45" i="28" a="1"/>
  <c r="AM45" i="28" a="1"/>
  <c r="AN45" i="28" a="1"/>
  <c r="AO45" i="28" a="1"/>
  <c r="AP45" i="28" a="1"/>
  <c r="AQ45" i="28" a="1"/>
  <c r="AR45" i="28" a="1"/>
  <c r="AS45" i="28" a="1"/>
  <c r="AT45" i="28" a="1"/>
  <c r="AU45" i="28" a="1"/>
  <c r="AV45" i="28" a="1"/>
  <c r="AW45" i="28" a="1"/>
  <c r="AX45" i="28" a="1"/>
  <c r="AY45" i="28" a="1"/>
  <c r="AZ45" i="28" a="1"/>
  <c r="BA45" i="28" a="1"/>
  <c r="BB45" i="28" a="1"/>
  <c r="BC45" i="28" a="1"/>
  <c r="BD45" i="28" a="1"/>
  <c r="BE45" i="28" a="1"/>
  <c r="BF45" i="28" a="1"/>
  <c r="BG45" i="28" a="1"/>
  <c r="BH45" i="28" a="1"/>
  <c r="BI45" i="28" a="1"/>
  <c r="BJ45" i="28" a="1"/>
  <c r="BK45" i="28" a="1"/>
  <c r="BL45" i="28" a="1"/>
  <c r="BM45" i="28" a="1"/>
  <c r="BN45" i="28" a="1"/>
  <c r="BO45" i="28" a="1"/>
  <c r="BP45" i="28" a="1"/>
  <c r="G45" i="28"/>
  <c r="H45" i="28"/>
  <c r="I45" i="28"/>
  <c r="J45" i="28"/>
  <c r="K45" i="28"/>
  <c r="L45" i="28"/>
  <c r="M45" i="28"/>
  <c r="N45" i="28"/>
  <c r="O45" i="28"/>
  <c r="P45" i="28"/>
  <c r="Q45" i="28"/>
  <c r="R45" i="28"/>
  <c r="S45" i="28"/>
  <c r="T45" i="28"/>
  <c r="U45" i="28"/>
  <c r="V45" i="28"/>
  <c r="W45" i="28"/>
  <c r="X45" i="28"/>
  <c r="Y45" i="28"/>
  <c r="Z45" i="28"/>
  <c r="AA45" i="28"/>
  <c r="AB45" i="28"/>
  <c r="AC45" i="28"/>
  <c r="AD45" i="28"/>
  <c r="AE45" i="28"/>
  <c r="AF45" i="28"/>
  <c r="AG45" i="28"/>
  <c r="AH45" i="28"/>
  <c r="AI45" i="28"/>
  <c r="AJ45" i="28"/>
  <c r="AK45" i="28"/>
  <c r="AL45" i="28"/>
  <c r="AM45" i="28"/>
  <c r="AN45" i="28"/>
  <c r="AO45" i="28"/>
  <c r="AP45" i="28"/>
  <c r="AQ45" i="28"/>
  <c r="AR45" i="28"/>
  <c r="AS45" i="28"/>
  <c r="AT45" i="28"/>
  <c r="AU45" i="28"/>
  <c r="AV45" i="28"/>
  <c r="AW45" i="28"/>
  <c r="AX45" i="28"/>
  <c r="AY45" i="28"/>
  <c r="AZ45" i="28"/>
  <c r="BA45" i="28"/>
  <c r="BB45" i="28"/>
  <c r="BC45" i="28"/>
  <c r="BD45" i="28"/>
  <c r="BE45" i="28"/>
  <c r="BF45" i="28"/>
  <c r="BG45" i="28"/>
  <c r="BH45" i="28"/>
  <c r="BI45" i="28"/>
  <c r="BJ45" i="28"/>
  <c r="BK45" i="28"/>
  <c r="BL45" i="28"/>
  <c r="BM45" i="28"/>
  <c r="BN45" i="28"/>
  <c r="BO45" i="28"/>
  <c r="BP45" i="28"/>
  <c r="AB21" i="28"/>
  <c r="W21" i="28"/>
  <c r="E35" i="28" a="1"/>
  <c r="E35" i="28"/>
  <c r="F35" i="28" a="1"/>
  <c r="F35" i="28"/>
  <c r="G35" i="28" a="1"/>
  <c r="H35" i="28" a="1"/>
  <c r="I35" i="28" a="1"/>
  <c r="J35" i="28" a="1"/>
  <c r="K35" i="28" a="1"/>
  <c r="L35" i="28" a="1"/>
  <c r="M35" i="28" a="1"/>
  <c r="N35" i="28" a="1"/>
  <c r="O35" i="28" a="1"/>
  <c r="P35" i="28" a="1"/>
  <c r="Q35" i="28" a="1"/>
  <c r="R35" i="28" a="1"/>
  <c r="S35" i="28" a="1"/>
  <c r="T35" i="28" a="1"/>
  <c r="U35" i="28" a="1"/>
  <c r="V35" i="28" a="1"/>
  <c r="W35" i="28" a="1"/>
  <c r="X35" i="28" a="1"/>
  <c r="Y35" i="28" a="1"/>
  <c r="Z35" i="28" a="1"/>
  <c r="AA35" i="28" a="1"/>
  <c r="AB35" i="28" a="1"/>
  <c r="AC35" i="28" a="1"/>
  <c r="AD35" i="28" a="1"/>
  <c r="AE35" i="28" a="1"/>
  <c r="AF35" i="28" a="1"/>
  <c r="AG35" i="28" a="1"/>
  <c r="AH35" i="28" a="1"/>
  <c r="AI35" i="28" a="1"/>
  <c r="AJ35" i="28" a="1"/>
  <c r="AK35" i="28" a="1"/>
  <c r="AL35" i="28" a="1"/>
  <c r="AM35" i="28" a="1"/>
  <c r="AN35" i="28" a="1"/>
  <c r="AO35" i="28" a="1"/>
  <c r="AP35" i="28" a="1"/>
  <c r="AQ35" i="28" a="1"/>
  <c r="AR35" i="28" a="1"/>
  <c r="AS35" i="28" a="1"/>
  <c r="AT35" i="28" a="1"/>
  <c r="AU35" i="28" a="1"/>
  <c r="AV35" i="28" a="1"/>
  <c r="AW35" i="28" a="1"/>
  <c r="AX35" i="28" a="1"/>
  <c r="AY35" i="28" a="1"/>
  <c r="AZ35" i="28" a="1"/>
  <c r="BA35" i="28" a="1"/>
  <c r="BB35" i="28" a="1"/>
  <c r="BC35" i="28" a="1"/>
  <c r="BD35" i="28" a="1"/>
  <c r="BE35" i="28" a="1"/>
  <c r="BF35" i="28" a="1"/>
  <c r="BG35" i="28" a="1"/>
  <c r="BH35" i="28" a="1"/>
  <c r="BI35" i="28" a="1"/>
  <c r="BJ35" i="28" a="1"/>
  <c r="BK35" i="28" a="1"/>
  <c r="BL35" i="28" a="1"/>
  <c r="BM35" i="28" a="1"/>
  <c r="BN35" i="28" a="1"/>
  <c r="BO35" i="28" a="1"/>
  <c r="BP35" i="28" a="1"/>
  <c r="G35" i="28"/>
  <c r="H35" i="28"/>
  <c r="I35" i="28"/>
  <c r="J35" i="28"/>
  <c r="K35" i="28"/>
  <c r="L35" i="28"/>
  <c r="M35" i="28"/>
  <c r="N35" i="28"/>
  <c r="O35" i="28"/>
  <c r="P35" i="28"/>
  <c r="Q35" i="28"/>
  <c r="R35" i="28"/>
  <c r="S35" i="28"/>
  <c r="T35" i="28"/>
  <c r="U35" i="28"/>
  <c r="V35" i="28"/>
  <c r="W35" i="28"/>
  <c r="X35" i="28"/>
  <c r="Y35" i="28"/>
  <c r="Z35" i="28"/>
  <c r="AA35" i="28"/>
  <c r="AB35" i="28"/>
  <c r="AC35" i="28"/>
  <c r="AD35" i="28"/>
  <c r="AE35" i="28"/>
  <c r="AF35" i="28"/>
  <c r="AG35" i="28"/>
  <c r="AH35" i="28"/>
  <c r="AI35" i="28"/>
  <c r="AJ35" i="28"/>
  <c r="AK35" i="28"/>
  <c r="AL35" i="28"/>
  <c r="AM35" i="28"/>
  <c r="AN35" i="28"/>
  <c r="AO35" i="28"/>
  <c r="AP35" i="28"/>
  <c r="AQ35" i="28"/>
  <c r="AR35" i="28"/>
  <c r="AS35" i="28"/>
  <c r="AT35" i="28"/>
  <c r="AU35" i="28"/>
  <c r="AV35" i="28"/>
  <c r="AW35" i="28"/>
  <c r="AX35" i="28"/>
  <c r="AY35" i="28"/>
  <c r="AZ35" i="28"/>
  <c r="BA35" i="28"/>
  <c r="BB35" i="28"/>
  <c r="BC35" i="28"/>
  <c r="BD35" i="28"/>
  <c r="BE35" i="28"/>
  <c r="BF35" i="28"/>
  <c r="BG35" i="28"/>
  <c r="BH35" i="28"/>
  <c r="BI35" i="28"/>
  <c r="BJ35" i="28"/>
  <c r="BK35" i="28"/>
  <c r="BL35" i="28"/>
  <c r="BM35" i="28"/>
  <c r="BN35" i="28"/>
  <c r="BO35" i="28"/>
  <c r="BP35" i="28"/>
  <c r="AA22" i="28"/>
  <c r="E46" i="28" a="1"/>
  <c r="E46" i="28"/>
  <c r="F46" i="28" a="1"/>
  <c r="F46" i="28"/>
  <c r="G46" i="28" a="1"/>
  <c r="H46" i="28" a="1"/>
  <c r="I46" i="28" a="1"/>
  <c r="J46" i="28" a="1"/>
  <c r="K46" i="28" a="1"/>
  <c r="L46" i="28" a="1"/>
  <c r="M46" i="28" a="1"/>
  <c r="N46" i="28" a="1"/>
  <c r="O46" i="28" a="1"/>
  <c r="P46" i="28" a="1"/>
  <c r="Q46" i="28" a="1"/>
  <c r="R46" i="28" a="1"/>
  <c r="S46" i="28" a="1"/>
  <c r="T46" i="28" a="1"/>
  <c r="U46" i="28" a="1"/>
  <c r="V46" i="28" a="1"/>
  <c r="W46" i="28" a="1"/>
  <c r="X46" i="28" a="1"/>
  <c r="Y46" i="28" a="1"/>
  <c r="Z46" i="28" a="1"/>
  <c r="AA46" i="28" a="1"/>
  <c r="AB46" i="28" a="1"/>
  <c r="AC46" i="28" a="1"/>
  <c r="AD46" i="28" a="1"/>
  <c r="AE46" i="28" a="1"/>
  <c r="AF46" i="28" a="1"/>
  <c r="AG46" i="28" a="1"/>
  <c r="AH46" i="28" a="1"/>
  <c r="AI46" i="28" a="1"/>
  <c r="AJ46" i="28" a="1"/>
  <c r="AK46" i="28" a="1"/>
  <c r="AL46" i="28" a="1"/>
  <c r="AM46" i="28" a="1"/>
  <c r="AN46" i="28" a="1"/>
  <c r="AO46" i="28" a="1"/>
  <c r="AP46" i="28" a="1"/>
  <c r="AQ46" i="28" a="1"/>
  <c r="AR46" i="28" a="1"/>
  <c r="AS46" i="28" a="1"/>
  <c r="AT46" i="28" a="1"/>
  <c r="AU46" i="28" a="1"/>
  <c r="AV46" i="28" a="1"/>
  <c r="AW46" i="28" a="1"/>
  <c r="AX46" i="28" a="1"/>
  <c r="AY46" i="28" a="1"/>
  <c r="AZ46" i="28" a="1"/>
  <c r="BA46" i="28" a="1"/>
  <c r="BB46" i="28" a="1"/>
  <c r="BC46" i="28" a="1"/>
  <c r="BD46" i="28" a="1"/>
  <c r="BE46" i="28" a="1"/>
  <c r="BF46" i="28" a="1"/>
  <c r="BG46" i="28" a="1"/>
  <c r="BH46" i="28" a="1"/>
  <c r="BI46" i="28" a="1"/>
  <c r="BJ46" i="28" a="1"/>
  <c r="BK46" i="28" a="1"/>
  <c r="BL46" i="28" a="1"/>
  <c r="BM46" i="28" a="1"/>
  <c r="BN46" i="28" a="1"/>
  <c r="BO46" i="28" a="1"/>
  <c r="BP46" i="28" a="1"/>
  <c r="G46" i="28"/>
  <c r="H46" i="28"/>
  <c r="I46" i="28"/>
  <c r="J46" i="28"/>
  <c r="K46" i="28"/>
  <c r="L46" i="28"/>
  <c r="M46" i="28"/>
  <c r="N46" i="28"/>
  <c r="O46" i="28"/>
  <c r="P46" i="28"/>
  <c r="Q46" i="28"/>
  <c r="R46" i="28"/>
  <c r="S46" i="28"/>
  <c r="T46" i="28"/>
  <c r="U46" i="28"/>
  <c r="V46" i="28"/>
  <c r="W46" i="28"/>
  <c r="X46" i="28"/>
  <c r="Y46" i="28"/>
  <c r="Z46" i="28"/>
  <c r="AA46" i="28"/>
  <c r="AB46" i="28"/>
  <c r="AC46" i="28"/>
  <c r="AD46" i="28"/>
  <c r="AE46" i="28"/>
  <c r="AF46" i="28"/>
  <c r="AG46" i="28"/>
  <c r="AH46" i="28"/>
  <c r="AI46" i="28"/>
  <c r="AJ46" i="28"/>
  <c r="AK46" i="28"/>
  <c r="AL46" i="28"/>
  <c r="AM46" i="28"/>
  <c r="AN46" i="28"/>
  <c r="AO46" i="28"/>
  <c r="AP46" i="28"/>
  <c r="AQ46" i="28"/>
  <c r="AR46" i="28"/>
  <c r="AS46" i="28"/>
  <c r="AT46" i="28"/>
  <c r="AU46" i="28"/>
  <c r="AV46" i="28"/>
  <c r="AW46" i="28"/>
  <c r="AX46" i="28"/>
  <c r="AY46" i="28"/>
  <c r="AZ46" i="28"/>
  <c r="BA46" i="28"/>
  <c r="BB46" i="28"/>
  <c r="BC46" i="28"/>
  <c r="BD46" i="28"/>
  <c r="BE46" i="28"/>
  <c r="BF46" i="28"/>
  <c r="BG46" i="28"/>
  <c r="BH46" i="28"/>
  <c r="BI46" i="28"/>
  <c r="BJ46" i="28"/>
  <c r="BK46" i="28"/>
  <c r="BL46" i="28"/>
  <c r="BM46" i="28"/>
  <c r="BN46" i="28"/>
  <c r="BO46" i="28"/>
  <c r="BP46" i="28"/>
  <c r="AB22" i="28"/>
  <c r="W22" i="28"/>
  <c r="E36" i="28" a="1"/>
  <c r="E36" i="28"/>
  <c r="F36" i="28" a="1"/>
  <c r="F36" i="28"/>
  <c r="G36" i="28" a="1"/>
  <c r="H36" i="28" a="1"/>
  <c r="I36" i="28" a="1"/>
  <c r="J36" i="28" a="1"/>
  <c r="K36" i="28" a="1"/>
  <c r="L36" i="28" a="1"/>
  <c r="M36" i="28" a="1"/>
  <c r="N36" i="28" a="1"/>
  <c r="O36" i="28" a="1"/>
  <c r="P36" i="28" a="1"/>
  <c r="Q36" i="28" a="1"/>
  <c r="R36" i="28" a="1"/>
  <c r="S36" i="28" a="1"/>
  <c r="T36" i="28" a="1"/>
  <c r="U36" i="28" a="1"/>
  <c r="V36" i="28" a="1"/>
  <c r="W36" i="28" a="1"/>
  <c r="X36" i="28" a="1"/>
  <c r="Y36" i="28" a="1"/>
  <c r="Z36" i="28" a="1"/>
  <c r="AA36" i="28" a="1"/>
  <c r="AB36" i="28" a="1"/>
  <c r="AC36" i="28" a="1"/>
  <c r="AD36" i="28" a="1"/>
  <c r="AE36" i="28" a="1"/>
  <c r="AF36" i="28" a="1"/>
  <c r="AG36" i="28" a="1"/>
  <c r="AH36" i="28" a="1"/>
  <c r="AI36" i="28" a="1"/>
  <c r="AJ36" i="28" a="1"/>
  <c r="AK36" i="28" a="1"/>
  <c r="AL36" i="28" a="1"/>
  <c r="AM36" i="28" a="1"/>
  <c r="AN36" i="28" a="1"/>
  <c r="AO36" i="28" a="1"/>
  <c r="AP36" i="28" a="1"/>
  <c r="AQ36" i="28" a="1"/>
  <c r="AR36" i="28" a="1"/>
  <c r="AS36" i="28" a="1"/>
  <c r="AT36" i="28" a="1"/>
  <c r="AU36" i="28" a="1"/>
  <c r="AV36" i="28" a="1"/>
  <c r="AW36" i="28" a="1"/>
  <c r="AX36" i="28" a="1"/>
  <c r="AY36" i="28" a="1"/>
  <c r="AZ36" i="28" a="1"/>
  <c r="BA36" i="28" a="1"/>
  <c r="BB36" i="28" a="1"/>
  <c r="BC36" i="28" a="1"/>
  <c r="BD36" i="28" a="1"/>
  <c r="BE36" i="28" a="1"/>
  <c r="BF36" i="28" a="1"/>
  <c r="BG36" i="28" a="1"/>
  <c r="BH36" i="28" a="1"/>
  <c r="BI36" i="28" a="1"/>
  <c r="BJ36" i="28" a="1"/>
  <c r="BK36" i="28" a="1"/>
  <c r="BL36" i="28" a="1"/>
  <c r="BM36" i="28" a="1"/>
  <c r="BN36" i="28" a="1"/>
  <c r="BO36" i="28" a="1"/>
  <c r="BP36" i="28" a="1"/>
  <c r="G36" i="28"/>
  <c r="H36" i="28"/>
  <c r="I36" i="28"/>
  <c r="J36" i="28"/>
  <c r="K36" i="28"/>
  <c r="L36" i="28"/>
  <c r="M36" i="28"/>
  <c r="N36" i="28"/>
  <c r="O36" i="28"/>
  <c r="P36" i="28"/>
  <c r="Q36" i="28"/>
  <c r="R36" i="28"/>
  <c r="S36" i="28"/>
  <c r="T36" i="28"/>
  <c r="U36" i="28"/>
  <c r="V36" i="28"/>
  <c r="W36" i="28"/>
  <c r="X36" i="28"/>
  <c r="Y36" i="28"/>
  <c r="Z36" i="28"/>
  <c r="AA36" i="28"/>
  <c r="AB36" i="28"/>
  <c r="AC36" i="28"/>
  <c r="AD36" i="28"/>
  <c r="AE36" i="28"/>
  <c r="AF36" i="28"/>
  <c r="AG36" i="28"/>
  <c r="AH36" i="28"/>
  <c r="AI36" i="28"/>
  <c r="AJ36" i="28"/>
  <c r="AK36" i="28"/>
  <c r="AL36" i="28"/>
  <c r="AM36" i="28"/>
  <c r="AN36" i="28"/>
  <c r="AO36" i="28"/>
  <c r="AP36" i="28"/>
  <c r="AQ36" i="28"/>
  <c r="AR36" i="28"/>
  <c r="AS36" i="28"/>
  <c r="AT36" i="28"/>
  <c r="AU36" i="28"/>
  <c r="AV36" i="28"/>
  <c r="AW36" i="28"/>
  <c r="AX36" i="28"/>
  <c r="AY36" i="28"/>
  <c r="AZ36" i="28"/>
  <c r="BA36" i="28"/>
  <c r="BB36" i="28"/>
  <c r="BC36" i="28"/>
  <c r="BD36" i="28"/>
  <c r="BE36" i="28"/>
  <c r="BF36" i="28"/>
  <c r="BG36" i="28"/>
  <c r="BH36" i="28"/>
  <c r="BI36" i="28"/>
  <c r="BJ36" i="28"/>
  <c r="BK36" i="28"/>
  <c r="BL36" i="28"/>
  <c r="BM36" i="28"/>
  <c r="BN36" i="28"/>
  <c r="BO36" i="28"/>
  <c r="BP36" i="28"/>
  <c r="AA23" i="28"/>
  <c r="E47" i="28" a="1"/>
  <c r="E47" i="28"/>
  <c r="F47" i="28" a="1"/>
  <c r="F47" i="28"/>
  <c r="G47" i="28" a="1"/>
  <c r="H47" i="28" a="1"/>
  <c r="I47" i="28" a="1"/>
  <c r="J47" i="28" a="1"/>
  <c r="K47" i="28" a="1"/>
  <c r="L47" i="28" a="1"/>
  <c r="M47" i="28" a="1"/>
  <c r="N47" i="28" a="1"/>
  <c r="O47" i="28" a="1"/>
  <c r="P47" i="28" a="1"/>
  <c r="Q47" i="28" a="1"/>
  <c r="R47" i="28" a="1"/>
  <c r="S47" i="28" a="1"/>
  <c r="T47" i="28" a="1"/>
  <c r="U47" i="28" a="1"/>
  <c r="V47" i="28" a="1"/>
  <c r="W47" i="28" a="1"/>
  <c r="X47" i="28" a="1"/>
  <c r="Y47" i="28" a="1"/>
  <c r="Z47" i="28" a="1"/>
  <c r="AA47" i="28" a="1"/>
  <c r="AB47" i="28" a="1"/>
  <c r="AC47" i="28" a="1"/>
  <c r="AD47" i="28" a="1"/>
  <c r="AE47" i="28" a="1"/>
  <c r="AF47" i="28" a="1"/>
  <c r="AG47" i="28" a="1"/>
  <c r="AH47" i="28" a="1"/>
  <c r="AI47" i="28" a="1"/>
  <c r="AJ47" i="28" a="1"/>
  <c r="AK47" i="28" a="1"/>
  <c r="AL47" i="28" a="1"/>
  <c r="AM47" i="28" a="1"/>
  <c r="AN47" i="28" a="1"/>
  <c r="AO47" i="28" a="1"/>
  <c r="AP47" i="28" a="1"/>
  <c r="AQ47" i="28" a="1"/>
  <c r="AR47" i="28" a="1"/>
  <c r="AS47" i="28" a="1"/>
  <c r="AT47" i="28" a="1"/>
  <c r="AU47" i="28" a="1"/>
  <c r="AV47" i="28" a="1"/>
  <c r="AW47" i="28" a="1"/>
  <c r="AX47" i="28" a="1"/>
  <c r="AY47" i="28" a="1"/>
  <c r="AZ47" i="28" a="1"/>
  <c r="BA47" i="28" a="1"/>
  <c r="BB47" i="28" a="1"/>
  <c r="BC47" i="28" a="1"/>
  <c r="BD47" i="28" a="1"/>
  <c r="BE47" i="28" a="1"/>
  <c r="BF47" i="28" a="1"/>
  <c r="BG47" i="28" a="1"/>
  <c r="BH47" i="28" a="1"/>
  <c r="BI47" i="28" a="1"/>
  <c r="BJ47" i="28" a="1"/>
  <c r="BK47" i="28" a="1"/>
  <c r="BL47" i="28" a="1"/>
  <c r="BM47" i="28" a="1"/>
  <c r="BN47" i="28" a="1"/>
  <c r="BO47" i="28" a="1"/>
  <c r="BP47" i="28" a="1"/>
  <c r="G47" i="28"/>
  <c r="H47" i="28"/>
  <c r="I47" i="28"/>
  <c r="J47" i="28"/>
  <c r="K47" i="28"/>
  <c r="L47" i="28"/>
  <c r="M47" i="28"/>
  <c r="N47" i="28"/>
  <c r="O47" i="28"/>
  <c r="P47" i="28"/>
  <c r="Q47" i="28"/>
  <c r="R47" i="28"/>
  <c r="S47" i="28"/>
  <c r="T47" i="28"/>
  <c r="U47" i="28"/>
  <c r="V47" i="28"/>
  <c r="W47" i="28"/>
  <c r="X47" i="28"/>
  <c r="Y47" i="28"/>
  <c r="Z47" i="28"/>
  <c r="AA47" i="28"/>
  <c r="AB47" i="28"/>
  <c r="AC47" i="28"/>
  <c r="AD47" i="28"/>
  <c r="AE47" i="28"/>
  <c r="AF47" i="28"/>
  <c r="AG47" i="28"/>
  <c r="AH47" i="28"/>
  <c r="AI47" i="28"/>
  <c r="AJ47" i="28"/>
  <c r="AK47" i="28"/>
  <c r="AL47" i="28"/>
  <c r="AM47" i="28"/>
  <c r="AN47" i="28"/>
  <c r="AO47" i="28"/>
  <c r="AP47" i="28"/>
  <c r="AQ47" i="28"/>
  <c r="AR47" i="28"/>
  <c r="AS47" i="28"/>
  <c r="AT47" i="28"/>
  <c r="AU47" i="28"/>
  <c r="AV47" i="28"/>
  <c r="AW47" i="28"/>
  <c r="AX47" i="28"/>
  <c r="AY47" i="28"/>
  <c r="AZ47" i="28"/>
  <c r="BA47" i="28"/>
  <c r="BB47" i="28"/>
  <c r="BC47" i="28"/>
  <c r="BD47" i="28"/>
  <c r="BE47" i="28"/>
  <c r="BF47" i="28"/>
  <c r="BG47" i="28"/>
  <c r="BH47" i="28"/>
  <c r="BI47" i="28"/>
  <c r="BJ47" i="28"/>
  <c r="BK47" i="28"/>
  <c r="BL47" i="28"/>
  <c r="BM47" i="28"/>
  <c r="BN47" i="28"/>
  <c r="BO47" i="28"/>
  <c r="BP47" i="28"/>
  <c r="AB23" i="28"/>
  <c r="W23" i="28"/>
  <c r="E37" i="28" a="1"/>
  <c r="E37" i="28"/>
  <c r="F37" i="28" a="1"/>
  <c r="F37" i="28"/>
  <c r="G37" i="28" a="1"/>
  <c r="H37" i="28" a="1"/>
  <c r="I37" i="28" a="1"/>
  <c r="J37" i="28" a="1"/>
  <c r="K37" i="28" a="1"/>
  <c r="L37" i="28" a="1"/>
  <c r="M37" i="28" a="1"/>
  <c r="N37" i="28" a="1"/>
  <c r="O37" i="28" a="1"/>
  <c r="P37" i="28" a="1"/>
  <c r="Q37" i="28" a="1"/>
  <c r="R37" i="28" a="1"/>
  <c r="S37" i="28" a="1"/>
  <c r="T37" i="28" a="1"/>
  <c r="U37" i="28" a="1"/>
  <c r="V37" i="28" a="1"/>
  <c r="W37" i="28" a="1"/>
  <c r="X37" i="28" a="1"/>
  <c r="Y37" i="28" a="1"/>
  <c r="Z37" i="28" a="1"/>
  <c r="AA37" i="28" a="1"/>
  <c r="AB37" i="28" a="1"/>
  <c r="AC37" i="28" a="1"/>
  <c r="AD37" i="28" a="1"/>
  <c r="AE37" i="28" a="1"/>
  <c r="AF37" i="28" a="1"/>
  <c r="AG37" i="28" a="1"/>
  <c r="AH37" i="28" a="1"/>
  <c r="AI37" i="28" a="1"/>
  <c r="AJ37" i="28" a="1"/>
  <c r="AK37" i="28" a="1"/>
  <c r="AL37" i="28" a="1"/>
  <c r="AM37" i="28" a="1"/>
  <c r="AN37" i="28" a="1"/>
  <c r="AO37" i="28" a="1"/>
  <c r="AP37" i="28" a="1"/>
  <c r="AQ37" i="28" a="1"/>
  <c r="AR37" i="28" a="1"/>
  <c r="AS37" i="28" a="1"/>
  <c r="AT37" i="28" a="1"/>
  <c r="AU37" i="28" a="1"/>
  <c r="AV37" i="28" a="1"/>
  <c r="AW37" i="28" a="1"/>
  <c r="AX37" i="28" a="1"/>
  <c r="AY37" i="28" a="1"/>
  <c r="AZ37" i="28" a="1"/>
  <c r="BA37" i="28" a="1"/>
  <c r="BB37" i="28" a="1"/>
  <c r="BC37" i="28" a="1"/>
  <c r="BD37" i="28" a="1"/>
  <c r="BE37" i="28" a="1"/>
  <c r="BF37" i="28" a="1"/>
  <c r="BG37" i="28" a="1"/>
  <c r="BH37" i="28" a="1"/>
  <c r="BI37" i="28" a="1"/>
  <c r="BJ37" i="28" a="1"/>
  <c r="BK37" i="28" a="1"/>
  <c r="BL37" i="28" a="1"/>
  <c r="BM37" i="28" a="1"/>
  <c r="BN37" i="28" a="1"/>
  <c r="BO37" i="28" a="1"/>
  <c r="BP37" i="28" a="1"/>
  <c r="G37" i="28"/>
  <c r="H37" i="28"/>
  <c r="I37" i="28"/>
  <c r="J37" i="28"/>
  <c r="K37" i="28"/>
  <c r="L37" i="28"/>
  <c r="M37" i="28"/>
  <c r="N37" i="28"/>
  <c r="O37" i="28"/>
  <c r="P37" i="28"/>
  <c r="Q37" i="28"/>
  <c r="R37" i="28"/>
  <c r="S37" i="28"/>
  <c r="T37" i="28"/>
  <c r="U37" i="28"/>
  <c r="V37" i="28"/>
  <c r="W37" i="28"/>
  <c r="X37" i="28"/>
  <c r="Y37" i="28"/>
  <c r="Z37" i="28"/>
  <c r="AA37" i="28"/>
  <c r="AB37" i="28"/>
  <c r="AC37" i="28"/>
  <c r="AD37" i="28"/>
  <c r="AE37" i="28"/>
  <c r="AF37" i="28"/>
  <c r="AG37" i="28"/>
  <c r="AH37" i="28"/>
  <c r="AI37" i="28"/>
  <c r="AJ37" i="28"/>
  <c r="AK37" i="28"/>
  <c r="AL37" i="28"/>
  <c r="AM37" i="28"/>
  <c r="AN37" i="28"/>
  <c r="AO37" i="28"/>
  <c r="AP37" i="28"/>
  <c r="AQ37" i="28"/>
  <c r="AR37" i="28"/>
  <c r="AS37" i="28"/>
  <c r="AT37" i="28"/>
  <c r="AU37" i="28"/>
  <c r="AV37" i="28"/>
  <c r="AW37" i="28"/>
  <c r="AX37" i="28"/>
  <c r="AY37" i="28"/>
  <c r="AZ37" i="28"/>
  <c r="BA37" i="28"/>
  <c r="BB37" i="28"/>
  <c r="BC37" i="28"/>
  <c r="BD37" i="28"/>
  <c r="BE37" i="28"/>
  <c r="BF37" i="28"/>
  <c r="BG37" i="28"/>
  <c r="BH37" i="28"/>
  <c r="BI37" i="28"/>
  <c r="BJ37" i="28"/>
  <c r="BK37" i="28"/>
  <c r="BL37" i="28"/>
  <c r="BM37" i="28"/>
  <c r="BN37" i="28"/>
  <c r="BO37" i="28"/>
  <c r="BP37" i="28"/>
  <c r="AA24" i="28"/>
  <c r="E48" i="28" a="1"/>
  <c r="E48" i="28"/>
  <c r="F48" i="28" a="1"/>
  <c r="F48" i="28"/>
  <c r="G48" i="28" a="1"/>
  <c r="H48" i="28" a="1"/>
  <c r="I48" i="28" a="1"/>
  <c r="J48" i="28" a="1"/>
  <c r="K48" i="28" a="1"/>
  <c r="L48" i="28" a="1"/>
  <c r="M48" i="28" a="1"/>
  <c r="N48" i="28" a="1"/>
  <c r="O48" i="28" a="1"/>
  <c r="P48" i="28" a="1"/>
  <c r="Q48" i="28" a="1"/>
  <c r="R48" i="28" a="1"/>
  <c r="S48" i="28" a="1"/>
  <c r="T48" i="28" a="1"/>
  <c r="U48" i="28" a="1"/>
  <c r="V48" i="28" a="1"/>
  <c r="W48" i="28" a="1"/>
  <c r="X48" i="28" a="1"/>
  <c r="Y48" i="28" a="1"/>
  <c r="Z48" i="28" a="1"/>
  <c r="AA48" i="28" a="1"/>
  <c r="AB48" i="28" a="1"/>
  <c r="AC48" i="28" a="1"/>
  <c r="AD48" i="28" a="1"/>
  <c r="AE48" i="28" a="1"/>
  <c r="AF48" i="28" a="1"/>
  <c r="AG48" i="28" a="1"/>
  <c r="AH48" i="28" a="1"/>
  <c r="AI48" i="28" a="1"/>
  <c r="AJ48" i="28" a="1"/>
  <c r="AK48" i="28" a="1"/>
  <c r="AL48" i="28" a="1"/>
  <c r="AM48" i="28" a="1"/>
  <c r="AN48" i="28" a="1"/>
  <c r="AO48" i="28" a="1"/>
  <c r="AP48" i="28" a="1"/>
  <c r="AQ48" i="28" a="1"/>
  <c r="AR48" i="28" a="1"/>
  <c r="AS48" i="28" a="1"/>
  <c r="AT48" i="28" a="1"/>
  <c r="AU48" i="28" a="1"/>
  <c r="AV48" i="28" a="1"/>
  <c r="AW48" i="28" a="1"/>
  <c r="AX48" i="28" a="1"/>
  <c r="AY48" i="28" a="1"/>
  <c r="AZ48" i="28" a="1"/>
  <c r="BA48" i="28" a="1"/>
  <c r="BB48" i="28" a="1"/>
  <c r="BC48" i="28" a="1"/>
  <c r="BD48" i="28" a="1"/>
  <c r="BE48" i="28" a="1"/>
  <c r="BF48" i="28" a="1"/>
  <c r="BG48" i="28" a="1"/>
  <c r="BH48" i="28" a="1"/>
  <c r="BI48" i="28" a="1"/>
  <c r="BJ48" i="28" a="1"/>
  <c r="BK48" i="28" a="1"/>
  <c r="BL48" i="28" a="1"/>
  <c r="BM48" i="28" a="1"/>
  <c r="BN48" i="28" a="1"/>
  <c r="BO48" i="28" a="1"/>
  <c r="BP48" i="28" a="1"/>
  <c r="G48" i="28"/>
  <c r="H48" i="28"/>
  <c r="I48" i="28"/>
  <c r="J48" i="28"/>
  <c r="K48" i="28"/>
  <c r="L48" i="28"/>
  <c r="M48" i="28"/>
  <c r="N48" i="28"/>
  <c r="O48" i="28"/>
  <c r="P48" i="28"/>
  <c r="Q48" i="28"/>
  <c r="R48" i="28"/>
  <c r="S48" i="28"/>
  <c r="T48" i="28"/>
  <c r="U48" i="28"/>
  <c r="V48" i="28"/>
  <c r="W48" i="28"/>
  <c r="X48" i="28"/>
  <c r="Y48" i="28"/>
  <c r="Z48" i="28"/>
  <c r="AA48" i="28"/>
  <c r="AB48" i="28"/>
  <c r="AC48" i="28"/>
  <c r="AD48" i="28"/>
  <c r="AE48" i="28"/>
  <c r="AF48" i="28"/>
  <c r="AG48" i="28"/>
  <c r="AH48" i="28"/>
  <c r="AI48" i="28"/>
  <c r="AJ48" i="28"/>
  <c r="AK48" i="28"/>
  <c r="AL48" i="28"/>
  <c r="AM48" i="28"/>
  <c r="AN48" i="28"/>
  <c r="AO48" i="28"/>
  <c r="AP48" i="28"/>
  <c r="AQ48" i="28"/>
  <c r="AR48" i="28"/>
  <c r="AS48" i="28"/>
  <c r="AT48" i="28"/>
  <c r="AU48" i="28"/>
  <c r="AV48" i="28"/>
  <c r="AW48" i="28"/>
  <c r="AX48" i="28"/>
  <c r="AY48" i="28"/>
  <c r="AZ48" i="28"/>
  <c r="BA48" i="28"/>
  <c r="BB48" i="28"/>
  <c r="BC48" i="28"/>
  <c r="BD48" i="28"/>
  <c r="BE48" i="28"/>
  <c r="BF48" i="28"/>
  <c r="BG48" i="28"/>
  <c r="BH48" i="28"/>
  <c r="BI48" i="28"/>
  <c r="BJ48" i="28"/>
  <c r="BK48" i="28"/>
  <c r="BL48" i="28"/>
  <c r="BM48" i="28"/>
  <c r="BN48" i="28"/>
  <c r="BO48" i="28"/>
  <c r="BP48" i="28"/>
  <c r="AB24" i="28"/>
  <c r="W24" i="28"/>
  <c r="E38" i="28" a="1"/>
  <c r="E38" i="28"/>
  <c r="F38" i="28" a="1"/>
  <c r="F38" i="28"/>
  <c r="G38" i="28" a="1"/>
  <c r="H38" i="28" a="1"/>
  <c r="I38" i="28" a="1"/>
  <c r="J38" i="28" a="1"/>
  <c r="K38" i="28" a="1"/>
  <c r="L38" i="28" a="1"/>
  <c r="M38" i="28" a="1"/>
  <c r="N38" i="28" a="1"/>
  <c r="O38" i="28" a="1"/>
  <c r="P38" i="28" a="1"/>
  <c r="Q38" i="28" a="1"/>
  <c r="R38" i="28" a="1"/>
  <c r="S38" i="28" a="1"/>
  <c r="T38" i="28" a="1"/>
  <c r="U38" i="28" a="1"/>
  <c r="V38" i="28" a="1"/>
  <c r="W38" i="28" a="1"/>
  <c r="X38" i="28" a="1"/>
  <c r="Y38" i="28" a="1"/>
  <c r="Z38" i="28" a="1"/>
  <c r="AA38" i="28" a="1"/>
  <c r="AB38" i="28" a="1"/>
  <c r="AC38" i="28" a="1"/>
  <c r="AD38" i="28" a="1"/>
  <c r="AE38" i="28" a="1"/>
  <c r="AF38" i="28" a="1"/>
  <c r="AG38" i="28" a="1"/>
  <c r="AH38" i="28" a="1"/>
  <c r="AI38" i="28" a="1"/>
  <c r="AJ38" i="28" a="1"/>
  <c r="AK38" i="28" a="1"/>
  <c r="AL38" i="28" a="1"/>
  <c r="AM38" i="28" a="1"/>
  <c r="AN38" i="28" a="1"/>
  <c r="AO38" i="28" a="1"/>
  <c r="AP38" i="28" a="1"/>
  <c r="AQ38" i="28" a="1"/>
  <c r="AR38" i="28" a="1"/>
  <c r="AS38" i="28" a="1"/>
  <c r="AT38" i="28" a="1"/>
  <c r="AU38" i="28" a="1"/>
  <c r="AV38" i="28" a="1"/>
  <c r="AW38" i="28" a="1"/>
  <c r="AX38" i="28" a="1"/>
  <c r="AY38" i="28" a="1"/>
  <c r="AZ38" i="28" a="1"/>
  <c r="BA38" i="28" a="1"/>
  <c r="BB38" i="28" a="1"/>
  <c r="BC38" i="28" a="1"/>
  <c r="BD38" i="28" a="1"/>
  <c r="BE38" i="28" a="1"/>
  <c r="BF38" i="28" a="1"/>
  <c r="BG38" i="28" a="1"/>
  <c r="BH38" i="28" a="1"/>
  <c r="BI38" i="28" a="1"/>
  <c r="BJ38" i="28" a="1"/>
  <c r="BK38" i="28" a="1"/>
  <c r="BL38" i="28" a="1"/>
  <c r="BM38" i="28" a="1"/>
  <c r="BN38" i="28" a="1"/>
  <c r="BO38" i="28" a="1"/>
  <c r="BP38" i="28" a="1"/>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S38" i="28"/>
  <c r="AT38" i="28"/>
  <c r="AU38" i="28"/>
  <c r="AV38" i="28"/>
  <c r="AW38" i="28"/>
  <c r="AX38" i="28"/>
  <c r="AY38" i="28"/>
  <c r="AZ38" i="28"/>
  <c r="BA38" i="28"/>
  <c r="BB38" i="28"/>
  <c r="BC38" i="28"/>
  <c r="BD38" i="28"/>
  <c r="BE38" i="28"/>
  <c r="BF38" i="28"/>
  <c r="BG38" i="28"/>
  <c r="BH38" i="28"/>
  <c r="BI38" i="28"/>
  <c r="BJ38" i="28"/>
  <c r="BK38" i="28"/>
  <c r="BL38" i="28"/>
  <c r="BM38" i="28"/>
  <c r="BN38" i="28"/>
  <c r="BO38" i="28"/>
  <c r="BP38" i="28"/>
  <c r="AA25" i="28"/>
  <c r="E49" i="28" a="1"/>
  <c r="E49" i="28"/>
  <c r="F49" i="28" a="1"/>
  <c r="F49" i="28"/>
  <c r="G49" i="28" a="1"/>
  <c r="H49" i="28" a="1"/>
  <c r="I49" i="28" a="1"/>
  <c r="J49" i="28" a="1"/>
  <c r="K49" i="28" a="1"/>
  <c r="L49" i="28" a="1"/>
  <c r="M49" i="28" a="1"/>
  <c r="N49" i="28" a="1"/>
  <c r="O49" i="28" a="1"/>
  <c r="P49" i="28" a="1"/>
  <c r="Q49" i="28" a="1"/>
  <c r="R49" i="28" a="1"/>
  <c r="S49" i="28" a="1"/>
  <c r="T49" i="28" a="1"/>
  <c r="U49" i="28" a="1"/>
  <c r="V49" i="28" a="1"/>
  <c r="W49" i="28" a="1"/>
  <c r="X49" i="28" a="1"/>
  <c r="Y49" i="28" a="1"/>
  <c r="Z49" i="28" a="1"/>
  <c r="AA49" i="28" a="1"/>
  <c r="AB49" i="28" a="1"/>
  <c r="AC49" i="28" a="1"/>
  <c r="AD49" i="28" a="1"/>
  <c r="AE49" i="28" a="1"/>
  <c r="AF49" i="28" a="1"/>
  <c r="AG49" i="28" a="1"/>
  <c r="AH49" i="28" a="1"/>
  <c r="AI49" i="28" a="1"/>
  <c r="AJ49" i="28" a="1"/>
  <c r="AK49" i="28" a="1"/>
  <c r="AL49" i="28" a="1"/>
  <c r="AM49" i="28" a="1"/>
  <c r="AN49" i="28" a="1"/>
  <c r="AO49" i="28" a="1"/>
  <c r="AP49" i="28" a="1"/>
  <c r="AQ49" i="28" a="1"/>
  <c r="AR49" i="28" a="1"/>
  <c r="AS49" i="28" a="1"/>
  <c r="AT49" i="28" a="1"/>
  <c r="AU49" i="28" a="1"/>
  <c r="AV49" i="28" a="1"/>
  <c r="AW49" i="28" a="1"/>
  <c r="AX49" i="28" a="1"/>
  <c r="AY49" i="28" a="1"/>
  <c r="AZ49" i="28" a="1"/>
  <c r="BA49" i="28" a="1"/>
  <c r="BB49" i="28" a="1"/>
  <c r="BC49" i="28" a="1"/>
  <c r="BD49" i="28" a="1"/>
  <c r="BE49" i="28" a="1"/>
  <c r="BF49" i="28" a="1"/>
  <c r="BG49" i="28" a="1"/>
  <c r="BH49" i="28" a="1"/>
  <c r="BI49" i="28" a="1"/>
  <c r="BJ49" i="28" a="1"/>
  <c r="BK49" i="28" a="1"/>
  <c r="BL49" i="28" a="1"/>
  <c r="BM49" i="28" a="1"/>
  <c r="BN49" i="28" a="1"/>
  <c r="BO49" i="28" a="1"/>
  <c r="BP49" i="28" a="1"/>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BC49" i="28"/>
  <c r="BD49" i="28"/>
  <c r="BE49" i="28"/>
  <c r="BF49" i="28"/>
  <c r="BG49" i="28"/>
  <c r="BH49" i="28"/>
  <c r="BI49" i="28"/>
  <c r="BJ49" i="28"/>
  <c r="BK49" i="28"/>
  <c r="BL49" i="28"/>
  <c r="BM49" i="28"/>
  <c r="BN49" i="28"/>
  <c r="BO49" i="28"/>
  <c r="BP49" i="28"/>
  <c r="AB25" i="28"/>
  <c r="W25" i="28"/>
  <c r="I25" i="31"/>
  <c r="K25" i="31"/>
  <c r="AC25" i="31"/>
  <c r="AD25" i="31"/>
  <c r="X25" i="31"/>
  <c r="Y25" i="31"/>
  <c r="Z25" i="31"/>
  <c r="AA25" i="31"/>
  <c r="U25" i="31"/>
  <c r="I26" i="31"/>
  <c r="K26" i="31"/>
  <c r="AC26" i="31"/>
  <c r="AD26" i="31"/>
  <c r="U26" i="31"/>
  <c r="I27" i="31"/>
  <c r="K27" i="31"/>
  <c r="AC27" i="31"/>
  <c r="AD27" i="31"/>
  <c r="U27" i="31"/>
  <c r="I28" i="31"/>
  <c r="K28" i="31"/>
  <c r="AC28" i="31"/>
  <c r="AD28" i="31"/>
  <c r="U28" i="31"/>
  <c r="I29" i="31"/>
  <c r="K29" i="31"/>
  <c r="AC29" i="31"/>
  <c r="AD29" i="31"/>
  <c r="U29" i="31"/>
  <c r="I30" i="31"/>
  <c r="K30" i="31"/>
  <c r="AC30" i="31"/>
  <c r="AD30" i="31"/>
  <c r="U30" i="31"/>
  <c r="AD17" i="28"/>
  <c r="Y17" i="28"/>
  <c r="X17" i="28"/>
  <c r="AD18" i="28"/>
  <c r="Y18" i="28"/>
  <c r="X18" i="28"/>
  <c r="AD19" i="28"/>
  <c r="Y19" i="28"/>
  <c r="X19" i="28"/>
  <c r="AD20" i="28"/>
  <c r="Y20" i="28"/>
  <c r="X20" i="28"/>
  <c r="X21" i="28"/>
  <c r="X22" i="28"/>
  <c r="X23" i="28"/>
  <c r="X24" i="28"/>
  <c r="X25" i="28"/>
  <c r="E4" i="28"/>
  <c r="D4" i="28"/>
  <c r="E5" i="28"/>
  <c r="D5" i="28"/>
  <c r="E6" i="28"/>
  <c r="D6" i="28"/>
  <c r="E7" i="28"/>
  <c r="D7" i="28"/>
  <c r="E8" i="28"/>
  <c r="D8" i="28"/>
  <c r="E9" i="28"/>
  <c r="D9" i="28"/>
  <c r="E10" i="28"/>
  <c r="D10" i="28"/>
  <c r="E11" i="28"/>
  <c r="D11" i="28"/>
  <c r="E12" i="28"/>
  <c r="D12" i="28"/>
  <c r="C4" i="28"/>
  <c r="C5" i="28"/>
  <c r="C6" i="28"/>
  <c r="C7" i="28"/>
  <c r="S13" i="22" a="1"/>
  <c r="S13" i="22"/>
  <c r="Q35" i="22"/>
  <c r="L4" i="30"/>
  <c r="M4" i="30"/>
  <c r="J4" i="30"/>
  <c r="AT4" i="30"/>
  <c r="K17" i="30"/>
  <c r="AS4" i="30"/>
  <c r="AU4" i="30"/>
  <c r="AH64" i="30"/>
  <c r="AH70" i="30"/>
  <c r="X79" i="30"/>
  <c r="AD79" i="30"/>
  <c r="AF79" i="30"/>
  <c r="AH79" i="30"/>
  <c r="G4" i="30"/>
  <c r="AI64" i="30"/>
  <c r="AI70" i="30"/>
  <c r="Y79" i="30"/>
  <c r="AE79" i="30"/>
  <c r="AG79" i="30"/>
  <c r="AI79" i="30"/>
  <c r="H4" i="30"/>
  <c r="I4" i="30"/>
  <c r="AW4" i="30"/>
  <c r="AH67" i="30"/>
  <c r="AH73" i="30"/>
  <c r="G5" i="30"/>
  <c r="AI67" i="30"/>
  <c r="AI73" i="30"/>
  <c r="H5" i="30"/>
  <c r="I5" i="30"/>
  <c r="AW5" i="30"/>
  <c r="AH76" i="30"/>
  <c r="AI76" i="30"/>
  <c r="G6" i="30"/>
  <c r="H6" i="30"/>
  <c r="I6" i="30"/>
  <c r="AW6" i="30"/>
  <c r="G7" i="30"/>
  <c r="H7" i="30"/>
  <c r="I7" i="30"/>
  <c r="AW7" i="30"/>
  <c r="G8" i="30"/>
  <c r="H8" i="30"/>
  <c r="I8" i="30"/>
  <c r="AW8" i="30"/>
  <c r="G9" i="30"/>
  <c r="H9" i="30"/>
  <c r="I9" i="30"/>
  <c r="AW9" i="30"/>
  <c r="G10" i="30"/>
  <c r="H10" i="30"/>
  <c r="I10" i="30"/>
  <c r="AW10" i="30"/>
  <c r="G11" i="30"/>
  <c r="H11" i="30"/>
  <c r="I11" i="30"/>
  <c r="AW11" i="30"/>
  <c r="G12" i="30"/>
  <c r="H12" i="30"/>
  <c r="I12" i="30"/>
  <c r="AW12" i="30"/>
  <c r="AX4" i="30"/>
  <c r="L17" i="30"/>
  <c r="L5" i="30"/>
  <c r="M5" i="30"/>
  <c r="J5" i="30"/>
  <c r="AT5" i="30"/>
  <c r="K18" i="30"/>
  <c r="AS5" i="30"/>
  <c r="AU5" i="30"/>
  <c r="AX5" i="30"/>
  <c r="L18" i="30"/>
  <c r="L6" i="30"/>
  <c r="M6" i="30"/>
  <c r="J6" i="30"/>
  <c r="AT6" i="30"/>
  <c r="K19" i="30"/>
  <c r="AS6" i="30"/>
  <c r="AU6" i="30"/>
  <c r="AX6" i="30"/>
  <c r="L19" i="30"/>
  <c r="L7" i="30"/>
  <c r="M7" i="30"/>
  <c r="J7" i="30"/>
  <c r="AT7" i="30"/>
  <c r="K20" i="30"/>
  <c r="AS7" i="30"/>
  <c r="AU7" i="30"/>
  <c r="AX7" i="30"/>
  <c r="L20" i="30"/>
  <c r="L8" i="30"/>
  <c r="M8" i="30"/>
  <c r="J8" i="30"/>
  <c r="AT8" i="30"/>
  <c r="K21" i="30"/>
  <c r="AS8" i="30"/>
  <c r="AU8" i="30"/>
  <c r="AX8" i="30"/>
  <c r="L21" i="30"/>
  <c r="L9" i="30"/>
  <c r="M9" i="30"/>
  <c r="J9" i="30"/>
  <c r="AT9" i="30"/>
  <c r="K22" i="30"/>
  <c r="AS9" i="30"/>
  <c r="AU9" i="30"/>
  <c r="AX9" i="30"/>
  <c r="L22" i="30"/>
  <c r="L10" i="30"/>
  <c r="M10" i="30"/>
  <c r="J10" i="30"/>
  <c r="AT10" i="30"/>
  <c r="K23" i="30"/>
  <c r="AS10" i="30"/>
  <c r="AU10" i="30"/>
  <c r="AX10" i="30"/>
  <c r="L23" i="30"/>
  <c r="L11" i="30"/>
  <c r="M11" i="30"/>
  <c r="J11" i="30"/>
  <c r="AT11" i="30"/>
  <c r="K24" i="30"/>
  <c r="AS11" i="30"/>
  <c r="AU11" i="30"/>
  <c r="AX11" i="30"/>
  <c r="L24" i="30"/>
  <c r="L12" i="30"/>
  <c r="M12" i="30"/>
  <c r="J12" i="30"/>
  <c r="AT12" i="30"/>
  <c r="K25" i="30"/>
  <c r="AS12" i="30"/>
  <c r="AU12" i="30"/>
  <c r="AX12" i="30"/>
  <c r="L25" i="30"/>
  <c r="M17" i="30"/>
  <c r="N17" i="30" a="1"/>
  <c r="N17" i="30"/>
  <c r="O17" i="30"/>
  <c r="C17" i="30"/>
  <c r="E30" i="30" a="1"/>
  <c r="E30" i="30"/>
  <c r="F30" i="30" a="1"/>
  <c r="F30" i="30"/>
  <c r="G30" i="30" a="1"/>
  <c r="H30" i="30" a="1"/>
  <c r="I30" i="30" a="1"/>
  <c r="J30" i="30" a="1"/>
  <c r="K30" i="30" a="1"/>
  <c r="L30" i="30" a="1"/>
  <c r="P17" i="30"/>
  <c r="M30" i="30" a="1"/>
  <c r="N30" i="30" a="1"/>
  <c r="O30" i="30" a="1"/>
  <c r="P30" i="30" a="1"/>
  <c r="Q30" i="30" a="1"/>
  <c r="R30" i="30" a="1"/>
  <c r="S30" i="30" a="1"/>
  <c r="T30" i="30" a="1"/>
  <c r="Q17" i="30"/>
  <c r="U30" i="30" a="1"/>
  <c r="V30" i="30" a="1"/>
  <c r="W30" i="30" a="1"/>
  <c r="X30" i="30" a="1"/>
  <c r="Y30" i="30" a="1"/>
  <c r="Z30" i="30" a="1"/>
  <c r="AA30" i="30" a="1"/>
  <c r="AB30" i="30" a="1"/>
  <c r="R17" i="30"/>
  <c r="AC30" i="30" a="1"/>
  <c r="AD30" i="30" a="1"/>
  <c r="AE30" i="30" a="1"/>
  <c r="AF30" i="30" a="1"/>
  <c r="AG30" i="30" a="1"/>
  <c r="AH30" i="30" a="1"/>
  <c r="AI30" i="30" a="1"/>
  <c r="AJ30" i="30" a="1"/>
  <c r="S17" i="30"/>
  <c r="AK30" i="30" a="1"/>
  <c r="AL30" i="30" a="1"/>
  <c r="AM30" i="30" a="1"/>
  <c r="AN30" i="30" a="1"/>
  <c r="AO30" i="30" a="1"/>
  <c r="AP30" i="30" a="1"/>
  <c r="AQ30" i="30" a="1"/>
  <c r="AR30" i="30" a="1"/>
  <c r="T17" i="30"/>
  <c r="AS30" i="30" a="1"/>
  <c r="AT30" i="30" a="1"/>
  <c r="AU30" i="30" a="1"/>
  <c r="AV30" i="30" a="1"/>
  <c r="AW30" i="30" a="1"/>
  <c r="AX30" i="30" a="1"/>
  <c r="AY30" i="30" a="1"/>
  <c r="AZ30" i="30" a="1"/>
  <c r="U17" i="30"/>
  <c r="BA30" i="30" a="1"/>
  <c r="BB30" i="30" a="1"/>
  <c r="BC30" i="30" a="1"/>
  <c r="BD30" i="30" a="1"/>
  <c r="BE30" i="30" a="1"/>
  <c r="BF30" i="30" a="1"/>
  <c r="BG30" i="30" a="1"/>
  <c r="BH30" i="30" a="1"/>
  <c r="V17" i="30"/>
  <c r="BI30" i="30" a="1"/>
  <c r="BJ30" i="30" a="1"/>
  <c r="BK30" i="30" a="1"/>
  <c r="BL30" i="30" a="1"/>
  <c r="BM30" i="30" a="1"/>
  <c r="BN30" i="30" a="1"/>
  <c r="BO30" i="30" a="1"/>
  <c r="BP30" i="30" a="1"/>
  <c r="G30" i="30"/>
  <c r="H30" i="30"/>
  <c r="I30" i="30"/>
  <c r="J30" i="30"/>
  <c r="K30" i="30"/>
  <c r="L30" i="30"/>
  <c r="M30" i="30"/>
  <c r="N30" i="30"/>
  <c r="O30" i="30"/>
  <c r="P30" i="30"/>
  <c r="Q30" i="30"/>
  <c r="R30" i="30"/>
  <c r="S30" i="30"/>
  <c r="T30" i="30"/>
  <c r="U30" i="30"/>
  <c r="V30" i="30"/>
  <c r="W30" i="30"/>
  <c r="X30" i="30"/>
  <c r="Y30" i="30"/>
  <c r="Z30" i="30"/>
  <c r="AA30" i="30"/>
  <c r="AB30" i="30"/>
  <c r="AC30" i="30"/>
  <c r="AD30" i="30"/>
  <c r="AE30" i="30"/>
  <c r="AF30" i="30"/>
  <c r="AG30" i="30"/>
  <c r="AH30" i="30"/>
  <c r="AI30" i="30"/>
  <c r="AJ30" i="30"/>
  <c r="AK30" i="30"/>
  <c r="AL30" i="30"/>
  <c r="AM30" i="30"/>
  <c r="AN30" i="30"/>
  <c r="AO30" i="30"/>
  <c r="AP30" i="30"/>
  <c r="AQ30" i="30"/>
  <c r="AR30" i="30"/>
  <c r="AS30" i="30"/>
  <c r="AT30" i="30"/>
  <c r="AU30" i="30"/>
  <c r="AV30" i="30"/>
  <c r="AW30" i="30"/>
  <c r="AX30" i="30"/>
  <c r="AY30" i="30"/>
  <c r="AZ30" i="30"/>
  <c r="BA30" i="30"/>
  <c r="BB30" i="30"/>
  <c r="BC30" i="30"/>
  <c r="BD30" i="30"/>
  <c r="BE30" i="30"/>
  <c r="BF30" i="30"/>
  <c r="BG30" i="30"/>
  <c r="BH30" i="30"/>
  <c r="BI30" i="30"/>
  <c r="BJ30" i="30"/>
  <c r="BK30" i="30"/>
  <c r="BL30" i="30"/>
  <c r="BM30" i="30"/>
  <c r="BN30" i="30"/>
  <c r="BO30" i="30"/>
  <c r="BP30" i="30"/>
  <c r="AA17" i="30"/>
  <c r="E41" i="30" a="1"/>
  <c r="E41" i="30"/>
  <c r="F41" i="30" a="1"/>
  <c r="F41" i="30"/>
  <c r="G41" i="30" a="1"/>
  <c r="H41" i="30" a="1"/>
  <c r="I41" i="30" a="1"/>
  <c r="J41" i="30" a="1"/>
  <c r="K41" i="30" a="1"/>
  <c r="L41" i="30" a="1"/>
  <c r="M41" i="30" a="1"/>
  <c r="N41" i="30" a="1"/>
  <c r="O41" i="30" a="1"/>
  <c r="P41" i="30" a="1"/>
  <c r="Q41" i="30" a="1"/>
  <c r="R41" i="30" a="1"/>
  <c r="S41" i="30" a="1"/>
  <c r="T41" i="30" a="1"/>
  <c r="U41" i="30" a="1"/>
  <c r="V41" i="30" a="1"/>
  <c r="W41" i="30" a="1"/>
  <c r="X41" i="30" a="1"/>
  <c r="Y41" i="30" a="1"/>
  <c r="Z41" i="30" a="1"/>
  <c r="AA41" i="30" a="1"/>
  <c r="AB41" i="30" a="1"/>
  <c r="AC41" i="30" a="1"/>
  <c r="AD41" i="30" a="1"/>
  <c r="AE41" i="30" a="1"/>
  <c r="AF41" i="30" a="1"/>
  <c r="AG41" i="30" a="1"/>
  <c r="AH41" i="30" a="1"/>
  <c r="AI41" i="30" a="1"/>
  <c r="AJ41" i="30" a="1"/>
  <c r="AK41" i="30" a="1"/>
  <c r="AL41" i="30" a="1"/>
  <c r="AM41" i="30" a="1"/>
  <c r="AN41" i="30" a="1"/>
  <c r="AO41" i="30" a="1"/>
  <c r="AP41" i="30" a="1"/>
  <c r="AQ41" i="30" a="1"/>
  <c r="AR41" i="30" a="1"/>
  <c r="AS41" i="30" a="1"/>
  <c r="AT41" i="30" a="1"/>
  <c r="AU41" i="30" a="1"/>
  <c r="AV41" i="30" a="1"/>
  <c r="AW41" i="30" a="1"/>
  <c r="AX41" i="30" a="1"/>
  <c r="AY41" i="30" a="1"/>
  <c r="AZ41" i="30" a="1"/>
  <c r="BA41" i="30" a="1"/>
  <c r="BB41" i="30" a="1"/>
  <c r="BC41" i="30" a="1"/>
  <c r="BD41" i="30" a="1"/>
  <c r="BE41" i="30" a="1"/>
  <c r="BF41" i="30" a="1"/>
  <c r="BG41" i="30" a="1"/>
  <c r="BH41" i="30" a="1"/>
  <c r="BI41" i="30" a="1"/>
  <c r="BJ41" i="30" a="1"/>
  <c r="BK41" i="30" a="1"/>
  <c r="BL41" i="30" a="1"/>
  <c r="BM41" i="30" a="1"/>
  <c r="BN41" i="30" a="1"/>
  <c r="BO41" i="30" a="1"/>
  <c r="BP41" i="30" a="1"/>
  <c r="G41" i="30"/>
  <c r="H41" i="30"/>
  <c r="I41" i="30"/>
  <c r="J41" i="30"/>
  <c r="K41" i="30"/>
  <c r="L41" i="30"/>
  <c r="M41" i="30"/>
  <c r="N41" i="30"/>
  <c r="O41" i="30"/>
  <c r="P41" i="30"/>
  <c r="Q41" i="30"/>
  <c r="R41" i="30"/>
  <c r="S41" i="30"/>
  <c r="T41" i="30"/>
  <c r="U41" i="30"/>
  <c r="V41" i="30"/>
  <c r="W41" i="30"/>
  <c r="X41" i="30"/>
  <c r="Y41" i="30"/>
  <c r="Z41" i="30"/>
  <c r="AA41" i="30"/>
  <c r="AB41" i="30"/>
  <c r="AC41" i="30"/>
  <c r="AD41" i="30"/>
  <c r="AE41" i="30"/>
  <c r="AF41" i="30"/>
  <c r="AG41" i="30"/>
  <c r="AH41" i="30"/>
  <c r="AI41" i="30"/>
  <c r="AJ41" i="30"/>
  <c r="AK41" i="30"/>
  <c r="AL41" i="30"/>
  <c r="AM41" i="30"/>
  <c r="AN41" i="30"/>
  <c r="AO41" i="30"/>
  <c r="AP41" i="30"/>
  <c r="AQ41" i="30"/>
  <c r="AR41" i="30"/>
  <c r="AS41" i="30"/>
  <c r="AT41" i="30"/>
  <c r="AU41" i="30"/>
  <c r="AV41" i="30"/>
  <c r="AW41" i="30"/>
  <c r="AX41" i="30"/>
  <c r="AY41" i="30"/>
  <c r="AZ41" i="30"/>
  <c r="BA41" i="30"/>
  <c r="BB41" i="30"/>
  <c r="BC41" i="30"/>
  <c r="BD41" i="30"/>
  <c r="BE41" i="30"/>
  <c r="BF41" i="30"/>
  <c r="BG41" i="30"/>
  <c r="BH41" i="30"/>
  <c r="BI41" i="30"/>
  <c r="BJ41" i="30"/>
  <c r="BK41" i="30"/>
  <c r="BL41" i="30"/>
  <c r="BM41" i="30"/>
  <c r="BN41" i="30"/>
  <c r="BO41" i="30"/>
  <c r="BP41" i="30"/>
  <c r="AB17" i="30"/>
  <c r="W17" i="30"/>
  <c r="M18" i="30"/>
  <c r="N18" i="30" a="1"/>
  <c r="N18" i="30"/>
  <c r="O18" i="30"/>
  <c r="C18" i="30"/>
  <c r="E31" i="30" a="1"/>
  <c r="E31" i="30"/>
  <c r="F31" i="30" a="1"/>
  <c r="F31" i="30"/>
  <c r="G31" i="30" a="1"/>
  <c r="H31" i="30" a="1"/>
  <c r="I31" i="30" a="1"/>
  <c r="J31" i="30" a="1"/>
  <c r="K31" i="30" a="1"/>
  <c r="L31" i="30" a="1"/>
  <c r="P18" i="30"/>
  <c r="M31" i="30" a="1"/>
  <c r="N31" i="30" a="1"/>
  <c r="O31" i="30" a="1"/>
  <c r="P31" i="30" a="1"/>
  <c r="Q31" i="30" a="1"/>
  <c r="R31" i="30" a="1"/>
  <c r="S31" i="30" a="1"/>
  <c r="T31" i="30" a="1"/>
  <c r="Q18" i="30"/>
  <c r="U31" i="30" a="1"/>
  <c r="V31" i="30" a="1"/>
  <c r="W31" i="30" a="1"/>
  <c r="X31" i="30" a="1"/>
  <c r="Y31" i="30" a="1"/>
  <c r="Z31" i="30" a="1"/>
  <c r="AA31" i="30" a="1"/>
  <c r="AB31" i="30" a="1"/>
  <c r="R18" i="30"/>
  <c r="AC31" i="30" a="1"/>
  <c r="AD31" i="30" a="1"/>
  <c r="AE31" i="30" a="1"/>
  <c r="AF31" i="30" a="1"/>
  <c r="AG31" i="30" a="1"/>
  <c r="AH31" i="30" a="1"/>
  <c r="AI31" i="30" a="1"/>
  <c r="AJ31" i="30" a="1"/>
  <c r="S18" i="30"/>
  <c r="AK31" i="30" a="1"/>
  <c r="AL31" i="30" a="1"/>
  <c r="AM31" i="30" a="1"/>
  <c r="AN31" i="30" a="1"/>
  <c r="AO31" i="30" a="1"/>
  <c r="AP31" i="30" a="1"/>
  <c r="AQ31" i="30" a="1"/>
  <c r="AR31" i="30" a="1"/>
  <c r="T18" i="30"/>
  <c r="AS31" i="30" a="1"/>
  <c r="AT31" i="30" a="1"/>
  <c r="AU31" i="30" a="1"/>
  <c r="AV31" i="30" a="1"/>
  <c r="AW31" i="30" a="1"/>
  <c r="AX31" i="30" a="1"/>
  <c r="AY31" i="30" a="1"/>
  <c r="AZ31" i="30" a="1"/>
  <c r="U18" i="30"/>
  <c r="BA31" i="30" a="1"/>
  <c r="BB31" i="30" a="1"/>
  <c r="BC31" i="30" a="1"/>
  <c r="BD31" i="30" a="1"/>
  <c r="BE31" i="30" a="1"/>
  <c r="BF31" i="30" a="1"/>
  <c r="BG31" i="30" a="1"/>
  <c r="BH31" i="30" a="1"/>
  <c r="V18" i="30"/>
  <c r="BI31" i="30" a="1"/>
  <c r="BJ31" i="30" a="1"/>
  <c r="BK31" i="30" a="1"/>
  <c r="BL31" i="30" a="1"/>
  <c r="BM31" i="30" a="1"/>
  <c r="BN31" i="30" a="1"/>
  <c r="BO31" i="30" a="1"/>
  <c r="BP31" i="30" a="1"/>
  <c r="G31" i="30"/>
  <c r="H31" i="30"/>
  <c r="I31" i="30"/>
  <c r="J31" i="30"/>
  <c r="K31" i="30"/>
  <c r="L31" i="30"/>
  <c r="M31" i="30"/>
  <c r="N31" i="30"/>
  <c r="O31" i="30"/>
  <c r="P31" i="30"/>
  <c r="Q31" i="30"/>
  <c r="R31" i="30"/>
  <c r="S31" i="30"/>
  <c r="T31" i="30"/>
  <c r="U31" i="30"/>
  <c r="V31" i="30"/>
  <c r="W31" i="30"/>
  <c r="X31" i="30"/>
  <c r="Y31" i="30"/>
  <c r="Z31" i="30"/>
  <c r="AA31" i="30"/>
  <c r="AB31" i="30"/>
  <c r="AC31" i="30"/>
  <c r="AD31" i="30"/>
  <c r="AE31" i="30"/>
  <c r="AF31" i="30"/>
  <c r="AG31" i="30"/>
  <c r="AH31" i="30"/>
  <c r="AI31" i="30"/>
  <c r="AJ31" i="30"/>
  <c r="AK31" i="30"/>
  <c r="AL31" i="30"/>
  <c r="AM31" i="30"/>
  <c r="AN31" i="30"/>
  <c r="AO31" i="30"/>
  <c r="AP31" i="30"/>
  <c r="AQ31" i="30"/>
  <c r="AR31" i="30"/>
  <c r="AS31" i="30"/>
  <c r="AT31" i="30"/>
  <c r="AU31" i="30"/>
  <c r="AV31" i="30"/>
  <c r="AW31" i="30"/>
  <c r="AX31" i="30"/>
  <c r="AY31" i="30"/>
  <c r="AZ31" i="30"/>
  <c r="BA31" i="30"/>
  <c r="BB31" i="30"/>
  <c r="BC31" i="30"/>
  <c r="BD31" i="30"/>
  <c r="BE31" i="30"/>
  <c r="BF31" i="30"/>
  <c r="BG31" i="30"/>
  <c r="BH31" i="30"/>
  <c r="BI31" i="30"/>
  <c r="BJ31" i="30"/>
  <c r="BK31" i="30"/>
  <c r="BL31" i="30"/>
  <c r="BM31" i="30"/>
  <c r="BN31" i="30"/>
  <c r="BO31" i="30"/>
  <c r="BP31" i="30"/>
  <c r="AA18" i="30"/>
  <c r="E42" i="30" a="1"/>
  <c r="E42" i="30"/>
  <c r="F42" i="30" a="1"/>
  <c r="F42" i="30"/>
  <c r="G42" i="30" a="1"/>
  <c r="H42" i="30" a="1"/>
  <c r="I42" i="30" a="1"/>
  <c r="J42" i="30" a="1"/>
  <c r="K42" i="30" a="1"/>
  <c r="L42" i="30" a="1"/>
  <c r="M42" i="30" a="1"/>
  <c r="N42" i="30" a="1"/>
  <c r="O42" i="30" a="1"/>
  <c r="P42" i="30" a="1"/>
  <c r="Q42" i="30" a="1"/>
  <c r="R42" i="30" a="1"/>
  <c r="S42" i="30" a="1"/>
  <c r="T42" i="30" a="1"/>
  <c r="U42" i="30" a="1"/>
  <c r="V42" i="30" a="1"/>
  <c r="W42" i="30" a="1"/>
  <c r="X42" i="30" a="1"/>
  <c r="Y42" i="30" a="1"/>
  <c r="Z42" i="30" a="1"/>
  <c r="AA42" i="30" a="1"/>
  <c r="AB42" i="30" a="1"/>
  <c r="AC42" i="30" a="1"/>
  <c r="AD42" i="30" a="1"/>
  <c r="AE42" i="30" a="1"/>
  <c r="AF42" i="30" a="1"/>
  <c r="AG42" i="30" a="1"/>
  <c r="AH42" i="30" a="1"/>
  <c r="AI42" i="30" a="1"/>
  <c r="AJ42" i="30" a="1"/>
  <c r="AK42" i="30" a="1"/>
  <c r="AL42" i="30" a="1"/>
  <c r="AM42" i="30" a="1"/>
  <c r="AN42" i="30" a="1"/>
  <c r="AO42" i="30" a="1"/>
  <c r="AP42" i="30" a="1"/>
  <c r="AQ42" i="30" a="1"/>
  <c r="AR42" i="30" a="1"/>
  <c r="AS42" i="30" a="1"/>
  <c r="AT42" i="30" a="1"/>
  <c r="AU42" i="30" a="1"/>
  <c r="AV42" i="30" a="1"/>
  <c r="AW42" i="30" a="1"/>
  <c r="AX42" i="30" a="1"/>
  <c r="AY42" i="30" a="1"/>
  <c r="AZ42" i="30" a="1"/>
  <c r="BA42" i="30" a="1"/>
  <c r="BB42" i="30" a="1"/>
  <c r="BC42" i="30" a="1"/>
  <c r="BD42" i="30" a="1"/>
  <c r="BE42" i="30" a="1"/>
  <c r="BF42" i="30" a="1"/>
  <c r="BG42" i="30" a="1"/>
  <c r="BH42" i="30" a="1"/>
  <c r="BI42" i="30" a="1"/>
  <c r="BJ42" i="30" a="1"/>
  <c r="BK42" i="30" a="1"/>
  <c r="BL42" i="30" a="1"/>
  <c r="BM42" i="30" a="1"/>
  <c r="BN42" i="30" a="1"/>
  <c r="BO42" i="30" a="1"/>
  <c r="BP42" i="30" a="1"/>
  <c r="G42" i="30"/>
  <c r="H42" i="30"/>
  <c r="I42" i="30"/>
  <c r="J42" i="30"/>
  <c r="K42" i="30"/>
  <c r="L42" i="30"/>
  <c r="M42" i="30"/>
  <c r="N42" i="30"/>
  <c r="O42" i="30"/>
  <c r="P42" i="30"/>
  <c r="Q42" i="30"/>
  <c r="R42" i="30"/>
  <c r="S42" i="30"/>
  <c r="T42" i="30"/>
  <c r="U42" i="30"/>
  <c r="V42" i="30"/>
  <c r="W42" i="30"/>
  <c r="X42" i="30"/>
  <c r="Y42" i="30"/>
  <c r="Z42" i="30"/>
  <c r="AA42" i="30"/>
  <c r="AB42" i="30"/>
  <c r="AC42" i="30"/>
  <c r="AD42" i="30"/>
  <c r="AE42" i="30"/>
  <c r="AF42" i="30"/>
  <c r="AG42" i="30"/>
  <c r="AH42" i="30"/>
  <c r="AI42" i="30"/>
  <c r="AJ42" i="30"/>
  <c r="AK42" i="30"/>
  <c r="AL42" i="30"/>
  <c r="AM42" i="30"/>
  <c r="AN42" i="30"/>
  <c r="AO42" i="30"/>
  <c r="AP42" i="30"/>
  <c r="AQ42" i="30"/>
  <c r="AR42" i="30"/>
  <c r="AS42" i="30"/>
  <c r="AT42" i="30"/>
  <c r="AU42" i="30"/>
  <c r="AV42" i="30"/>
  <c r="AW42" i="30"/>
  <c r="AX42" i="30"/>
  <c r="AY42" i="30"/>
  <c r="AZ42" i="30"/>
  <c r="BA42" i="30"/>
  <c r="BB42" i="30"/>
  <c r="BC42" i="30"/>
  <c r="BD42" i="30"/>
  <c r="BE42" i="30"/>
  <c r="BF42" i="30"/>
  <c r="BG42" i="30"/>
  <c r="BH42" i="30"/>
  <c r="BI42" i="30"/>
  <c r="BJ42" i="30"/>
  <c r="BK42" i="30"/>
  <c r="BL42" i="30"/>
  <c r="BM42" i="30"/>
  <c r="BN42" i="30"/>
  <c r="BO42" i="30"/>
  <c r="BP42" i="30"/>
  <c r="AB18" i="30"/>
  <c r="W18" i="30"/>
  <c r="M19" i="30"/>
  <c r="N19" i="30" a="1"/>
  <c r="N19" i="30"/>
  <c r="O19" i="30"/>
  <c r="C19" i="30"/>
  <c r="BR52" i="30"/>
  <c r="BS51" i="30"/>
  <c r="BT51" i="30"/>
  <c r="BT52" i="30"/>
  <c r="BU51" i="30"/>
  <c r="BU52" i="30"/>
  <c r="BV51" i="30"/>
  <c r="BV52" i="30"/>
  <c r="BW52" i="30"/>
  <c r="BX52" i="30"/>
  <c r="BY52" i="30"/>
  <c r="BZ52" i="30"/>
  <c r="CA52" i="30"/>
  <c r="BR53" i="30"/>
  <c r="BS53" i="30"/>
  <c r="BU53" i="30"/>
  <c r="BV53" i="30"/>
  <c r="BW53" i="30"/>
  <c r="BX53" i="30"/>
  <c r="BY53" i="30"/>
  <c r="BZ53" i="30"/>
  <c r="CA53" i="30"/>
  <c r="BR54" i="30"/>
  <c r="BS54" i="30"/>
  <c r="BT54" i="30"/>
  <c r="BV54" i="30"/>
  <c r="BW54" i="30"/>
  <c r="BX54" i="30"/>
  <c r="BY54" i="30"/>
  <c r="BZ54" i="30"/>
  <c r="CA54" i="30"/>
  <c r="BR55" i="30"/>
  <c r="BS55" i="30"/>
  <c r="BT55" i="30"/>
  <c r="BU55" i="30"/>
  <c r="BW55" i="30"/>
  <c r="BX55" i="30"/>
  <c r="BY55" i="30"/>
  <c r="BZ55" i="30"/>
  <c r="CA55" i="30"/>
  <c r="BS56" i="30"/>
  <c r="BT56" i="30"/>
  <c r="BU56" i="30"/>
  <c r="BV56" i="30"/>
  <c r="BX56" i="30"/>
  <c r="BY56" i="30"/>
  <c r="BZ56" i="30"/>
  <c r="CA56" i="30"/>
  <c r="BS57" i="30"/>
  <c r="BT57" i="30"/>
  <c r="BU57" i="30"/>
  <c r="BV57" i="30"/>
  <c r="BW57" i="30"/>
  <c r="BY57" i="30"/>
  <c r="BZ57" i="30"/>
  <c r="CA57" i="30"/>
  <c r="BS58" i="30"/>
  <c r="BT58" i="30"/>
  <c r="BU58" i="30"/>
  <c r="BV58" i="30"/>
  <c r="BW58" i="30"/>
  <c r="BX58" i="30"/>
  <c r="BZ58" i="30"/>
  <c r="CA58" i="30"/>
  <c r="BS59" i="30"/>
  <c r="BT59" i="30"/>
  <c r="BU59" i="30"/>
  <c r="BV59" i="30"/>
  <c r="BW59" i="30"/>
  <c r="BX59" i="30"/>
  <c r="BY59" i="30"/>
  <c r="CA59" i="30"/>
  <c r="BS60" i="30"/>
  <c r="BT60" i="30"/>
  <c r="BU60" i="30"/>
  <c r="BV60" i="30"/>
  <c r="BW60" i="30"/>
  <c r="BX60" i="30"/>
  <c r="BY60" i="30"/>
  <c r="BZ60" i="30"/>
  <c r="E32" i="30" a="1"/>
  <c r="E32" i="30"/>
  <c r="F32" i="30" a="1"/>
  <c r="F32" i="30"/>
  <c r="M20" i="30"/>
  <c r="N20" i="30" a="1"/>
  <c r="N20" i="30"/>
  <c r="O20" i="30"/>
  <c r="G32" i="30" a="1"/>
  <c r="M21" i="30"/>
  <c r="N21" i="30" a="1"/>
  <c r="N21" i="30"/>
  <c r="O21" i="30"/>
  <c r="H32" i="30" a="1"/>
  <c r="M22" i="30"/>
  <c r="N22" i="30" a="1"/>
  <c r="N22" i="30"/>
  <c r="O22" i="30"/>
  <c r="I32" i="30" a="1"/>
  <c r="M23" i="30"/>
  <c r="N23" i="30" a="1"/>
  <c r="N23" i="30"/>
  <c r="O23" i="30"/>
  <c r="J32" i="30" a="1"/>
  <c r="M24" i="30"/>
  <c r="N24" i="30" a="1"/>
  <c r="N24" i="30"/>
  <c r="O24" i="30"/>
  <c r="K32" i="30" a="1"/>
  <c r="M25" i="30"/>
  <c r="N25" i="30" a="1"/>
  <c r="N25" i="30"/>
  <c r="O25" i="30"/>
  <c r="L32" i="30" a="1"/>
  <c r="P19" i="30"/>
  <c r="M32" i="30" a="1"/>
  <c r="N32" i="30" a="1"/>
  <c r="P20" i="30"/>
  <c r="O32" i="30" a="1"/>
  <c r="P21" i="30"/>
  <c r="P32" i="30" a="1"/>
  <c r="P22" i="30"/>
  <c r="Q32" i="30" a="1"/>
  <c r="P23" i="30"/>
  <c r="R32" i="30" a="1"/>
  <c r="P24" i="30"/>
  <c r="S32" i="30" a="1"/>
  <c r="P25" i="30"/>
  <c r="T32" i="30" a="1"/>
  <c r="Q19" i="30"/>
  <c r="U32" i="30" a="1"/>
  <c r="V32" i="30" a="1"/>
  <c r="C20" i="30"/>
  <c r="Q20" i="30"/>
  <c r="W32" i="30" a="1"/>
  <c r="Q21" i="30"/>
  <c r="X32" i="30" a="1"/>
  <c r="Q22" i="30"/>
  <c r="Y32" i="30" a="1"/>
  <c r="Q23" i="30"/>
  <c r="Z32" i="30" a="1"/>
  <c r="Q24" i="30"/>
  <c r="AA32" i="30" a="1"/>
  <c r="Q25" i="30"/>
  <c r="AB32" i="30" a="1"/>
  <c r="R19" i="30"/>
  <c r="AC32" i="30" a="1"/>
  <c r="AD32" i="30" a="1"/>
  <c r="R20" i="30"/>
  <c r="AE32" i="30" a="1"/>
  <c r="R21" i="30"/>
  <c r="AF32" i="30" a="1"/>
  <c r="R22" i="30"/>
  <c r="AG32" i="30" a="1"/>
  <c r="R23" i="30"/>
  <c r="AH32" i="30" a="1"/>
  <c r="R24" i="30"/>
  <c r="AI32" i="30" a="1"/>
  <c r="R25" i="30"/>
  <c r="AJ32" i="30" a="1"/>
  <c r="S19" i="30"/>
  <c r="AK32" i="30" a="1"/>
  <c r="AL32" i="30" a="1"/>
  <c r="S20" i="30"/>
  <c r="AM32" i="30" a="1"/>
  <c r="S21" i="30"/>
  <c r="AN32" i="30" a="1"/>
  <c r="S22" i="30"/>
  <c r="AO32" i="30" a="1"/>
  <c r="S23" i="30"/>
  <c r="AP32" i="30" a="1"/>
  <c r="S24" i="30"/>
  <c r="AQ32" i="30" a="1"/>
  <c r="S25" i="30"/>
  <c r="AR32" i="30" a="1"/>
  <c r="T19" i="30"/>
  <c r="AS32" i="30" a="1"/>
  <c r="AT32" i="30" a="1"/>
  <c r="T20" i="30"/>
  <c r="AU32" i="30" a="1"/>
  <c r="T21" i="30"/>
  <c r="AV32" i="30" a="1"/>
  <c r="T22" i="30"/>
  <c r="AW32" i="30" a="1"/>
  <c r="T23" i="30"/>
  <c r="AX32" i="30" a="1"/>
  <c r="T24" i="30"/>
  <c r="AY32" i="30" a="1"/>
  <c r="T25" i="30"/>
  <c r="AZ32" i="30" a="1"/>
  <c r="U19" i="30"/>
  <c r="BA32" i="30" a="1"/>
  <c r="BB32" i="30" a="1"/>
  <c r="U20" i="30"/>
  <c r="BC32" i="30" a="1"/>
  <c r="U21" i="30"/>
  <c r="BD32" i="30" a="1"/>
  <c r="U22" i="30"/>
  <c r="BE32" i="30" a="1"/>
  <c r="U23" i="30"/>
  <c r="BF32" i="30" a="1"/>
  <c r="U24" i="30"/>
  <c r="BG32" i="30" a="1"/>
  <c r="U25" i="30"/>
  <c r="BH32" i="30" a="1"/>
  <c r="V19" i="30"/>
  <c r="BI32" i="30" a="1"/>
  <c r="BJ32" i="30" a="1"/>
  <c r="V20" i="30"/>
  <c r="BK32" i="30" a="1"/>
  <c r="V21" i="30"/>
  <c r="BL32" i="30" a="1"/>
  <c r="V22" i="30"/>
  <c r="BM32" i="30" a="1"/>
  <c r="V23" i="30"/>
  <c r="BN32" i="30" a="1"/>
  <c r="V24" i="30"/>
  <c r="BO32" i="30" a="1"/>
  <c r="V25" i="30"/>
  <c r="BP32" i="30" a="1"/>
  <c r="G32" i="30"/>
  <c r="H32" i="30"/>
  <c r="I32" i="30"/>
  <c r="J32" i="30"/>
  <c r="K32" i="30"/>
  <c r="L32" i="30"/>
  <c r="M32" i="30"/>
  <c r="N32" i="30"/>
  <c r="O32" i="30"/>
  <c r="P32" i="30"/>
  <c r="Q32" i="30"/>
  <c r="R32" i="30"/>
  <c r="S32" i="30"/>
  <c r="T32" i="30"/>
  <c r="U32" i="30"/>
  <c r="V32" i="30"/>
  <c r="W32" i="30"/>
  <c r="X32" i="30"/>
  <c r="Y32" i="30"/>
  <c r="Z32" i="30"/>
  <c r="AA32" i="30"/>
  <c r="AB32" i="30"/>
  <c r="AC32" i="30"/>
  <c r="AD32" i="30"/>
  <c r="AE32" i="30"/>
  <c r="AF32" i="30"/>
  <c r="AG32" i="30"/>
  <c r="AH32" i="30"/>
  <c r="AI32" i="30"/>
  <c r="AJ32" i="30"/>
  <c r="AK32" i="30"/>
  <c r="AL32" i="30"/>
  <c r="AM32" i="30"/>
  <c r="AN32" i="30"/>
  <c r="AO32" i="30"/>
  <c r="AP32" i="30"/>
  <c r="AQ32" i="30"/>
  <c r="AR32" i="30"/>
  <c r="AS32" i="30"/>
  <c r="AT32" i="30"/>
  <c r="AU32" i="30"/>
  <c r="AV32" i="30"/>
  <c r="AW32" i="30"/>
  <c r="AX32" i="30"/>
  <c r="AY32" i="30"/>
  <c r="AZ32" i="30"/>
  <c r="BA32" i="30"/>
  <c r="BB32" i="30"/>
  <c r="BC32" i="30"/>
  <c r="BD32" i="30"/>
  <c r="BE32" i="30"/>
  <c r="BF32" i="30"/>
  <c r="BG32" i="30"/>
  <c r="BH32" i="30"/>
  <c r="BI32" i="30"/>
  <c r="BJ32" i="30"/>
  <c r="BK32" i="30"/>
  <c r="BL32" i="30"/>
  <c r="BM32" i="30"/>
  <c r="BN32" i="30"/>
  <c r="BO32" i="30"/>
  <c r="BP32" i="30"/>
  <c r="AA19" i="30"/>
  <c r="BR41" i="30"/>
  <c r="BS40" i="30"/>
  <c r="BT40" i="30"/>
  <c r="BR30" i="30"/>
  <c r="BT29" i="30"/>
  <c r="BT30" i="30"/>
  <c r="BR31" i="30"/>
  <c r="BS29" i="30"/>
  <c r="BS31" i="30"/>
  <c r="BT41" i="30"/>
  <c r="BU40" i="30"/>
  <c r="BU29" i="30"/>
  <c r="BU30" i="30"/>
  <c r="BR32" i="30"/>
  <c r="BS32" i="30"/>
  <c r="BU41" i="30"/>
  <c r="BV40" i="30"/>
  <c r="BV29" i="30"/>
  <c r="BV30" i="30"/>
  <c r="BR33" i="30"/>
  <c r="BS33" i="30"/>
  <c r="BV41" i="30"/>
  <c r="BW30" i="30"/>
  <c r="BS34" i="30"/>
  <c r="BW41" i="30"/>
  <c r="BX30" i="30"/>
  <c r="BS35" i="30"/>
  <c r="BX41" i="30"/>
  <c r="BY30" i="30"/>
  <c r="BS36" i="30"/>
  <c r="BY41" i="30"/>
  <c r="BZ30" i="30"/>
  <c r="BS37" i="30"/>
  <c r="BZ41" i="30"/>
  <c r="CA30" i="30"/>
  <c r="BS38" i="30"/>
  <c r="CA41" i="30"/>
  <c r="BR42" i="30"/>
  <c r="BS42" i="30"/>
  <c r="BU31" i="30"/>
  <c r="BT32" i="30"/>
  <c r="BU42" i="30"/>
  <c r="BV31" i="30"/>
  <c r="BT33" i="30"/>
  <c r="BV42" i="30"/>
  <c r="BW31" i="30"/>
  <c r="BT34" i="30"/>
  <c r="BW42" i="30"/>
  <c r="BX31" i="30"/>
  <c r="BT35" i="30"/>
  <c r="BX42" i="30"/>
  <c r="BY31" i="30"/>
  <c r="BT36" i="30"/>
  <c r="BY42" i="30"/>
  <c r="BZ31" i="30"/>
  <c r="BT37" i="30"/>
  <c r="BZ42" i="30"/>
  <c r="CA31" i="30"/>
  <c r="BT38" i="30"/>
  <c r="CA42" i="30"/>
  <c r="BR43" i="30"/>
  <c r="BS43" i="30"/>
  <c r="BT43" i="30"/>
  <c r="BV32" i="30"/>
  <c r="BU33" i="30"/>
  <c r="BV43" i="30"/>
  <c r="BW32" i="30"/>
  <c r="BU34" i="30"/>
  <c r="BW43" i="30"/>
  <c r="BX32" i="30"/>
  <c r="BU35" i="30"/>
  <c r="BX43" i="30"/>
  <c r="BY32" i="30"/>
  <c r="BU36" i="30"/>
  <c r="BY43" i="30"/>
  <c r="BZ32" i="30"/>
  <c r="BU37" i="30"/>
  <c r="BZ43" i="30"/>
  <c r="CA32" i="30"/>
  <c r="BU38" i="30"/>
  <c r="CA43" i="30"/>
  <c r="BR44" i="30"/>
  <c r="BS44" i="30"/>
  <c r="BT44" i="30"/>
  <c r="BU44" i="30"/>
  <c r="BW33" i="30"/>
  <c r="BV34" i="30"/>
  <c r="BW44" i="30"/>
  <c r="BX33" i="30"/>
  <c r="BV35" i="30"/>
  <c r="BX44" i="30"/>
  <c r="BY33" i="30"/>
  <c r="BV36" i="30"/>
  <c r="BY44" i="30"/>
  <c r="BZ33" i="30"/>
  <c r="BV37" i="30"/>
  <c r="BZ44" i="30"/>
  <c r="CA33" i="30"/>
  <c r="BV38" i="30"/>
  <c r="CA44" i="30"/>
  <c r="BS45" i="30"/>
  <c r="BT45" i="30"/>
  <c r="BU45" i="30"/>
  <c r="BV45" i="30"/>
  <c r="BX34" i="30"/>
  <c r="BW35" i="30"/>
  <c r="BX45" i="30"/>
  <c r="BY34" i="30"/>
  <c r="BW36" i="30"/>
  <c r="BY45" i="30"/>
  <c r="BZ34" i="30"/>
  <c r="BW37" i="30"/>
  <c r="BZ45" i="30"/>
  <c r="CA34" i="30"/>
  <c r="BW38" i="30"/>
  <c r="CA45" i="30"/>
  <c r="BS46" i="30"/>
  <c r="BT46" i="30"/>
  <c r="BU46" i="30"/>
  <c r="BV46" i="30"/>
  <c r="BW46" i="30"/>
  <c r="BY35" i="30"/>
  <c r="BX36" i="30"/>
  <c r="BY46" i="30"/>
  <c r="BZ35" i="30"/>
  <c r="BX37" i="30"/>
  <c r="BZ46" i="30"/>
  <c r="CA35" i="30"/>
  <c r="BX38" i="30"/>
  <c r="CA46" i="30"/>
  <c r="BS47" i="30"/>
  <c r="BT47" i="30"/>
  <c r="BU47" i="30"/>
  <c r="BV47" i="30"/>
  <c r="BW47" i="30"/>
  <c r="BX47" i="30"/>
  <c r="BZ36" i="30"/>
  <c r="BY37" i="30"/>
  <c r="BZ47" i="30"/>
  <c r="CA36" i="30"/>
  <c r="BY38" i="30"/>
  <c r="CA47" i="30"/>
  <c r="BS48" i="30"/>
  <c r="BT48" i="30"/>
  <c r="BU48" i="30"/>
  <c r="BV48" i="30"/>
  <c r="BW48" i="30"/>
  <c r="BX48" i="30"/>
  <c r="BY48" i="30"/>
  <c r="CA37" i="30"/>
  <c r="BZ38" i="30"/>
  <c r="CA48" i="30"/>
  <c r="BS49" i="30"/>
  <c r="BT49" i="30"/>
  <c r="BU49" i="30"/>
  <c r="BV49" i="30"/>
  <c r="BW49" i="30"/>
  <c r="BX49" i="30"/>
  <c r="BY49" i="30"/>
  <c r="BZ49" i="30"/>
  <c r="E43" i="30" a="1"/>
  <c r="E43" i="30"/>
  <c r="F43" i="30" a="1"/>
  <c r="F43" i="30"/>
  <c r="G43" i="30" a="1"/>
  <c r="H43" i="30" a="1"/>
  <c r="I43" i="30" a="1"/>
  <c r="J43" i="30" a="1"/>
  <c r="K43" i="30" a="1"/>
  <c r="L43" i="30" a="1"/>
  <c r="M43" i="30" a="1"/>
  <c r="N43" i="30" a="1"/>
  <c r="O43" i="30" a="1"/>
  <c r="P43" i="30" a="1"/>
  <c r="Q43" i="30" a="1"/>
  <c r="R43" i="30" a="1"/>
  <c r="S43" i="30" a="1"/>
  <c r="T43" i="30" a="1"/>
  <c r="U43" i="30" a="1"/>
  <c r="V43" i="30" a="1"/>
  <c r="W43" i="30" a="1"/>
  <c r="X43" i="30" a="1"/>
  <c r="Y43" i="30" a="1"/>
  <c r="Z43" i="30" a="1"/>
  <c r="AA43" i="30" a="1"/>
  <c r="AB43" i="30" a="1"/>
  <c r="AC43" i="30" a="1"/>
  <c r="AD43" i="30" a="1"/>
  <c r="AE43" i="30" a="1"/>
  <c r="AF43" i="30" a="1"/>
  <c r="AG43" i="30" a="1"/>
  <c r="AH43" i="30" a="1"/>
  <c r="AI43" i="30" a="1"/>
  <c r="AJ43" i="30" a="1"/>
  <c r="AK43" i="30" a="1"/>
  <c r="AL43" i="30" a="1"/>
  <c r="AM43" i="30" a="1"/>
  <c r="AN43" i="30" a="1"/>
  <c r="AO43" i="30" a="1"/>
  <c r="AP43" i="30" a="1"/>
  <c r="AQ43" i="30" a="1"/>
  <c r="AR43" i="30" a="1"/>
  <c r="AS43" i="30" a="1"/>
  <c r="AT43" i="30" a="1"/>
  <c r="AU43" i="30" a="1"/>
  <c r="AV43" i="30" a="1"/>
  <c r="AW43" i="30" a="1"/>
  <c r="AX43" i="30" a="1"/>
  <c r="AY43" i="30" a="1"/>
  <c r="AZ43" i="30" a="1"/>
  <c r="BA43" i="30" a="1"/>
  <c r="BB43" i="30" a="1"/>
  <c r="BC43" i="30" a="1"/>
  <c r="BD43" i="30" a="1"/>
  <c r="BE43" i="30" a="1"/>
  <c r="BF43" i="30" a="1"/>
  <c r="BG43" i="30" a="1"/>
  <c r="BH43" i="30" a="1"/>
  <c r="BI43" i="30" a="1"/>
  <c r="BJ43" i="30" a="1"/>
  <c r="BK43" i="30" a="1"/>
  <c r="BL43" i="30" a="1"/>
  <c r="BM43" i="30" a="1"/>
  <c r="BN43" i="30" a="1"/>
  <c r="BO43" i="30" a="1"/>
  <c r="BP43" i="30" a="1"/>
  <c r="G43" i="30"/>
  <c r="H43" i="30"/>
  <c r="I43" i="30"/>
  <c r="J43" i="30"/>
  <c r="K43" i="30"/>
  <c r="L43" i="30"/>
  <c r="M43" i="30"/>
  <c r="N43" i="30"/>
  <c r="O43" i="30"/>
  <c r="P43" i="30"/>
  <c r="Q43" i="30"/>
  <c r="R43" i="30"/>
  <c r="S43" i="30"/>
  <c r="T43" i="30"/>
  <c r="U43" i="30"/>
  <c r="V43" i="30"/>
  <c r="W43" i="30"/>
  <c r="X43" i="30"/>
  <c r="Y43" i="30"/>
  <c r="Z43" i="30"/>
  <c r="AA43" i="30"/>
  <c r="AB43" i="30"/>
  <c r="AC43" i="30"/>
  <c r="AD43" i="30"/>
  <c r="AE43" i="30"/>
  <c r="AF43" i="30"/>
  <c r="AG43" i="30"/>
  <c r="AH43" i="30"/>
  <c r="AI43" i="30"/>
  <c r="AJ43" i="30"/>
  <c r="AK43" i="30"/>
  <c r="AL43" i="30"/>
  <c r="AM43" i="30"/>
  <c r="AN43" i="30"/>
  <c r="AO43" i="30"/>
  <c r="AP43" i="30"/>
  <c r="AQ43" i="30"/>
  <c r="AR43" i="30"/>
  <c r="AS43" i="30"/>
  <c r="AT43" i="30"/>
  <c r="AU43" i="30"/>
  <c r="AV43" i="30"/>
  <c r="AW43" i="30"/>
  <c r="AX43" i="30"/>
  <c r="AY43" i="30"/>
  <c r="AZ43" i="30"/>
  <c r="BA43" i="30"/>
  <c r="BB43" i="30"/>
  <c r="BC43" i="30"/>
  <c r="BD43" i="30"/>
  <c r="BE43" i="30"/>
  <c r="BF43" i="30"/>
  <c r="BG43" i="30"/>
  <c r="BH43" i="30"/>
  <c r="BI43" i="30"/>
  <c r="BJ43" i="30"/>
  <c r="BK43" i="30"/>
  <c r="BL43" i="30"/>
  <c r="BM43" i="30"/>
  <c r="BN43" i="30"/>
  <c r="BO43" i="30"/>
  <c r="BP43" i="30"/>
  <c r="AB19" i="30"/>
  <c r="W19" i="30"/>
  <c r="E33" i="30" a="1"/>
  <c r="E33" i="30"/>
  <c r="F33" i="30" a="1"/>
  <c r="F33" i="30"/>
  <c r="G33" i="30" a="1"/>
  <c r="H33" i="30" a="1"/>
  <c r="I33" i="30" a="1"/>
  <c r="J33" i="30" a="1"/>
  <c r="K33" i="30" a="1"/>
  <c r="L33" i="30" a="1"/>
  <c r="M33" i="30" a="1"/>
  <c r="N33" i="30" a="1"/>
  <c r="O33" i="30" a="1"/>
  <c r="P33" i="30" a="1"/>
  <c r="Q33" i="30" a="1"/>
  <c r="R33" i="30" a="1"/>
  <c r="S33" i="30" a="1"/>
  <c r="T33" i="30" a="1"/>
  <c r="U33" i="30" a="1"/>
  <c r="V33" i="30" a="1"/>
  <c r="W33" i="30" a="1"/>
  <c r="X33" i="30" a="1"/>
  <c r="Y33" i="30" a="1"/>
  <c r="Z33" i="30" a="1"/>
  <c r="AA33" i="30" a="1"/>
  <c r="AB33" i="30" a="1"/>
  <c r="AC33" i="30" a="1"/>
  <c r="AD33" i="30" a="1"/>
  <c r="AE33" i="30" a="1"/>
  <c r="AF33" i="30" a="1"/>
  <c r="AG33" i="30" a="1"/>
  <c r="AH33" i="30" a="1"/>
  <c r="AI33" i="30" a="1"/>
  <c r="AJ33" i="30" a="1"/>
  <c r="AK33" i="30" a="1"/>
  <c r="AL33" i="30" a="1"/>
  <c r="AM33" i="30" a="1"/>
  <c r="AN33" i="30" a="1"/>
  <c r="AO33" i="30" a="1"/>
  <c r="AP33" i="30" a="1"/>
  <c r="AQ33" i="30" a="1"/>
  <c r="AR33" i="30" a="1"/>
  <c r="AS33" i="30" a="1"/>
  <c r="AT33" i="30" a="1"/>
  <c r="AU33" i="30" a="1"/>
  <c r="AV33" i="30" a="1"/>
  <c r="AW33" i="30" a="1"/>
  <c r="AX33" i="30" a="1"/>
  <c r="AY33" i="30" a="1"/>
  <c r="AZ33" i="30" a="1"/>
  <c r="BA33" i="30" a="1"/>
  <c r="BB33" i="30" a="1"/>
  <c r="BC33" i="30" a="1"/>
  <c r="BD33" i="30" a="1"/>
  <c r="BE33" i="30" a="1"/>
  <c r="BF33" i="30" a="1"/>
  <c r="BG33" i="30" a="1"/>
  <c r="BH33" i="30" a="1"/>
  <c r="BI33" i="30" a="1"/>
  <c r="BJ33" i="30" a="1"/>
  <c r="BK33" i="30" a="1"/>
  <c r="BL33" i="30" a="1"/>
  <c r="BM33" i="30" a="1"/>
  <c r="BN33" i="30" a="1"/>
  <c r="BO33" i="30" a="1"/>
  <c r="BP33" i="30" a="1"/>
  <c r="G33" i="30"/>
  <c r="H33" i="30"/>
  <c r="I33" i="30"/>
  <c r="J33" i="30"/>
  <c r="K33" i="30"/>
  <c r="L33" i="30"/>
  <c r="M33" i="30"/>
  <c r="N33" i="30"/>
  <c r="O33" i="30"/>
  <c r="P33" i="30"/>
  <c r="Q33" i="30"/>
  <c r="R33" i="30"/>
  <c r="S33" i="30"/>
  <c r="T33" i="30"/>
  <c r="U33" i="30"/>
  <c r="V33" i="30"/>
  <c r="W33" i="30"/>
  <c r="X33" i="30"/>
  <c r="Y33" i="30"/>
  <c r="Z33" i="30"/>
  <c r="AA33" i="30"/>
  <c r="AB33" i="30"/>
  <c r="AC33" i="30"/>
  <c r="AD33" i="30"/>
  <c r="AE33" i="30"/>
  <c r="AF33" i="30"/>
  <c r="AG33" i="30"/>
  <c r="AH33" i="30"/>
  <c r="AI33" i="30"/>
  <c r="AJ33" i="30"/>
  <c r="AK33" i="30"/>
  <c r="AL33" i="30"/>
  <c r="AM33" i="30"/>
  <c r="AN33" i="30"/>
  <c r="AO33" i="30"/>
  <c r="AP33" i="30"/>
  <c r="AQ33" i="30"/>
  <c r="AR33" i="30"/>
  <c r="AS33" i="30"/>
  <c r="AT33" i="30"/>
  <c r="AU33" i="30"/>
  <c r="AV33" i="30"/>
  <c r="AW33" i="30"/>
  <c r="AX33" i="30"/>
  <c r="AY33" i="30"/>
  <c r="AZ33" i="30"/>
  <c r="BA33" i="30"/>
  <c r="BB33" i="30"/>
  <c r="BC33" i="30"/>
  <c r="BD33" i="30"/>
  <c r="BE33" i="30"/>
  <c r="BF33" i="30"/>
  <c r="BG33" i="30"/>
  <c r="BH33" i="30"/>
  <c r="BI33" i="30"/>
  <c r="BJ33" i="30"/>
  <c r="BK33" i="30"/>
  <c r="BL33" i="30"/>
  <c r="BM33" i="30"/>
  <c r="BN33" i="30"/>
  <c r="BO33" i="30"/>
  <c r="BP33" i="30"/>
  <c r="AA20" i="30"/>
  <c r="E44" i="30" a="1"/>
  <c r="E44" i="30"/>
  <c r="F44" i="30" a="1"/>
  <c r="F44" i="30"/>
  <c r="G44" i="30" a="1"/>
  <c r="H44" i="30" a="1"/>
  <c r="I44" i="30" a="1"/>
  <c r="J44" i="30" a="1"/>
  <c r="K44" i="30" a="1"/>
  <c r="L44" i="30" a="1"/>
  <c r="M44" i="30" a="1"/>
  <c r="N44" i="30" a="1"/>
  <c r="O44" i="30" a="1"/>
  <c r="P44" i="30" a="1"/>
  <c r="Q44" i="30" a="1"/>
  <c r="R44" i="30" a="1"/>
  <c r="S44" i="30" a="1"/>
  <c r="T44" i="30" a="1"/>
  <c r="U44" i="30" a="1"/>
  <c r="V44" i="30" a="1"/>
  <c r="W44" i="30" a="1"/>
  <c r="X44" i="30" a="1"/>
  <c r="Y44" i="30" a="1"/>
  <c r="Z44" i="30" a="1"/>
  <c r="AA44" i="30" a="1"/>
  <c r="AB44" i="30" a="1"/>
  <c r="AC44" i="30" a="1"/>
  <c r="AD44" i="30" a="1"/>
  <c r="AE44" i="30" a="1"/>
  <c r="AF44" i="30" a="1"/>
  <c r="AG44" i="30" a="1"/>
  <c r="AH44" i="30" a="1"/>
  <c r="AI44" i="30" a="1"/>
  <c r="AJ44" i="30" a="1"/>
  <c r="AK44" i="30" a="1"/>
  <c r="AL44" i="30" a="1"/>
  <c r="AM44" i="30" a="1"/>
  <c r="AN44" i="30" a="1"/>
  <c r="AO44" i="30" a="1"/>
  <c r="AP44" i="30" a="1"/>
  <c r="AQ44" i="30" a="1"/>
  <c r="AR44" i="30" a="1"/>
  <c r="AS44" i="30" a="1"/>
  <c r="AT44" i="30" a="1"/>
  <c r="AU44" i="30" a="1"/>
  <c r="AV44" i="30" a="1"/>
  <c r="AW44" i="30" a="1"/>
  <c r="AX44" i="30" a="1"/>
  <c r="AY44" i="30" a="1"/>
  <c r="AZ44" i="30" a="1"/>
  <c r="BA44" i="30" a="1"/>
  <c r="BB44" i="30" a="1"/>
  <c r="BC44" i="30" a="1"/>
  <c r="BD44" i="30" a="1"/>
  <c r="BE44" i="30" a="1"/>
  <c r="BF44" i="30" a="1"/>
  <c r="BG44" i="30" a="1"/>
  <c r="BH44" i="30" a="1"/>
  <c r="BI44" i="30" a="1"/>
  <c r="BJ44" i="30" a="1"/>
  <c r="BK44" i="30" a="1"/>
  <c r="BL44" i="30" a="1"/>
  <c r="BM44" i="30" a="1"/>
  <c r="BN44" i="30" a="1"/>
  <c r="BO44" i="30" a="1"/>
  <c r="BP44" i="30" a="1"/>
  <c r="G44" i="30"/>
  <c r="H44" i="30"/>
  <c r="I44" i="30"/>
  <c r="J44" i="30"/>
  <c r="K44" i="30"/>
  <c r="L44" i="30"/>
  <c r="M44" i="30"/>
  <c r="N44" i="30"/>
  <c r="O44" i="30"/>
  <c r="P44" i="30"/>
  <c r="Q44" i="30"/>
  <c r="R44" i="30"/>
  <c r="S44" i="30"/>
  <c r="T44" i="30"/>
  <c r="U44" i="30"/>
  <c r="V44" i="30"/>
  <c r="W44" i="30"/>
  <c r="X44" i="30"/>
  <c r="Y44" i="30"/>
  <c r="Z44" i="30"/>
  <c r="AA44" i="30"/>
  <c r="AB44" i="30"/>
  <c r="AC44" i="30"/>
  <c r="AD44" i="30"/>
  <c r="AE44" i="30"/>
  <c r="AF44" i="30"/>
  <c r="AG44" i="30"/>
  <c r="AH44" i="30"/>
  <c r="AI44" i="30"/>
  <c r="AJ44" i="30"/>
  <c r="AK44" i="30"/>
  <c r="AL44" i="30"/>
  <c r="AM44" i="30"/>
  <c r="AN44" i="30"/>
  <c r="AO44" i="30"/>
  <c r="AP44" i="30"/>
  <c r="AQ44" i="30"/>
  <c r="AR44" i="30"/>
  <c r="AS44" i="30"/>
  <c r="AT44" i="30"/>
  <c r="AU44" i="30"/>
  <c r="AV44" i="30"/>
  <c r="AW44" i="30"/>
  <c r="AX44" i="30"/>
  <c r="AY44" i="30"/>
  <c r="AZ44" i="30"/>
  <c r="BA44" i="30"/>
  <c r="BB44" i="30"/>
  <c r="BC44" i="30"/>
  <c r="BD44" i="30"/>
  <c r="BE44" i="30"/>
  <c r="BF44" i="30"/>
  <c r="BG44" i="30"/>
  <c r="BH44" i="30"/>
  <c r="BI44" i="30"/>
  <c r="BJ44" i="30"/>
  <c r="BK44" i="30"/>
  <c r="BL44" i="30"/>
  <c r="BM44" i="30"/>
  <c r="BN44" i="30"/>
  <c r="BO44" i="30"/>
  <c r="BP44" i="30"/>
  <c r="AB20" i="30"/>
  <c r="W20" i="30"/>
  <c r="E34" i="30" a="1"/>
  <c r="E34" i="30"/>
  <c r="F34" i="30" a="1"/>
  <c r="F34" i="30"/>
  <c r="G34" i="30" a="1"/>
  <c r="H34" i="30" a="1"/>
  <c r="I34" i="30" a="1"/>
  <c r="J34" i="30" a="1"/>
  <c r="K34" i="30" a="1"/>
  <c r="L34" i="30" a="1"/>
  <c r="M34" i="30" a="1"/>
  <c r="N34" i="30" a="1"/>
  <c r="O34" i="30" a="1"/>
  <c r="P34" i="30" a="1"/>
  <c r="Q34" i="30" a="1"/>
  <c r="R34" i="30" a="1"/>
  <c r="S34" i="30" a="1"/>
  <c r="T34" i="30" a="1"/>
  <c r="U34" i="30" a="1"/>
  <c r="V34" i="30" a="1"/>
  <c r="W34" i="30" a="1"/>
  <c r="X34" i="30" a="1"/>
  <c r="Y34" i="30" a="1"/>
  <c r="Z34" i="30" a="1"/>
  <c r="AA34" i="30" a="1"/>
  <c r="AB34" i="30" a="1"/>
  <c r="AC34" i="30" a="1"/>
  <c r="AD34" i="30" a="1"/>
  <c r="AE34" i="30" a="1"/>
  <c r="AF34" i="30" a="1"/>
  <c r="AG34" i="30" a="1"/>
  <c r="AH34" i="30" a="1"/>
  <c r="AI34" i="30" a="1"/>
  <c r="AJ34" i="30" a="1"/>
  <c r="AK34" i="30" a="1"/>
  <c r="AL34" i="30" a="1"/>
  <c r="AM34" i="30" a="1"/>
  <c r="AN34" i="30" a="1"/>
  <c r="AO34" i="30" a="1"/>
  <c r="AP34" i="30" a="1"/>
  <c r="AQ34" i="30" a="1"/>
  <c r="AR34" i="30" a="1"/>
  <c r="AS34" i="30" a="1"/>
  <c r="AT34" i="30" a="1"/>
  <c r="AU34" i="30" a="1"/>
  <c r="AV34" i="30" a="1"/>
  <c r="AW34" i="30" a="1"/>
  <c r="AX34" i="30" a="1"/>
  <c r="AY34" i="30" a="1"/>
  <c r="AZ34" i="30" a="1"/>
  <c r="BA34" i="30" a="1"/>
  <c r="BB34" i="30" a="1"/>
  <c r="BC34" i="30" a="1"/>
  <c r="BD34" i="30" a="1"/>
  <c r="BE34" i="30" a="1"/>
  <c r="BF34" i="30" a="1"/>
  <c r="BG34" i="30" a="1"/>
  <c r="BH34" i="30" a="1"/>
  <c r="BI34" i="30" a="1"/>
  <c r="BJ34" i="30" a="1"/>
  <c r="BK34" i="30" a="1"/>
  <c r="BL34" i="30" a="1"/>
  <c r="BM34" i="30" a="1"/>
  <c r="BN34" i="30" a="1"/>
  <c r="BO34" i="30" a="1"/>
  <c r="BP34" i="30" a="1"/>
  <c r="G34" i="30"/>
  <c r="H34" i="30"/>
  <c r="I34" i="30"/>
  <c r="J34" i="30"/>
  <c r="K34" i="30"/>
  <c r="L34" i="30"/>
  <c r="M34" i="30"/>
  <c r="N34" i="30"/>
  <c r="O34" i="30"/>
  <c r="P34" i="30"/>
  <c r="Q34" i="30"/>
  <c r="R34" i="30"/>
  <c r="S34" i="30"/>
  <c r="T34" i="30"/>
  <c r="U34" i="30"/>
  <c r="V34" i="30"/>
  <c r="W34" i="30"/>
  <c r="X34" i="30"/>
  <c r="Y34" i="30"/>
  <c r="Z34" i="30"/>
  <c r="AA34" i="30"/>
  <c r="AB34" i="30"/>
  <c r="AC34" i="30"/>
  <c r="AD34" i="30"/>
  <c r="AE34" i="30"/>
  <c r="AF34" i="30"/>
  <c r="AG34" i="30"/>
  <c r="AH34" i="30"/>
  <c r="AI34" i="30"/>
  <c r="AJ34" i="30"/>
  <c r="AK34" i="30"/>
  <c r="AL34" i="30"/>
  <c r="AM34" i="30"/>
  <c r="AN34" i="30"/>
  <c r="AO34" i="30"/>
  <c r="AP34" i="30"/>
  <c r="AQ34" i="30"/>
  <c r="AR34" i="30"/>
  <c r="AS34" i="30"/>
  <c r="AT34" i="30"/>
  <c r="AU34" i="30"/>
  <c r="AV34" i="30"/>
  <c r="AW34" i="30"/>
  <c r="AX34" i="30"/>
  <c r="AY34" i="30"/>
  <c r="AZ34" i="30"/>
  <c r="BA34" i="30"/>
  <c r="BB34" i="30"/>
  <c r="BC34" i="30"/>
  <c r="BD34" i="30"/>
  <c r="BE34" i="30"/>
  <c r="BF34" i="30"/>
  <c r="BG34" i="30"/>
  <c r="BH34" i="30"/>
  <c r="BI34" i="30"/>
  <c r="BJ34" i="30"/>
  <c r="BK34" i="30"/>
  <c r="BL34" i="30"/>
  <c r="BM34" i="30"/>
  <c r="BN34" i="30"/>
  <c r="BO34" i="30"/>
  <c r="BP34" i="30"/>
  <c r="AA21" i="30"/>
  <c r="E45" i="30" a="1"/>
  <c r="E45" i="30"/>
  <c r="F45" i="30" a="1"/>
  <c r="F45" i="30"/>
  <c r="G45" i="30" a="1"/>
  <c r="H45" i="30" a="1"/>
  <c r="I45" i="30" a="1"/>
  <c r="J45" i="30" a="1"/>
  <c r="K45" i="30" a="1"/>
  <c r="L45" i="30" a="1"/>
  <c r="M45" i="30" a="1"/>
  <c r="N45" i="30" a="1"/>
  <c r="O45" i="30" a="1"/>
  <c r="P45" i="30" a="1"/>
  <c r="Q45" i="30" a="1"/>
  <c r="R45" i="30" a="1"/>
  <c r="S45" i="30" a="1"/>
  <c r="T45" i="30" a="1"/>
  <c r="U45" i="30" a="1"/>
  <c r="V45" i="30" a="1"/>
  <c r="W45" i="30" a="1"/>
  <c r="X45" i="30" a="1"/>
  <c r="Y45" i="30" a="1"/>
  <c r="Z45" i="30" a="1"/>
  <c r="AA45" i="30" a="1"/>
  <c r="AB45" i="30" a="1"/>
  <c r="AC45" i="30" a="1"/>
  <c r="AD45" i="30" a="1"/>
  <c r="AE45" i="30" a="1"/>
  <c r="AF45" i="30" a="1"/>
  <c r="AG45" i="30" a="1"/>
  <c r="AH45" i="30" a="1"/>
  <c r="AI45" i="30" a="1"/>
  <c r="AJ45" i="30" a="1"/>
  <c r="AK45" i="30" a="1"/>
  <c r="AL45" i="30" a="1"/>
  <c r="AM45" i="30" a="1"/>
  <c r="AN45" i="30" a="1"/>
  <c r="AO45" i="30" a="1"/>
  <c r="AP45" i="30" a="1"/>
  <c r="AQ45" i="30" a="1"/>
  <c r="AR45" i="30" a="1"/>
  <c r="AS45" i="30" a="1"/>
  <c r="AT45" i="30" a="1"/>
  <c r="AU45" i="30" a="1"/>
  <c r="AV45" i="30" a="1"/>
  <c r="AW45" i="30" a="1"/>
  <c r="AX45" i="30" a="1"/>
  <c r="AY45" i="30" a="1"/>
  <c r="AZ45" i="30" a="1"/>
  <c r="BA45" i="30" a="1"/>
  <c r="BB45" i="30" a="1"/>
  <c r="BC45" i="30" a="1"/>
  <c r="BD45" i="30" a="1"/>
  <c r="BE45" i="30" a="1"/>
  <c r="BF45" i="30" a="1"/>
  <c r="BG45" i="30" a="1"/>
  <c r="BH45" i="30" a="1"/>
  <c r="BI45" i="30" a="1"/>
  <c r="BJ45" i="30" a="1"/>
  <c r="BK45" i="30" a="1"/>
  <c r="BL45" i="30" a="1"/>
  <c r="BM45" i="30" a="1"/>
  <c r="BN45" i="30" a="1"/>
  <c r="BO45" i="30" a="1"/>
  <c r="BP45" i="30" a="1"/>
  <c r="G45" i="30"/>
  <c r="H45" i="30"/>
  <c r="I45" i="30"/>
  <c r="J45" i="30"/>
  <c r="K45" i="30"/>
  <c r="L45" i="30"/>
  <c r="M45" i="30"/>
  <c r="N45" i="30"/>
  <c r="O45" i="30"/>
  <c r="P45" i="30"/>
  <c r="Q45" i="30"/>
  <c r="R45" i="30"/>
  <c r="S45" i="30"/>
  <c r="T45" i="30"/>
  <c r="U45" i="30"/>
  <c r="V45" i="30"/>
  <c r="W45" i="30"/>
  <c r="X45" i="30"/>
  <c r="Y45" i="30"/>
  <c r="Z45" i="30"/>
  <c r="AA45" i="30"/>
  <c r="AB45" i="30"/>
  <c r="AC45" i="30"/>
  <c r="AD45" i="30"/>
  <c r="AE45" i="30"/>
  <c r="AF45" i="30"/>
  <c r="AG45" i="30"/>
  <c r="AH45" i="30"/>
  <c r="AI45" i="30"/>
  <c r="AJ45" i="30"/>
  <c r="AK45" i="30"/>
  <c r="AL45" i="30"/>
  <c r="AM45" i="30"/>
  <c r="AN45" i="30"/>
  <c r="AO45" i="30"/>
  <c r="AP45" i="30"/>
  <c r="AQ45" i="30"/>
  <c r="AR45" i="30"/>
  <c r="AS45" i="30"/>
  <c r="AT45" i="30"/>
  <c r="AU45" i="30"/>
  <c r="AV45" i="30"/>
  <c r="AW45" i="30"/>
  <c r="AX45" i="30"/>
  <c r="AY45" i="30"/>
  <c r="AZ45" i="30"/>
  <c r="BA45" i="30"/>
  <c r="BB45" i="30"/>
  <c r="BC45" i="30"/>
  <c r="BD45" i="30"/>
  <c r="BE45" i="30"/>
  <c r="BF45" i="30"/>
  <c r="BG45" i="30"/>
  <c r="BH45" i="30"/>
  <c r="BI45" i="30"/>
  <c r="BJ45" i="30"/>
  <c r="BK45" i="30"/>
  <c r="BL45" i="30"/>
  <c r="BM45" i="30"/>
  <c r="BN45" i="30"/>
  <c r="BO45" i="30"/>
  <c r="BP45" i="30"/>
  <c r="AB21" i="30"/>
  <c r="W21" i="30"/>
  <c r="E35" i="30" a="1"/>
  <c r="E35" i="30"/>
  <c r="F35" i="30" a="1"/>
  <c r="F35" i="30"/>
  <c r="G35" i="30" a="1"/>
  <c r="H35" i="30" a="1"/>
  <c r="I35" i="30" a="1"/>
  <c r="J35" i="30" a="1"/>
  <c r="K35" i="30" a="1"/>
  <c r="L35" i="30" a="1"/>
  <c r="M35" i="30" a="1"/>
  <c r="N35" i="30" a="1"/>
  <c r="O35" i="30" a="1"/>
  <c r="P35" i="30" a="1"/>
  <c r="Q35" i="30" a="1"/>
  <c r="R35" i="30" a="1"/>
  <c r="S35" i="30" a="1"/>
  <c r="T35" i="30" a="1"/>
  <c r="U35" i="30" a="1"/>
  <c r="V35" i="30" a="1"/>
  <c r="W35" i="30" a="1"/>
  <c r="X35" i="30" a="1"/>
  <c r="Y35" i="30" a="1"/>
  <c r="Z35" i="30" a="1"/>
  <c r="AA35" i="30" a="1"/>
  <c r="AB35" i="30" a="1"/>
  <c r="AC35" i="30" a="1"/>
  <c r="AD35" i="30" a="1"/>
  <c r="AE35" i="30" a="1"/>
  <c r="AF35" i="30" a="1"/>
  <c r="AG35" i="30" a="1"/>
  <c r="AH35" i="30" a="1"/>
  <c r="AI35" i="30" a="1"/>
  <c r="AJ35" i="30" a="1"/>
  <c r="AK35" i="30" a="1"/>
  <c r="AL35" i="30" a="1"/>
  <c r="AM35" i="30" a="1"/>
  <c r="AN35" i="30" a="1"/>
  <c r="AO35" i="30" a="1"/>
  <c r="AP35" i="30" a="1"/>
  <c r="AQ35" i="30" a="1"/>
  <c r="AR35" i="30" a="1"/>
  <c r="AS35" i="30" a="1"/>
  <c r="AT35" i="30" a="1"/>
  <c r="AU35" i="30" a="1"/>
  <c r="AV35" i="30" a="1"/>
  <c r="AW35" i="30" a="1"/>
  <c r="AX35" i="30" a="1"/>
  <c r="AY35" i="30" a="1"/>
  <c r="AZ35" i="30" a="1"/>
  <c r="BA35" i="30" a="1"/>
  <c r="BB35" i="30" a="1"/>
  <c r="BC35" i="30" a="1"/>
  <c r="BD35" i="30" a="1"/>
  <c r="BE35" i="30" a="1"/>
  <c r="BF35" i="30" a="1"/>
  <c r="BG35" i="30" a="1"/>
  <c r="BH35" i="30" a="1"/>
  <c r="BI35" i="30" a="1"/>
  <c r="BJ35" i="30" a="1"/>
  <c r="BK35" i="30" a="1"/>
  <c r="BL35" i="30" a="1"/>
  <c r="BM35" i="30" a="1"/>
  <c r="BN35" i="30" a="1"/>
  <c r="BO35" i="30" a="1"/>
  <c r="BP35" i="30" a="1"/>
  <c r="G35" i="30"/>
  <c r="H35" i="30"/>
  <c r="I35" i="30"/>
  <c r="J35" i="30"/>
  <c r="K35" i="30"/>
  <c r="L35" i="30"/>
  <c r="M35" i="30"/>
  <c r="N35" i="30"/>
  <c r="O35" i="30"/>
  <c r="P35" i="30"/>
  <c r="Q35" i="30"/>
  <c r="R35" i="30"/>
  <c r="S35" i="30"/>
  <c r="T35" i="30"/>
  <c r="U35" i="30"/>
  <c r="V35" i="30"/>
  <c r="W35" i="30"/>
  <c r="X35" i="30"/>
  <c r="Y35" i="30"/>
  <c r="Z35" i="30"/>
  <c r="AA35" i="30"/>
  <c r="AB35" i="30"/>
  <c r="AC35" i="30"/>
  <c r="AD35" i="30"/>
  <c r="AE35" i="30"/>
  <c r="AF35" i="30"/>
  <c r="AG35" i="30"/>
  <c r="AH35" i="30"/>
  <c r="AI35" i="30"/>
  <c r="AJ35" i="30"/>
  <c r="AK35" i="30"/>
  <c r="AL35" i="30"/>
  <c r="AM35" i="30"/>
  <c r="AN35" i="30"/>
  <c r="AO35" i="30"/>
  <c r="AP35" i="30"/>
  <c r="AQ35" i="30"/>
  <c r="AR35" i="30"/>
  <c r="AS35" i="30"/>
  <c r="AT35" i="30"/>
  <c r="AU35" i="30"/>
  <c r="AV35" i="30"/>
  <c r="AW35" i="30"/>
  <c r="AX35" i="30"/>
  <c r="AY35" i="30"/>
  <c r="AZ35" i="30"/>
  <c r="BA35" i="30"/>
  <c r="BB35" i="30"/>
  <c r="BC35" i="30"/>
  <c r="BD35" i="30"/>
  <c r="BE35" i="30"/>
  <c r="BF35" i="30"/>
  <c r="BG35" i="30"/>
  <c r="BH35" i="30"/>
  <c r="BI35" i="30"/>
  <c r="BJ35" i="30"/>
  <c r="BK35" i="30"/>
  <c r="BL35" i="30"/>
  <c r="BM35" i="30"/>
  <c r="BN35" i="30"/>
  <c r="BO35" i="30"/>
  <c r="BP35" i="30"/>
  <c r="AA22" i="30"/>
  <c r="E46" i="30" a="1"/>
  <c r="E46" i="30"/>
  <c r="F46" i="30" a="1"/>
  <c r="F46" i="30"/>
  <c r="G46" i="30" a="1"/>
  <c r="H46" i="30" a="1"/>
  <c r="I46" i="30" a="1"/>
  <c r="J46" i="30" a="1"/>
  <c r="K46" i="30" a="1"/>
  <c r="L46" i="30" a="1"/>
  <c r="M46" i="30" a="1"/>
  <c r="N46" i="30" a="1"/>
  <c r="O46" i="30" a="1"/>
  <c r="P46" i="30" a="1"/>
  <c r="Q46" i="30" a="1"/>
  <c r="R46" i="30" a="1"/>
  <c r="S46" i="30" a="1"/>
  <c r="T46" i="30" a="1"/>
  <c r="U46" i="30" a="1"/>
  <c r="V46" i="30" a="1"/>
  <c r="W46" i="30" a="1"/>
  <c r="X46" i="30" a="1"/>
  <c r="Y46" i="30" a="1"/>
  <c r="Z46" i="30" a="1"/>
  <c r="AA46" i="30" a="1"/>
  <c r="AB46" i="30" a="1"/>
  <c r="AC46" i="30" a="1"/>
  <c r="AD46" i="30" a="1"/>
  <c r="AE46" i="30" a="1"/>
  <c r="AF46" i="30" a="1"/>
  <c r="AG46" i="30" a="1"/>
  <c r="AH46" i="30" a="1"/>
  <c r="AI46" i="30" a="1"/>
  <c r="AJ46" i="30" a="1"/>
  <c r="AK46" i="30" a="1"/>
  <c r="AL46" i="30" a="1"/>
  <c r="AM46" i="30" a="1"/>
  <c r="AN46" i="30" a="1"/>
  <c r="AO46" i="30" a="1"/>
  <c r="AP46" i="30" a="1"/>
  <c r="AQ46" i="30" a="1"/>
  <c r="AR46" i="30" a="1"/>
  <c r="AS46" i="30" a="1"/>
  <c r="AT46" i="30" a="1"/>
  <c r="AU46" i="30" a="1"/>
  <c r="AV46" i="30" a="1"/>
  <c r="AW46" i="30" a="1"/>
  <c r="AX46" i="30" a="1"/>
  <c r="AY46" i="30" a="1"/>
  <c r="AZ46" i="30" a="1"/>
  <c r="BA46" i="30" a="1"/>
  <c r="BB46" i="30" a="1"/>
  <c r="BC46" i="30" a="1"/>
  <c r="BD46" i="30" a="1"/>
  <c r="BE46" i="30" a="1"/>
  <c r="BF46" i="30" a="1"/>
  <c r="BG46" i="30" a="1"/>
  <c r="BH46" i="30" a="1"/>
  <c r="BI46" i="30" a="1"/>
  <c r="BJ46" i="30" a="1"/>
  <c r="BK46" i="30" a="1"/>
  <c r="BL46" i="30" a="1"/>
  <c r="BM46" i="30" a="1"/>
  <c r="BN46" i="30" a="1"/>
  <c r="BO46" i="30" a="1"/>
  <c r="BP46" i="30" a="1"/>
  <c r="G46" i="30"/>
  <c r="H46" i="30"/>
  <c r="I46" i="30"/>
  <c r="J46" i="30"/>
  <c r="K46" i="30"/>
  <c r="L46" i="30"/>
  <c r="M46" i="30"/>
  <c r="N46" i="30"/>
  <c r="O46" i="30"/>
  <c r="P46" i="30"/>
  <c r="Q46" i="30"/>
  <c r="R46" i="30"/>
  <c r="S46" i="30"/>
  <c r="T46" i="30"/>
  <c r="U46" i="30"/>
  <c r="V46" i="30"/>
  <c r="W46" i="30"/>
  <c r="X46" i="30"/>
  <c r="Y46" i="30"/>
  <c r="Z46" i="30"/>
  <c r="AA46" i="30"/>
  <c r="AB46" i="30"/>
  <c r="AC46" i="30"/>
  <c r="AD46" i="30"/>
  <c r="AE46" i="30"/>
  <c r="AF46" i="30"/>
  <c r="AG46" i="30"/>
  <c r="AH46" i="30"/>
  <c r="AI46" i="30"/>
  <c r="AJ46" i="30"/>
  <c r="AK46" i="30"/>
  <c r="AL46" i="30"/>
  <c r="AM46" i="30"/>
  <c r="AN46" i="30"/>
  <c r="AO46" i="30"/>
  <c r="AP46" i="30"/>
  <c r="AQ46" i="30"/>
  <c r="AR46" i="30"/>
  <c r="AS46" i="30"/>
  <c r="AT46" i="30"/>
  <c r="AU46" i="30"/>
  <c r="AV46" i="30"/>
  <c r="AW46" i="30"/>
  <c r="AX46" i="30"/>
  <c r="AY46" i="30"/>
  <c r="AZ46" i="30"/>
  <c r="BA46" i="30"/>
  <c r="BB46" i="30"/>
  <c r="BC46" i="30"/>
  <c r="BD46" i="30"/>
  <c r="BE46" i="30"/>
  <c r="BF46" i="30"/>
  <c r="BG46" i="30"/>
  <c r="BH46" i="30"/>
  <c r="BI46" i="30"/>
  <c r="BJ46" i="30"/>
  <c r="BK46" i="30"/>
  <c r="BL46" i="30"/>
  <c r="BM46" i="30"/>
  <c r="BN46" i="30"/>
  <c r="BO46" i="30"/>
  <c r="BP46" i="30"/>
  <c r="AB22" i="30"/>
  <c r="W22" i="30"/>
  <c r="E36" i="30" a="1"/>
  <c r="E36" i="30"/>
  <c r="F36" i="30" a="1"/>
  <c r="F36" i="30"/>
  <c r="G36" i="30" a="1"/>
  <c r="H36" i="30" a="1"/>
  <c r="I36" i="30" a="1"/>
  <c r="J36" i="30" a="1"/>
  <c r="K36" i="30" a="1"/>
  <c r="L36" i="30" a="1"/>
  <c r="M36" i="30" a="1"/>
  <c r="N36" i="30" a="1"/>
  <c r="O36" i="30" a="1"/>
  <c r="P36" i="30" a="1"/>
  <c r="Q36" i="30" a="1"/>
  <c r="R36" i="30" a="1"/>
  <c r="S36" i="30" a="1"/>
  <c r="T36" i="30" a="1"/>
  <c r="U36" i="30" a="1"/>
  <c r="V36" i="30" a="1"/>
  <c r="W36" i="30" a="1"/>
  <c r="X36" i="30" a="1"/>
  <c r="Y36" i="30" a="1"/>
  <c r="Z36" i="30" a="1"/>
  <c r="AA36" i="30" a="1"/>
  <c r="AB36" i="30" a="1"/>
  <c r="AC36" i="30" a="1"/>
  <c r="AD36" i="30" a="1"/>
  <c r="AE36" i="30" a="1"/>
  <c r="AF36" i="30" a="1"/>
  <c r="AG36" i="30" a="1"/>
  <c r="AH36" i="30" a="1"/>
  <c r="AI36" i="30" a="1"/>
  <c r="AJ36" i="30" a="1"/>
  <c r="AK36" i="30" a="1"/>
  <c r="AL36" i="30" a="1"/>
  <c r="AM36" i="30" a="1"/>
  <c r="AN36" i="30" a="1"/>
  <c r="AO36" i="30" a="1"/>
  <c r="AP36" i="30" a="1"/>
  <c r="AQ36" i="30" a="1"/>
  <c r="AR36" i="30" a="1"/>
  <c r="AS36" i="30" a="1"/>
  <c r="AT36" i="30" a="1"/>
  <c r="AU36" i="30" a="1"/>
  <c r="AV36" i="30" a="1"/>
  <c r="AW36" i="30" a="1"/>
  <c r="AX36" i="30" a="1"/>
  <c r="AY36" i="30" a="1"/>
  <c r="AZ36" i="30" a="1"/>
  <c r="BA36" i="30" a="1"/>
  <c r="BB36" i="30" a="1"/>
  <c r="BC36" i="30" a="1"/>
  <c r="BD36" i="30" a="1"/>
  <c r="BE36" i="30" a="1"/>
  <c r="BF36" i="30" a="1"/>
  <c r="BG36" i="30" a="1"/>
  <c r="BH36" i="30" a="1"/>
  <c r="BI36" i="30" a="1"/>
  <c r="BJ36" i="30" a="1"/>
  <c r="BK36" i="30" a="1"/>
  <c r="BL36" i="30" a="1"/>
  <c r="BM36" i="30" a="1"/>
  <c r="BN36" i="30" a="1"/>
  <c r="BO36" i="30" a="1"/>
  <c r="BP36" i="30" a="1"/>
  <c r="G36" i="30"/>
  <c r="H36" i="30"/>
  <c r="I36" i="30"/>
  <c r="J36" i="30"/>
  <c r="K36" i="30"/>
  <c r="L36" i="30"/>
  <c r="M36" i="30"/>
  <c r="N36" i="30"/>
  <c r="O36" i="30"/>
  <c r="P36" i="30"/>
  <c r="Q36" i="30"/>
  <c r="R36" i="30"/>
  <c r="S36" i="30"/>
  <c r="T36" i="30"/>
  <c r="U36" i="30"/>
  <c r="V36" i="30"/>
  <c r="W36" i="30"/>
  <c r="X36" i="30"/>
  <c r="Y36" i="30"/>
  <c r="Z36" i="30"/>
  <c r="AA36" i="30"/>
  <c r="AB36" i="30"/>
  <c r="AC36" i="30"/>
  <c r="AD36" i="30"/>
  <c r="AE36" i="30"/>
  <c r="AF36" i="30"/>
  <c r="AG36" i="30"/>
  <c r="AH36" i="30"/>
  <c r="AI36" i="30"/>
  <c r="AJ36" i="30"/>
  <c r="AK36" i="30"/>
  <c r="AL36" i="30"/>
  <c r="AM36" i="30"/>
  <c r="AN36" i="30"/>
  <c r="AO36" i="30"/>
  <c r="AP36" i="30"/>
  <c r="AQ36" i="30"/>
  <c r="AR36" i="30"/>
  <c r="AS36" i="30"/>
  <c r="AT36" i="30"/>
  <c r="AU36" i="30"/>
  <c r="AV36" i="30"/>
  <c r="AW36" i="30"/>
  <c r="AX36" i="30"/>
  <c r="AY36" i="30"/>
  <c r="AZ36" i="30"/>
  <c r="BA36" i="30"/>
  <c r="BB36" i="30"/>
  <c r="BC36" i="30"/>
  <c r="BD36" i="30"/>
  <c r="BE36" i="30"/>
  <c r="BF36" i="30"/>
  <c r="BG36" i="30"/>
  <c r="BH36" i="30"/>
  <c r="BI36" i="30"/>
  <c r="BJ36" i="30"/>
  <c r="BK36" i="30"/>
  <c r="BL36" i="30"/>
  <c r="BM36" i="30"/>
  <c r="BN36" i="30"/>
  <c r="BO36" i="30"/>
  <c r="BP36" i="30"/>
  <c r="AA23" i="30"/>
  <c r="E47" i="30" a="1"/>
  <c r="E47" i="30"/>
  <c r="F47" i="30" a="1"/>
  <c r="F47" i="30"/>
  <c r="G47" i="30" a="1"/>
  <c r="H47" i="30" a="1"/>
  <c r="I47" i="30" a="1"/>
  <c r="J47" i="30" a="1"/>
  <c r="K47" i="30" a="1"/>
  <c r="L47" i="30" a="1"/>
  <c r="M47" i="30" a="1"/>
  <c r="N47" i="30" a="1"/>
  <c r="O47" i="30" a="1"/>
  <c r="P47" i="30" a="1"/>
  <c r="Q47" i="30" a="1"/>
  <c r="R47" i="30" a="1"/>
  <c r="S47" i="30" a="1"/>
  <c r="T47" i="30" a="1"/>
  <c r="U47" i="30" a="1"/>
  <c r="V47" i="30" a="1"/>
  <c r="W47" i="30" a="1"/>
  <c r="X47" i="30" a="1"/>
  <c r="Y47" i="30" a="1"/>
  <c r="Z47" i="30" a="1"/>
  <c r="AA47" i="30" a="1"/>
  <c r="AB47" i="30" a="1"/>
  <c r="AC47" i="30" a="1"/>
  <c r="AD47" i="30" a="1"/>
  <c r="AE47" i="30" a="1"/>
  <c r="AF47" i="30" a="1"/>
  <c r="AG47" i="30" a="1"/>
  <c r="AH47" i="30" a="1"/>
  <c r="AI47" i="30" a="1"/>
  <c r="AJ47" i="30" a="1"/>
  <c r="AK47" i="30" a="1"/>
  <c r="AL47" i="30" a="1"/>
  <c r="AM47" i="30" a="1"/>
  <c r="AN47" i="30" a="1"/>
  <c r="AO47" i="30" a="1"/>
  <c r="AP47" i="30" a="1"/>
  <c r="AQ47" i="30" a="1"/>
  <c r="AR47" i="30" a="1"/>
  <c r="AS47" i="30" a="1"/>
  <c r="AT47" i="30" a="1"/>
  <c r="AU47" i="30" a="1"/>
  <c r="AV47" i="30" a="1"/>
  <c r="AW47" i="30" a="1"/>
  <c r="AX47" i="30" a="1"/>
  <c r="AY47" i="30" a="1"/>
  <c r="AZ47" i="30" a="1"/>
  <c r="BA47" i="30" a="1"/>
  <c r="BB47" i="30" a="1"/>
  <c r="BC47" i="30" a="1"/>
  <c r="BD47" i="30" a="1"/>
  <c r="BE47" i="30" a="1"/>
  <c r="BF47" i="30" a="1"/>
  <c r="BG47" i="30" a="1"/>
  <c r="BH47" i="30" a="1"/>
  <c r="BI47" i="30" a="1"/>
  <c r="BJ47" i="30" a="1"/>
  <c r="BK47" i="30" a="1"/>
  <c r="BL47" i="30" a="1"/>
  <c r="BM47" i="30" a="1"/>
  <c r="BN47" i="30" a="1"/>
  <c r="BO47" i="30" a="1"/>
  <c r="BP47" i="30" a="1"/>
  <c r="G47" i="30"/>
  <c r="H47" i="30"/>
  <c r="I47" i="30"/>
  <c r="J47" i="30"/>
  <c r="K47" i="30"/>
  <c r="L47" i="30"/>
  <c r="M47" i="30"/>
  <c r="N47" i="30"/>
  <c r="O47" i="30"/>
  <c r="P47" i="30"/>
  <c r="Q47" i="30"/>
  <c r="R47" i="30"/>
  <c r="S47" i="30"/>
  <c r="T47" i="30"/>
  <c r="U47" i="30"/>
  <c r="V47" i="30"/>
  <c r="W47" i="30"/>
  <c r="X47" i="30"/>
  <c r="Y47" i="30"/>
  <c r="Z47" i="30"/>
  <c r="AA47" i="30"/>
  <c r="AB47" i="30"/>
  <c r="AC47" i="30"/>
  <c r="AD47" i="30"/>
  <c r="AE47" i="30"/>
  <c r="AF47" i="30"/>
  <c r="AG47" i="30"/>
  <c r="AH47" i="30"/>
  <c r="AI47" i="30"/>
  <c r="AJ47" i="30"/>
  <c r="AK47" i="30"/>
  <c r="AL47" i="30"/>
  <c r="AM47" i="30"/>
  <c r="AN47" i="30"/>
  <c r="AO47" i="30"/>
  <c r="AP47" i="30"/>
  <c r="AQ47" i="30"/>
  <c r="AR47" i="30"/>
  <c r="AS47" i="30"/>
  <c r="AT47" i="30"/>
  <c r="AU47" i="30"/>
  <c r="AV47" i="30"/>
  <c r="AW47" i="30"/>
  <c r="AX47" i="30"/>
  <c r="AY47" i="30"/>
  <c r="AZ47" i="30"/>
  <c r="BA47" i="30"/>
  <c r="BB47" i="30"/>
  <c r="BC47" i="30"/>
  <c r="BD47" i="30"/>
  <c r="BE47" i="30"/>
  <c r="BF47" i="30"/>
  <c r="BG47" i="30"/>
  <c r="BH47" i="30"/>
  <c r="BI47" i="30"/>
  <c r="BJ47" i="30"/>
  <c r="BK47" i="30"/>
  <c r="BL47" i="30"/>
  <c r="BM47" i="30"/>
  <c r="BN47" i="30"/>
  <c r="BO47" i="30"/>
  <c r="BP47" i="30"/>
  <c r="AB23" i="30"/>
  <c r="W23" i="30"/>
  <c r="E37" i="30" a="1"/>
  <c r="E37" i="30"/>
  <c r="F37" i="30" a="1"/>
  <c r="F37" i="30"/>
  <c r="G37" i="30" a="1"/>
  <c r="H37" i="30" a="1"/>
  <c r="I37" i="30" a="1"/>
  <c r="J37" i="30" a="1"/>
  <c r="K37" i="30" a="1"/>
  <c r="L37" i="30" a="1"/>
  <c r="M37" i="30" a="1"/>
  <c r="N37" i="30" a="1"/>
  <c r="O37" i="30" a="1"/>
  <c r="P37" i="30" a="1"/>
  <c r="Q37" i="30" a="1"/>
  <c r="R37" i="30" a="1"/>
  <c r="S37" i="30" a="1"/>
  <c r="T37" i="30" a="1"/>
  <c r="U37" i="30" a="1"/>
  <c r="V37" i="30" a="1"/>
  <c r="W37" i="30" a="1"/>
  <c r="X37" i="30" a="1"/>
  <c r="Y37" i="30" a="1"/>
  <c r="Z37" i="30" a="1"/>
  <c r="AA37" i="30" a="1"/>
  <c r="AB37" i="30" a="1"/>
  <c r="AC37" i="30" a="1"/>
  <c r="AD37" i="30" a="1"/>
  <c r="AE37" i="30" a="1"/>
  <c r="AF37" i="30" a="1"/>
  <c r="AG37" i="30" a="1"/>
  <c r="AH37" i="30" a="1"/>
  <c r="AI37" i="30" a="1"/>
  <c r="AJ37" i="30" a="1"/>
  <c r="AK37" i="30" a="1"/>
  <c r="AL37" i="30" a="1"/>
  <c r="AM37" i="30" a="1"/>
  <c r="AN37" i="30" a="1"/>
  <c r="AO37" i="30" a="1"/>
  <c r="AP37" i="30" a="1"/>
  <c r="AQ37" i="30" a="1"/>
  <c r="AR37" i="30" a="1"/>
  <c r="AS37" i="30" a="1"/>
  <c r="AT37" i="30" a="1"/>
  <c r="AU37" i="30" a="1"/>
  <c r="AV37" i="30" a="1"/>
  <c r="AW37" i="30" a="1"/>
  <c r="AX37" i="30" a="1"/>
  <c r="AY37" i="30" a="1"/>
  <c r="AZ37" i="30" a="1"/>
  <c r="BA37" i="30" a="1"/>
  <c r="BB37" i="30" a="1"/>
  <c r="BC37" i="30" a="1"/>
  <c r="BD37" i="30" a="1"/>
  <c r="BE37" i="30" a="1"/>
  <c r="BF37" i="30" a="1"/>
  <c r="BG37" i="30" a="1"/>
  <c r="BH37" i="30" a="1"/>
  <c r="BI37" i="30" a="1"/>
  <c r="BJ37" i="30" a="1"/>
  <c r="BK37" i="30" a="1"/>
  <c r="BL37" i="30" a="1"/>
  <c r="BM37" i="30" a="1"/>
  <c r="BN37" i="30" a="1"/>
  <c r="BO37" i="30" a="1"/>
  <c r="BP37" i="30" a="1"/>
  <c r="G37" i="30"/>
  <c r="H37" i="30"/>
  <c r="I37" i="30"/>
  <c r="J37" i="30"/>
  <c r="K37" i="30"/>
  <c r="L37" i="30"/>
  <c r="M37" i="30"/>
  <c r="N37" i="30"/>
  <c r="O37" i="30"/>
  <c r="P37" i="30"/>
  <c r="Q37" i="30"/>
  <c r="R37" i="30"/>
  <c r="S37" i="30"/>
  <c r="T37" i="30"/>
  <c r="U37" i="30"/>
  <c r="V37" i="30"/>
  <c r="W37" i="30"/>
  <c r="X37" i="30"/>
  <c r="Y37" i="30"/>
  <c r="Z37" i="30"/>
  <c r="AA37" i="30"/>
  <c r="AB37" i="30"/>
  <c r="AC37" i="30"/>
  <c r="AD37" i="30"/>
  <c r="AE37" i="30"/>
  <c r="AF37" i="30"/>
  <c r="AG37" i="30"/>
  <c r="AH37" i="30"/>
  <c r="AI37" i="30"/>
  <c r="AJ37" i="30"/>
  <c r="AK37" i="30"/>
  <c r="AL37" i="30"/>
  <c r="AM37" i="30"/>
  <c r="AN37" i="30"/>
  <c r="AO37" i="30"/>
  <c r="AP37" i="30"/>
  <c r="AQ37" i="30"/>
  <c r="AR37" i="30"/>
  <c r="AS37" i="30"/>
  <c r="AT37" i="30"/>
  <c r="AU37" i="30"/>
  <c r="AV37" i="30"/>
  <c r="AW37" i="30"/>
  <c r="AX37" i="30"/>
  <c r="AY37" i="30"/>
  <c r="AZ37" i="30"/>
  <c r="BA37" i="30"/>
  <c r="BB37" i="30"/>
  <c r="BC37" i="30"/>
  <c r="BD37" i="30"/>
  <c r="BE37" i="30"/>
  <c r="BF37" i="30"/>
  <c r="BG37" i="30"/>
  <c r="BH37" i="30"/>
  <c r="BI37" i="30"/>
  <c r="BJ37" i="30"/>
  <c r="BK37" i="30"/>
  <c r="BL37" i="30"/>
  <c r="BM37" i="30"/>
  <c r="BN37" i="30"/>
  <c r="BO37" i="30"/>
  <c r="BP37" i="30"/>
  <c r="AA24" i="30"/>
  <c r="E48" i="30" a="1"/>
  <c r="E48" i="30"/>
  <c r="F48" i="30" a="1"/>
  <c r="F48" i="30"/>
  <c r="G48" i="30" a="1"/>
  <c r="H48" i="30" a="1"/>
  <c r="I48" i="30" a="1"/>
  <c r="J48" i="30" a="1"/>
  <c r="K48" i="30" a="1"/>
  <c r="L48" i="30" a="1"/>
  <c r="M48" i="30" a="1"/>
  <c r="N48" i="30" a="1"/>
  <c r="O48" i="30" a="1"/>
  <c r="P48" i="30" a="1"/>
  <c r="Q48" i="30" a="1"/>
  <c r="R48" i="30" a="1"/>
  <c r="S48" i="30" a="1"/>
  <c r="T48" i="30" a="1"/>
  <c r="U48" i="30" a="1"/>
  <c r="V48" i="30" a="1"/>
  <c r="W48" i="30" a="1"/>
  <c r="X48" i="30" a="1"/>
  <c r="Y48" i="30" a="1"/>
  <c r="Z48" i="30" a="1"/>
  <c r="AA48" i="30" a="1"/>
  <c r="AB48" i="30" a="1"/>
  <c r="AC48" i="30" a="1"/>
  <c r="AD48" i="30" a="1"/>
  <c r="AE48" i="30" a="1"/>
  <c r="AF48" i="30" a="1"/>
  <c r="AG48" i="30" a="1"/>
  <c r="AH48" i="30" a="1"/>
  <c r="AI48" i="30" a="1"/>
  <c r="AJ48" i="30" a="1"/>
  <c r="AK48" i="30" a="1"/>
  <c r="AL48" i="30" a="1"/>
  <c r="AM48" i="30" a="1"/>
  <c r="AN48" i="30" a="1"/>
  <c r="AO48" i="30" a="1"/>
  <c r="AP48" i="30" a="1"/>
  <c r="AQ48" i="30" a="1"/>
  <c r="AR48" i="30" a="1"/>
  <c r="AS48" i="30" a="1"/>
  <c r="AT48" i="30" a="1"/>
  <c r="AU48" i="30" a="1"/>
  <c r="AV48" i="30" a="1"/>
  <c r="AW48" i="30" a="1"/>
  <c r="AX48" i="30" a="1"/>
  <c r="AY48" i="30" a="1"/>
  <c r="AZ48" i="30" a="1"/>
  <c r="BA48" i="30" a="1"/>
  <c r="BB48" i="30" a="1"/>
  <c r="BC48" i="30" a="1"/>
  <c r="BD48" i="30" a="1"/>
  <c r="BE48" i="30" a="1"/>
  <c r="BF48" i="30" a="1"/>
  <c r="BG48" i="30" a="1"/>
  <c r="BH48" i="30" a="1"/>
  <c r="BI48" i="30" a="1"/>
  <c r="BJ48" i="30" a="1"/>
  <c r="BK48" i="30" a="1"/>
  <c r="BL48" i="30" a="1"/>
  <c r="BM48" i="30" a="1"/>
  <c r="BN48" i="30" a="1"/>
  <c r="BO48" i="30" a="1"/>
  <c r="BP48" i="30" a="1"/>
  <c r="G48" i="30"/>
  <c r="H48" i="30"/>
  <c r="I48" i="30"/>
  <c r="J48" i="30"/>
  <c r="K48" i="30"/>
  <c r="L48" i="30"/>
  <c r="M48" i="30"/>
  <c r="N48" i="30"/>
  <c r="O48" i="30"/>
  <c r="P48" i="30"/>
  <c r="Q48" i="30"/>
  <c r="R48" i="30"/>
  <c r="S48" i="30"/>
  <c r="T48" i="30"/>
  <c r="U48" i="30"/>
  <c r="V48" i="30"/>
  <c r="W48" i="30"/>
  <c r="X48" i="30"/>
  <c r="Y48" i="30"/>
  <c r="Z48" i="30"/>
  <c r="AA48" i="30"/>
  <c r="AB48" i="30"/>
  <c r="AC48" i="30"/>
  <c r="AD48" i="30"/>
  <c r="AE48" i="30"/>
  <c r="AF48" i="30"/>
  <c r="AG48" i="30"/>
  <c r="AH48" i="30"/>
  <c r="AI48" i="30"/>
  <c r="AJ48" i="30"/>
  <c r="AK48" i="30"/>
  <c r="AL48" i="30"/>
  <c r="AM48" i="30"/>
  <c r="AN48" i="30"/>
  <c r="AO48" i="30"/>
  <c r="AP48" i="30"/>
  <c r="AQ48" i="30"/>
  <c r="AR48" i="30"/>
  <c r="AS48" i="30"/>
  <c r="AT48" i="30"/>
  <c r="AU48" i="30"/>
  <c r="AV48" i="30"/>
  <c r="AW48" i="30"/>
  <c r="AX48" i="30"/>
  <c r="AY48" i="30"/>
  <c r="AZ48" i="30"/>
  <c r="BA48" i="30"/>
  <c r="BB48" i="30"/>
  <c r="BC48" i="30"/>
  <c r="BD48" i="30"/>
  <c r="BE48" i="30"/>
  <c r="BF48" i="30"/>
  <c r="BG48" i="30"/>
  <c r="BH48" i="30"/>
  <c r="BI48" i="30"/>
  <c r="BJ48" i="30"/>
  <c r="BK48" i="30"/>
  <c r="BL48" i="30"/>
  <c r="BM48" i="30"/>
  <c r="BN48" i="30"/>
  <c r="BO48" i="30"/>
  <c r="BP48" i="30"/>
  <c r="AB24" i="30"/>
  <c r="W24" i="30"/>
  <c r="E38" i="30" a="1"/>
  <c r="E38" i="30"/>
  <c r="F38" i="30" a="1"/>
  <c r="F38" i="30"/>
  <c r="G38" i="30" a="1"/>
  <c r="H38" i="30" a="1"/>
  <c r="I38" i="30" a="1"/>
  <c r="J38" i="30" a="1"/>
  <c r="K38" i="30" a="1"/>
  <c r="L38" i="30" a="1"/>
  <c r="M38" i="30" a="1"/>
  <c r="N38" i="30" a="1"/>
  <c r="O38" i="30" a="1"/>
  <c r="P38" i="30" a="1"/>
  <c r="Q38" i="30" a="1"/>
  <c r="R38" i="30" a="1"/>
  <c r="S38" i="30" a="1"/>
  <c r="T38" i="30" a="1"/>
  <c r="U38" i="30" a="1"/>
  <c r="V38" i="30" a="1"/>
  <c r="W38" i="30" a="1"/>
  <c r="X38" i="30" a="1"/>
  <c r="Y38" i="30" a="1"/>
  <c r="Z38" i="30" a="1"/>
  <c r="AA38" i="30" a="1"/>
  <c r="AB38" i="30" a="1"/>
  <c r="AC38" i="30" a="1"/>
  <c r="AD38" i="30" a="1"/>
  <c r="AE38" i="30" a="1"/>
  <c r="AF38" i="30" a="1"/>
  <c r="AG38" i="30" a="1"/>
  <c r="AH38" i="30" a="1"/>
  <c r="AI38" i="30" a="1"/>
  <c r="AJ38" i="30" a="1"/>
  <c r="AK38" i="30" a="1"/>
  <c r="AL38" i="30" a="1"/>
  <c r="AM38" i="30" a="1"/>
  <c r="AN38" i="30" a="1"/>
  <c r="AO38" i="30" a="1"/>
  <c r="AP38" i="30" a="1"/>
  <c r="AQ38" i="30" a="1"/>
  <c r="AR38" i="30" a="1"/>
  <c r="AS38" i="30" a="1"/>
  <c r="AT38" i="30" a="1"/>
  <c r="AU38" i="30" a="1"/>
  <c r="AV38" i="30" a="1"/>
  <c r="AW38" i="30" a="1"/>
  <c r="AX38" i="30" a="1"/>
  <c r="AY38" i="30" a="1"/>
  <c r="AZ38" i="30" a="1"/>
  <c r="BA38" i="30" a="1"/>
  <c r="BB38" i="30" a="1"/>
  <c r="BC38" i="30" a="1"/>
  <c r="BD38" i="30" a="1"/>
  <c r="BE38" i="30" a="1"/>
  <c r="BF38" i="30" a="1"/>
  <c r="BG38" i="30" a="1"/>
  <c r="BH38" i="30" a="1"/>
  <c r="BI38" i="30" a="1"/>
  <c r="BJ38" i="30" a="1"/>
  <c r="BK38" i="30" a="1"/>
  <c r="BL38" i="30" a="1"/>
  <c r="BM38" i="30" a="1"/>
  <c r="BN38" i="30" a="1"/>
  <c r="BO38" i="30" a="1"/>
  <c r="BP38" i="30" a="1"/>
  <c r="G38" i="30"/>
  <c r="H38" i="30"/>
  <c r="I38" i="30"/>
  <c r="J38" i="30"/>
  <c r="K38" i="30"/>
  <c r="L38" i="30"/>
  <c r="M38" i="30"/>
  <c r="N38" i="30"/>
  <c r="O38" i="30"/>
  <c r="P38" i="30"/>
  <c r="Q38" i="30"/>
  <c r="R38" i="30"/>
  <c r="S38" i="30"/>
  <c r="T38" i="30"/>
  <c r="U38" i="30"/>
  <c r="V38" i="30"/>
  <c r="W38" i="30"/>
  <c r="X38" i="30"/>
  <c r="Y38" i="30"/>
  <c r="Z38" i="30"/>
  <c r="AA38" i="30"/>
  <c r="AB38" i="30"/>
  <c r="AC38" i="30"/>
  <c r="AD38" i="30"/>
  <c r="AE38" i="30"/>
  <c r="AF38" i="30"/>
  <c r="AG38" i="30"/>
  <c r="AH38" i="30"/>
  <c r="AI38" i="30"/>
  <c r="AJ38" i="30"/>
  <c r="AK38" i="30"/>
  <c r="AL38" i="30"/>
  <c r="AM38" i="30"/>
  <c r="AN38" i="30"/>
  <c r="AO38" i="30"/>
  <c r="AP38" i="30"/>
  <c r="AQ38" i="30"/>
  <c r="AR38" i="30"/>
  <c r="AS38" i="30"/>
  <c r="AT38" i="30"/>
  <c r="AU38" i="30"/>
  <c r="AV38" i="30"/>
  <c r="AW38" i="30"/>
  <c r="AX38" i="30"/>
  <c r="AY38" i="30"/>
  <c r="AZ38" i="30"/>
  <c r="BA38" i="30"/>
  <c r="BB38" i="30"/>
  <c r="BC38" i="30"/>
  <c r="BD38" i="30"/>
  <c r="BE38" i="30"/>
  <c r="BF38" i="30"/>
  <c r="BG38" i="30"/>
  <c r="BH38" i="30"/>
  <c r="BI38" i="30"/>
  <c r="BJ38" i="30"/>
  <c r="BK38" i="30"/>
  <c r="BL38" i="30"/>
  <c r="BM38" i="30"/>
  <c r="BN38" i="30"/>
  <c r="BO38" i="30"/>
  <c r="BP38" i="30"/>
  <c r="AA25" i="30"/>
  <c r="E49" i="30" a="1"/>
  <c r="E49" i="30"/>
  <c r="F49" i="30" a="1"/>
  <c r="F49" i="30"/>
  <c r="G49" i="30" a="1"/>
  <c r="H49" i="30" a="1"/>
  <c r="I49" i="30" a="1"/>
  <c r="J49" i="30" a="1"/>
  <c r="K49" i="30" a="1"/>
  <c r="L49" i="30" a="1"/>
  <c r="M49" i="30" a="1"/>
  <c r="N49" i="30" a="1"/>
  <c r="O49" i="30" a="1"/>
  <c r="P49" i="30" a="1"/>
  <c r="Q49" i="30" a="1"/>
  <c r="R49" i="30" a="1"/>
  <c r="S49" i="30" a="1"/>
  <c r="T49" i="30" a="1"/>
  <c r="U49" i="30" a="1"/>
  <c r="V49" i="30" a="1"/>
  <c r="W49" i="30" a="1"/>
  <c r="X49" i="30" a="1"/>
  <c r="Y49" i="30" a="1"/>
  <c r="Z49" i="30" a="1"/>
  <c r="AA49" i="30" a="1"/>
  <c r="AB49" i="30" a="1"/>
  <c r="AC49" i="30" a="1"/>
  <c r="AD49" i="30" a="1"/>
  <c r="AE49" i="30" a="1"/>
  <c r="AF49" i="30" a="1"/>
  <c r="AG49" i="30" a="1"/>
  <c r="AH49" i="30" a="1"/>
  <c r="AI49" i="30" a="1"/>
  <c r="AJ49" i="30" a="1"/>
  <c r="AK49" i="30" a="1"/>
  <c r="AL49" i="30" a="1"/>
  <c r="AM49" i="30" a="1"/>
  <c r="AN49" i="30" a="1"/>
  <c r="AO49" i="30" a="1"/>
  <c r="AP49" i="30" a="1"/>
  <c r="AQ49" i="30" a="1"/>
  <c r="AR49" i="30" a="1"/>
  <c r="AS49" i="30" a="1"/>
  <c r="AT49" i="30" a="1"/>
  <c r="AU49" i="30" a="1"/>
  <c r="AV49" i="30" a="1"/>
  <c r="AW49" i="30" a="1"/>
  <c r="AX49" i="30" a="1"/>
  <c r="AY49" i="30" a="1"/>
  <c r="AZ49" i="30" a="1"/>
  <c r="BA49" i="30" a="1"/>
  <c r="BB49" i="30" a="1"/>
  <c r="BC49" i="30" a="1"/>
  <c r="BD49" i="30" a="1"/>
  <c r="BE49" i="30" a="1"/>
  <c r="BF49" i="30" a="1"/>
  <c r="BG49" i="30" a="1"/>
  <c r="BH49" i="30" a="1"/>
  <c r="BI49" i="30" a="1"/>
  <c r="BJ49" i="30" a="1"/>
  <c r="BK49" i="30" a="1"/>
  <c r="BL49" i="30" a="1"/>
  <c r="BM49" i="30" a="1"/>
  <c r="BN49" i="30" a="1"/>
  <c r="BO49" i="30" a="1"/>
  <c r="BP49" i="30" a="1"/>
  <c r="G49" i="30"/>
  <c r="H49" i="30"/>
  <c r="I49" i="30"/>
  <c r="J49" i="30"/>
  <c r="K49" i="30"/>
  <c r="L49" i="30"/>
  <c r="M49" i="30"/>
  <c r="N49" i="30"/>
  <c r="O49" i="30"/>
  <c r="P49" i="30"/>
  <c r="Q49" i="30"/>
  <c r="R49" i="30"/>
  <c r="S49" i="30"/>
  <c r="T49" i="30"/>
  <c r="U49" i="30"/>
  <c r="V49" i="30"/>
  <c r="W49" i="30"/>
  <c r="X49" i="30"/>
  <c r="Y49" i="30"/>
  <c r="Z49" i="30"/>
  <c r="AA49" i="30"/>
  <c r="AB49" i="30"/>
  <c r="AC49" i="30"/>
  <c r="AD49" i="30"/>
  <c r="AE49" i="30"/>
  <c r="AF49" i="30"/>
  <c r="AG49" i="30"/>
  <c r="AH49" i="30"/>
  <c r="AI49" i="30"/>
  <c r="AJ49" i="30"/>
  <c r="AK49" i="30"/>
  <c r="AL49" i="30"/>
  <c r="AM49" i="30"/>
  <c r="AN49" i="30"/>
  <c r="AO49" i="30"/>
  <c r="AP49" i="30"/>
  <c r="AQ49" i="30"/>
  <c r="AR49" i="30"/>
  <c r="AS49" i="30"/>
  <c r="AT49" i="30"/>
  <c r="AU49" i="30"/>
  <c r="AV49" i="30"/>
  <c r="AW49" i="30"/>
  <c r="AX49" i="30"/>
  <c r="AY49" i="30"/>
  <c r="AZ49" i="30"/>
  <c r="BA49" i="30"/>
  <c r="BB49" i="30"/>
  <c r="BC49" i="30"/>
  <c r="BD49" i="30"/>
  <c r="BE49" i="30"/>
  <c r="BF49" i="30"/>
  <c r="BG49" i="30"/>
  <c r="BH49" i="30"/>
  <c r="BI49" i="30"/>
  <c r="BJ49" i="30"/>
  <c r="BK49" i="30"/>
  <c r="BL49" i="30"/>
  <c r="BM49" i="30"/>
  <c r="BN49" i="30"/>
  <c r="BO49" i="30"/>
  <c r="BP49" i="30"/>
  <c r="AB25" i="30"/>
  <c r="W25" i="30"/>
  <c r="AD17" i="30"/>
  <c r="Y17" i="30"/>
  <c r="X17" i="30"/>
  <c r="AD18" i="30"/>
  <c r="Y18" i="30"/>
  <c r="X18" i="30"/>
  <c r="AD19" i="30"/>
  <c r="Y19" i="30"/>
  <c r="X19" i="30"/>
  <c r="AD20" i="30"/>
  <c r="Y20" i="30"/>
  <c r="X20" i="30"/>
  <c r="X21" i="30"/>
  <c r="X22" i="30"/>
  <c r="X23" i="30"/>
  <c r="X24" i="30"/>
  <c r="X25" i="30"/>
  <c r="E4" i="30"/>
  <c r="D4" i="30"/>
  <c r="E5" i="30"/>
  <c r="D5" i="30"/>
  <c r="E6" i="30"/>
  <c r="D6" i="30"/>
  <c r="E7" i="30"/>
  <c r="D7" i="30"/>
  <c r="E8" i="30"/>
  <c r="D8" i="30"/>
  <c r="E9" i="30"/>
  <c r="D9" i="30"/>
  <c r="E10" i="30"/>
  <c r="D10" i="30"/>
  <c r="E11" i="30"/>
  <c r="D11" i="30"/>
  <c r="E12" i="30"/>
  <c r="D12" i="30"/>
  <c r="C4" i="30"/>
  <c r="C5" i="30"/>
  <c r="C6" i="30"/>
  <c r="C7" i="30"/>
  <c r="AV7" i="30"/>
  <c r="N7" i="30"/>
  <c r="AV6" i="30"/>
  <c r="N6" i="30"/>
  <c r="AV5" i="30"/>
  <c r="AV4" i="30"/>
  <c r="N5" i="30"/>
  <c r="N4" i="30"/>
  <c r="L4" i="29"/>
  <c r="M4" i="29"/>
  <c r="J4" i="29"/>
  <c r="AT4" i="29"/>
  <c r="K17" i="29"/>
  <c r="AS4" i="29"/>
  <c r="AU4" i="29"/>
  <c r="X65" i="29"/>
  <c r="AD65" i="29"/>
  <c r="AF65" i="29"/>
  <c r="AH65" i="29"/>
  <c r="X71" i="29"/>
  <c r="AD71" i="29"/>
  <c r="AF71" i="29"/>
  <c r="AH71" i="29"/>
  <c r="X80" i="29"/>
  <c r="AD80" i="29"/>
  <c r="AF80" i="29"/>
  <c r="AH80" i="29"/>
  <c r="G4" i="29"/>
  <c r="Y65" i="29"/>
  <c r="AE65" i="29"/>
  <c r="AG65" i="29"/>
  <c r="AI65" i="29"/>
  <c r="Y71" i="29"/>
  <c r="AE71" i="29"/>
  <c r="AG71" i="29"/>
  <c r="AI71" i="29"/>
  <c r="Y80" i="29"/>
  <c r="AE80" i="29"/>
  <c r="AG80" i="29"/>
  <c r="AI80" i="29"/>
  <c r="H4" i="29"/>
  <c r="I4" i="29"/>
  <c r="AW4" i="29"/>
  <c r="X68" i="29"/>
  <c r="AD68" i="29"/>
  <c r="AF68" i="29"/>
  <c r="AH68" i="29"/>
  <c r="X74" i="29"/>
  <c r="AD74" i="29"/>
  <c r="AF74" i="29"/>
  <c r="AH74" i="29"/>
  <c r="G5" i="29"/>
  <c r="Y68" i="29"/>
  <c r="AE68" i="29"/>
  <c r="AG68" i="29"/>
  <c r="AI68" i="29"/>
  <c r="Y74" i="29"/>
  <c r="AE74" i="29"/>
  <c r="AG74" i="29"/>
  <c r="AI74" i="29"/>
  <c r="H5" i="29"/>
  <c r="I5" i="29"/>
  <c r="AW5" i="29"/>
  <c r="X77" i="29"/>
  <c r="AD77" i="29"/>
  <c r="AF77" i="29"/>
  <c r="AH77" i="29"/>
  <c r="G6" i="29"/>
  <c r="Y77" i="29"/>
  <c r="AE77" i="29"/>
  <c r="AG77" i="29"/>
  <c r="AI77" i="29"/>
  <c r="H6" i="29"/>
  <c r="I6" i="29"/>
  <c r="AW6" i="29"/>
  <c r="G7" i="29"/>
  <c r="H7" i="29"/>
  <c r="I7" i="29"/>
  <c r="AW7" i="29"/>
  <c r="AH76" i="29"/>
  <c r="AI64" i="29"/>
  <c r="AI67" i="29"/>
  <c r="AI70" i="29"/>
  <c r="Y66" i="29"/>
  <c r="AE66" i="29"/>
  <c r="AG66" i="29"/>
  <c r="AI66" i="29"/>
  <c r="Y69" i="29"/>
  <c r="AE69" i="29"/>
  <c r="AG69" i="29"/>
  <c r="AI69" i="29"/>
  <c r="Y72" i="29"/>
  <c r="AE72" i="29"/>
  <c r="AG72" i="29"/>
  <c r="AI72" i="29"/>
  <c r="AI73" i="29"/>
  <c r="Y75" i="29"/>
  <c r="AE75" i="29"/>
  <c r="AG75" i="29"/>
  <c r="AI75" i="29"/>
  <c r="AI76" i="29"/>
  <c r="Y78" i="29"/>
  <c r="AE78" i="29"/>
  <c r="AG78" i="29"/>
  <c r="AI78" i="29"/>
  <c r="Y79" i="29"/>
  <c r="AE79" i="29"/>
  <c r="AG79" i="29"/>
  <c r="AI79" i="29"/>
  <c r="Y81" i="29"/>
  <c r="AE81" i="29"/>
  <c r="AG81" i="29"/>
  <c r="AI81" i="29"/>
  <c r="G8" i="29"/>
  <c r="AH64" i="29"/>
  <c r="AH67" i="29"/>
  <c r="AH70" i="29"/>
  <c r="AH73" i="29"/>
  <c r="H8" i="29"/>
  <c r="I8" i="29"/>
  <c r="AW8" i="29"/>
  <c r="G9" i="29"/>
  <c r="H9" i="29"/>
  <c r="I9" i="29"/>
  <c r="AW9" i="29"/>
  <c r="G10" i="29"/>
  <c r="H10" i="29"/>
  <c r="I10" i="29"/>
  <c r="AW10" i="29"/>
  <c r="G11" i="29"/>
  <c r="H11" i="29"/>
  <c r="I11" i="29"/>
  <c r="AW11" i="29"/>
  <c r="G12" i="29"/>
  <c r="H12" i="29"/>
  <c r="I12" i="29"/>
  <c r="AW12" i="29"/>
  <c r="AX4" i="29"/>
  <c r="L17" i="29"/>
  <c r="L5" i="29"/>
  <c r="M5" i="29"/>
  <c r="J5" i="29"/>
  <c r="AT5" i="29"/>
  <c r="K18" i="29"/>
  <c r="AS5" i="29"/>
  <c r="AU5" i="29"/>
  <c r="AX5" i="29"/>
  <c r="L18" i="29"/>
  <c r="L6" i="29"/>
  <c r="M6" i="29"/>
  <c r="J6" i="29"/>
  <c r="AT6" i="29"/>
  <c r="K19" i="29"/>
  <c r="AS6" i="29"/>
  <c r="AU6" i="29"/>
  <c r="AX6" i="29"/>
  <c r="L19" i="29"/>
  <c r="L7" i="29"/>
  <c r="M7" i="29"/>
  <c r="J7" i="29"/>
  <c r="AT7" i="29"/>
  <c r="K20" i="29"/>
  <c r="AS7" i="29"/>
  <c r="AU7" i="29"/>
  <c r="AX7" i="29"/>
  <c r="L20" i="29"/>
  <c r="L8" i="29"/>
  <c r="M8" i="29"/>
  <c r="J8" i="29"/>
  <c r="AT8" i="29"/>
  <c r="K21" i="29"/>
  <c r="AS8" i="29"/>
  <c r="AU8" i="29"/>
  <c r="AX8" i="29"/>
  <c r="L21" i="29"/>
  <c r="L9" i="29"/>
  <c r="M9" i="29"/>
  <c r="J9" i="29"/>
  <c r="AT9" i="29"/>
  <c r="K22" i="29"/>
  <c r="AS9" i="29"/>
  <c r="AU9" i="29"/>
  <c r="AX9" i="29"/>
  <c r="L22" i="29"/>
  <c r="L10" i="29"/>
  <c r="M10" i="29"/>
  <c r="J10" i="29"/>
  <c r="AT10" i="29"/>
  <c r="K23" i="29"/>
  <c r="AS10" i="29"/>
  <c r="AU10" i="29"/>
  <c r="AX10" i="29"/>
  <c r="L23" i="29"/>
  <c r="L11" i="29"/>
  <c r="M11" i="29"/>
  <c r="J11" i="29"/>
  <c r="AT11" i="29"/>
  <c r="K24" i="29"/>
  <c r="AS11" i="29"/>
  <c r="AU11" i="29"/>
  <c r="AX11" i="29"/>
  <c r="L24" i="29"/>
  <c r="L12" i="29"/>
  <c r="M12" i="29"/>
  <c r="J12" i="29"/>
  <c r="AT12" i="29"/>
  <c r="K25" i="29"/>
  <c r="AS12" i="29"/>
  <c r="AU12" i="29"/>
  <c r="AX12" i="29"/>
  <c r="L25" i="29"/>
  <c r="M17" i="29"/>
  <c r="N17" i="29" a="1"/>
  <c r="N17" i="29"/>
  <c r="O17" i="29"/>
  <c r="C17" i="29"/>
  <c r="E30" i="29" a="1"/>
  <c r="E30" i="29"/>
  <c r="F30" i="29" a="1"/>
  <c r="F30" i="29"/>
  <c r="G30" i="29" a="1"/>
  <c r="H30" i="29" a="1"/>
  <c r="I30" i="29" a="1"/>
  <c r="J30" i="29" a="1"/>
  <c r="K30" i="29" a="1"/>
  <c r="L30" i="29" a="1"/>
  <c r="P17" i="29"/>
  <c r="M30" i="29" a="1"/>
  <c r="N30" i="29" a="1"/>
  <c r="O30" i="29" a="1"/>
  <c r="P30" i="29" a="1"/>
  <c r="Q30" i="29" a="1"/>
  <c r="R30" i="29" a="1"/>
  <c r="S30" i="29" a="1"/>
  <c r="T30" i="29" a="1"/>
  <c r="Q17" i="29"/>
  <c r="U30" i="29" a="1"/>
  <c r="V30" i="29" a="1"/>
  <c r="W30" i="29" a="1"/>
  <c r="X30" i="29" a="1"/>
  <c r="Y30" i="29" a="1"/>
  <c r="Z30" i="29" a="1"/>
  <c r="AA30" i="29" a="1"/>
  <c r="AB30" i="29" a="1"/>
  <c r="R17" i="29"/>
  <c r="AC30" i="29" a="1"/>
  <c r="AD30" i="29" a="1"/>
  <c r="AE30" i="29" a="1"/>
  <c r="AF30" i="29" a="1"/>
  <c r="AG30" i="29" a="1"/>
  <c r="AH30" i="29" a="1"/>
  <c r="AI30" i="29" a="1"/>
  <c r="AJ30" i="29" a="1"/>
  <c r="S17" i="29"/>
  <c r="AK30" i="29" a="1"/>
  <c r="AL30" i="29" a="1"/>
  <c r="AM30" i="29" a="1"/>
  <c r="AN30" i="29" a="1"/>
  <c r="AO30" i="29" a="1"/>
  <c r="AP30" i="29" a="1"/>
  <c r="AQ30" i="29" a="1"/>
  <c r="AR30" i="29" a="1"/>
  <c r="T17" i="29"/>
  <c r="AS30" i="29" a="1"/>
  <c r="AT30" i="29" a="1"/>
  <c r="AU30" i="29" a="1"/>
  <c r="AV30" i="29" a="1"/>
  <c r="AW30" i="29" a="1"/>
  <c r="AX30" i="29" a="1"/>
  <c r="AY30" i="29" a="1"/>
  <c r="AZ30" i="29" a="1"/>
  <c r="U17" i="29"/>
  <c r="BA30" i="29" a="1"/>
  <c r="BB30" i="29" a="1"/>
  <c r="BC30" i="29" a="1"/>
  <c r="BD30" i="29" a="1"/>
  <c r="BE30" i="29" a="1"/>
  <c r="BF30" i="29" a="1"/>
  <c r="BG30" i="29" a="1"/>
  <c r="BH30" i="29" a="1"/>
  <c r="V17" i="29"/>
  <c r="BI30" i="29" a="1"/>
  <c r="BJ30" i="29" a="1"/>
  <c r="BK30" i="29" a="1"/>
  <c r="BL30" i="29" a="1"/>
  <c r="BM30" i="29" a="1"/>
  <c r="BN30" i="29" a="1"/>
  <c r="BO30" i="29" a="1"/>
  <c r="BP30" i="29" a="1"/>
  <c r="G30" i="29"/>
  <c r="H30" i="29"/>
  <c r="I30" i="29"/>
  <c r="J30" i="29"/>
  <c r="K30" i="29"/>
  <c r="L30" i="29"/>
  <c r="M30" i="29"/>
  <c r="N30" i="29"/>
  <c r="O30" i="29"/>
  <c r="P30" i="29"/>
  <c r="Q30" i="29"/>
  <c r="R30" i="29"/>
  <c r="S30" i="29"/>
  <c r="T30" i="29"/>
  <c r="U30" i="29"/>
  <c r="V30" i="29"/>
  <c r="W30" i="29"/>
  <c r="X30" i="29"/>
  <c r="Y30" i="29"/>
  <c r="Z30" i="29"/>
  <c r="AA30" i="29"/>
  <c r="AB30" i="29"/>
  <c r="AC30" i="29"/>
  <c r="AD30" i="29"/>
  <c r="AE30" i="29"/>
  <c r="AF30" i="29"/>
  <c r="AG30" i="29"/>
  <c r="AH30" i="29"/>
  <c r="AI30" i="29"/>
  <c r="AJ30" i="29"/>
  <c r="AK30" i="29"/>
  <c r="AL30" i="29"/>
  <c r="AM30" i="29"/>
  <c r="AN30" i="29"/>
  <c r="AO30" i="29"/>
  <c r="AP30" i="29"/>
  <c r="AQ30" i="29"/>
  <c r="AR30" i="29"/>
  <c r="AS30" i="29"/>
  <c r="AT30" i="29"/>
  <c r="AU30" i="29"/>
  <c r="AV30" i="29"/>
  <c r="AW30" i="29"/>
  <c r="AX30" i="29"/>
  <c r="AY30" i="29"/>
  <c r="AZ30" i="29"/>
  <c r="BA30" i="29"/>
  <c r="BB30" i="29"/>
  <c r="BC30" i="29"/>
  <c r="BD30" i="29"/>
  <c r="BE30" i="29"/>
  <c r="BF30" i="29"/>
  <c r="BG30" i="29"/>
  <c r="BH30" i="29"/>
  <c r="BI30" i="29"/>
  <c r="BJ30" i="29"/>
  <c r="BK30" i="29"/>
  <c r="BL30" i="29"/>
  <c r="BM30" i="29"/>
  <c r="BN30" i="29"/>
  <c r="BO30" i="29"/>
  <c r="BP30" i="29"/>
  <c r="AA17" i="29"/>
  <c r="E41" i="29" a="1"/>
  <c r="E41" i="29"/>
  <c r="F41" i="29" a="1"/>
  <c r="F41" i="29"/>
  <c r="G41" i="29" a="1"/>
  <c r="H41" i="29" a="1"/>
  <c r="I41" i="29" a="1"/>
  <c r="J41" i="29" a="1"/>
  <c r="K41" i="29" a="1"/>
  <c r="L41" i="29" a="1"/>
  <c r="M41" i="29" a="1"/>
  <c r="N41" i="29" a="1"/>
  <c r="O41" i="29" a="1"/>
  <c r="P41" i="29" a="1"/>
  <c r="Q41" i="29" a="1"/>
  <c r="R41" i="29" a="1"/>
  <c r="S41" i="29" a="1"/>
  <c r="T41" i="29" a="1"/>
  <c r="U41" i="29" a="1"/>
  <c r="V41" i="29" a="1"/>
  <c r="W41" i="29" a="1"/>
  <c r="X41" i="29" a="1"/>
  <c r="Y41" i="29" a="1"/>
  <c r="Z41" i="29" a="1"/>
  <c r="AA41" i="29" a="1"/>
  <c r="AB41" i="29" a="1"/>
  <c r="AC41" i="29" a="1"/>
  <c r="AD41" i="29" a="1"/>
  <c r="AE41" i="29" a="1"/>
  <c r="AF41" i="29" a="1"/>
  <c r="AG41" i="29" a="1"/>
  <c r="AH41" i="29" a="1"/>
  <c r="AI41" i="29" a="1"/>
  <c r="AJ41" i="29" a="1"/>
  <c r="AK41" i="29" a="1"/>
  <c r="AL41" i="29" a="1"/>
  <c r="AM41" i="29" a="1"/>
  <c r="AN41" i="29" a="1"/>
  <c r="AO41" i="29" a="1"/>
  <c r="AP41" i="29" a="1"/>
  <c r="AQ41" i="29" a="1"/>
  <c r="AR41" i="29" a="1"/>
  <c r="AS41" i="29" a="1"/>
  <c r="AT41" i="29" a="1"/>
  <c r="AU41" i="29" a="1"/>
  <c r="AV41" i="29" a="1"/>
  <c r="AW41" i="29" a="1"/>
  <c r="AX41" i="29" a="1"/>
  <c r="AY41" i="29" a="1"/>
  <c r="AZ41" i="29" a="1"/>
  <c r="BA41" i="29" a="1"/>
  <c r="BB41" i="29" a="1"/>
  <c r="BC41" i="29" a="1"/>
  <c r="BD41" i="29" a="1"/>
  <c r="BE41" i="29" a="1"/>
  <c r="BF41" i="29" a="1"/>
  <c r="BG41" i="29" a="1"/>
  <c r="BH41" i="29" a="1"/>
  <c r="BI41" i="29" a="1"/>
  <c r="BJ41" i="29" a="1"/>
  <c r="BK41" i="29" a="1"/>
  <c r="BL41" i="29" a="1"/>
  <c r="BM41" i="29" a="1"/>
  <c r="BN41" i="29" a="1"/>
  <c r="BO41" i="29" a="1"/>
  <c r="BP41" i="29" a="1"/>
  <c r="G41" i="29"/>
  <c r="H41" i="29"/>
  <c r="I41" i="29"/>
  <c r="J41" i="29"/>
  <c r="K41" i="29"/>
  <c r="L41" i="29"/>
  <c r="M41" i="29"/>
  <c r="N41" i="29"/>
  <c r="O41" i="29"/>
  <c r="P41" i="29"/>
  <c r="Q41" i="29"/>
  <c r="R41" i="29"/>
  <c r="S41" i="29"/>
  <c r="T41" i="29"/>
  <c r="U41" i="29"/>
  <c r="V41" i="29"/>
  <c r="W41" i="29"/>
  <c r="X41" i="29"/>
  <c r="Y41" i="29"/>
  <c r="Z41" i="29"/>
  <c r="AA41" i="29"/>
  <c r="AB41" i="29"/>
  <c r="AC41" i="29"/>
  <c r="AD41" i="29"/>
  <c r="AE41" i="29"/>
  <c r="AF41" i="29"/>
  <c r="AG41" i="29"/>
  <c r="AH41" i="29"/>
  <c r="AI41" i="29"/>
  <c r="AJ41" i="29"/>
  <c r="AK41" i="29"/>
  <c r="AL41" i="29"/>
  <c r="AM41" i="29"/>
  <c r="AN41" i="29"/>
  <c r="AO41" i="29"/>
  <c r="AP41" i="29"/>
  <c r="AQ41" i="29"/>
  <c r="AR41" i="29"/>
  <c r="AS41" i="29"/>
  <c r="AT41" i="29"/>
  <c r="AU41" i="29"/>
  <c r="AV41" i="29"/>
  <c r="AW41" i="29"/>
  <c r="AX41" i="29"/>
  <c r="AY41" i="29"/>
  <c r="AZ41" i="29"/>
  <c r="BA41" i="29"/>
  <c r="BB41" i="29"/>
  <c r="BC41" i="29"/>
  <c r="BD41" i="29"/>
  <c r="BE41" i="29"/>
  <c r="BF41" i="29"/>
  <c r="BG41" i="29"/>
  <c r="BH41" i="29"/>
  <c r="BI41" i="29"/>
  <c r="BJ41" i="29"/>
  <c r="BK41" i="29"/>
  <c r="BL41" i="29"/>
  <c r="BM41" i="29"/>
  <c r="BN41" i="29"/>
  <c r="BO41" i="29"/>
  <c r="BP41" i="29"/>
  <c r="AB17" i="29"/>
  <c r="W17" i="29"/>
  <c r="M18" i="29"/>
  <c r="N18" i="29" a="1"/>
  <c r="N18" i="29"/>
  <c r="O18" i="29"/>
  <c r="C18" i="29"/>
  <c r="E31" i="29" a="1"/>
  <c r="E31" i="29"/>
  <c r="F31" i="29" a="1"/>
  <c r="F31" i="29"/>
  <c r="G31" i="29" a="1"/>
  <c r="H31" i="29" a="1"/>
  <c r="I31" i="29" a="1"/>
  <c r="J31" i="29" a="1"/>
  <c r="K31" i="29" a="1"/>
  <c r="L31" i="29" a="1"/>
  <c r="P18" i="29"/>
  <c r="M31" i="29" a="1"/>
  <c r="N31" i="29" a="1"/>
  <c r="O31" i="29" a="1"/>
  <c r="P31" i="29" a="1"/>
  <c r="Q31" i="29" a="1"/>
  <c r="R31" i="29" a="1"/>
  <c r="S31" i="29" a="1"/>
  <c r="T31" i="29" a="1"/>
  <c r="Q18" i="29"/>
  <c r="U31" i="29" a="1"/>
  <c r="V31" i="29" a="1"/>
  <c r="W31" i="29" a="1"/>
  <c r="X31" i="29" a="1"/>
  <c r="Y31" i="29" a="1"/>
  <c r="Z31" i="29" a="1"/>
  <c r="AA31" i="29" a="1"/>
  <c r="AB31" i="29" a="1"/>
  <c r="R18" i="29"/>
  <c r="AC31" i="29" a="1"/>
  <c r="AD31" i="29" a="1"/>
  <c r="AE31" i="29" a="1"/>
  <c r="AF31" i="29" a="1"/>
  <c r="AG31" i="29" a="1"/>
  <c r="AH31" i="29" a="1"/>
  <c r="AI31" i="29" a="1"/>
  <c r="AJ31" i="29" a="1"/>
  <c r="S18" i="29"/>
  <c r="AK31" i="29" a="1"/>
  <c r="AL31" i="29" a="1"/>
  <c r="AM31" i="29" a="1"/>
  <c r="AN31" i="29" a="1"/>
  <c r="AO31" i="29" a="1"/>
  <c r="AP31" i="29" a="1"/>
  <c r="AQ31" i="29" a="1"/>
  <c r="AR31" i="29" a="1"/>
  <c r="T18" i="29"/>
  <c r="AS31" i="29" a="1"/>
  <c r="AT31" i="29" a="1"/>
  <c r="AU31" i="29" a="1"/>
  <c r="AV31" i="29" a="1"/>
  <c r="AW31" i="29" a="1"/>
  <c r="AX31" i="29" a="1"/>
  <c r="AY31" i="29" a="1"/>
  <c r="AZ31" i="29" a="1"/>
  <c r="U18" i="29"/>
  <c r="BA31" i="29" a="1"/>
  <c r="BB31" i="29" a="1"/>
  <c r="BC31" i="29" a="1"/>
  <c r="BD31" i="29" a="1"/>
  <c r="BE31" i="29" a="1"/>
  <c r="BF31" i="29" a="1"/>
  <c r="BG31" i="29" a="1"/>
  <c r="BH31" i="29" a="1"/>
  <c r="V18" i="29"/>
  <c r="BI31" i="29" a="1"/>
  <c r="BJ31" i="29" a="1"/>
  <c r="BK31" i="29" a="1"/>
  <c r="BL31" i="29" a="1"/>
  <c r="BM31" i="29" a="1"/>
  <c r="BN31" i="29" a="1"/>
  <c r="BO31" i="29" a="1"/>
  <c r="BP31" i="29" a="1"/>
  <c r="G31" i="29"/>
  <c r="H31" i="29"/>
  <c r="I31" i="29"/>
  <c r="J31" i="29"/>
  <c r="K31" i="29"/>
  <c r="L31" i="29"/>
  <c r="M31" i="29"/>
  <c r="N31" i="29"/>
  <c r="O31" i="29"/>
  <c r="P31" i="29"/>
  <c r="Q31" i="29"/>
  <c r="R31" i="29"/>
  <c r="S31" i="29"/>
  <c r="T31" i="29"/>
  <c r="U31" i="29"/>
  <c r="V31" i="29"/>
  <c r="W31" i="29"/>
  <c r="X31" i="29"/>
  <c r="Y31" i="29"/>
  <c r="Z31" i="29"/>
  <c r="AA31" i="29"/>
  <c r="AB31" i="29"/>
  <c r="AC31" i="29"/>
  <c r="AD31" i="29"/>
  <c r="AE31" i="29"/>
  <c r="AF31" i="29"/>
  <c r="AG31" i="29"/>
  <c r="AH31" i="29"/>
  <c r="AI31" i="29"/>
  <c r="AJ31" i="29"/>
  <c r="AK31" i="29"/>
  <c r="AL31" i="29"/>
  <c r="AM31" i="29"/>
  <c r="AN31" i="29"/>
  <c r="AO31" i="29"/>
  <c r="AP31" i="29"/>
  <c r="AQ31" i="29"/>
  <c r="AR31" i="29"/>
  <c r="AS31" i="29"/>
  <c r="AT31" i="29"/>
  <c r="AU31" i="29"/>
  <c r="AV31" i="29"/>
  <c r="AW31" i="29"/>
  <c r="AX31" i="29"/>
  <c r="AY31" i="29"/>
  <c r="AZ31" i="29"/>
  <c r="BA31" i="29"/>
  <c r="BB31" i="29"/>
  <c r="BC31" i="29"/>
  <c r="BD31" i="29"/>
  <c r="BE31" i="29"/>
  <c r="BF31" i="29"/>
  <c r="BG31" i="29"/>
  <c r="BH31" i="29"/>
  <c r="BI31" i="29"/>
  <c r="BJ31" i="29"/>
  <c r="BK31" i="29"/>
  <c r="BL31" i="29"/>
  <c r="BM31" i="29"/>
  <c r="BN31" i="29"/>
  <c r="BO31" i="29"/>
  <c r="BP31" i="29"/>
  <c r="AA18" i="29"/>
  <c r="E42" i="29" a="1"/>
  <c r="E42" i="29"/>
  <c r="F42" i="29" a="1"/>
  <c r="F42" i="29"/>
  <c r="G42" i="29" a="1"/>
  <c r="H42" i="29" a="1"/>
  <c r="I42" i="29" a="1"/>
  <c r="J42" i="29" a="1"/>
  <c r="K42" i="29" a="1"/>
  <c r="L42" i="29" a="1"/>
  <c r="M42" i="29" a="1"/>
  <c r="N42" i="29" a="1"/>
  <c r="O42" i="29" a="1"/>
  <c r="P42" i="29" a="1"/>
  <c r="Q42" i="29" a="1"/>
  <c r="R42" i="29" a="1"/>
  <c r="S42" i="29" a="1"/>
  <c r="T42" i="29" a="1"/>
  <c r="U42" i="29" a="1"/>
  <c r="V42" i="29" a="1"/>
  <c r="W42" i="29" a="1"/>
  <c r="X42" i="29" a="1"/>
  <c r="Y42" i="29" a="1"/>
  <c r="Z42" i="29" a="1"/>
  <c r="AA42" i="29" a="1"/>
  <c r="AB42" i="29" a="1"/>
  <c r="AC42" i="29" a="1"/>
  <c r="AD42" i="29" a="1"/>
  <c r="AE42" i="29" a="1"/>
  <c r="AF42" i="29" a="1"/>
  <c r="AG42" i="29" a="1"/>
  <c r="AH42" i="29" a="1"/>
  <c r="AI42" i="29" a="1"/>
  <c r="AJ42" i="29" a="1"/>
  <c r="AK42" i="29" a="1"/>
  <c r="AL42" i="29" a="1"/>
  <c r="AM42" i="29" a="1"/>
  <c r="AN42" i="29" a="1"/>
  <c r="AO42" i="29" a="1"/>
  <c r="AP42" i="29" a="1"/>
  <c r="AQ42" i="29" a="1"/>
  <c r="AR42" i="29" a="1"/>
  <c r="AS42" i="29" a="1"/>
  <c r="AT42" i="29" a="1"/>
  <c r="AU42" i="29" a="1"/>
  <c r="AV42" i="29" a="1"/>
  <c r="AW42" i="29" a="1"/>
  <c r="AX42" i="29" a="1"/>
  <c r="AY42" i="29" a="1"/>
  <c r="AZ42" i="29" a="1"/>
  <c r="BA42" i="29" a="1"/>
  <c r="BB42" i="29" a="1"/>
  <c r="BC42" i="29" a="1"/>
  <c r="BD42" i="29" a="1"/>
  <c r="BE42" i="29" a="1"/>
  <c r="BF42" i="29" a="1"/>
  <c r="BG42" i="29" a="1"/>
  <c r="BH42" i="29" a="1"/>
  <c r="BI42" i="29" a="1"/>
  <c r="BJ42" i="29" a="1"/>
  <c r="BK42" i="29" a="1"/>
  <c r="BL42" i="29" a="1"/>
  <c r="BM42" i="29" a="1"/>
  <c r="BN42" i="29" a="1"/>
  <c r="BO42" i="29" a="1"/>
  <c r="BP42" i="29" a="1"/>
  <c r="G42" i="29"/>
  <c r="H42" i="29"/>
  <c r="I42" i="29"/>
  <c r="J42" i="29"/>
  <c r="K42" i="29"/>
  <c r="L42" i="29"/>
  <c r="M42" i="29"/>
  <c r="N42" i="29"/>
  <c r="O42" i="29"/>
  <c r="P42" i="29"/>
  <c r="Q42" i="29"/>
  <c r="R42" i="29"/>
  <c r="S42" i="29"/>
  <c r="T42" i="29"/>
  <c r="U42" i="29"/>
  <c r="V42" i="29"/>
  <c r="W42" i="29"/>
  <c r="X42" i="29"/>
  <c r="Y42" i="29"/>
  <c r="Z42" i="29"/>
  <c r="AA42" i="29"/>
  <c r="AB42" i="29"/>
  <c r="AC42" i="29"/>
  <c r="AD42" i="29"/>
  <c r="AE42" i="29"/>
  <c r="AF42" i="29"/>
  <c r="AG42" i="29"/>
  <c r="AH42" i="29"/>
  <c r="AI42" i="29"/>
  <c r="AJ42" i="29"/>
  <c r="AK42" i="29"/>
  <c r="AL42" i="29"/>
  <c r="AM42" i="29"/>
  <c r="AN42" i="29"/>
  <c r="AO42" i="29"/>
  <c r="AP42" i="29"/>
  <c r="AQ42" i="29"/>
  <c r="AR42" i="29"/>
  <c r="AS42" i="29"/>
  <c r="AT42" i="29"/>
  <c r="AU42" i="29"/>
  <c r="AV42" i="29"/>
  <c r="AW42" i="29"/>
  <c r="AX42" i="29"/>
  <c r="AY42" i="29"/>
  <c r="AZ42" i="29"/>
  <c r="BA42" i="29"/>
  <c r="BB42" i="29"/>
  <c r="BC42" i="29"/>
  <c r="BD42" i="29"/>
  <c r="BE42" i="29"/>
  <c r="BF42" i="29"/>
  <c r="BG42" i="29"/>
  <c r="BH42" i="29"/>
  <c r="BI42" i="29"/>
  <c r="BJ42" i="29"/>
  <c r="BK42" i="29"/>
  <c r="BL42" i="29"/>
  <c r="BM42" i="29"/>
  <c r="BN42" i="29"/>
  <c r="BO42" i="29"/>
  <c r="BP42" i="29"/>
  <c r="AB18" i="29"/>
  <c r="W18" i="29"/>
  <c r="M19" i="29"/>
  <c r="N19" i="29" a="1"/>
  <c r="N19" i="29"/>
  <c r="O19" i="29"/>
  <c r="C19" i="29"/>
  <c r="E32" i="29" a="1"/>
  <c r="E32" i="29"/>
  <c r="F32" i="29" a="1"/>
  <c r="F32" i="29"/>
  <c r="G32" i="29" a="1"/>
  <c r="H32" i="29" a="1"/>
  <c r="I32" i="29" a="1"/>
  <c r="J32" i="29" a="1"/>
  <c r="K32" i="29" a="1"/>
  <c r="L32" i="29" a="1"/>
  <c r="P19" i="29"/>
  <c r="M32" i="29" a="1"/>
  <c r="N32" i="29" a="1"/>
  <c r="O32" i="29" a="1"/>
  <c r="P32" i="29" a="1"/>
  <c r="Q32" i="29" a="1"/>
  <c r="R32" i="29" a="1"/>
  <c r="S32" i="29" a="1"/>
  <c r="T32" i="29" a="1"/>
  <c r="Q19" i="29"/>
  <c r="U32" i="29" a="1"/>
  <c r="V32" i="29" a="1"/>
  <c r="W32" i="29" a="1"/>
  <c r="X32" i="29" a="1"/>
  <c r="Y32" i="29" a="1"/>
  <c r="Z32" i="29" a="1"/>
  <c r="AA32" i="29" a="1"/>
  <c r="AB32" i="29" a="1"/>
  <c r="R19" i="29"/>
  <c r="AC32" i="29" a="1"/>
  <c r="AD32" i="29" a="1"/>
  <c r="AE32" i="29" a="1"/>
  <c r="AF32" i="29" a="1"/>
  <c r="AG32" i="29" a="1"/>
  <c r="AH32" i="29" a="1"/>
  <c r="AI32" i="29" a="1"/>
  <c r="AJ32" i="29" a="1"/>
  <c r="S19" i="29"/>
  <c r="AK32" i="29" a="1"/>
  <c r="AL32" i="29" a="1"/>
  <c r="AM32" i="29" a="1"/>
  <c r="AN32" i="29" a="1"/>
  <c r="AO32" i="29" a="1"/>
  <c r="AP32" i="29" a="1"/>
  <c r="AQ32" i="29" a="1"/>
  <c r="AR32" i="29" a="1"/>
  <c r="T19" i="29"/>
  <c r="AS32" i="29" a="1"/>
  <c r="AT32" i="29" a="1"/>
  <c r="AU32" i="29" a="1"/>
  <c r="AV32" i="29" a="1"/>
  <c r="AW32" i="29" a="1"/>
  <c r="AX32" i="29" a="1"/>
  <c r="AY32" i="29" a="1"/>
  <c r="AZ32" i="29" a="1"/>
  <c r="U19" i="29"/>
  <c r="BA32" i="29" a="1"/>
  <c r="BB32" i="29" a="1"/>
  <c r="BC32" i="29" a="1"/>
  <c r="BD32" i="29" a="1"/>
  <c r="BE32" i="29" a="1"/>
  <c r="BF32" i="29" a="1"/>
  <c r="BG32" i="29" a="1"/>
  <c r="BH32" i="29" a="1"/>
  <c r="V19" i="29"/>
  <c r="BI32" i="29" a="1"/>
  <c r="BJ32" i="29" a="1"/>
  <c r="BK32" i="29" a="1"/>
  <c r="BL32" i="29" a="1"/>
  <c r="BM32" i="29" a="1"/>
  <c r="BN32" i="29" a="1"/>
  <c r="BO32" i="29" a="1"/>
  <c r="BP32" i="29" a="1"/>
  <c r="G32" i="29"/>
  <c r="H32" i="29"/>
  <c r="I32" i="29"/>
  <c r="J32" i="29"/>
  <c r="K32" i="29"/>
  <c r="L32" i="29"/>
  <c r="M32" i="29"/>
  <c r="N32" i="29"/>
  <c r="O32" i="29"/>
  <c r="P32" i="29"/>
  <c r="Q32" i="29"/>
  <c r="R32" i="29"/>
  <c r="S32" i="29"/>
  <c r="T32" i="29"/>
  <c r="U32" i="29"/>
  <c r="V32" i="29"/>
  <c r="W32" i="29"/>
  <c r="X32" i="29"/>
  <c r="Y32" i="29"/>
  <c r="Z32" i="29"/>
  <c r="AA32" i="29"/>
  <c r="AB32" i="29"/>
  <c r="AC32" i="29"/>
  <c r="AD32" i="29"/>
  <c r="AE32" i="29"/>
  <c r="AF32" i="29"/>
  <c r="AG32" i="29"/>
  <c r="AH32" i="29"/>
  <c r="AI32" i="29"/>
  <c r="AJ32" i="29"/>
  <c r="AK32" i="29"/>
  <c r="AL32" i="29"/>
  <c r="AM32" i="29"/>
  <c r="AN32" i="29"/>
  <c r="AO32" i="29"/>
  <c r="AP32" i="29"/>
  <c r="AQ32" i="29"/>
  <c r="AR32" i="29"/>
  <c r="AS32" i="29"/>
  <c r="AT32" i="29"/>
  <c r="AU32" i="29"/>
  <c r="AV32" i="29"/>
  <c r="AW32" i="29"/>
  <c r="AX32" i="29"/>
  <c r="AY32" i="29"/>
  <c r="AZ32" i="29"/>
  <c r="BA32" i="29"/>
  <c r="BB32" i="29"/>
  <c r="BC32" i="29"/>
  <c r="BD32" i="29"/>
  <c r="BE32" i="29"/>
  <c r="BF32" i="29"/>
  <c r="BG32" i="29"/>
  <c r="BH32" i="29"/>
  <c r="BI32" i="29"/>
  <c r="BJ32" i="29"/>
  <c r="BK32" i="29"/>
  <c r="BL32" i="29"/>
  <c r="BM32" i="29"/>
  <c r="BN32" i="29"/>
  <c r="BO32" i="29"/>
  <c r="BP32" i="29"/>
  <c r="AA19" i="29"/>
  <c r="E43" i="29" a="1"/>
  <c r="E43" i="29"/>
  <c r="F43" i="29" a="1"/>
  <c r="F43" i="29"/>
  <c r="G43" i="29" a="1"/>
  <c r="H43" i="29" a="1"/>
  <c r="I43" i="29" a="1"/>
  <c r="J43" i="29" a="1"/>
  <c r="K43" i="29" a="1"/>
  <c r="L43" i="29" a="1"/>
  <c r="M43" i="29" a="1"/>
  <c r="N43" i="29" a="1"/>
  <c r="O43" i="29" a="1"/>
  <c r="P43" i="29" a="1"/>
  <c r="Q43" i="29" a="1"/>
  <c r="R43" i="29" a="1"/>
  <c r="S43" i="29" a="1"/>
  <c r="T43" i="29" a="1"/>
  <c r="U43" i="29" a="1"/>
  <c r="V43" i="29" a="1"/>
  <c r="W43" i="29" a="1"/>
  <c r="X43" i="29" a="1"/>
  <c r="Y43" i="29" a="1"/>
  <c r="Z43" i="29" a="1"/>
  <c r="AA43" i="29" a="1"/>
  <c r="AB43" i="29" a="1"/>
  <c r="AC43" i="29" a="1"/>
  <c r="AD43" i="29" a="1"/>
  <c r="AE43" i="29" a="1"/>
  <c r="AF43" i="29" a="1"/>
  <c r="AG43" i="29" a="1"/>
  <c r="AH43" i="29" a="1"/>
  <c r="AI43" i="29" a="1"/>
  <c r="AJ43" i="29" a="1"/>
  <c r="AK43" i="29" a="1"/>
  <c r="AL43" i="29" a="1"/>
  <c r="AM43" i="29" a="1"/>
  <c r="AN43" i="29" a="1"/>
  <c r="AO43" i="29" a="1"/>
  <c r="AP43" i="29" a="1"/>
  <c r="AQ43" i="29" a="1"/>
  <c r="AR43" i="29" a="1"/>
  <c r="AS43" i="29" a="1"/>
  <c r="AT43" i="29" a="1"/>
  <c r="AU43" i="29" a="1"/>
  <c r="AV43" i="29" a="1"/>
  <c r="AW43" i="29" a="1"/>
  <c r="AX43" i="29" a="1"/>
  <c r="AY43" i="29" a="1"/>
  <c r="AZ43" i="29" a="1"/>
  <c r="BA43" i="29" a="1"/>
  <c r="BB43" i="29" a="1"/>
  <c r="BC43" i="29" a="1"/>
  <c r="BD43" i="29" a="1"/>
  <c r="BE43" i="29" a="1"/>
  <c r="BF43" i="29" a="1"/>
  <c r="BG43" i="29" a="1"/>
  <c r="BH43" i="29" a="1"/>
  <c r="BI43" i="29" a="1"/>
  <c r="BJ43" i="29" a="1"/>
  <c r="BK43" i="29" a="1"/>
  <c r="BL43" i="29" a="1"/>
  <c r="BM43" i="29" a="1"/>
  <c r="BN43" i="29" a="1"/>
  <c r="BO43" i="29" a="1"/>
  <c r="BP43" i="29" a="1"/>
  <c r="G43" i="29"/>
  <c r="H43" i="29"/>
  <c r="I43" i="29"/>
  <c r="J43" i="29"/>
  <c r="K43" i="29"/>
  <c r="L43" i="29"/>
  <c r="M43" i="29"/>
  <c r="N43" i="29"/>
  <c r="O43" i="29"/>
  <c r="P43" i="29"/>
  <c r="Q43" i="29"/>
  <c r="R43" i="29"/>
  <c r="S43" i="29"/>
  <c r="T43" i="29"/>
  <c r="U43" i="29"/>
  <c r="V43" i="29"/>
  <c r="W43" i="29"/>
  <c r="X43" i="29"/>
  <c r="Y43" i="29"/>
  <c r="Z43" i="29"/>
  <c r="AA43" i="29"/>
  <c r="AB43" i="29"/>
  <c r="AC43" i="29"/>
  <c r="AD43" i="29"/>
  <c r="AE43" i="29"/>
  <c r="AF43" i="29"/>
  <c r="AG43" i="29"/>
  <c r="AH43" i="29"/>
  <c r="AI43" i="29"/>
  <c r="AJ43" i="29"/>
  <c r="AK43" i="29"/>
  <c r="AL43" i="29"/>
  <c r="AM43" i="29"/>
  <c r="AN43" i="29"/>
  <c r="AO43" i="29"/>
  <c r="AP43" i="29"/>
  <c r="AQ43" i="29"/>
  <c r="AR43" i="29"/>
  <c r="AS43" i="29"/>
  <c r="AT43" i="29"/>
  <c r="AU43" i="29"/>
  <c r="AV43" i="29"/>
  <c r="AW43" i="29"/>
  <c r="AX43" i="29"/>
  <c r="AY43" i="29"/>
  <c r="AZ43" i="29"/>
  <c r="BA43" i="29"/>
  <c r="BB43" i="29"/>
  <c r="BC43" i="29"/>
  <c r="BD43" i="29"/>
  <c r="BE43" i="29"/>
  <c r="BF43" i="29"/>
  <c r="BG43" i="29"/>
  <c r="BH43" i="29"/>
  <c r="BI43" i="29"/>
  <c r="BJ43" i="29"/>
  <c r="BK43" i="29"/>
  <c r="BL43" i="29"/>
  <c r="BM43" i="29"/>
  <c r="BN43" i="29"/>
  <c r="BO43" i="29"/>
  <c r="BP43" i="29"/>
  <c r="AB19" i="29"/>
  <c r="W19" i="29"/>
  <c r="M20" i="29"/>
  <c r="N20" i="29" a="1"/>
  <c r="N20" i="29"/>
  <c r="O20" i="29"/>
  <c r="C20" i="29"/>
  <c r="E33" i="29" a="1"/>
  <c r="E33" i="29"/>
  <c r="F33" i="29" a="1"/>
  <c r="F33" i="29"/>
  <c r="G33" i="29" a="1"/>
  <c r="H33" i="29" a="1"/>
  <c r="I33" i="29" a="1"/>
  <c r="J33" i="29" a="1"/>
  <c r="K33" i="29" a="1"/>
  <c r="L33" i="29" a="1"/>
  <c r="P20" i="29"/>
  <c r="M33" i="29" a="1"/>
  <c r="N33" i="29" a="1"/>
  <c r="O33" i="29" a="1"/>
  <c r="P33" i="29" a="1"/>
  <c r="Q33" i="29" a="1"/>
  <c r="R33" i="29" a="1"/>
  <c r="S33" i="29" a="1"/>
  <c r="T33" i="29" a="1"/>
  <c r="Q20" i="29"/>
  <c r="U33" i="29" a="1"/>
  <c r="V33" i="29" a="1"/>
  <c r="W33" i="29" a="1"/>
  <c r="X33" i="29" a="1"/>
  <c r="Y33" i="29" a="1"/>
  <c r="Z33" i="29" a="1"/>
  <c r="AA33" i="29" a="1"/>
  <c r="AB33" i="29" a="1"/>
  <c r="R20" i="29"/>
  <c r="AC33" i="29" a="1"/>
  <c r="AD33" i="29" a="1"/>
  <c r="AE33" i="29" a="1"/>
  <c r="AF33" i="29" a="1"/>
  <c r="AG33" i="29" a="1"/>
  <c r="AH33" i="29" a="1"/>
  <c r="AI33" i="29" a="1"/>
  <c r="AJ33" i="29" a="1"/>
  <c r="S20" i="29"/>
  <c r="AK33" i="29" a="1"/>
  <c r="AL33" i="29" a="1"/>
  <c r="AM33" i="29" a="1"/>
  <c r="AN33" i="29" a="1"/>
  <c r="AO33" i="29" a="1"/>
  <c r="AP33" i="29" a="1"/>
  <c r="AQ33" i="29" a="1"/>
  <c r="AR33" i="29" a="1"/>
  <c r="T20" i="29"/>
  <c r="AS33" i="29" a="1"/>
  <c r="AT33" i="29" a="1"/>
  <c r="AU33" i="29" a="1"/>
  <c r="AV33" i="29" a="1"/>
  <c r="AW33" i="29" a="1"/>
  <c r="AX33" i="29" a="1"/>
  <c r="AY33" i="29" a="1"/>
  <c r="AZ33" i="29" a="1"/>
  <c r="U20" i="29"/>
  <c r="BA33" i="29" a="1"/>
  <c r="BB33" i="29" a="1"/>
  <c r="BC33" i="29" a="1"/>
  <c r="BD33" i="29" a="1"/>
  <c r="BE33" i="29" a="1"/>
  <c r="BF33" i="29" a="1"/>
  <c r="BG33" i="29" a="1"/>
  <c r="BH33" i="29" a="1"/>
  <c r="V20" i="29"/>
  <c r="BI33" i="29" a="1"/>
  <c r="BJ33" i="29" a="1"/>
  <c r="BK33" i="29" a="1"/>
  <c r="BL33" i="29" a="1"/>
  <c r="BM33" i="29" a="1"/>
  <c r="BN33" i="29" a="1"/>
  <c r="BO33" i="29" a="1"/>
  <c r="BP33" i="29" a="1"/>
  <c r="G33" i="29"/>
  <c r="H33" i="29"/>
  <c r="I33" i="29"/>
  <c r="J33" i="29"/>
  <c r="K33" i="29"/>
  <c r="L33" i="29"/>
  <c r="M33" i="29"/>
  <c r="N33" i="29"/>
  <c r="O33" i="29"/>
  <c r="P33" i="29"/>
  <c r="Q33" i="29"/>
  <c r="R33" i="29"/>
  <c r="S33" i="29"/>
  <c r="T33" i="29"/>
  <c r="U33" i="29"/>
  <c r="V33" i="29"/>
  <c r="W33" i="29"/>
  <c r="X33" i="29"/>
  <c r="Y33" i="29"/>
  <c r="Z33" i="29"/>
  <c r="AA33" i="29"/>
  <c r="AB33" i="29"/>
  <c r="AC33" i="29"/>
  <c r="AD33" i="29"/>
  <c r="AE33" i="29"/>
  <c r="AF33" i="29"/>
  <c r="AG33" i="29"/>
  <c r="AH33" i="29"/>
  <c r="AI33" i="29"/>
  <c r="AJ33" i="29"/>
  <c r="AK33" i="29"/>
  <c r="AL33" i="29"/>
  <c r="AM33" i="29"/>
  <c r="AN33" i="29"/>
  <c r="AO33" i="29"/>
  <c r="AP33" i="29"/>
  <c r="AQ33" i="29"/>
  <c r="AR33" i="29"/>
  <c r="AS33" i="29"/>
  <c r="AT33" i="29"/>
  <c r="AU33" i="29"/>
  <c r="AV33" i="29"/>
  <c r="AW33" i="29"/>
  <c r="AX33" i="29"/>
  <c r="AY33" i="29"/>
  <c r="AZ33" i="29"/>
  <c r="BA33" i="29"/>
  <c r="BB33" i="29"/>
  <c r="BC33" i="29"/>
  <c r="BD33" i="29"/>
  <c r="BE33" i="29"/>
  <c r="BF33" i="29"/>
  <c r="BG33" i="29"/>
  <c r="BH33" i="29"/>
  <c r="BI33" i="29"/>
  <c r="BJ33" i="29"/>
  <c r="BK33" i="29"/>
  <c r="BL33" i="29"/>
  <c r="BM33" i="29"/>
  <c r="BN33" i="29"/>
  <c r="BO33" i="29"/>
  <c r="BP33" i="29"/>
  <c r="AA20" i="29"/>
  <c r="E44" i="29" a="1"/>
  <c r="E44" i="29"/>
  <c r="F44" i="29" a="1"/>
  <c r="F44" i="29"/>
  <c r="G44" i="29" a="1"/>
  <c r="H44" i="29" a="1"/>
  <c r="I44" i="29" a="1"/>
  <c r="J44" i="29" a="1"/>
  <c r="K44" i="29" a="1"/>
  <c r="L44" i="29" a="1"/>
  <c r="M44" i="29" a="1"/>
  <c r="N44" i="29" a="1"/>
  <c r="O44" i="29" a="1"/>
  <c r="P44" i="29" a="1"/>
  <c r="Q44" i="29" a="1"/>
  <c r="R44" i="29" a="1"/>
  <c r="S44" i="29" a="1"/>
  <c r="T44" i="29" a="1"/>
  <c r="U44" i="29" a="1"/>
  <c r="V44" i="29" a="1"/>
  <c r="W44" i="29" a="1"/>
  <c r="X44" i="29" a="1"/>
  <c r="Y44" i="29" a="1"/>
  <c r="Z44" i="29" a="1"/>
  <c r="AA44" i="29" a="1"/>
  <c r="AB44" i="29" a="1"/>
  <c r="AC44" i="29" a="1"/>
  <c r="AD44" i="29" a="1"/>
  <c r="AE44" i="29" a="1"/>
  <c r="AF44" i="29" a="1"/>
  <c r="AG44" i="29" a="1"/>
  <c r="AH44" i="29" a="1"/>
  <c r="AI44" i="29" a="1"/>
  <c r="AJ44" i="29" a="1"/>
  <c r="AK44" i="29" a="1"/>
  <c r="AL44" i="29" a="1"/>
  <c r="AM44" i="29" a="1"/>
  <c r="AN44" i="29" a="1"/>
  <c r="AO44" i="29" a="1"/>
  <c r="AP44" i="29" a="1"/>
  <c r="AQ44" i="29" a="1"/>
  <c r="AR44" i="29" a="1"/>
  <c r="AS44" i="29" a="1"/>
  <c r="AT44" i="29" a="1"/>
  <c r="AU44" i="29" a="1"/>
  <c r="AV44" i="29" a="1"/>
  <c r="AW44" i="29" a="1"/>
  <c r="AX44" i="29" a="1"/>
  <c r="AY44" i="29" a="1"/>
  <c r="AZ44" i="29" a="1"/>
  <c r="BA44" i="29" a="1"/>
  <c r="BB44" i="29" a="1"/>
  <c r="BC44" i="29" a="1"/>
  <c r="BD44" i="29" a="1"/>
  <c r="BE44" i="29" a="1"/>
  <c r="BF44" i="29" a="1"/>
  <c r="BG44" i="29" a="1"/>
  <c r="BH44" i="29" a="1"/>
  <c r="BI44" i="29" a="1"/>
  <c r="BJ44" i="29" a="1"/>
  <c r="BK44" i="29" a="1"/>
  <c r="BL44" i="29" a="1"/>
  <c r="BM44" i="29" a="1"/>
  <c r="BN44" i="29" a="1"/>
  <c r="BO44" i="29" a="1"/>
  <c r="BP44" i="29" a="1"/>
  <c r="G44" i="29"/>
  <c r="H44" i="29"/>
  <c r="I44" i="29"/>
  <c r="J44" i="29"/>
  <c r="K44" i="29"/>
  <c r="L44" i="29"/>
  <c r="M44" i="29"/>
  <c r="N44" i="29"/>
  <c r="O44" i="29"/>
  <c r="P44" i="29"/>
  <c r="Q44" i="29"/>
  <c r="R44" i="29"/>
  <c r="S44" i="29"/>
  <c r="T44" i="29"/>
  <c r="U44" i="29"/>
  <c r="V44" i="29"/>
  <c r="W44" i="29"/>
  <c r="X44" i="29"/>
  <c r="Y44" i="29"/>
  <c r="Z44" i="29"/>
  <c r="AA44" i="29"/>
  <c r="AB44" i="29"/>
  <c r="AC44" i="29"/>
  <c r="AD44" i="29"/>
  <c r="AE44" i="29"/>
  <c r="AF44" i="29"/>
  <c r="AG44" i="29"/>
  <c r="AH44" i="29"/>
  <c r="AI44" i="29"/>
  <c r="AJ44" i="29"/>
  <c r="AK44" i="29"/>
  <c r="AL44" i="29"/>
  <c r="AM44" i="29"/>
  <c r="AN44" i="29"/>
  <c r="AO44" i="29"/>
  <c r="AP44" i="29"/>
  <c r="AQ44" i="29"/>
  <c r="AR44" i="29"/>
  <c r="AS44" i="29"/>
  <c r="AT44" i="29"/>
  <c r="AU44" i="29"/>
  <c r="AV44" i="29"/>
  <c r="AW44" i="29"/>
  <c r="AX44" i="29"/>
  <c r="AY44" i="29"/>
  <c r="AZ44" i="29"/>
  <c r="BA44" i="29"/>
  <c r="BB44" i="29"/>
  <c r="BC44" i="29"/>
  <c r="BD44" i="29"/>
  <c r="BE44" i="29"/>
  <c r="BF44" i="29"/>
  <c r="BG44" i="29"/>
  <c r="BH44" i="29"/>
  <c r="BI44" i="29"/>
  <c r="BJ44" i="29"/>
  <c r="BK44" i="29"/>
  <c r="BL44" i="29"/>
  <c r="BM44" i="29"/>
  <c r="BN44" i="29"/>
  <c r="BO44" i="29"/>
  <c r="BP44" i="29"/>
  <c r="AB20" i="29"/>
  <c r="W20" i="29"/>
  <c r="M21" i="29"/>
  <c r="N21" i="29" a="1"/>
  <c r="N21" i="29"/>
  <c r="O21" i="29"/>
  <c r="BR52" i="29"/>
  <c r="BS51" i="29"/>
  <c r="BT51" i="29"/>
  <c r="BT52" i="29"/>
  <c r="BU51" i="29"/>
  <c r="BU52" i="29"/>
  <c r="BV51" i="29"/>
  <c r="BV52" i="29"/>
  <c r="BW52" i="29"/>
  <c r="BX52" i="29"/>
  <c r="BY52" i="29"/>
  <c r="BZ52" i="29"/>
  <c r="CA52" i="29"/>
  <c r="BR53" i="29"/>
  <c r="BS53" i="29"/>
  <c r="BU53" i="29"/>
  <c r="BV53" i="29"/>
  <c r="BW53" i="29"/>
  <c r="BX53" i="29"/>
  <c r="BY53" i="29"/>
  <c r="BZ53" i="29"/>
  <c r="CA53" i="29"/>
  <c r="BR54" i="29"/>
  <c r="BS54" i="29"/>
  <c r="BT54" i="29"/>
  <c r="BV54" i="29"/>
  <c r="BW54" i="29"/>
  <c r="BX54" i="29"/>
  <c r="BY54" i="29"/>
  <c r="BZ54" i="29"/>
  <c r="CA54" i="29"/>
  <c r="BR55" i="29"/>
  <c r="BS55" i="29"/>
  <c r="BT55" i="29"/>
  <c r="BU55" i="29"/>
  <c r="BW55" i="29"/>
  <c r="BX55" i="29"/>
  <c r="BY55" i="29"/>
  <c r="BZ55" i="29"/>
  <c r="CA55" i="29"/>
  <c r="BS56" i="29"/>
  <c r="BT56" i="29"/>
  <c r="BU56" i="29"/>
  <c r="BV56" i="29"/>
  <c r="BX56" i="29"/>
  <c r="BY56" i="29"/>
  <c r="BZ56" i="29"/>
  <c r="CA56" i="29"/>
  <c r="BS57" i="29"/>
  <c r="BT57" i="29"/>
  <c r="BU57" i="29"/>
  <c r="BV57" i="29"/>
  <c r="BW57" i="29"/>
  <c r="BY57" i="29"/>
  <c r="BZ57" i="29"/>
  <c r="CA57" i="29"/>
  <c r="BS58" i="29"/>
  <c r="BT58" i="29"/>
  <c r="BU58" i="29"/>
  <c r="BV58" i="29"/>
  <c r="BW58" i="29"/>
  <c r="BX58" i="29"/>
  <c r="BZ58" i="29"/>
  <c r="CA58" i="29"/>
  <c r="BS59" i="29"/>
  <c r="BT59" i="29"/>
  <c r="BU59" i="29"/>
  <c r="BV59" i="29"/>
  <c r="BW59" i="29"/>
  <c r="BX59" i="29"/>
  <c r="BY59" i="29"/>
  <c r="CA59" i="29"/>
  <c r="BS60" i="29"/>
  <c r="BT60" i="29"/>
  <c r="BU60" i="29"/>
  <c r="BV60" i="29"/>
  <c r="BW60" i="29"/>
  <c r="BX60" i="29"/>
  <c r="BY60" i="29"/>
  <c r="BZ60" i="29"/>
  <c r="E34" i="29" a="1"/>
  <c r="E34" i="29"/>
  <c r="F34" i="29" a="1"/>
  <c r="F34" i="29"/>
  <c r="G34" i="29" a="1"/>
  <c r="H34" i="29" a="1"/>
  <c r="M22" i="29"/>
  <c r="N22" i="29" a="1"/>
  <c r="N22" i="29"/>
  <c r="O22" i="29"/>
  <c r="I34" i="29" a="1"/>
  <c r="M23" i="29"/>
  <c r="N23" i="29" a="1"/>
  <c r="N23" i="29"/>
  <c r="O23" i="29"/>
  <c r="J34" i="29" a="1"/>
  <c r="M24" i="29"/>
  <c r="N24" i="29" a="1"/>
  <c r="N24" i="29"/>
  <c r="O24" i="29"/>
  <c r="K34" i="29" a="1"/>
  <c r="M25" i="29"/>
  <c r="N25" i="29" a="1"/>
  <c r="N25" i="29"/>
  <c r="O25" i="29"/>
  <c r="L34" i="29" a="1"/>
  <c r="P21" i="29"/>
  <c r="M34" i="29" a="1"/>
  <c r="N34" i="29" a="1"/>
  <c r="O34" i="29" a="1"/>
  <c r="P34" i="29" a="1"/>
  <c r="P22" i="29"/>
  <c r="Q34" i="29" a="1"/>
  <c r="P23" i="29"/>
  <c r="R34" i="29" a="1"/>
  <c r="P24" i="29"/>
  <c r="S34" i="29" a="1"/>
  <c r="P25" i="29"/>
  <c r="T34" i="29" a="1"/>
  <c r="Q21" i="29"/>
  <c r="U34" i="29" a="1"/>
  <c r="V34" i="29" a="1"/>
  <c r="W34" i="29" a="1"/>
  <c r="X34" i="29" a="1"/>
  <c r="Q22" i="29"/>
  <c r="Y34" i="29" a="1"/>
  <c r="Q23" i="29"/>
  <c r="Z34" i="29" a="1"/>
  <c r="Q24" i="29"/>
  <c r="AA34" i="29" a="1"/>
  <c r="Q25" i="29"/>
  <c r="AB34" i="29" a="1"/>
  <c r="R21" i="29"/>
  <c r="AC34" i="29" a="1"/>
  <c r="AD34" i="29" a="1"/>
  <c r="AE34" i="29" a="1"/>
  <c r="AF34" i="29" a="1"/>
  <c r="R22" i="29"/>
  <c r="AG34" i="29" a="1"/>
  <c r="R23" i="29"/>
  <c r="AH34" i="29" a="1"/>
  <c r="R24" i="29"/>
  <c r="AI34" i="29" a="1"/>
  <c r="R25" i="29"/>
  <c r="AJ34" i="29" a="1"/>
  <c r="S21" i="29"/>
  <c r="AK34" i="29" a="1"/>
  <c r="AL34" i="29" a="1"/>
  <c r="AM34" i="29" a="1"/>
  <c r="AN34" i="29" a="1"/>
  <c r="S22" i="29"/>
  <c r="AO34" i="29" a="1"/>
  <c r="S23" i="29"/>
  <c r="AP34" i="29" a="1"/>
  <c r="S24" i="29"/>
  <c r="AQ34" i="29" a="1"/>
  <c r="S25" i="29"/>
  <c r="AR34" i="29" a="1"/>
  <c r="T21" i="29"/>
  <c r="AS34" i="29" a="1"/>
  <c r="AT34" i="29" a="1"/>
  <c r="AU34" i="29" a="1"/>
  <c r="AV34" i="29" a="1"/>
  <c r="T22" i="29"/>
  <c r="AW34" i="29" a="1"/>
  <c r="T23" i="29"/>
  <c r="AX34" i="29" a="1"/>
  <c r="T24" i="29"/>
  <c r="AY34" i="29" a="1"/>
  <c r="T25" i="29"/>
  <c r="AZ34" i="29" a="1"/>
  <c r="U21" i="29"/>
  <c r="BA34" i="29" a="1"/>
  <c r="BB34" i="29" a="1"/>
  <c r="BC34" i="29" a="1"/>
  <c r="BD34" i="29" a="1"/>
  <c r="U22" i="29"/>
  <c r="BE34" i="29" a="1"/>
  <c r="U23" i="29"/>
  <c r="BF34" i="29" a="1"/>
  <c r="U24" i="29"/>
  <c r="BG34" i="29" a="1"/>
  <c r="U25" i="29"/>
  <c r="BH34" i="29" a="1"/>
  <c r="V21" i="29"/>
  <c r="BI34" i="29" a="1"/>
  <c r="BJ34" i="29" a="1"/>
  <c r="BK34" i="29" a="1"/>
  <c r="BL34" i="29" a="1"/>
  <c r="V22" i="29"/>
  <c r="BM34" i="29" a="1"/>
  <c r="V23" i="29"/>
  <c r="BN34" i="29" a="1"/>
  <c r="V24" i="29"/>
  <c r="BO34" i="29" a="1"/>
  <c r="V25" i="29"/>
  <c r="BP34" i="29" a="1"/>
  <c r="G34" i="29"/>
  <c r="H34" i="29"/>
  <c r="I34" i="29"/>
  <c r="J34" i="29"/>
  <c r="K34" i="29"/>
  <c r="L34" i="29"/>
  <c r="M34" i="29"/>
  <c r="N34" i="29"/>
  <c r="O34" i="29"/>
  <c r="P34" i="29"/>
  <c r="Q34" i="29"/>
  <c r="R34" i="29"/>
  <c r="S34" i="29"/>
  <c r="T34" i="29"/>
  <c r="U34" i="29"/>
  <c r="V34" i="29"/>
  <c r="W34" i="29"/>
  <c r="X34" i="29"/>
  <c r="Y34" i="29"/>
  <c r="Z34" i="29"/>
  <c r="AA34" i="29"/>
  <c r="AB34" i="29"/>
  <c r="AC34" i="29"/>
  <c r="AD34" i="29"/>
  <c r="AE34" i="29"/>
  <c r="AF34" i="29"/>
  <c r="AG34" i="29"/>
  <c r="AH34" i="29"/>
  <c r="AI34" i="29"/>
  <c r="AJ34" i="29"/>
  <c r="AK34" i="29"/>
  <c r="AL34" i="29"/>
  <c r="AM34" i="29"/>
  <c r="AN34" i="29"/>
  <c r="AO34" i="29"/>
  <c r="AP34" i="29"/>
  <c r="AQ34" i="29"/>
  <c r="AR34" i="29"/>
  <c r="AS34" i="29"/>
  <c r="AT34" i="29"/>
  <c r="AU34" i="29"/>
  <c r="AV34" i="29"/>
  <c r="AW34" i="29"/>
  <c r="AX34" i="29"/>
  <c r="AY34" i="29"/>
  <c r="AZ34" i="29"/>
  <c r="BA34" i="29"/>
  <c r="BB34" i="29"/>
  <c r="BC34" i="29"/>
  <c r="BD34" i="29"/>
  <c r="BE34" i="29"/>
  <c r="BF34" i="29"/>
  <c r="BG34" i="29"/>
  <c r="BH34" i="29"/>
  <c r="BI34" i="29"/>
  <c r="BJ34" i="29"/>
  <c r="BK34" i="29"/>
  <c r="BL34" i="29"/>
  <c r="BM34" i="29"/>
  <c r="BN34" i="29"/>
  <c r="BO34" i="29"/>
  <c r="BP34" i="29"/>
  <c r="AA21" i="29"/>
  <c r="BR41" i="29"/>
  <c r="BS40" i="29"/>
  <c r="BT40" i="29"/>
  <c r="BR30" i="29"/>
  <c r="BT29" i="29"/>
  <c r="BT30" i="29"/>
  <c r="BR31" i="29"/>
  <c r="BS29" i="29"/>
  <c r="BS31" i="29"/>
  <c r="BT41" i="29"/>
  <c r="BU40" i="29"/>
  <c r="BU29" i="29"/>
  <c r="BU30" i="29"/>
  <c r="BR32" i="29"/>
  <c r="BS32" i="29"/>
  <c r="BU41" i="29"/>
  <c r="BV40" i="29"/>
  <c r="BV29" i="29"/>
  <c r="BV30" i="29"/>
  <c r="BR33" i="29"/>
  <c r="BS33" i="29"/>
  <c r="BV41" i="29"/>
  <c r="BW30" i="29"/>
  <c r="BS34" i="29"/>
  <c r="BW41" i="29"/>
  <c r="BX30" i="29"/>
  <c r="BS35" i="29"/>
  <c r="BX41" i="29"/>
  <c r="BY30" i="29"/>
  <c r="BS36" i="29"/>
  <c r="BY41" i="29"/>
  <c r="BZ30" i="29"/>
  <c r="BS37" i="29"/>
  <c r="BZ41" i="29"/>
  <c r="CA30" i="29"/>
  <c r="BS38" i="29"/>
  <c r="CA41" i="29"/>
  <c r="BR42" i="29"/>
  <c r="BS42" i="29"/>
  <c r="BU31" i="29"/>
  <c r="BT32" i="29"/>
  <c r="BU42" i="29"/>
  <c r="BV31" i="29"/>
  <c r="BT33" i="29"/>
  <c r="BV42" i="29"/>
  <c r="BW31" i="29"/>
  <c r="BT34" i="29"/>
  <c r="BW42" i="29"/>
  <c r="BX31" i="29"/>
  <c r="BT35" i="29"/>
  <c r="BX42" i="29"/>
  <c r="BY31" i="29"/>
  <c r="BT36" i="29"/>
  <c r="BY42" i="29"/>
  <c r="BZ31" i="29"/>
  <c r="BT37" i="29"/>
  <c r="BZ42" i="29"/>
  <c r="CA31" i="29"/>
  <c r="BT38" i="29"/>
  <c r="CA42" i="29"/>
  <c r="BR43" i="29"/>
  <c r="BS43" i="29"/>
  <c r="BT43" i="29"/>
  <c r="BV32" i="29"/>
  <c r="BU33" i="29"/>
  <c r="BV43" i="29"/>
  <c r="BW32" i="29"/>
  <c r="BU34" i="29"/>
  <c r="BW43" i="29"/>
  <c r="BX32" i="29"/>
  <c r="BU35" i="29"/>
  <c r="BX43" i="29"/>
  <c r="BY32" i="29"/>
  <c r="BU36" i="29"/>
  <c r="BY43" i="29"/>
  <c r="BZ32" i="29"/>
  <c r="BU37" i="29"/>
  <c r="BZ43" i="29"/>
  <c r="CA32" i="29"/>
  <c r="BU38" i="29"/>
  <c r="CA43" i="29"/>
  <c r="BR44" i="29"/>
  <c r="BS44" i="29"/>
  <c r="BT44" i="29"/>
  <c r="BU44" i="29"/>
  <c r="BW33" i="29"/>
  <c r="BV34" i="29"/>
  <c r="BW44" i="29"/>
  <c r="BX33" i="29"/>
  <c r="BV35" i="29"/>
  <c r="BX44" i="29"/>
  <c r="BY33" i="29"/>
  <c r="BV36" i="29"/>
  <c r="BY44" i="29"/>
  <c r="BZ33" i="29"/>
  <c r="BV37" i="29"/>
  <c r="BZ44" i="29"/>
  <c r="CA33" i="29"/>
  <c r="BV38" i="29"/>
  <c r="CA44" i="29"/>
  <c r="BS45" i="29"/>
  <c r="BT45" i="29"/>
  <c r="BU45" i="29"/>
  <c r="BV45" i="29"/>
  <c r="BX34" i="29"/>
  <c r="BW35" i="29"/>
  <c r="BX45" i="29"/>
  <c r="BY34" i="29"/>
  <c r="BW36" i="29"/>
  <c r="BY45" i="29"/>
  <c r="BZ34" i="29"/>
  <c r="BW37" i="29"/>
  <c r="BZ45" i="29"/>
  <c r="CA34" i="29"/>
  <c r="BW38" i="29"/>
  <c r="CA45" i="29"/>
  <c r="BS46" i="29"/>
  <c r="BT46" i="29"/>
  <c r="BU46" i="29"/>
  <c r="BV46" i="29"/>
  <c r="BW46" i="29"/>
  <c r="BY35" i="29"/>
  <c r="BX36" i="29"/>
  <c r="BY46" i="29"/>
  <c r="BZ35" i="29"/>
  <c r="BX37" i="29"/>
  <c r="BZ46" i="29"/>
  <c r="CA35" i="29"/>
  <c r="BX38" i="29"/>
  <c r="CA46" i="29"/>
  <c r="BS47" i="29"/>
  <c r="BT47" i="29"/>
  <c r="BU47" i="29"/>
  <c r="BV47" i="29"/>
  <c r="BW47" i="29"/>
  <c r="BX47" i="29"/>
  <c r="BZ36" i="29"/>
  <c r="BY37" i="29"/>
  <c r="BZ47" i="29"/>
  <c r="CA36" i="29"/>
  <c r="BY38" i="29"/>
  <c r="CA47" i="29"/>
  <c r="BS48" i="29"/>
  <c r="BT48" i="29"/>
  <c r="BU48" i="29"/>
  <c r="BV48" i="29"/>
  <c r="BW48" i="29"/>
  <c r="BX48" i="29"/>
  <c r="BY48" i="29"/>
  <c r="CA37" i="29"/>
  <c r="BZ38" i="29"/>
  <c r="CA48" i="29"/>
  <c r="BS49" i="29"/>
  <c r="BT49" i="29"/>
  <c r="BU49" i="29"/>
  <c r="BV49" i="29"/>
  <c r="BW49" i="29"/>
  <c r="BX49" i="29"/>
  <c r="BY49" i="29"/>
  <c r="BZ49" i="29"/>
  <c r="E45" i="29" a="1"/>
  <c r="E45" i="29"/>
  <c r="F45" i="29" a="1"/>
  <c r="F45" i="29"/>
  <c r="G45" i="29" a="1"/>
  <c r="H45" i="29" a="1"/>
  <c r="I45" i="29" a="1"/>
  <c r="J45" i="29" a="1"/>
  <c r="K45" i="29" a="1"/>
  <c r="L45" i="29" a="1"/>
  <c r="M45" i="29" a="1"/>
  <c r="N45" i="29" a="1"/>
  <c r="O45" i="29" a="1"/>
  <c r="P45" i="29" a="1"/>
  <c r="Q45" i="29" a="1"/>
  <c r="R45" i="29" a="1"/>
  <c r="S45" i="29" a="1"/>
  <c r="T45" i="29" a="1"/>
  <c r="U45" i="29" a="1"/>
  <c r="V45" i="29" a="1"/>
  <c r="W45" i="29" a="1"/>
  <c r="X45" i="29" a="1"/>
  <c r="Y45" i="29" a="1"/>
  <c r="Z45" i="29" a="1"/>
  <c r="AA45" i="29" a="1"/>
  <c r="AB45" i="29" a="1"/>
  <c r="AC45" i="29" a="1"/>
  <c r="AD45" i="29" a="1"/>
  <c r="AE45" i="29" a="1"/>
  <c r="AF45" i="29" a="1"/>
  <c r="AG45" i="29" a="1"/>
  <c r="AH45" i="29" a="1"/>
  <c r="AI45" i="29" a="1"/>
  <c r="AJ45" i="29" a="1"/>
  <c r="AK45" i="29" a="1"/>
  <c r="AL45" i="29" a="1"/>
  <c r="AM45" i="29" a="1"/>
  <c r="AN45" i="29" a="1"/>
  <c r="AO45" i="29" a="1"/>
  <c r="AP45" i="29" a="1"/>
  <c r="AQ45" i="29" a="1"/>
  <c r="AR45" i="29" a="1"/>
  <c r="AS45" i="29" a="1"/>
  <c r="AT45" i="29" a="1"/>
  <c r="AU45" i="29" a="1"/>
  <c r="AV45" i="29" a="1"/>
  <c r="AW45" i="29" a="1"/>
  <c r="AX45" i="29" a="1"/>
  <c r="AY45" i="29" a="1"/>
  <c r="AZ45" i="29" a="1"/>
  <c r="BA45" i="29" a="1"/>
  <c r="BB45" i="29" a="1"/>
  <c r="BC45" i="29" a="1"/>
  <c r="BD45" i="29" a="1"/>
  <c r="BE45" i="29" a="1"/>
  <c r="BF45" i="29" a="1"/>
  <c r="BG45" i="29" a="1"/>
  <c r="BH45" i="29" a="1"/>
  <c r="BI45" i="29" a="1"/>
  <c r="BJ45" i="29" a="1"/>
  <c r="BK45" i="29" a="1"/>
  <c r="BL45" i="29" a="1"/>
  <c r="BM45" i="29" a="1"/>
  <c r="BN45" i="29" a="1"/>
  <c r="BO45" i="29" a="1"/>
  <c r="BP45" i="29" a="1"/>
  <c r="G45" i="29"/>
  <c r="H45" i="29"/>
  <c r="I45" i="29"/>
  <c r="J45" i="29"/>
  <c r="K45" i="29"/>
  <c r="L45" i="29"/>
  <c r="M45" i="29"/>
  <c r="N45" i="29"/>
  <c r="O45" i="29"/>
  <c r="P45" i="29"/>
  <c r="Q45" i="29"/>
  <c r="R45" i="29"/>
  <c r="S45" i="29"/>
  <c r="T45" i="29"/>
  <c r="U45" i="29"/>
  <c r="V45" i="29"/>
  <c r="W45" i="29"/>
  <c r="X45" i="29"/>
  <c r="Y45" i="29"/>
  <c r="Z45" i="29"/>
  <c r="AA45" i="29"/>
  <c r="AB45" i="29"/>
  <c r="AC45" i="29"/>
  <c r="AD45" i="29"/>
  <c r="AE45" i="29"/>
  <c r="AF45" i="29"/>
  <c r="AG45" i="29"/>
  <c r="AH45" i="29"/>
  <c r="AI45" i="29"/>
  <c r="AJ45" i="29"/>
  <c r="AK45" i="29"/>
  <c r="AL45" i="29"/>
  <c r="AM45" i="29"/>
  <c r="AN45" i="29"/>
  <c r="AO45" i="29"/>
  <c r="AP45" i="29"/>
  <c r="AQ45" i="29"/>
  <c r="AR45" i="29"/>
  <c r="AS45" i="29"/>
  <c r="AT45" i="29"/>
  <c r="AU45" i="29"/>
  <c r="AV45" i="29"/>
  <c r="AW45" i="29"/>
  <c r="AX45" i="29"/>
  <c r="AY45" i="29"/>
  <c r="AZ45" i="29"/>
  <c r="BA45" i="29"/>
  <c r="BB45" i="29"/>
  <c r="BC45" i="29"/>
  <c r="BD45" i="29"/>
  <c r="BE45" i="29"/>
  <c r="BF45" i="29"/>
  <c r="BG45" i="29"/>
  <c r="BH45" i="29"/>
  <c r="BI45" i="29"/>
  <c r="BJ45" i="29"/>
  <c r="BK45" i="29"/>
  <c r="BL45" i="29"/>
  <c r="BM45" i="29"/>
  <c r="BN45" i="29"/>
  <c r="BO45" i="29"/>
  <c r="BP45" i="29"/>
  <c r="AB21" i="29"/>
  <c r="W21" i="29"/>
  <c r="E35" i="29" a="1"/>
  <c r="E35" i="29"/>
  <c r="F35" i="29" a="1"/>
  <c r="F35" i="29"/>
  <c r="G35" i="29" a="1"/>
  <c r="H35" i="29" a="1"/>
  <c r="I35" i="29" a="1"/>
  <c r="J35" i="29" a="1"/>
  <c r="K35" i="29" a="1"/>
  <c r="L35" i="29" a="1"/>
  <c r="M35" i="29" a="1"/>
  <c r="N35" i="29" a="1"/>
  <c r="O35" i="29" a="1"/>
  <c r="P35" i="29" a="1"/>
  <c r="Q35" i="29" a="1"/>
  <c r="R35" i="29" a="1"/>
  <c r="S35" i="29" a="1"/>
  <c r="T35" i="29" a="1"/>
  <c r="U35" i="29" a="1"/>
  <c r="V35" i="29" a="1"/>
  <c r="W35" i="29" a="1"/>
  <c r="X35" i="29" a="1"/>
  <c r="Y35" i="29" a="1"/>
  <c r="Z35" i="29" a="1"/>
  <c r="AA35" i="29" a="1"/>
  <c r="AB35" i="29" a="1"/>
  <c r="AC35" i="29" a="1"/>
  <c r="AD35" i="29" a="1"/>
  <c r="AE35" i="29" a="1"/>
  <c r="AF35" i="29" a="1"/>
  <c r="AG35" i="29" a="1"/>
  <c r="AH35" i="29" a="1"/>
  <c r="AI35" i="29" a="1"/>
  <c r="AJ35" i="29" a="1"/>
  <c r="AK35" i="29" a="1"/>
  <c r="AL35" i="29" a="1"/>
  <c r="AM35" i="29" a="1"/>
  <c r="AN35" i="29" a="1"/>
  <c r="AO35" i="29" a="1"/>
  <c r="AP35" i="29" a="1"/>
  <c r="AQ35" i="29" a="1"/>
  <c r="AR35" i="29" a="1"/>
  <c r="AS35" i="29" a="1"/>
  <c r="AT35" i="29" a="1"/>
  <c r="AU35" i="29" a="1"/>
  <c r="AV35" i="29" a="1"/>
  <c r="AW35" i="29" a="1"/>
  <c r="AX35" i="29" a="1"/>
  <c r="AY35" i="29" a="1"/>
  <c r="AZ35" i="29" a="1"/>
  <c r="BA35" i="29" a="1"/>
  <c r="BB35" i="29" a="1"/>
  <c r="BC35" i="29" a="1"/>
  <c r="BD35" i="29" a="1"/>
  <c r="BE35" i="29" a="1"/>
  <c r="BF35" i="29" a="1"/>
  <c r="BG35" i="29" a="1"/>
  <c r="BH35" i="29" a="1"/>
  <c r="BI35" i="29" a="1"/>
  <c r="BJ35" i="29" a="1"/>
  <c r="BK35" i="29" a="1"/>
  <c r="BL35" i="29" a="1"/>
  <c r="BM35" i="29" a="1"/>
  <c r="BN35" i="29" a="1"/>
  <c r="BO35" i="29" a="1"/>
  <c r="BP35" i="29" a="1"/>
  <c r="G35" i="29"/>
  <c r="H35" i="29"/>
  <c r="I35" i="29"/>
  <c r="J35" i="29"/>
  <c r="K35" i="29"/>
  <c r="L35" i="29"/>
  <c r="M35" i="29"/>
  <c r="N35" i="29"/>
  <c r="O35" i="29"/>
  <c r="P35" i="29"/>
  <c r="Q35" i="29"/>
  <c r="R35" i="29"/>
  <c r="S35" i="29"/>
  <c r="T35" i="29"/>
  <c r="U35" i="29"/>
  <c r="V35" i="29"/>
  <c r="W35" i="29"/>
  <c r="X35" i="29"/>
  <c r="Y35" i="29"/>
  <c r="Z35" i="29"/>
  <c r="AA35" i="29"/>
  <c r="AB35" i="29"/>
  <c r="AC35" i="29"/>
  <c r="AD35" i="29"/>
  <c r="AE35" i="29"/>
  <c r="AF35" i="29"/>
  <c r="AG35" i="29"/>
  <c r="AH35" i="29"/>
  <c r="AI35" i="29"/>
  <c r="AJ35" i="29"/>
  <c r="AK35" i="29"/>
  <c r="AL35" i="29"/>
  <c r="AM35" i="29"/>
  <c r="AN35" i="29"/>
  <c r="AO35" i="29"/>
  <c r="AP35" i="29"/>
  <c r="AQ35" i="29"/>
  <c r="AR35" i="29"/>
  <c r="AS35" i="29"/>
  <c r="AT35" i="29"/>
  <c r="AU35" i="29"/>
  <c r="AV35" i="29"/>
  <c r="AW35" i="29"/>
  <c r="AX35" i="29"/>
  <c r="AY35" i="29"/>
  <c r="AZ35" i="29"/>
  <c r="BA35" i="29"/>
  <c r="BB35" i="29"/>
  <c r="BC35" i="29"/>
  <c r="BD35" i="29"/>
  <c r="BE35" i="29"/>
  <c r="BF35" i="29"/>
  <c r="BG35" i="29"/>
  <c r="BH35" i="29"/>
  <c r="BI35" i="29"/>
  <c r="BJ35" i="29"/>
  <c r="BK35" i="29"/>
  <c r="BL35" i="29"/>
  <c r="BM35" i="29"/>
  <c r="BN35" i="29"/>
  <c r="BO35" i="29"/>
  <c r="BP35" i="29"/>
  <c r="AA22" i="29"/>
  <c r="E46" i="29" a="1"/>
  <c r="E46" i="29"/>
  <c r="F46" i="29" a="1"/>
  <c r="F46" i="29"/>
  <c r="G46" i="29" a="1"/>
  <c r="H46" i="29" a="1"/>
  <c r="I46" i="29" a="1"/>
  <c r="J46" i="29" a="1"/>
  <c r="K46" i="29" a="1"/>
  <c r="L46" i="29" a="1"/>
  <c r="M46" i="29" a="1"/>
  <c r="N46" i="29" a="1"/>
  <c r="O46" i="29" a="1"/>
  <c r="P46" i="29" a="1"/>
  <c r="Q46" i="29" a="1"/>
  <c r="R46" i="29" a="1"/>
  <c r="S46" i="29" a="1"/>
  <c r="T46" i="29" a="1"/>
  <c r="U46" i="29" a="1"/>
  <c r="V46" i="29" a="1"/>
  <c r="W46" i="29" a="1"/>
  <c r="X46" i="29" a="1"/>
  <c r="Y46" i="29" a="1"/>
  <c r="Z46" i="29" a="1"/>
  <c r="AA46" i="29" a="1"/>
  <c r="AB46" i="29" a="1"/>
  <c r="AC46" i="29" a="1"/>
  <c r="AD46" i="29" a="1"/>
  <c r="AE46" i="29" a="1"/>
  <c r="AF46" i="29" a="1"/>
  <c r="AG46" i="29" a="1"/>
  <c r="AH46" i="29" a="1"/>
  <c r="AI46" i="29" a="1"/>
  <c r="AJ46" i="29" a="1"/>
  <c r="AK46" i="29" a="1"/>
  <c r="AL46" i="29" a="1"/>
  <c r="AM46" i="29" a="1"/>
  <c r="AN46" i="29" a="1"/>
  <c r="AO46" i="29" a="1"/>
  <c r="AP46" i="29" a="1"/>
  <c r="AQ46" i="29" a="1"/>
  <c r="AR46" i="29" a="1"/>
  <c r="AS46" i="29" a="1"/>
  <c r="AT46" i="29" a="1"/>
  <c r="AU46" i="29" a="1"/>
  <c r="AV46" i="29" a="1"/>
  <c r="AW46" i="29" a="1"/>
  <c r="AX46" i="29" a="1"/>
  <c r="AY46" i="29" a="1"/>
  <c r="AZ46" i="29" a="1"/>
  <c r="BA46" i="29" a="1"/>
  <c r="BB46" i="29" a="1"/>
  <c r="BC46" i="29" a="1"/>
  <c r="BD46" i="29" a="1"/>
  <c r="BE46" i="29" a="1"/>
  <c r="BF46" i="29" a="1"/>
  <c r="BG46" i="29" a="1"/>
  <c r="BH46" i="29" a="1"/>
  <c r="BI46" i="29" a="1"/>
  <c r="BJ46" i="29" a="1"/>
  <c r="BK46" i="29" a="1"/>
  <c r="BL46" i="29" a="1"/>
  <c r="BM46" i="29" a="1"/>
  <c r="BN46" i="29" a="1"/>
  <c r="BO46" i="29" a="1"/>
  <c r="BP46" i="29" a="1"/>
  <c r="G46" i="29"/>
  <c r="H46" i="29"/>
  <c r="I46" i="29"/>
  <c r="J46" i="29"/>
  <c r="K46" i="29"/>
  <c r="L46" i="29"/>
  <c r="M46" i="29"/>
  <c r="N46" i="29"/>
  <c r="O46" i="29"/>
  <c r="P46" i="29"/>
  <c r="Q46" i="29"/>
  <c r="R46" i="29"/>
  <c r="S46" i="29"/>
  <c r="T46" i="29"/>
  <c r="U46" i="29"/>
  <c r="V46" i="29"/>
  <c r="W46" i="29"/>
  <c r="X46" i="29"/>
  <c r="Y46" i="29"/>
  <c r="Z46" i="29"/>
  <c r="AA46" i="29"/>
  <c r="AB46" i="29"/>
  <c r="AC46" i="29"/>
  <c r="AD46" i="29"/>
  <c r="AE46" i="29"/>
  <c r="AF46" i="29"/>
  <c r="AG46" i="29"/>
  <c r="AH46" i="29"/>
  <c r="AI46" i="29"/>
  <c r="AJ46" i="29"/>
  <c r="AK46" i="29"/>
  <c r="AL46" i="29"/>
  <c r="AM46" i="29"/>
  <c r="AN46" i="29"/>
  <c r="AO46" i="29"/>
  <c r="AP46" i="29"/>
  <c r="AQ46" i="29"/>
  <c r="AR46" i="29"/>
  <c r="AS46" i="29"/>
  <c r="AT46" i="29"/>
  <c r="AU46" i="29"/>
  <c r="AV46" i="29"/>
  <c r="AW46" i="29"/>
  <c r="AX46" i="29"/>
  <c r="AY46" i="29"/>
  <c r="AZ46" i="29"/>
  <c r="BA46" i="29"/>
  <c r="BB46" i="29"/>
  <c r="BC46" i="29"/>
  <c r="BD46" i="29"/>
  <c r="BE46" i="29"/>
  <c r="BF46" i="29"/>
  <c r="BG46" i="29"/>
  <c r="BH46" i="29"/>
  <c r="BI46" i="29"/>
  <c r="BJ46" i="29"/>
  <c r="BK46" i="29"/>
  <c r="BL46" i="29"/>
  <c r="BM46" i="29"/>
  <c r="BN46" i="29"/>
  <c r="BO46" i="29"/>
  <c r="BP46" i="29"/>
  <c r="AB22" i="29"/>
  <c r="W22" i="29"/>
  <c r="E36" i="29" a="1"/>
  <c r="E36" i="29"/>
  <c r="F36" i="29" a="1"/>
  <c r="F36" i="29"/>
  <c r="G36" i="29" a="1"/>
  <c r="H36" i="29" a="1"/>
  <c r="I36" i="29" a="1"/>
  <c r="J36" i="29" a="1"/>
  <c r="K36" i="29" a="1"/>
  <c r="L36" i="29" a="1"/>
  <c r="M36" i="29" a="1"/>
  <c r="N36" i="29" a="1"/>
  <c r="O36" i="29" a="1"/>
  <c r="P36" i="29" a="1"/>
  <c r="Q36" i="29" a="1"/>
  <c r="R36" i="29" a="1"/>
  <c r="S36" i="29" a="1"/>
  <c r="T36" i="29" a="1"/>
  <c r="U36" i="29" a="1"/>
  <c r="V36" i="29" a="1"/>
  <c r="W36" i="29" a="1"/>
  <c r="X36" i="29" a="1"/>
  <c r="Y36" i="29" a="1"/>
  <c r="Z36" i="29" a="1"/>
  <c r="AA36" i="29" a="1"/>
  <c r="AB36" i="29" a="1"/>
  <c r="AC36" i="29" a="1"/>
  <c r="AD36" i="29" a="1"/>
  <c r="AE36" i="29" a="1"/>
  <c r="AF36" i="29" a="1"/>
  <c r="AG36" i="29" a="1"/>
  <c r="AH36" i="29" a="1"/>
  <c r="AI36" i="29" a="1"/>
  <c r="AJ36" i="29" a="1"/>
  <c r="AK36" i="29" a="1"/>
  <c r="AL36" i="29" a="1"/>
  <c r="AM36" i="29" a="1"/>
  <c r="AN36" i="29" a="1"/>
  <c r="AO36" i="29" a="1"/>
  <c r="AP36" i="29" a="1"/>
  <c r="AQ36" i="29" a="1"/>
  <c r="AR36" i="29" a="1"/>
  <c r="AS36" i="29" a="1"/>
  <c r="AT36" i="29" a="1"/>
  <c r="AU36" i="29" a="1"/>
  <c r="AV36" i="29" a="1"/>
  <c r="AW36" i="29" a="1"/>
  <c r="AX36" i="29" a="1"/>
  <c r="AY36" i="29" a="1"/>
  <c r="AZ36" i="29" a="1"/>
  <c r="BA36" i="29" a="1"/>
  <c r="BB36" i="29" a="1"/>
  <c r="BC36" i="29" a="1"/>
  <c r="BD36" i="29" a="1"/>
  <c r="BE36" i="29" a="1"/>
  <c r="BF36" i="29" a="1"/>
  <c r="BG36" i="29" a="1"/>
  <c r="BH36" i="29" a="1"/>
  <c r="BI36" i="29" a="1"/>
  <c r="BJ36" i="29" a="1"/>
  <c r="BK36" i="29" a="1"/>
  <c r="BL36" i="29" a="1"/>
  <c r="BM36" i="29" a="1"/>
  <c r="BN36" i="29" a="1"/>
  <c r="BO36" i="29" a="1"/>
  <c r="BP36" i="29" a="1"/>
  <c r="G36" i="29"/>
  <c r="H36" i="29"/>
  <c r="I36" i="29"/>
  <c r="J36" i="29"/>
  <c r="K36" i="29"/>
  <c r="L36" i="29"/>
  <c r="M36" i="29"/>
  <c r="N36" i="29"/>
  <c r="O36" i="29"/>
  <c r="P36" i="29"/>
  <c r="Q36" i="29"/>
  <c r="R36" i="29"/>
  <c r="S36" i="29"/>
  <c r="T36" i="29"/>
  <c r="U36" i="29"/>
  <c r="V36" i="29"/>
  <c r="W36" i="29"/>
  <c r="X36" i="29"/>
  <c r="Y36" i="29"/>
  <c r="Z36" i="29"/>
  <c r="AA36" i="29"/>
  <c r="AB36" i="29"/>
  <c r="AC36" i="29"/>
  <c r="AD36" i="29"/>
  <c r="AE36" i="29"/>
  <c r="AF36" i="29"/>
  <c r="AG36" i="29"/>
  <c r="AH36" i="29"/>
  <c r="AI36" i="29"/>
  <c r="AJ36" i="29"/>
  <c r="AK36" i="29"/>
  <c r="AL36" i="29"/>
  <c r="AM36" i="29"/>
  <c r="AN36" i="29"/>
  <c r="AO36" i="29"/>
  <c r="AP36" i="29"/>
  <c r="AQ36" i="29"/>
  <c r="AR36" i="29"/>
  <c r="AS36" i="29"/>
  <c r="AT36" i="29"/>
  <c r="AU36" i="29"/>
  <c r="AV36" i="29"/>
  <c r="AW36" i="29"/>
  <c r="AX36" i="29"/>
  <c r="AY36" i="29"/>
  <c r="AZ36" i="29"/>
  <c r="BA36" i="29"/>
  <c r="BB36" i="29"/>
  <c r="BC36" i="29"/>
  <c r="BD36" i="29"/>
  <c r="BE36" i="29"/>
  <c r="BF36" i="29"/>
  <c r="BG36" i="29"/>
  <c r="BH36" i="29"/>
  <c r="BI36" i="29"/>
  <c r="BJ36" i="29"/>
  <c r="BK36" i="29"/>
  <c r="BL36" i="29"/>
  <c r="BM36" i="29"/>
  <c r="BN36" i="29"/>
  <c r="BO36" i="29"/>
  <c r="BP36" i="29"/>
  <c r="AA23" i="29"/>
  <c r="E47" i="29" a="1"/>
  <c r="E47" i="29"/>
  <c r="F47" i="29" a="1"/>
  <c r="F47" i="29"/>
  <c r="G47" i="29" a="1"/>
  <c r="H47" i="29" a="1"/>
  <c r="I47" i="29" a="1"/>
  <c r="J47" i="29" a="1"/>
  <c r="K47" i="29" a="1"/>
  <c r="L47" i="29" a="1"/>
  <c r="M47" i="29" a="1"/>
  <c r="N47" i="29" a="1"/>
  <c r="O47" i="29" a="1"/>
  <c r="P47" i="29" a="1"/>
  <c r="Q47" i="29" a="1"/>
  <c r="R47" i="29" a="1"/>
  <c r="S47" i="29" a="1"/>
  <c r="T47" i="29" a="1"/>
  <c r="U47" i="29" a="1"/>
  <c r="V47" i="29" a="1"/>
  <c r="W47" i="29" a="1"/>
  <c r="X47" i="29" a="1"/>
  <c r="Y47" i="29" a="1"/>
  <c r="Z47" i="29" a="1"/>
  <c r="AA47" i="29" a="1"/>
  <c r="AB47" i="29" a="1"/>
  <c r="AC47" i="29" a="1"/>
  <c r="AD47" i="29" a="1"/>
  <c r="AE47" i="29" a="1"/>
  <c r="AF47" i="29" a="1"/>
  <c r="AG47" i="29" a="1"/>
  <c r="AH47" i="29" a="1"/>
  <c r="AI47" i="29" a="1"/>
  <c r="AJ47" i="29" a="1"/>
  <c r="AK47" i="29" a="1"/>
  <c r="AL47" i="29" a="1"/>
  <c r="AM47" i="29" a="1"/>
  <c r="AN47" i="29" a="1"/>
  <c r="AO47" i="29" a="1"/>
  <c r="AP47" i="29" a="1"/>
  <c r="AQ47" i="29" a="1"/>
  <c r="AR47" i="29" a="1"/>
  <c r="AS47" i="29" a="1"/>
  <c r="AT47" i="29" a="1"/>
  <c r="AU47" i="29" a="1"/>
  <c r="AV47" i="29" a="1"/>
  <c r="AW47" i="29" a="1"/>
  <c r="AX47" i="29" a="1"/>
  <c r="AY47" i="29" a="1"/>
  <c r="AZ47" i="29" a="1"/>
  <c r="BA47" i="29" a="1"/>
  <c r="BB47" i="29" a="1"/>
  <c r="BC47" i="29" a="1"/>
  <c r="BD47" i="29" a="1"/>
  <c r="BE47" i="29" a="1"/>
  <c r="BF47" i="29" a="1"/>
  <c r="BG47" i="29" a="1"/>
  <c r="BH47" i="29" a="1"/>
  <c r="BI47" i="29" a="1"/>
  <c r="BJ47" i="29" a="1"/>
  <c r="BK47" i="29" a="1"/>
  <c r="BL47" i="29" a="1"/>
  <c r="BM47" i="29" a="1"/>
  <c r="BN47" i="29" a="1"/>
  <c r="BO47" i="29" a="1"/>
  <c r="BP47" i="29" a="1"/>
  <c r="G47" i="29"/>
  <c r="H47" i="29"/>
  <c r="I47" i="29"/>
  <c r="J47" i="29"/>
  <c r="K47" i="29"/>
  <c r="L47" i="29"/>
  <c r="M47" i="29"/>
  <c r="N47" i="29"/>
  <c r="O47" i="29"/>
  <c r="P47" i="29"/>
  <c r="Q47" i="29"/>
  <c r="R47" i="29"/>
  <c r="S47" i="29"/>
  <c r="T47" i="29"/>
  <c r="U47" i="29"/>
  <c r="V47" i="29"/>
  <c r="W47" i="29"/>
  <c r="X47" i="29"/>
  <c r="Y47" i="29"/>
  <c r="Z47" i="29"/>
  <c r="AA47" i="29"/>
  <c r="AB47" i="29"/>
  <c r="AC47" i="29"/>
  <c r="AD47" i="29"/>
  <c r="AE47" i="29"/>
  <c r="AF47" i="29"/>
  <c r="AG47" i="29"/>
  <c r="AH47" i="29"/>
  <c r="AI47" i="29"/>
  <c r="AJ47" i="29"/>
  <c r="AK47" i="29"/>
  <c r="AL47" i="29"/>
  <c r="AM47" i="29"/>
  <c r="AN47" i="29"/>
  <c r="AO47" i="29"/>
  <c r="AP47" i="29"/>
  <c r="AQ47" i="29"/>
  <c r="AR47" i="29"/>
  <c r="AS47" i="29"/>
  <c r="AT47" i="29"/>
  <c r="AU47" i="29"/>
  <c r="AV47" i="29"/>
  <c r="AW47" i="29"/>
  <c r="AX47" i="29"/>
  <c r="AY47" i="29"/>
  <c r="AZ47" i="29"/>
  <c r="BA47" i="29"/>
  <c r="BB47" i="29"/>
  <c r="BC47" i="29"/>
  <c r="BD47" i="29"/>
  <c r="BE47" i="29"/>
  <c r="BF47" i="29"/>
  <c r="BG47" i="29"/>
  <c r="BH47" i="29"/>
  <c r="BI47" i="29"/>
  <c r="BJ47" i="29"/>
  <c r="BK47" i="29"/>
  <c r="BL47" i="29"/>
  <c r="BM47" i="29"/>
  <c r="BN47" i="29"/>
  <c r="BO47" i="29"/>
  <c r="BP47" i="29"/>
  <c r="AB23" i="29"/>
  <c r="W23" i="29"/>
  <c r="E37" i="29" a="1"/>
  <c r="E37" i="29"/>
  <c r="F37" i="29" a="1"/>
  <c r="F37" i="29"/>
  <c r="G37" i="29" a="1"/>
  <c r="H37" i="29" a="1"/>
  <c r="I37" i="29" a="1"/>
  <c r="J37" i="29" a="1"/>
  <c r="K37" i="29" a="1"/>
  <c r="L37" i="29" a="1"/>
  <c r="M37" i="29" a="1"/>
  <c r="N37" i="29" a="1"/>
  <c r="O37" i="29" a="1"/>
  <c r="P37" i="29" a="1"/>
  <c r="Q37" i="29" a="1"/>
  <c r="R37" i="29" a="1"/>
  <c r="S37" i="29" a="1"/>
  <c r="T37" i="29" a="1"/>
  <c r="U37" i="29" a="1"/>
  <c r="V37" i="29" a="1"/>
  <c r="W37" i="29" a="1"/>
  <c r="X37" i="29" a="1"/>
  <c r="Y37" i="29" a="1"/>
  <c r="Z37" i="29" a="1"/>
  <c r="AA37" i="29" a="1"/>
  <c r="AB37" i="29" a="1"/>
  <c r="AC37" i="29" a="1"/>
  <c r="AD37" i="29" a="1"/>
  <c r="AE37" i="29" a="1"/>
  <c r="AF37" i="29" a="1"/>
  <c r="AG37" i="29" a="1"/>
  <c r="AH37" i="29" a="1"/>
  <c r="AI37" i="29" a="1"/>
  <c r="AJ37" i="29" a="1"/>
  <c r="AK37" i="29" a="1"/>
  <c r="AL37" i="29" a="1"/>
  <c r="AM37" i="29" a="1"/>
  <c r="AN37" i="29" a="1"/>
  <c r="AO37" i="29" a="1"/>
  <c r="AP37" i="29" a="1"/>
  <c r="AQ37" i="29" a="1"/>
  <c r="AR37" i="29" a="1"/>
  <c r="AS37" i="29" a="1"/>
  <c r="AT37" i="29" a="1"/>
  <c r="AU37" i="29" a="1"/>
  <c r="AV37" i="29" a="1"/>
  <c r="AW37" i="29" a="1"/>
  <c r="AX37" i="29" a="1"/>
  <c r="AY37" i="29" a="1"/>
  <c r="AZ37" i="29" a="1"/>
  <c r="BA37" i="29" a="1"/>
  <c r="BB37" i="29" a="1"/>
  <c r="BC37" i="29" a="1"/>
  <c r="BD37" i="29" a="1"/>
  <c r="BE37" i="29" a="1"/>
  <c r="BF37" i="29" a="1"/>
  <c r="BG37" i="29" a="1"/>
  <c r="BH37" i="29" a="1"/>
  <c r="BI37" i="29" a="1"/>
  <c r="BJ37" i="29" a="1"/>
  <c r="BK37" i="29" a="1"/>
  <c r="BL37" i="29" a="1"/>
  <c r="BM37" i="29" a="1"/>
  <c r="BN37" i="29" a="1"/>
  <c r="BO37" i="29" a="1"/>
  <c r="BP37" i="29" a="1"/>
  <c r="G37" i="29"/>
  <c r="H37" i="29"/>
  <c r="I37" i="29"/>
  <c r="J37" i="29"/>
  <c r="K37" i="29"/>
  <c r="L37" i="29"/>
  <c r="M37" i="29"/>
  <c r="N37" i="29"/>
  <c r="O37" i="29"/>
  <c r="P37" i="29"/>
  <c r="Q37" i="29"/>
  <c r="R37" i="29"/>
  <c r="S37" i="29"/>
  <c r="T37" i="29"/>
  <c r="U37" i="29"/>
  <c r="V37" i="29"/>
  <c r="W37" i="29"/>
  <c r="X37" i="29"/>
  <c r="Y37" i="29"/>
  <c r="Z37" i="29"/>
  <c r="AA37" i="29"/>
  <c r="AB37" i="29"/>
  <c r="AC37" i="29"/>
  <c r="AD37" i="29"/>
  <c r="AE37" i="29"/>
  <c r="AF37" i="29"/>
  <c r="AG37" i="29"/>
  <c r="AH37" i="29"/>
  <c r="AI37" i="29"/>
  <c r="AJ37" i="29"/>
  <c r="AK37" i="29"/>
  <c r="AL37" i="29"/>
  <c r="AM37" i="29"/>
  <c r="AN37" i="29"/>
  <c r="AO37" i="29"/>
  <c r="AP37" i="29"/>
  <c r="AQ37" i="29"/>
  <c r="AR37" i="29"/>
  <c r="AS37" i="29"/>
  <c r="AT37" i="29"/>
  <c r="AU37" i="29"/>
  <c r="AV37" i="29"/>
  <c r="AW37" i="29"/>
  <c r="AX37" i="29"/>
  <c r="AY37" i="29"/>
  <c r="AZ37" i="29"/>
  <c r="BA37" i="29"/>
  <c r="BB37" i="29"/>
  <c r="BC37" i="29"/>
  <c r="BD37" i="29"/>
  <c r="BE37" i="29"/>
  <c r="BF37" i="29"/>
  <c r="BG37" i="29"/>
  <c r="BH37" i="29"/>
  <c r="BI37" i="29"/>
  <c r="BJ37" i="29"/>
  <c r="BK37" i="29"/>
  <c r="BL37" i="29"/>
  <c r="BM37" i="29"/>
  <c r="BN37" i="29"/>
  <c r="BO37" i="29"/>
  <c r="BP37" i="29"/>
  <c r="AA24" i="29"/>
  <c r="E48" i="29" a="1"/>
  <c r="E48" i="29"/>
  <c r="F48" i="29" a="1"/>
  <c r="F48" i="29"/>
  <c r="G48" i="29" a="1"/>
  <c r="H48" i="29" a="1"/>
  <c r="I48" i="29" a="1"/>
  <c r="J48" i="29" a="1"/>
  <c r="K48" i="29" a="1"/>
  <c r="L48" i="29" a="1"/>
  <c r="M48" i="29" a="1"/>
  <c r="N48" i="29" a="1"/>
  <c r="O48" i="29" a="1"/>
  <c r="P48" i="29" a="1"/>
  <c r="Q48" i="29" a="1"/>
  <c r="R48" i="29" a="1"/>
  <c r="S48" i="29" a="1"/>
  <c r="T48" i="29" a="1"/>
  <c r="U48" i="29" a="1"/>
  <c r="V48" i="29" a="1"/>
  <c r="W48" i="29" a="1"/>
  <c r="X48" i="29" a="1"/>
  <c r="Y48" i="29" a="1"/>
  <c r="Z48" i="29" a="1"/>
  <c r="AA48" i="29" a="1"/>
  <c r="AB48" i="29" a="1"/>
  <c r="AC48" i="29" a="1"/>
  <c r="AD48" i="29" a="1"/>
  <c r="AE48" i="29" a="1"/>
  <c r="AF48" i="29" a="1"/>
  <c r="AG48" i="29" a="1"/>
  <c r="AH48" i="29" a="1"/>
  <c r="AI48" i="29" a="1"/>
  <c r="AJ48" i="29" a="1"/>
  <c r="AK48" i="29" a="1"/>
  <c r="AL48" i="29" a="1"/>
  <c r="AM48" i="29" a="1"/>
  <c r="AN48" i="29" a="1"/>
  <c r="AO48" i="29" a="1"/>
  <c r="AP48" i="29" a="1"/>
  <c r="AQ48" i="29" a="1"/>
  <c r="AR48" i="29" a="1"/>
  <c r="AS48" i="29" a="1"/>
  <c r="AT48" i="29" a="1"/>
  <c r="AU48" i="29" a="1"/>
  <c r="AV48" i="29" a="1"/>
  <c r="AW48" i="29" a="1"/>
  <c r="AX48" i="29" a="1"/>
  <c r="AY48" i="29" a="1"/>
  <c r="AZ48" i="29" a="1"/>
  <c r="BA48" i="29" a="1"/>
  <c r="BB48" i="29" a="1"/>
  <c r="BC48" i="29" a="1"/>
  <c r="BD48" i="29" a="1"/>
  <c r="BE48" i="29" a="1"/>
  <c r="BF48" i="29" a="1"/>
  <c r="BG48" i="29" a="1"/>
  <c r="BH48" i="29" a="1"/>
  <c r="BI48" i="29" a="1"/>
  <c r="BJ48" i="29" a="1"/>
  <c r="BK48" i="29" a="1"/>
  <c r="BL48" i="29" a="1"/>
  <c r="BM48" i="29" a="1"/>
  <c r="BN48" i="29" a="1"/>
  <c r="BO48" i="29" a="1"/>
  <c r="BP48" i="29" a="1"/>
  <c r="G48" i="29"/>
  <c r="H48" i="29"/>
  <c r="I48" i="29"/>
  <c r="J48" i="29"/>
  <c r="K48" i="29"/>
  <c r="L48" i="29"/>
  <c r="M48" i="29"/>
  <c r="N48" i="29"/>
  <c r="O48" i="29"/>
  <c r="P48" i="29"/>
  <c r="Q48" i="29"/>
  <c r="R48" i="29"/>
  <c r="S48" i="29"/>
  <c r="T48" i="29"/>
  <c r="U48" i="29"/>
  <c r="V48" i="29"/>
  <c r="W48" i="29"/>
  <c r="X48" i="29"/>
  <c r="Y48" i="29"/>
  <c r="Z48" i="29"/>
  <c r="AA48" i="29"/>
  <c r="AB48" i="29"/>
  <c r="AC48" i="29"/>
  <c r="AD48" i="29"/>
  <c r="AE48" i="29"/>
  <c r="AF48" i="29"/>
  <c r="AG48" i="29"/>
  <c r="AH48" i="29"/>
  <c r="AI48" i="29"/>
  <c r="AJ48" i="29"/>
  <c r="AK48" i="29"/>
  <c r="AL48" i="29"/>
  <c r="AM48" i="29"/>
  <c r="AN48" i="29"/>
  <c r="AO48" i="29"/>
  <c r="AP48" i="29"/>
  <c r="AQ48" i="29"/>
  <c r="AR48" i="29"/>
  <c r="AS48" i="29"/>
  <c r="AT48" i="29"/>
  <c r="AU48" i="29"/>
  <c r="AV48" i="29"/>
  <c r="AW48" i="29"/>
  <c r="AX48" i="29"/>
  <c r="AY48" i="29"/>
  <c r="AZ48" i="29"/>
  <c r="BA48" i="29"/>
  <c r="BB48" i="29"/>
  <c r="BC48" i="29"/>
  <c r="BD48" i="29"/>
  <c r="BE48" i="29"/>
  <c r="BF48" i="29"/>
  <c r="BG48" i="29"/>
  <c r="BH48" i="29"/>
  <c r="BI48" i="29"/>
  <c r="BJ48" i="29"/>
  <c r="BK48" i="29"/>
  <c r="BL48" i="29"/>
  <c r="BM48" i="29"/>
  <c r="BN48" i="29"/>
  <c r="BO48" i="29"/>
  <c r="BP48" i="29"/>
  <c r="AB24" i="29"/>
  <c r="W24" i="29"/>
  <c r="E38" i="29" a="1"/>
  <c r="E38" i="29"/>
  <c r="F38" i="29" a="1"/>
  <c r="F38" i="29"/>
  <c r="G38" i="29" a="1"/>
  <c r="H38" i="29" a="1"/>
  <c r="I38" i="29" a="1"/>
  <c r="J38" i="29" a="1"/>
  <c r="K38" i="29" a="1"/>
  <c r="L38" i="29" a="1"/>
  <c r="M38" i="29" a="1"/>
  <c r="N38" i="29" a="1"/>
  <c r="O38" i="29" a="1"/>
  <c r="P38" i="29" a="1"/>
  <c r="Q38" i="29" a="1"/>
  <c r="R38" i="29" a="1"/>
  <c r="S38" i="29" a="1"/>
  <c r="T38" i="29" a="1"/>
  <c r="U38" i="29" a="1"/>
  <c r="V38" i="29" a="1"/>
  <c r="W38" i="29" a="1"/>
  <c r="X38" i="29" a="1"/>
  <c r="Y38" i="29" a="1"/>
  <c r="Z38" i="29" a="1"/>
  <c r="AA38" i="29" a="1"/>
  <c r="AB38" i="29" a="1"/>
  <c r="AC38" i="29" a="1"/>
  <c r="AD38" i="29" a="1"/>
  <c r="AE38" i="29" a="1"/>
  <c r="AF38" i="29" a="1"/>
  <c r="AG38" i="29" a="1"/>
  <c r="AH38" i="29" a="1"/>
  <c r="AI38" i="29" a="1"/>
  <c r="AJ38" i="29" a="1"/>
  <c r="AK38" i="29" a="1"/>
  <c r="AL38" i="29" a="1"/>
  <c r="AM38" i="29" a="1"/>
  <c r="AN38" i="29" a="1"/>
  <c r="AO38" i="29" a="1"/>
  <c r="AP38" i="29" a="1"/>
  <c r="AQ38" i="29" a="1"/>
  <c r="AR38" i="29" a="1"/>
  <c r="AS38" i="29" a="1"/>
  <c r="AT38" i="29" a="1"/>
  <c r="AU38" i="29" a="1"/>
  <c r="AV38" i="29" a="1"/>
  <c r="AW38" i="29" a="1"/>
  <c r="AX38" i="29" a="1"/>
  <c r="AY38" i="29" a="1"/>
  <c r="AZ38" i="29" a="1"/>
  <c r="BA38" i="29" a="1"/>
  <c r="BB38" i="29" a="1"/>
  <c r="BC38" i="29" a="1"/>
  <c r="BD38" i="29" a="1"/>
  <c r="BE38" i="29" a="1"/>
  <c r="BF38" i="29" a="1"/>
  <c r="BG38" i="29" a="1"/>
  <c r="BH38" i="29" a="1"/>
  <c r="BI38" i="29" a="1"/>
  <c r="BJ38" i="29" a="1"/>
  <c r="BK38" i="29" a="1"/>
  <c r="BL38" i="29" a="1"/>
  <c r="BM38" i="29" a="1"/>
  <c r="BN38" i="29" a="1"/>
  <c r="BO38" i="29" a="1"/>
  <c r="BP38" i="29" a="1"/>
  <c r="G38" i="29"/>
  <c r="H38" i="29"/>
  <c r="I38" i="29"/>
  <c r="J38" i="29"/>
  <c r="K38" i="29"/>
  <c r="L38" i="29"/>
  <c r="M38" i="29"/>
  <c r="N38" i="29"/>
  <c r="O38" i="29"/>
  <c r="P38" i="29"/>
  <c r="Q38" i="29"/>
  <c r="R38" i="29"/>
  <c r="S38" i="29"/>
  <c r="T38" i="29"/>
  <c r="U38" i="29"/>
  <c r="V38" i="29"/>
  <c r="W38" i="29"/>
  <c r="X38" i="29"/>
  <c r="Y38" i="29"/>
  <c r="Z38" i="29"/>
  <c r="AA38" i="29"/>
  <c r="AB38" i="29"/>
  <c r="AC38" i="29"/>
  <c r="AD38" i="29"/>
  <c r="AE38" i="29"/>
  <c r="AF38" i="29"/>
  <c r="AG38" i="29"/>
  <c r="AH38" i="29"/>
  <c r="AI38" i="29"/>
  <c r="AJ38" i="29"/>
  <c r="AK38" i="29"/>
  <c r="AL38" i="29"/>
  <c r="AM38" i="29"/>
  <c r="AN38" i="29"/>
  <c r="AO38" i="29"/>
  <c r="AP38" i="29"/>
  <c r="AQ38" i="29"/>
  <c r="AR38" i="29"/>
  <c r="AS38" i="29"/>
  <c r="AT38" i="29"/>
  <c r="AU38" i="29"/>
  <c r="AV38" i="29"/>
  <c r="AW38" i="29"/>
  <c r="AX38" i="29"/>
  <c r="AY38" i="29"/>
  <c r="AZ38" i="29"/>
  <c r="BA38" i="29"/>
  <c r="BB38" i="29"/>
  <c r="BC38" i="29"/>
  <c r="BD38" i="29"/>
  <c r="BE38" i="29"/>
  <c r="BF38" i="29"/>
  <c r="BG38" i="29"/>
  <c r="BH38" i="29"/>
  <c r="BI38" i="29"/>
  <c r="BJ38" i="29"/>
  <c r="BK38" i="29"/>
  <c r="BL38" i="29"/>
  <c r="BM38" i="29"/>
  <c r="BN38" i="29"/>
  <c r="BO38" i="29"/>
  <c r="BP38" i="29"/>
  <c r="AA25" i="29"/>
  <c r="E49" i="29" a="1"/>
  <c r="E49" i="29"/>
  <c r="F49" i="29" a="1"/>
  <c r="F49" i="29"/>
  <c r="G49" i="29" a="1"/>
  <c r="H49" i="29" a="1"/>
  <c r="I49" i="29" a="1"/>
  <c r="J49" i="29" a="1"/>
  <c r="K49" i="29" a="1"/>
  <c r="L49" i="29" a="1"/>
  <c r="M49" i="29" a="1"/>
  <c r="N49" i="29" a="1"/>
  <c r="O49" i="29" a="1"/>
  <c r="P49" i="29" a="1"/>
  <c r="Q49" i="29" a="1"/>
  <c r="R49" i="29" a="1"/>
  <c r="S49" i="29" a="1"/>
  <c r="T49" i="29" a="1"/>
  <c r="U49" i="29" a="1"/>
  <c r="V49" i="29" a="1"/>
  <c r="W49" i="29" a="1"/>
  <c r="X49" i="29" a="1"/>
  <c r="Y49" i="29" a="1"/>
  <c r="Z49" i="29" a="1"/>
  <c r="AA49" i="29" a="1"/>
  <c r="AB49" i="29" a="1"/>
  <c r="AC49" i="29" a="1"/>
  <c r="AD49" i="29" a="1"/>
  <c r="AE49" i="29" a="1"/>
  <c r="AF49" i="29" a="1"/>
  <c r="AG49" i="29" a="1"/>
  <c r="AH49" i="29" a="1"/>
  <c r="AI49" i="29" a="1"/>
  <c r="AJ49" i="29" a="1"/>
  <c r="AK49" i="29" a="1"/>
  <c r="AL49" i="29" a="1"/>
  <c r="AM49" i="29" a="1"/>
  <c r="AN49" i="29" a="1"/>
  <c r="AO49" i="29" a="1"/>
  <c r="AP49" i="29" a="1"/>
  <c r="AQ49" i="29" a="1"/>
  <c r="AR49" i="29" a="1"/>
  <c r="AS49" i="29" a="1"/>
  <c r="AT49" i="29" a="1"/>
  <c r="AU49" i="29" a="1"/>
  <c r="AV49" i="29" a="1"/>
  <c r="AW49" i="29" a="1"/>
  <c r="AX49" i="29" a="1"/>
  <c r="AY49" i="29" a="1"/>
  <c r="AZ49" i="29" a="1"/>
  <c r="BA49" i="29" a="1"/>
  <c r="BB49" i="29" a="1"/>
  <c r="BC49" i="29" a="1"/>
  <c r="BD49" i="29" a="1"/>
  <c r="BE49" i="29" a="1"/>
  <c r="BF49" i="29" a="1"/>
  <c r="BG49" i="29" a="1"/>
  <c r="BH49" i="29" a="1"/>
  <c r="BI49" i="29" a="1"/>
  <c r="BJ49" i="29" a="1"/>
  <c r="BK49" i="29" a="1"/>
  <c r="BL49" i="29" a="1"/>
  <c r="BM49" i="29" a="1"/>
  <c r="BN49" i="29" a="1"/>
  <c r="BO49" i="29" a="1"/>
  <c r="BP49" i="29" a="1"/>
  <c r="G49" i="29"/>
  <c r="H49" i="29"/>
  <c r="I49" i="29"/>
  <c r="J49" i="29"/>
  <c r="K49" i="29"/>
  <c r="L49" i="29"/>
  <c r="M49" i="29"/>
  <c r="N49" i="29"/>
  <c r="O49" i="29"/>
  <c r="P49" i="29"/>
  <c r="Q49" i="29"/>
  <c r="R49" i="29"/>
  <c r="S49" i="29"/>
  <c r="T49" i="29"/>
  <c r="U49" i="29"/>
  <c r="V49" i="29"/>
  <c r="W49" i="29"/>
  <c r="X49" i="29"/>
  <c r="Y49" i="29"/>
  <c r="Z49" i="29"/>
  <c r="AA49" i="29"/>
  <c r="AB49" i="29"/>
  <c r="AC49" i="29"/>
  <c r="AD49" i="29"/>
  <c r="AE49" i="29"/>
  <c r="AF49" i="29"/>
  <c r="AG49" i="29"/>
  <c r="AH49" i="29"/>
  <c r="AI49" i="29"/>
  <c r="AJ49" i="29"/>
  <c r="AK49" i="29"/>
  <c r="AL49" i="29"/>
  <c r="AM49" i="29"/>
  <c r="AN49" i="29"/>
  <c r="AO49" i="29"/>
  <c r="AP49" i="29"/>
  <c r="AQ49" i="29"/>
  <c r="AR49" i="29"/>
  <c r="AS49" i="29"/>
  <c r="AT49" i="29"/>
  <c r="AU49" i="29"/>
  <c r="AV49" i="29"/>
  <c r="AW49" i="29"/>
  <c r="AX49" i="29"/>
  <c r="AY49" i="29"/>
  <c r="AZ49" i="29"/>
  <c r="BA49" i="29"/>
  <c r="BB49" i="29"/>
  <c r="BC49" i="29"/>
  <c r="BD49" i="29"/>
  <c r="BE49" i="29"/>
  <c r="BF49" i="29"/>
  <c r="BG49" i="29"/>
  <c r="BH49" i="29"/>
  <c r="BI49" i="29"/>
  <c r="BJ49" i="29"/>
  <c r="BK49" i="29"/>
  <c r="BL49" i="29"/>
  <c r="BM49" i="29"/>
  <c r="BN49" i="29"/>
  <c r="BO49" i="29"/>
  <c r="BP49" i="29"/>
  <c r="AB25" i="29"/>
  <c r="W25" i="29"/>
  <c r="AD17" i="29"/>
  <c r="Y17" i="29"/>
  <c r="X17" i="29"/>
  <c r="AD18" i="29"/>
  <c r="Y18" i="29"/>
  <c r="X18" i="29"/>
  <c r="AD19" i="29"/>
  <c r="Y19" i="29"/>
  <c r="X19" i="29"/>
  <c r="AD20" i="29"/>
  <c r="Y20" i="29"/>
  <c r="X20" i="29"/>
  <c r="X21" i="29"/>
  <c r="X22" i="29"/>
  <c r="X23" i="29"/>
  <c r="X24" i="29"/>
  <c r="X25" i="29"/>
  <c r="E4" i="29"/>
  <c r="D4" i="29"/>
  <c r="E5" i="29"/>
  <c r="D5" i="29"/>
  <c r="E6" i="29"/>
  <c r="D6" i="29"/>
  <c r="E7" i="29"/>
  <c r="D7" i="29"/>
  <c r="E8" i="29"/>
  <c r="D8" i="29"/>
  <c r="E9" i="29"/>
  <c r="D9" i="29"/>
  <c r="E10" i="29"/>
  <c r="D10" i="29"/>
  <c r="E11" i="29"/>
  <c r="D11" i="29"/>
  <c r="E12" i="29"/>
  <c r="D12" i="29"/>
  <c r="C4" i="29"/>
  <c r="C5" i="29"/>
  <c r="C6" i="29"/>
  <c r="AV6" i="29"/>
  <c r="N6" i="29"/>
  <c r="C7" i="29"/>
  <c r="AV5" i="29"/>
  <c r="AV7" i="29"/>
  <c r="N5" i="29"/>
  <c r="N7" i="29"/>
  <c r="AV4" i="29"/>
  <c r="N4" i="29"/>
  <c r="AV4" i="28"/>
  <c r="N4" i="28"/>
  <c r="AV5" i="28"/>
  <c r="N5" i="28"/>
  <c r="AV6" i="28"/>
  <c r="N6" i="28"/>
  <c r="AV7" i="28"/>
  <c r="N7" i="28"/>
  <c r="G25" i="37"/>
  <c r="G24" i="37"/>
  <c r="G23" i="37"/>
  <c r="G22" i="37"/>
  <c r="E10" i="9"/>
  <c r="G21" i="37"/>
  <c r="E107" i="9"/>
  <c r="F21" i="37"/>
  <c r="D12" i="37"/>
  <c r="D13" i="37"/>
  <c r="D15" i="37"/>
  <c r="D16" i="37"/>
  <c r="I18" i="37"/>
  <c r="E29" i="9"/>
  <c r="G18" i="37"/>
  <c r="Q16" i="37"/>
  <c r="N16" i="37"/>
  <c r="K16" i="37"/>
  <c r="E109" i="9"/>
  <c r="F16" i="37"/>
  <c r="E16" i="37"/>
  <c r="C12" i="37" a="1"/>
  <c r="C12" i="37"/>
  <c r="C16" i="37"/>
  <c r="Q15" i="37"/>
  <c r="N15" i="37"/>
  <c r="K15" i="37"/>
  <c r="E108" i="9"/>
  <c r="F15" i="37"/>
  <c r="E15" i="37"/>
  <c r="C15" i="37"/>
  <c r="E54" i="9"/>
  <c r="C14" i="37"/>
  <c r="Q13" i="37"/>
  <c r="N13" i="37"/>
  <c r="K13" i="37"/>
  <c r="E13" i="37"/>
  <c r="C13" i="37"/>
  <c r="AF12" i="37"/>
  <c r="AE12" i="37"/>
  <c r="Q12" i="37"/>
  <c r="N12" i="37"/>
  <c r="K12" i="37"/>
  <c r="E12" i="37"/>
  <c r="E68" i="9"/>
  <c r="S11" i="37"/>
  <c r="E63" i="9"/>
  <c r="P11" i="37"/>
  <c r="E62" i="9"/>
  <c r="M11" i="37"/>
  <c r="E61" i="9"/>
  <c r="J11" i="37"/>
  <c r="E14" i="9"/>
  <c r="G11" i="37"/>
  <c r="E48" i="9"/>
  <c r="E11" i="37"/>
  <c r="E39" i="9"/>
  <c r="D11" i="37"/>
  <c r="E9" i="9"/>
  <c r="C11" i="37"/>
  <c r="E53" i="9"/>
  <c r="C10" i="37"/>
  <c r="E20" i="9"/>
  <c r="T9" i="37"/>
  <c r="E19" i="9"/>
  <c r="G7" i="37"/>
  <c r="E5" i="37"/>
  <c r="E4" i="37"/>
  <c r="E3" i="37"/>
  <c r="E2" i="37"/>
  <c r="W10" i="21"/>
  <c r="Y13" i="21"/>
  <c r="Y14" i="21"/>
  <c r="Y15" i="21"/>
  <c r="Y16" i="21"/>
  <c r="Y17" i="21"/>
  <c r="Y12" i="21"/>
  <c r="Y14" i="24"/>
  <c r="Y15" i="24"/>
  <c r="Y20" i="24"/>
  <c r="Y21" i="24"/>
  <c r="Y13" i="24"/>
  <c r="Y12" i="24"/>
  <c r="AA13" i="24"/>
  <c r="Z13" i="24"/>
  <c r="AB13" i="24"/>
  <c r="AK13" i="24"/>
  <c r="AN13" i="24"/>
  <c r="AC13" i="24"/>
  <c r="AL13" i="24"/>
  <c r="AO13" i="24"/>
  <c r="W13" i="24"/>
  <c r="X13" i="24"/>
  <c r="AE13" i="24"/>
  <c r="AF13" i="24"/>
  <c r="AA14" i="24"/>
  <c r="Z14" i="24"/>
  <c r="AB14" i="24"/>
  <c r="AK14" i="24"/>
  <c r="AN14" i="24"/>
  <c r="AC14" i="24"/>
  <c r="AL14" i="24"/>
  <c r="AO14" i="24"/>
  <c r="W14" i="24"/>
  <c r="X14" i="24"/>
  <c r="AE14" i="24"/>
  <c r="AF14" i="24"/>
  <c r="AA15" i="24"/>
  <c r="Z15" i="24"/>
  <c r="AB15" i="24"/>
  <c r="AK15" i="24"/>
  <c r="AN15" i="24"/>
  <c r="AC15" i="24"/>
  <c r="AL15" i="24"/>
  <c r="AO15" i="24"/>
  <c r="W15" i="24"/>
  <c r="X15" i="24"/>
  <c r="AE15" i="24"/>
  <c r="AF15" i="24"/>
  <c r="AE17" i="24"/>
  <c r="AF17" i="24"/>
  <c r="AE18" i="24"/>
  <c r="AF18" i="24"/>
  <c r="AA20" i="24"/>
  <c r="Z20" i="24"/>
  <c r="AB20" i="24"/>
  <c r="AK20" i="24"/>
  <c r="AN20" i="24"/>
  <c r="AC20" i="24"/>
  <c r="AL20" i="24"/>
  <c r="AO20" i="24"/>
  <c r="W20" i="24"/>
  <c r="X20" i="24"/>
  <c r="AE20" i="24"/>
  <c r="AF20" i="24"/>
  <c r="AA21" i="24"/>
  <c r="Z21" i="24"/>
  <c r="AB21" i="24"/>
  <c r="AK21" i="24"/>
  <c r="AN21" i="24"/>
  <c r="AC21" i="24"/>
  <c r="AL21" i="24"/>
  <c r="AO21" i="24"/>
  <c r="W21" i="24"/>
  <c r="X21" i="24"/>
  <c r="AE21" i="24"/>
  <c r="AF21" i="24"/>
  <c r="AA12" i="24"/>
  <c r="Z12" i="24"/>
  <c r="AC12" i="24"/>
  <c r="AL12" i="24"/>
  <c r="AO12" i="24"/>
  <c r="AB12" i="24"/>
  <c r="AK12" i="24"/>
  <c r="AN12" i="24"/>
  <c r="AF12" i="24"/>
  <c r="AE12" i="24"/>
  <c r="X12" i="24"/>
  <c r="W12" i="24"/>
  <c r="Z13" i="21"/>
  <c r="AA13" i="21"/>
  <c r="AB13" i="21"/>
  <c r="AK13" i="21"/>
  <c r="AN13" i="21"/>
  <c r="AC13" i="21"/>
  <c r="AL13" i="21"/>
  <c r="AO13" i="21"/>
  <c r="W13" i="21"/>
  <c r="X13" i="21"/>
  <c r="Z14" i="21"/>
  <c r="AA14" i="21"/>
  <c r="AB14" i="21"/>
  <c r="AK14" i="21"/>
  <c r="AN14" i="21"/>
  <c r="AC14" i="21"/>
  <c r="AL14" i="21"/>
  <c r="AO14" i="21"/>
  <c r="W14" i="21"/>
  <c r="X14" i="21"/>
  <c r="Z15" i="21"/>
  <c r="AA15" i="21"/>
  <c r="AB15" i="21"/>
  <c r="AK15" i="21"/>
  <c r="AN15" i="21"/>
  <c r="AC15" i="21"/>
  <c r="AL15" i="21"/>
  <c r="AO15" i="21"/>
  <c r="W15" i="21"/>
  <c r="X15" i="21"/>
  <c r="Z16" i="21"/>
  <c r="AA16" i="21"/>
  <c r="AB16" i="21"/>
  <c r="AK16" i="21"/>
  <c r="AN16" i="21"/>
  <c r="AC16" i="21"/>
  <c r="AL16" i="21"/>
  <c r="AO16" i="21"/>
  <c r="W16" i="21"/>
  <c r="X16" i="21"/>
  <c r="Z17" i="21"/>
  <c r="AA17" i="21"/>
  <c r="AB17" i="21"/>
  <c r="AK17" i="21"/>
  <c r="AN17" i="21"/>
  <c r="AC17" i="21"/>
  <c r="AL17" i="21"/>
  <c r="AO17" i="21"/>
  <c r="W17" i="21"/>
  <c r="X17" i="21"/>
  <c r="Z12" i="21"/>
  <c r="AA12" i="21"/>
  <c r="AB12" i="21"/>
  <c r="AK12" i="21"/>
  <c r="AN12" i="21"/>
  <c r="AC12" i="21"/>
  <c r="AL12" i="21"/>
  <c r="AO12" i="21"/>
  <c r="X12" i="21"/>
  <c r="W12" i="21"/>
  <c r="AE13" i="21"/>
  <c r="AF13" i="21"/>
  <c r="AE14" i="21"/>
  <c r="AF14" i="21"/>
  <c r="AE15" i="21"/>
  <c r="AF15" i="21"/>
  <c r="AE16" i="21"/>
  <c r="AF16" i="21"/>
  <c r="AE17" i="21"/>
  <c r="AF17" i="21"/>
  <c r="AF12" i="21"/>
  <c r="AE12" i="21"/>
  <c r="E127" i="9"/>
  <c r="B41" i="33"/>
  <c r="E126" i="9"/>
  <c r="B42" i="33"/>
  <c r="E125" i="9"/>
  <c r="B37" i="33"/>
  <c r="S41" i="6"/>
  <c r="S40" i="6"/>
  <c r="S39" i="6"/>
  <c r="S38" i="6"/>
  <c r="S37" i="6"/>
  <c r="S36" i="6"/>
  <c r="S35" i="6"/>
  <c r="S34" i="6"/>
  <c r="S33" i="6"/>
  <c r="S32" i="6"/>
  <c r="S31" i="6"/>
  <c r="S30" i="6"/>
  <c r="S29" i="6"/>
  <c r="S28" i="6"/>
  <c r="S27" i="6"/>
  <c r="S26" i="6"/>
  <c r="S25" i="6"/>
  <c r="S24" i="6"/>
  <c r="S23" i="6"/>
  <c r="S22" i="6"/>
  <c r="S21" i="6"/>
  <c r="S20" i="6"/>
  <c r="S19" i="6"/>
  <c r="S18" i="6"/>
  <c r="S17" i="6"/>
  <c r="S16" i="6"/>
  <c r="S15" i="6"/>
  <c r="S14" i="6"/>
  <c r="S13" i="6"/>
  <c r="C4" i="9"/>
  <c r="B36" i="33"/>
  <c r="E128" i="9"/>
  <c r="E129" i="9"/>
  <c r="B14" i="34"/>
  <c r="E69" i="9"/>
  <c r="F23" i="31"/>
  <c r="AG81" i="30"/>
  <c r="AF81" i="30"/>
  <c r="AE81" i="30"/>
  <c r="AD81" i="30"/>
  <c r="AC81" i="30"/>
  <c r="X81" i="30"/>
  <c r="AH81" i="30"/>
  <c r="Y81" i="30"/>
  <c r="AI81" i="30"/>
  <c r="AB81" i="30"/>
  <c r="Z81" i="30"/>
  <c r="AG80" i="30"/>
  <c r="AF80" i="30"/>
  <c r="AE80" i="30"/>
  <c r="AD80" i="30"/>
  <c r="AC80" i="30"/>
  <c r="X80" i="30"/>
  <c r="AH80" i="30"/>
  <c r="Y80" i="30"/>
  <c r="AI80" i="30"/>
  <c r="AB80" i="30"/>
  <c r="Z80" i="30"/>
  <c r="AC79" i="30"/>
  <c r="AB79" i="30"/>
  <c r="Z79" i="30"/>
  <c r="AG78" i="30"/>
  <c r="AF78" i="30"/>
  <c r="AE78" i="30"/>
  <c r="AD78" i="30"/>
  <c r="AC78" i="30"/>
  <c r="X78" i="30"/>
  <c r="AH78" i="30"/>
  <c r="Y78" i="30"/>
  <c r="AI78" i="30"/>
  <c r="AB78" i="30"/>
  <c r="Z78" i="30"/>
  <c r="AG77" i="30"/>
  <c r="AF77" i="30"/>
  <c r="AE77" i="30"/>
  <c r="AD77" i="30"/>
  <c r="AC77" i="30"/>
  <c r="X77" i="30"/>
  <c r="AH77" i="30"/>
  <c r="Y77" i="30"/>
  <c r="AI77" i="30"/>
  <c r="AB77" i="30"/>
  <c r="Z77" i="30"/>
  <c r="AG76" i="30"/>
  <c r="AF76" i="30"/>
  <c r="AE76" i="30"/>
  <c r="AD76" i="30"/>
  <c r="AC76" i="30"/>
  <c r="AB76" i="30"/>
  <c r="Z76" i="30"/>
  <c r="Y76" i="30"/>
  <c r="X76" i="30"/>
  <c r="AG75" i="30"/>
  <c r="AF75" i="30"/>
  <c r="AE75" i="30"/>
  <c r="AD75" i="30"/>
  <c r="AC75" i="30"/>
  <c r="X75" i="30"/>
  <c r="AH75" i="30"/>
  <c r="Y75" i="30"/>
  <c r="AI75" i="30"/>
  <c r="AB75" i="30"/>
  <c r="Z75" i="30"/>
  <c r="AG74" i="30"/>
  <c r="AF74" i="30"/>
  <c r="AE74" i="30"/>
  <c r="AD74" i="30"/>
  <c r="AC74" i="30"/>
  <c r="X74" i="30"/>
  <c r="AH74" i="30"/>
  <c r="Y74" i="30"/>
  <c r="AI74" i="30"/>
  <c r="AB74" i="30"/>
  <c r="Z74" i="30"/>
  <c r="AG73" i="30"/>
  <c r="AF73" i="30"/>
  <c r="AE73" i="30"/>
  <c r="AD73" i="30"/>
  <c r="AC73" i="30"/>
  <c r="AB73" i="30"/>
  <c r="Z73" i="30"/>
  <c r="Y73" i="30"/>
  <c r="X73" i="30"/>
  <c r="AG72" i="30"/>
  <c r="AF72" i="30"/>
  <c r="AE72" i="30"/>
  <c r="AD72" i="30"/>
  <c r="AC72" i="30"/>
  <c r="X72" i="30"/>
  <c r="AH72" i="30"/>
  <c r="Y72" i="30"/>
  <c r="AI72" i="30"/>
  <c r="AB72" i="30"/>
  <c r="Z72" i="30"/>
  <c r="AG71" i="30"/>
  <c r="AF71" i="30"/>
  <c r="AE71" i="30"/>
  <c r="AD71" i="30"/>
  <c r="AC71" i="30"/>
  <c r="X71" i="30"/>
  <c r="AH71" i="30"/>
  <c r="Y71" i="30"/>
  <c r="AI71" i="30"/>
  <c r="AB71" i="30"/>
  <c r="Z71" i="30"/>
  <c r="AG70" i="30"/>
  <c r="AF70" i="30"/>
  <c r="AE70" i="30"/>
  <c r="AD70" i="30"/>
  <c r="AC70" i="30"/>
  <c r="AB70" i="30"/>
  <c r="Z70" i="30"/>
  <c r="Y70" i="30"/>
  <c r="X70" i="30"/>
  <c r="AG69" i="30"/>
  <c r="AF69" i="30"/>
  <c r="AE69" i="30"/>
  <c r="AD69" i="30"/>
  <c r="AC69" i="30"/>
  <c r="X69" i="30"/>
  <c r="AH69" i="30"/>
  <c r="Y69" i="30"/>
  <c r="AI69" i="30"/>
  <c r="AB69" i="30"/>
  <c r="Z69" i="30"/>
  <c r="AG68" i="30"/>
  <c r="AF68" i="30"/>
  <c r="AE68" i="30"/>
  <c r="AD68" i="30"/>
  <c r="AC68" i="30"/>
  <c r="X68" i="30"/>
  <c r="AH68" i="30"/>
  <c r="Y68" i="30"/>
  <c r="AI68" i="30"/>
  <c r="AB68" i="30"/>
  <c r="Z68" i="30"/>
  <c r="AG67" i="30"/>
  <c r="AF67" i="30"/>
  <c r="AE67" i="30"/>
  <c r="AD67" i="30"/>
  <c r="AC67" i="30"/>
  <c r="AB67" i="30"/>
  <c r="Z67" i="30"/>
  <c r="Y67" i="30"/>
  <c r="X67" i="30"/>
  <c r="AG66" i="30"/>
  <c r="AF66" i="30"/>
  <c r="AE66" i="30"/>
  <c r="AD66" i="30"/>
  <c r="AC66" i="30"/>
  <c r="X66" i="30"/>
  <c r="AH66" i="30"/>
  <c r="Y66" i="30"/>
  <c r="AI66" i="30"/>
  <c r="AB66" i="30"/>
  <c r="Z66" i="30"/>
  <c r="AG65" i="30"/>
  <c r="AF65" i="30"/>
  <c r="AE65" i="30"/>
  <c r="AD65" i="30"/>
  <c r="AC65" i="30"/>
  <c r="X65" i="30"/>
  <c r="AH65" i="30"/>
  <c r="Y65" i="30"/>
  <c r="AI65" i="30"/>
  <c r="AB65" i="30"/>
  <c r="Z65" i="30"/>
  <c r="AG64" i="30"/>
  <c r="AF64" i="30"/>
  <c r="AE64" i="30"/>
  <c r="AD64" i="30"/>
  <c r="AC64" i="30"/>
  <c r="AB64" i="30"/>
  <c r="Z64" i="30"/>
  <c r="Y64" i="30"/>
  <c r="X64" i="30"/>
  <c r="AF81" i="29"/>
  <c r="AD81" i="29"/>
  <c r="AC81" i="29"/>
  <c r="X81" i="29"/>
  <c r="AH81" i="29"/>
  <c r="AB81" i="29"/>
  <c r="Z81" i="29"/>
  <c r="AC80" i="29"/>
  <c r="AB80" i="29"/>
  <c r="Z80" i="29"/>
  <c r="AF79" i="29"/>
  <c r="AD79" i="29"/>
  <c r="AC79" i="29"/>
  <c r="X79" i="29"/>
  <c r="AH79" i="29"/>
  <c r="AB79" i="29"/>
  <c r="Z79" i="29"/>
  <c r="AF78" i="29"/>
  <c r="AD78" i="29"/>
  <c r="AC78" i="29"/>
  <c r="X78" i="29"/>
  <c r="AH78" i="29"/>
  <c r="AB78" i="29"/>
  <c r="Z78" i="29"/>
  <c r="AC77" i="29"/>
  <c r="AB77" i="29"/>
  <c r="Z77" i="29"/>
  <c r="AG76" i="29"/>
  <c r="AF76" i="29"/>
  <c r="AE76" i="29"/>
  <c r="AD76" i="29"/>
  <c r="AC76" i="29"/>
  <c r="AB76" i="29"/>
  <c r="Z76" i="29"/>
  <c r="Y76" i="29"/>
  <c r="X76" i="29"/>
  <c r="AF75" i="29"/>
  <c r="AD75" i="29"/>
  <c r="AC75" i="29"/>
  <c r="X75" i="29"/>
  <c r="AH75" i="29"/>
  <c r="AB75" i="29"/>
  <c r="Z75" i="29"/>
  <c r="AC74" i="29"/>
  <c r="AB74" i="29"/>
  <c r="Z74" i="29"/>
  <c r="AG73" i="29"/>
  <c r="AF73" i="29"/>
  <c r="AE73" i="29"/>
  <c r="AD73" i="29"/>
  <c r="AC73" i="29"/>
  <c r="AB73" i="29"/>
  <c r="Z73" i="29"/>
  <c r="Y73" i="29"/>
  <c r="X73" i="29"/>
  <c r="AF72" i="29"/>
  <c r="AD72" i="29"/>
  <c r="AC72" i="29"/>
  <c r="X72" i="29"/>
  <c r="AH72" i="29"/>
  <c r="AB72" i="29"/>
  <c r="Z72" i="29"/>
  <c r="AC71" i="29"/>
  <c r="AB71" i="29"/>
  <c r="Z71" i="29"/>
  <c r="AG70" i="29"/>
  <c r="AF70" i="29"/>
  <c r="AE70" i="29"/>
  <c r="AD70" i="29"/>
  <c r="AC70" i="29"/>
  <c r="AB70" i="29"/>
  <c r="Z70" i="29"/>
  <c r="Y70" i="29"/>
  <c r="X70" i="29"/>
  <c r="AF69" i="29"/>
  <c r="AD69" i="29"/>
  <c r="AC69" i="29"/>
  <c r="X69" i="29"/>
  <c r="AH69" i="29"/>
  <c r="AB69" i="29"/>
  <c r="Z69" i="29"/>
  <c r="AC68" i="29"/>
  <c r="AB68" i="29"/>
  <c r="Z68" i="29"/>
  <c r="AG67" i="29"/>
  <c r="AF67" i="29"/>
  <c r="AE67" i="29"/>
  <c r="AD67" i="29"/>
  <c r="AC67" i="29"/>
  <c r="AB67" i="29"/>
  <c r="Z67" i="29"/>
  <c r="Y67" i="29"/>
  <c r="X67" i="29"/>
  <c r="AF66" i="29"/>
  <c r="AD66" i="29"/>
  <c r="AC66" i="29"/>
  <c r="X66" i="29"/>
  <c r="AH66" i="29"/>
  <c r="AB66" i="29"/>
  <c r="Z66" i="29"/>
  <c r="AC65" i="29"/>
  <c r="AB65" i="29"/>
  <c r="Z65" i="29"/>
  <c r="AG64" i="29"/>
  <c r="AF64" i="29"/>
  <c r="AE64" i="29"/>
  <c r="AD64" i="29"/>
  <c r="AC64" i="29"/>
  <c r="AB64" i="29"/>
  <c r="Z64" i="29"/>
  <c r="Y64" i="29"/>
  <c r="X64" i="29"/>
  <c r="AF80" i="28"/>
  <c r="AF79" i="28"/>
  <c r="AF77" i="28"/>
  <c r="AG76" i="28"/>
  <c r="AF76" i="28"/>
  <c r="AF74" i="28"/>
  <c r="AG73" i="28"/>
  <c r="AF73" i="28"/>
  <c r="AF71" i="28"/>
  <c r="AG70" i="28"/>
  <c r="AF70" i="28"/>
  <c r="AF68" i="28"/>
  <c r="AG67" i="28"/>
  <c r="AF67" i="28"/>
  <c r="AF65" i="28"/>
  <c r="AG64" i="28"/>
  <c r="AF64" i="28"/>
  <c r="AD80" i="28"/>
  <c r="AD79" i="28"/>
  <c r="AD77" i="28"/>
  <c r="AE76" i="28"/>
  <c r="AD76" i="28"/>
  <c r="AD74" i="28"/>
  <c r="AE73" i="28"/>
  <c r="AD73" i="28"/>
  <c r="AD71" i="28"/>
  <c r="AE70" i="28"/>
  <c r="AD70" i="28"/>
  <c r="AD68" i="28"/>
  <c r="AE67" i="28"/>
  <c r="AD67" i="28"/>
  <c r="AD65" i="28"/>
  <c r="AE64" i="28"/>
  <c r="AD64" i="28"/>
  <c r="X80" i="28"/>
  <c r="X79" i="28"/>
  <c r="X77" i="28"/>
  <c r="Y76" i="28"/>
  <c r="X76" i="28"/>
  <c r="X74" i="28"/>
  <c r="Y73" i="28"/>
  <c r="X73" i="28"/>
  <c r="X71" i="28"/>
  <c r="Y70" i="28"/>
  <c r="X70" i="28"/>
  <c r="X68" i="28"/>
  <c r="Y67" i="28"/>
  <c r="X67" i="28"/>
  <c r="X65" i="28"/>
  <c r="Y64" i="28"/>
  <c r="X64" i="28"/>
  <c r="AG93" i="17"/>
  <c r="AF93" i="17"/>
  <c r="AE93" i="17"/>
  <c r="AD93" i="17"/>
  <c r="AC93" i="17"/>
  <c r="AB93" i="17"/>
  <c r="Z93" i="17"/>
  <c r="Y93" i="17"/>
  <c r="X93" i="17"/>
  <c r="AG92" i="17"/>
  <c r="AF92" i="17"/>
  <c r="AE92" i="17"/>
  <c r="AD92" i="17"/>
  <c r="AC92" i="17"/>
  <c r="AB92" i="17"/>
  <c r="Z92" i="17"/>
  <c r="Y92" i="17"/>
  <c r="X92" i="17"/>
  <c r="AG91" i="17"/>
  <c r="AF91" i="17"/>
  <c r="AE91" i="17"/>
  <c r="AD91" i="17"/>
  <c r="AC91" i="17"/>
  <c r="AB91" i="17"/>
  <c r="Z91" i="17"/>
  <c r="Y91" i="17"/>
  <c r="X91" i="17"/>
  <c r="AG90" i="17"/>
  <c r="AF90" i="17"/>
  <c r="AE90" i="17"/>
  <c r="AD90" i="17"/>
  <c r="AC90" i="17"/>
  <c r="AB90" i="17"/>
  <c r="Z90" i="17"/>
  <c r="Y90" i="17"/>
  <c r="X90" i="17"/>
  <c r="AG89" i="17"/>
  <c r="AF89" i="17"/>
  <c r="AE89" i="17"/>
  <c r="AD89" i="17"/>
  <c r="AC89" i="17"/>
  <c r="AB89" i="17"/>
  <c r="Z89" i="17"/>
  <c r="Y89" i="17"/>
  <c r="X89" i="17"/>
  <c r="AG88" i="17"/>
  <c r="AF88" i="17"/>
  <c r="AE88" i="17"/>
  <c r="AD88" i="17"/>
  <c r="AC88" i="17"/>
  <c r="AB88" i="17"/>
  <c r="Z88" i="17"/>
  <c r="Y88" i="17"/>
  <c r="X88" i="17"/>
  <c r="AG87" i="17"/>
  <c r="AF87" i="17"/>
  <c r="AE87" i="17"/>
  <c r="AD87" i="17"/>
  <c r="AC87" i="17"/>
  <c r="AB87" i="17"/>
  <c r="Z87" i="17"/>
  <c r="Y87" i="17"/>
  <c r="X87" i="17"/>
  <c r="AG86" i="17"/>
  <c r="AF86" i="17"/>
  <c r="AE86" i="17"/>
  <c r="AD86" i="17"/>
  <c r="AC86" i="17"/>
  <c r="AB86" i="17"/>
  <c r="Z86" i="17"/>
  <c r="Y86" i="17"/>
  <c r="X86" i="17"/>
  <c r="AG85" i="17"/>
  <c r="AF85" i="17"/>
  <c r="AE85" i="17"/>
  <c r="AD85" i="17"/>
  <c r="AC85" i="17"/>
  <c r="AB85" i="17"/>
  <c r="Z85" i="17"/>
  <c r="Y85" i="17"/>
  <c r="X85" i="17"/>
  <c r="AG84" i="17"/>
  <c r="AF84" i="17"/>
  <c r="AE84" i="17"/>
  <c r="AD84" i="17"/>
  <c r="AC84" i="17"/>
  <c r="AB84" i="17"/>
  <c r="Z84" i="17"/>
  <c r="Y84" i="17"/>
  <c r="X84" i="17"/>
  <c r="AC83" i="17"/>
  <c r="AB83" i="17"/>
  <c r="Z83" i="17"/>
  <c r="AC82" i="17"/>
  <c r="AB82" i="17"/>
  <c r="Z82" i="17"/>
  <c r="AC81" i="17"/>
  <c r="AB81" i="17"/>
  <c r="Z81" i="17"/>
  <c r="AC80" i="17"/>
  <c r="AB80" i="17"/>
  <c r="Z80" i="17"/>
  <c r="AC79" i="17"/>
  <c r="AB79" i="17"/>
  <c r="Z79" i="17"/>
  <c r="AC78" i="17"/>
  <c r="AB78" i="17"/>
  <c r="Z78" i="17"/>
  <c r="AC77" i="17"/>
  <c r="AB77" i="17"/>
  <c r="Z77" i="17"/>
  <c r="AC76" i="17"/>
  <c r="AB76" i="17"/>
  <c r="Z76" i="17"/>
  <c r="AC75" i="17"/>
  <c r="AB75" i="17"/>
  <c r="Z75" i="17"/>
  <c r="AC74" i="17"/>
  <c r="AB74" i="17"/>
  <c r="Z74" i="17"/>
  <c r="AC73" i="17"/>
  <c r="AB73" i="17"/>
  <c r="Z73" i="17"/>
  <c r="AC72" i="17"/>
  <c r="AB72" i="17"/>
  <c r="Z72" i="17"/>
  <c r="AC71" i="17"/>
  <c r="AB71" i="17"/>
  <c r="Z71" i="17"/>
  <c r="AC70" i="17"/>
  <c r="AB70" i="17"/>
  <c r="Z70" i="17"/>
  <c r="AC69" i="17"/>
  <c r="AB69" i="17"/>
  <c r="Z69" i="17"/>
  <c r="AC68" i="17"/>
  <c r="AB68" i="17"/>
  <c r="Z68" i="17"/>
  <c r="AC67" i="17"/>
  <c r="AB67" i="17"/>
  <c r="Z67" i="17"/>
  <c r="AC66" i="17"/>
  <c r="AB66" i="17"/>
  <c r="Z66" i="17"/>
  <c r="AC65" i="17"/>
  <c r="AB65" i="17"/>
  <c r="Z65" i="17"/>
  <c r="AC64" i="17"/>
  <c r="AB64" i="17"/>
  <c r="Z64" i="17"/>
  <c r="Y93" i="34"/>
  <c r="X93" i="34"/>
  <c r="Y92" i="34"/>
  <c r="X92" i="34"/>
  <c r="Y91" i="34"/>
  <c r="X91" i="34"/>
  <c r="Y90" i="34"/>
  <c r="X90" i="34"/>
  <c r="Y89" i="34"/>
  <c r="X89" i="34"/>
  <c r="Y88" i="34"/>
  <c r="X88" i="34"/>
  <c r="Y87" i="34"/>
  <c r="X87" i="34"/>
  <c r="Y86" i="34"/>
  <c r="X86" i="34"/>
  <c r="Y85" i="34"/>
  <c r="X85" i="34"/>
  <c r="Y84" i="34"/>
  <c r="X84" i="34"/>
  <c r="AE93" i="34"/>
  <c r="AD93" i="34"/>
  <c r="AE92" i="34"/>
  <c r="AD92" i="34"/>
  <c r="AE91" i="34"/>
  <c r="AD91" i="34"/>
  <c r="AE90" i="34"/>
  <c r="AD90" i="34"/>
  <c r="AE89" i="34"/>
  <c r="AD89" i="34"/>
  <c r="AE88" i="34"/>
  <c r="AD88" i="34"/>
  <c r="AE87" i="34"/>
  <c r="AD87" i="34"/>
  <c r="AE86" i="34"/>
  <c r="AD86" i="34"/>
  <c r="AE85" i="34"/>
  <c r="AD85" i="34"/>
  <c r="AE84" i="34"/>
  <c r="AD84" i="34"/>
  <c r="AG93" i="34"/>
  <c r="AF93" i="34"/>
  <c r="AG92" i="34"/>
  <c r="AF92" i="34"/>
  <c r="AG91" i="34"/>
  <c r="AF91" i="34"/>
  <c r="AG90" i="34"/>
  <c r="AF90" i="34"/>
  <c r="AG89" i="34"/>
  <c r="AF89" i="34"/>
  <c r="AG88" i="34"/>
  <c r="AF88" i="34"/>
  <c r="AG87" i="34"/>
  <c r="AF87" i="34"/>
  <c r="AG86" i="34"/>
  <c r="AF86" i="34"/>
  <c r="AG85" i="34"/>
  <c r="AF85" i="34"/>
  <c r="AG84" i="34"/>
  <c r="AF84" i="34"/>
  <c r="AB153" i="30"/>
  <c r="AB152" i="30"/>
  <c r="AB151" i="30"/>
  <c r="AB150" i="30"/>
  <c r="AB149" i="30"/>
  <c r="AB148" i="30"/>
  <c r="AB147" i="30"/>
  <c r="AB146" i="30"/>
  <c r="AB145" i="30"/>
  <c r="AB144" i="30"/>
  <c r="AB143" i="30"/>
  <c r="AB142" i="30"/>
  <c r="AB141" i="30"/>
  <c r="AB140" i="30"/>
  <c r="AB139" i="30"/>
  <c r="AB138" i="30"/>
  <c r="AB137" i="30"/>
  <c r="AB136" i="30"/>
  <c r="AB153" i="29"/>
  <c r="AB152" i="29"/>
  <c r="AB151" i="29"/>
  <c r="AB150" i="29"/>
  <c r="AB149" i="29"/>
  <c r="AB148" i="29"/>
  <c r="AB147" i="29"/>
  <c r="AB146" i="29"/>
  <c r="AB145" i="29"/>
  <c r="AB144" i="29"/>
  <c r="AB143" i="29"/>
  <c r="AB142" i="29"/>
  <c r="AB141" i="29"/>
  <c r="AB140" i="29"/>
  <c r="AB139" i="29"/>
  <c r="AB138" i="29"/>
  <c r="AB137" i="29"/>
  <c r="AB136" i="29"/>
  <c r="AB153" i="28"/>
  <c r="AH80" i="28"/>
  <c r="AB152" i="28"/>
  <c r="AH79" i="28"/>
  <c r="AB151" i="28"/>
  <c r="AB150" i="28"/>
  <c r="AH77" i="28"/>
  <c r="AB149" i="28"/>
  <c r="AB148" i="28"/>
  <c r="AB147" i="28"/>
  <c r="AH74" i="28"/>
  <c r="AB146" i="28"/>
  <c r="AB145" i="28"/>
  <c r="AB144" i="28"/>
  <c r="AH71" i="28"/>
  <c r="AB143" i="28"/>
  <c r="AB142" i="28"/>
  <c r="AB141" i="28"/>
  <c r="AH68" i="28"/>
  <c r="AB140" i="28"/>
  <c r="AB139" i="28"/>
  <c r="AB138" i="28"/>
  <c r="AH65" i="28"/>
  <c r="AB137" i="28"/>
  <c r="AB136" i="28"/>
  <c r="AB165" i="17"/>
  <c r="AB164" i="17"/>
  <c r="AB163" i="17"/>
  <c r="AB162" i="17"/>
  <c r="AB161" i="17"/>
  <c r="AB160" i="17"/>
  <c r="AB159" i="17"/>
  <c r="AB158" i="17"/>
  <c r="AB157" i="17"/>
  <c r="AB156" i="17"/>
  <c r="AB155" i="17"/>
  <c r="AB154" i="17"/>
  <c r="AB153" i="17"/>
  <c r="AB152" i="17"/>
  <c r="AB151" i="17"/>
  <c r="AB150" i="17"/>
  <c r="AB149" i="17"/>
  <c r="AB148" i="17"/>
  <c r="AB147" i="17"/>
  <c r="AB146" i="17"/>
  <c r="AB145" i="17"/>
  <c r="AB144" i="17"/>
  <c r="AB143" i="17"/>
  <c r="AB142" i="17"/>
  <c r="AB141" i="17"/>
  <c r="AB140" i="17"/>
  <c r="AB139" i="17"/>
  <c r="AB138" i="17"/>
  <c r="AB137" i="17"/>
  <c r="AB136" i="17"/>
  <c r="AB165" i="34"/>
  <c r="AB164" i="34"/>
  <c r="AB163" i="34"/>
  <c r="AB162" i="34"/>
  <c r="AB161" i="34"/>
  <c r="AB160" i="34"/>
  <c r="AB159" i="34"/>
  <c r="AB158" i="34"/>
  <c r="AB157" i="34"/>
  <c r="AB156" i="34"/>
  <c r="AB155" i="34"/>
  <c r="AB154" i="34"/>
  <c r="AB153" i="34"/>
  <c r="AB152" i="34"/>
  <c r="AB151" i="34"/>
  <c r="AB150" i="34"/>
  <c r="AB149" i="34"/>
  <c r="AB148" i="34"/>
  <c r="AB147" i="34"/>
  <c r="AB146" i="34"/>
  <c r="AB145" i="34"/>
  <c r="AB144" i="34"/>
  <c r="AB143" i="34"/>
  <c r="AB142" i="34"/>
  <c r="AB141" i="34"/>
  <c r="AB140" i="34"/>
  <c r="AB139" i="34"/>
  <c r="AB138" i="34"/>
  <c r="AB137" i="34"/>
  <c r="AA137" i="34"/>
  <c r="AA138" i="34"/>
  <c r="AA139" i="34"/>
  <c r="AA140" i="34"/>
  <c r="AA141" i="34"/>
  <c r="AA142" i="34"/>
  <c r="AA143" i="34"/>
  <c r="AA144" i="34"/>
  <c r="AA145" i="34"/>
  <c r="AA146" i="34"/>
  <c r="AA147" i="34"/>
  <c r="AA148" i="34"/>
  <c r="AA149" i="34"/>
  <c r="AA150" i="34"/>
  <c r="AA151" i="34"/>
  <c r="AA152" i="34"/>
  <c r="AA153" i="34"/>
  <c r="AA154" i="34"/>
  <c r="AA155" i="34"/>
  <c r="AA156" i="34"/>
  <c r="AA157" i="34"/>
  <c r="AA158" i="34"/>
  <c r="AA159" i="34"/>
  <c r="AA160" i="34"/>
  <c r="AA161" i="34"/>
  <c r="AA162" i="34"/>
  <c r="AA163" i="34"/>
  <c r="AA164" i="34"/>
  <c r="AA165" i="34"/>
  <c r="AB136" i="34"/>
  <c r="BR38" i="30"/>
  <c r="BZ29" i="30"/>
  <c r="BY29" i="30"/>
  <c r="BX29" i="30"/>
  <c r="BW29" i="30"/>
  <c r="BR37" i="30"/>
  <c r="CA29" i="30"/>
  <c r="BR36" i="30"/>
  <c r="BR35" i="30"/>
  <c r="BR34" i="30"/>
  <c r="BR38" i="29"/>
  <c r="BZ29" i="29"/>
  <c r="BY29" i="29"/>
  <c r="BX29" i="29"/>
  <c r="BW29" i="29"/>
  <c r="BR37" i="29"/>
  <c r="CA29" i="29"/>
  <c r="BR36" i="29"/>
  <c r="BR35" i="29"/>
  <c r="BR34" i="29"/>
  <c r="BR38" i="28"/>
  <c r="BZ29" i="28"/>
  <c r="BY29" i="28"/>
  <c r="BX29" i="28"/>
  <c r="BW29" i="28"/>
  <c r="BR37" i="28"/>
  <c r="CA29" i="28"/>
  <c r="BR36" i="28"/>
  <c r="BR35" i="28"/>
  <c r="BR34" i="28"/>
  <c r="BR38" i="17"/>
  <c r="BZ29" i="17"/>
  <c r="BY29" i="17"/>
  <c r="BX29" i="17"/>
  <c r="BW29" i="17"/>
  <c r="BV29" i="17"/>
  <c r="BU29" i="17"/>
  <c r="BT29" i="17"/>
  <c r="BS29" i="17"/>
  <c r="BR37" i="17"/>
  <c r="CA29" i="17"/>
  <c r="BR36" i="17"/>
  <c r="BR35" i="17"/>
  <c r="BR34" i="17"/>
  <c r="BR33" i="17"/>
  <c r="BR32" i="17"/>
  <c r="BR31" i="17"/>
  <c r="BR30" i="17"/>
  <c r="BR38" i="34"/>
  <c r="BZ29" i="34"/>
  <c r="BY29" i="34"/>
  <c r="BX29" i="34"/>
  <c r="BW29" i="34"/>
  <c r="BV29" i="34"/>
  <c r="BU29" i="34"/>
  <c r="BT29" i="34"/>
  <c r="BS29" i="34"/>
  <c r="BR37" i="34"/>
  <c r="CA29" i="34"/>
  <c r="BR36" i="34"/>
  <c r="BR35" i="34"/>
  <c r="BR34" i="34"/>
  <c r="BR33" i="34"/>
  <c r="BR32" i="34"/>
  <c r="BR31" i="34"/>
  <c r="BR30" i="34"/>
  <c r="E56" i="9"/>
  <c r="B3" i="35"/>
  <c r="O3" i="17"/>
  <c r="P3" i="17"/>
  <c r="Q3" i="17"/>
  <c r="R3" i="17"/>
  <c r="S3" i="17"/>
  <c r="T3" i="17"/>
  <c r="U3" i="17"/>
  <c r="V3" i="17"/>
  <c r="R4" i="17"/>
  <c r="AL3" i="17"/>
  <c r="AL4" i="17"/>
  <c r="AN4" i="17"/>
  <c r="AL5" i="17"/>
  <c r="AN5" i="17"/>
  <c r="AL6" i="17"/>
  <c r="AN6" i="17"/>
  <c r="AL7" i="17"/>
  <c r="AN7" i="17"/>
  <c r="AL8" i="17"/>
  <c r="AN8" i="17"/>
  <c r="AL9" i="17"/>
  <c r="AN9" i="17"/>
  <c r="AL10" i="17"/>
  <c r="AN10" i="17"/>
  <c r="AL11" i="17"/>
  <c r="AN11" i="17"/>
  <c r="AL12" i="17"/>
  <c r="AN12" i="17"/>
  <c r="AO4" i="17"/>
  <c r="AO5" i="17"/>
  <c r="AO6" i="17"/>
  <c r="AO7" i="17"/>
  <c r="AO8" i="17"/>
  <c r="AO9" i="17"/>
  <c r="AO10" i="17"/>
  <c r="AO11" i="17"/>
  <c r="AO12" i="17"/>
  <c r="AP4" i="17"/>
  <c r="AP5" i="17"/>
  <c r="AP6" i="17"/>
  <c r="AP7" i="17"/>
  <c r="AP8" i="17"/>
  <c r="AP9" i="17"/>
  <c r="AP10" i="17"/>
  <c r="AP11" i="17"/>
  <c r="AP12" i="17"/>
  <c r="AM9" i="17"/>
  <c r="C40" i="35"/>
  <c r="AM8" i="17"/>
  <c r="C39" i="35"/>
  <c r="L34" i="35"/>
  <c r="Z136" i="17"/>
  <c r="AA136" i="17"/>
  <c r="Z137" i="17"/>
  <c r="AA137" i="17"/>
  <c r="Z138" i="17"/>
  <c r="AA138" i="17"/>
  <c r="Z139" i="17"/>
  <c r="AA139" i="17"/>
  <c r="Z140" i="17"/>
  <c r="AA140" i="17"/>
  <c r="Z141" i="17"/>
  <c r="AA141" i="17"/>
  <c r="Z142" i="17"/>
  <c r="AA142" i="17"/>
  <c r="Z143" i="17"/>
  <c r="AA143" i="17"/>
  <c r="Z144" i="17"/>
  <c r="AA144" i="17"/>
  <c r="Z145" i="17"/>
  <c r="AA145" i="17"/>
  <c r="Z146" i="17"/>
  <c r="AA146" i="17"/>
  <c r="Z147" i="17"/>
  <c r="AA147" i="17"/>
  <c r="Z148" i="17"/>
  <c r="AA148" i="17"/>
  <c r="Z149" i="17"/>
  <c r="AA149" i="17"/>
  <c r="Z150" i="17"/>
  <c r="AA150" i="17"/>
  <c r="Z151" i="17"/>
  <c r="AA151" i="17"/>
  <c r="Z152" i="17"/>
  <c r="AA152" i="17"/>
  <c r="Z153" i="17"/>
  <c r="AA153" i="17"/>
  <c r="Z154" i="17"/>
  <c r="AA154" i="17"/>
  <c r="Z155" i="17"/>
  <c r="AA155" i="17"/>
  <c r="Z156" i="17"/>
  <c r="AA156" i="17"/>
  <c r="Z157" i="17"/>
  <c r="AA157" i="17"/>
  <c r="Z158" i="17"/>
  <c r="AA158" i="17"/>
  <c r="Z159" i="17"/>
  <c r="AA159" i="17"/>
  <c r="Z160" i="17"/>
  <c r="AA160" i="17"/>
  <c r="Z161" i="17"/>
  <c r="AA161" i="17"/>
  <c r="Z162" i="17"/>
  <c r="AA162" i="17"/>
  <c r="Z163" i="17"/>
  <c r="AA163" i="17"/>
  <c r="Z164" i="17"/>
  <c r="AA164" i="17"/>
  <c r="Z165" i="17"/>
  <c r="AA165" i="17"/>
  <c r="L40" i="35"/>
  <c r="AM7" i="17"/>
  <c r="C38" i="35"/>
  <c r="K34" i="35"/>
  <c r="K40" i="35"/>
  <c r="AM6" i="17"/>
  <c r="C37" i="35"/>
  <c r="J34" i="35"/>
  <c r="J40" i="35"/>
  <c r="AM5" i="17"/>
  <c r="C36" i="35"/>
  <c r="I34" i="35"/>
  <c r="I40" i="35"/>
  <c r="AM4" i="17"/>
  <c r="C35" i="35"/>
  <c r="H34" i="35"/>
  <c r="H40" i="35"/>
  <c r="G40" i="35"/>
  <c r="F40" i="35"/>
  <c r="E40" i="35"/>
  <c r="D40" i="35"/>
  <c r="B40" i="35"/>
  <c r="M34" i="35"/>
  <c r="M39" i="35"/>
  <c r="K39" i="35"/>
  <c r="J39" i="35"/>
  <c r="I39" i="35"/>
  <c r="H39" i="35"/>
  <c r="G39" i="35"/>
  <c r="F39" i="35"/>
  <c r="E39" i="35"/>
  <c r="D39" i="35"/>
  <c r="B39" i="35"/>
  <c r="M38" i="35"/>
  <c r="L38" i="35"/>
  <c r="J38" i="35"/>
  <c r="I38" i="35"/>
  <c r="H38" i="35"/>
  <c r="G38" i="35"/>
  <c r="F38" i="35"/>
  <c r="E38" i="35"/>
  <c r="D38" i="35"/>
  <c r="B38" i="35"/>
  <c r="M37" i="35"/>
  <c r="L37" i="35"/>
  <c r="K37" i="35"/>
  <c r="I37" i="35"/>
  <c r="H37" i="35"/>
  <c r="G37" i="35"/>
  <c r="F37" i="35"/>
  <c r="E37" i="35"/>
  <c r="D37" i="35"/>
  <c r="B37" i="35"/>
  <c r="M36" i="35"/>
  <c r="L36" i="35"/>
  <c r="K36" i="35"/>
  <c r="J36" i="35"/>
  <c r="H36" i="35"/>
  <c r="G36" i="35"/>
  <c r="F36" i="35"/>
  <c r="E36" i="35"/>
  <c r="D36" i="35"/>
  <c r="B36" i="35"/>
  <c r="M35" i="35"/>
  <c r="L35" i="35"/>
  <c r="K35" i="35"/>
  <c r="J35" i="35"/>
  <c r="I35" i="35"/>
  <c r="G35" i="35"/>
  <c r="F35" i="35"/>
  <c r="E35" i="35"/>
  <c r="D35" i="35"/>
  <c r="B35" i="35"/>
  <c r="Q4" i="17"/>
  <c r="AG3" i="17"/>
  <c r="AG4" i="17"/>
  <c r="AI4" i="17"/>
  <c r="AG5" i="17"/>
  <c r="AI5" i="17"/>
  <c r="AG6" i="17"/>
  <c r="AI6" i="17"/>
  <c r="AG7" i="17"/>
  <c r="AI7" i="17"/>
  <c r="AG8" i="17"/>
  <c r="AI8" i="17"/>
  <c r="AG9" i="17"/>
  <c r="AI9" i="17"/>
  <c r="AG10" i="17"/>
  <c r="AI10" i="17"/>
  <c r="AG11" i="17"/>
  <c r="AI11" i="17"/>
  <c r="AG12" i="17"/>
  <c r="AI12" i="17"/>
  <c r="AJ4" i="17"/>
  <c r="AJ5" i="17"/>
  <c r="AJ6" i="17"/>
  <c r="AJ7" i="17"/>
  <c r="AJ8" i="17"/>
  <c r="AJ9" i="17"/>
  <c r="AJ10" i="17"/>
  <c r="AJ11" i="17"/>
  <c r="AJ12" i="17"/>
  <c r="AK4" i="17"/>
  <c r="AK5" i="17"/>
  <c r="AK6" i="17"/>
  <c r="AK7" i="17"/>
  <c r="AK8" i="17"/>
  <c r="AK9" i="17"/>
  <c r="AK10" i="17"/>
  <c r="AK11" i="17"/>
  <c r="AK12" i="17"/>
  <c r="AH9" i="17"/>
  <c r="C31" i="35"/>
  <c r="AH8" i="17"/>
  <c r="C30" i="35"/>
  <c r="L25" i="35"/>
  <c r="L31" i="35"/>
  <c r="AH7" i="17"/>
  <c r="C29" i="35"/>
  <c r="K25" i="35"/>
  <c r="K31" i="35"/>
  <c r="AH6" i="17"/>
  <c r="C28" i="35"/>
  <c r="J25" i="35"/>
  <c r="J31" i="35"/>
  <c r="AH5" i="17"/>
  <c r="C27" i="35"/>
  <c r="I25" i="35"/>
  <c r="I31" i="35"/>
  <c r="AH4" i="17"/>
  <c r="C26" i="35"/>
  <c r="H25" i="35"/>
  <c r="H31" i="35"/>
  <c r="G31" i="35"/>
  <c r="F31" i="35"/>
  <c r="E31" i="35"/>
  <c r="D31" i="35"/>
  <c r="B31" i="35"/>
  <c r="M25" i="35"/>
  <c r="M30" i="35"/>
  <c r="K30" i="35"/>
  <c r="J30" i="35"/>
  <c r="I30" i="35"/>
  <c r="H30" i="35"/>
  <c r="G30" i="35"/>
  <c r="F30" i="35"/>
  <c r="E30" i="35"/>
  <c r="D30" i="35"/>
  <c r="B30" i="35"/>
  <c r="M29" i="35"/>
  <c r="L29" i="35"/>
  <c r="J29" i="35"/>
  <c r="I29" i="35"/>
  <c r="H29" i="35"/>
  <c r="G29" i="35"/>
  <c r="F29" i="35"/>
  <c r="E29" i="35"/>
  <c r="D29" i="35"/>
  <c r="B29" i="35"/>
  <c r="M28" i="35"/>
  <c r="L28" i="35"/>
  <c r="K28" i="35"/>
  <c r="I28" i="35"/>
  <c r="H28" i="35"/>
  <c r="G28" i="35"/>
  <c r="F28" i="35"/>
  <c r="E28" i="35"/>
  <c r="D28" i="35"/>
  <c r="B28" i="35"/>
  <c r="M27" i="35"/>
  <c r="L27" i="35"/>
  <c r="K27" i="35"/>
  <c r="J27" i="35"/>
  <c r="H27" i="35"/>
  <c r="G27" i="35"/>
  <c r="F27" i="35"/>
  <c r="E27" i="35"/>
  <c r="D27" i="35"/>
  <c r="B27" i="35"/>
  <c r="M26" i="35"/>
  <c r="L26" i="35"/>
  <c r="K26" i="35"/>
  <c r="J26" i="35"/>
  <c r="I26" i="35"/>
  <c r="G26" i="35"/>
  <c r="F26" i="35"/>
  <c r="E26" i="35"/>
  <c r="D26" i="35"/>
  <c r="B26" i="35"/>
  <c r="P4" i="17"/>
  <c r="AB3" i="17"/>
  <c r="AB4" i="17"/>
  <c r="AD4" i="17"/>
  <c r="AB5" i="17"/>
  <c r="AD5" i="17"/>
  <c r="AB6" i="17"/>
  <c r="AD6" i="17"/>
  <c r="AB7" i="17"/>
  <c r="AD7" i="17"/>
  <c r="AB8" i="17"/>
  <c r="AD8" i="17"/>
  <c r="AB9" i="17"/>
  <c r="AD9" i="17"/>
  <c r="AB10" i="17"/>
  <c r="AD10" i="17"/>
  <c r="AB11" i="17"/>
  <c r="AD11" i="17"/>
  <c r="AB12" i="17"/>
  <c r="AD12" i="17"/>
  <c r="AE4" i="17"/>
  <c r="AE5" i="17"/>
  <c r="AE6" i="17"/>
  <c r="AE7" i="17"/>
  <c r="AE8" i="17"/>
  <c r="AE9" i="17"/>
  <c r="AE10" i="17"/>
  <c r="AE11" i="17"/>
  <c r="AE12" i="17"/>
  <c r="AF4" i="17"/>
  <c r="AF5" i="17"/>
  <c r="AF6" i="17"/>
  <c r="AF7" i="17"/>
  <c r="AF8" i="17"/>
  <c r="AF9" i="17"/>
  <c r="AF10" i="17"/>
  <c r="AF11" i="17"/>
  <c r="AF12" i="17"/>
  <c r="AC9" i="17"/>
  <c r="C22" i="35"/>
  <c r="AC8" i="17"/>
  <c r="C21" i="35"/>
  <c r="L16" i="35"/>
  <c r="L22" i="35"/>
  <c r="AC7" i="17"/>
  <c r="C20" i="35"/>
  <c r="K16" i="35"/>
  <c r="K22" i="35"/>
  <c r="AC6" i="17"/>
  <c r="C19" i="35"/>
  <c r="J16" i="35"/>
  <c r="J22" i="35"/>
  <c r="AC5" i="17"/>
  <c r="C18" i="35"/>
  <c r="I16" i="35"/>
  <c r="I22" i="35"/>
  <c r="AC4" i="17"/>
  <c r="C17" i="35"/>
  <c r="H16" i="35"/>
  <c r="H22" i="35"/>
  <c r="G22" i="35"/>
  <c r="F22" i="35"/>
  <c r="E22" i="35"/>
  <c r="D22" i="35"/>
  <c r="B22" i="35"/>
  <c r="M16" i="35"/>
  <c r="M21" i="35"/>
  <c r="K21" i="35"/>
  <c r="J21" i="35"/>
  <c r="I21" i="35"/>
  <c r="H21" i="35"/>
  <c r="G21" i="35"/>
  <c r="F21" i="35"/>
  <c r="E21" i="35"/>
  <c r="D21" i="35"/>
  <c r="B21" i="35"/>
  <c r="M20" i="35"/>
  <c r="L20" i="35"/>
  <c r="J20" i="35"/>
  <c r="I20" i="35"/>
  <c r="H20" i="35"/>
  <c r="G20" i="35"/>
  <c r="F20" i="35"/>
  <c r="E20" i="35"/>
  <c r="D20" i="35"/>
  <c r="B20" i="35"/>
  <c r="M19" i="35"/>
  <c r="L19" i="35"/>
  <c r="K19" i="35"/>
  <c r="I19" i="35"/>
  <c r="H19" i="35"/>
  <c r="G19" i="35"/>
  <c r="F19" i="35"/>
  <c r="E19" i="35"/>
  <c r="D19" i="35"/>
  <c r="B19" i="35"/>
  <c r="M18" i="35"/>
  <c r="L18" i="35"/>
  <c r="K18" i="35"/>
  <c r="J18" i="35"/>
  <c r="H18" i="35"/>
  <c r="G18" i="35"/>
  <c r="F18" i="35"/>
  <c r="E18" i="35"/>
  <c r="D18" i="35"/>
  <c r="B18" i="35"/>
  <c r="M17" i="35"/>
  <c r="L17" i="35"/>
  <c r="K17" i="35"/>
  <c r="J17" i="35"/>
  <c r="I17" i="35"/>
  <c r="G17" i="35"/>
  <c r="F17" i="35"/>
  <c r="E17" i="35"/>
  <c r="D17" i="35"/>
  <c r="B17" i="35"/>
  <c r="O4" i="17"/>
  <c r="W3" i="17"/>
  <c r="W4" i="17"/>
  <c r="Z17" i="17"/>
  <c r="Y4" i="17"/>
  <c r="W5" i="17"/>
  <c r="Z18" i="17"/>
  <c r="Y5" i="17"/>
  <c r="W6" i="17"/>
  <c r="Y6" i="17"/>
  <c r="W7" i="17"/>
  <c r="Y7" i="17"/>
  <c r="W8" i="17"/>
  <c r="Y8" i="17"/>
  <c r="W9" i="17"/>
  <c r="Y9" i="17"/>
  <c r="W10" i="17"/>
  <c r="Y10" i="17"/>
  <c r="W11" i="17"/>
  <c r="Y11" i="17"/>
  <c r="W12" i="17"/>
  <c r="Y12" i="17"/>
  <c r="Z4" i="17"/>
  <c r="Z5" i="17"/>
  <c r="Z6" i="17"/>
  <c r="Z7" i="17"/>
  <c r="Z8" i="17"/>
  <c r="Z9" i="17"/>
  <c r="Z10" i="17"/>
  <c r="Z11" i="17"/>
  <c r="Z12" i="17"/>
  <c r="AA4" i="17"/>
  <c r="AA5" i="17"/>
  <c r="AA6" i="17"/>
  <c r="AA7" i="17"/>
  <c r="AA8" i="17"/>
  <c r="AA9" i="17"/>
  <c r="AA10" i="17"/>
  <c r="AA11" i="17"/>
  <c r="AA12" i="17"/>
  <c r="X9" i="17"/>
  <c r="C13" i="35"/>
  <c r="X8" i="17"/>
  <c r="C12" i="35"/>
  <c r="L7" i="35"/>
  <c r="L13" i="35"/>
  <c r="X7" i="17"/>
  <c r="C11" i="35"/>
  <c r="K7" i="35"/>
  <c r="K13" i="35"/>
  <c r="X6" i="17"/>
  <c r="C10" i="35"/>
  <c r="J7" i="35"/>
  <c r="J13" i="35"/>
  <c r="X5" i="17"/>
  <c r="C9" i="35"/>
  <c r="I7" i="35"/>
  <c r="I13" i="35"/>
  <c r="X4" i="17"/>
  <c r="C8" i="35"/>
  <c r="H7" i="35"/>
  <c r="H13" i="35"/>
  <c r="G13" i="35"/>
  <c r="F13" i="35"/>
  <c r="E13" i="35"/>
  <c r="D13" i="35"/>
  <c r="B13" i="35"/>
  <c r="M7" i="35"/>
  <c r="M12" i="35"/>
  <c r="K12" i="35"/>
  <c r="J12" i="35"/>
  <c r="I12" i="35"/>
  <c r="H12" i="35"/>
  <c r="G12" i="35"/>
  <c r="F12" i="35"/>
  <c r="E12" i="35"/>
  <c r="D12" i="35"/>
  <c r="B12" i="35"/>
  <c r="M11" i="35"/>
  <c r="L11" i="35"/>
  <c r="J11" i="35"/>
  <c r="I11" i="35"/>
  <c r="H11" i="35"/>
  <c r="G11" i="35"/>
  <c r="F11" i="35"/>
  <c r="E11" i="35"/>
  <c r="D11" i="35"/>
  <c r="B11" i="35"/>
  <c r="M10" i="35"/>
  <c r="L10" i="35"/>
  <c r="K10" i="35"/>
  <c r="I10" i="35"/>
  <c r="H10" i="35"/>
  <c r="G10" i="35"/>
  <c r="F10" i="35"/>
  <c r="E10" i="35"/>
  <c r="D10" i="35"/>
  <c r="B10" i="35"/>
  <c r="M9" i="35"/>
  <c r="L9" i="35"/>
  <c r="K9" i="35"/>
  <c r="J9" i="35"/>
  <c r="H9" i="35"/>
  <c r="G9" i="35"/>
  <c r="F9" i="35"/>
  <c r="E53" i="17" a="1"/>
  <c r="E53" i="17"/>
  <c r="F53" i="17" a="1"/>
  <c r="F53" i="17"/>
  <c r="G53" i="17" a="1"/>
  <c r="H53" i="17" a="1"/>
  <c r="I53" i="17" a="1"/>
  <c r="J53" i="17" a="1"/>
  <c r="K53" i="17" a="1"/>
  <c r="L53" i="17" a="1"/>
  <c r="M53" i="17" a="1"/>
  <c r="N53" i="17" a="1"/>
  <c r="O53" i="17" a="1"/>
  <c r="P53" i="17" a="1"/>
  <c r="Q53" i="17" a="1"/>
  <c r="R53" i="17" a="1"/>
  <c r="S53" i="17" a="1"/>
  <c r="T53" i="17" a="1"/>
  <c r="U53" i="17" a="1"/>
  <c r="V53" i="17" a="1"/>
  <c r="W53" i="17" a="1"/>
  <c r="X53" i="17" a="1"/>
  <c r="Y53" i="17" a="1"/>
  <c r="Z53" i="17" a="1"/>
  <c r="AA53" i="17" a="1"/>
  <c r="AB53" i="17" a="1"/>
  <c r="AC53" i="17" a="1"/>
  <c r="AD53" i="17" a="1"/>
  <c r="AE53" i="17" a="1"/>
  <c r="AF53" i="17" a="1"/>
  <c r="AG53" i="17" a="1"/>
  <c r="AH53" i="17" a="1"/>
  <c r="AI53" i="17" a="1"/>
  <c r="AJ53" i="17" a="1"/>
  <c r="AK53" i="17" a="1"/>
  <c r="AL53" i="17" a="1"/>
  <c r="AM53" i="17" a="1"/>
  <c r="AN53" i="17" a="1"/>
  <c r="AO53" i="17" a="1"/>
  <c r="AP53" i="17" a="1"/>
  <c r="AQ53" i="17" a="1"/>
  <c r="AR53" i="17" a="1"/>
  <c r="AS53" i="17" a="1"/>
  <c r="AT53" i="17" a="1"/>
  <c r="AU53" i="17" a="1"/>
  <c r="AV53" i="17" a="1"/>
  <c r="AW53" i="17" a="1"/>
  <c r="AX53" i="17" a="1"/>
  <c r="AY53" i="17" a="1"/>
  <c r="AZ53" i="17" a="1"/>
  <c r="BA53" i="17" a="1"/>
  <c r="BB53" i="17" a="1"/>
  <c r="BC53" i="17" a="1"/>
  <c r="BD53" i="17" a="1"/>
  <c r="BE53" i="17" a="1"/>
  <c r="BF53" i="17" a="1"/>
  <c r="BG53" i="17" a="1"/>
  <c r="BH53" i="17" a="1"/>
  <c r="BI53" i="17" a="1"/>
  <c r="BJ53" i="17" a="1"/>
  <c r="BK53" i="17" a="1"/>
  <c r="BL53" i="17" a="1"/>
  <c r="BM53" i="17" a="1"/>
  <c r="BN53" i="17" a="1"/>
  <c r="BO53" i="17" a="1"/>
  <c r="BP53" i="17" a="1"/>
  <c r="G53" i="17"/>
  <c r="H53" i="17"/>
  <c r="I53" i="17"/>
  <c r="J53" i="17"/>
  <c r="K53" i="17"/>
  <c r="L53" i="17"/>
  <c r="M53" i="17"/>
  <c r="N53" i="17"/>
  <c r="O53" i="17"/>
  <c r="P53" i="17"/>
  <c r="Q53" i="17"/>
  <c r="R53" i="17"/>
  <c r="S53" i="17"/>
  <c r="T53" i="17"/>
  <c r="U53" i="17"/>
  <c r="V53" i="17"/>
  <c r="W53" i="17"/>
  <c r="X53" i="17"/>
  <c r="Y53" i="17"/>
  <c r="Z53" i="17"/>
  <c r="AA53" i="17"/>
  <c r="AB53" i="17"/>
  <c r="AC53" i="17"/>
  <c r="AD53" i="17"/>
  <c r="AE53" i="17"/>
  <c r="AF53" i="17"/>
  <c r="AG53" i="17"/>
  <c r="AH53" i="17"/>
  <c r="AI53" i="17"/>
  <c r="AJ53" i="17"/>
  <c r="AK53" i="17"/>
  <c r="AL53" i="17"/>
  <c r="AM53" i="17"/>
  <c r="AN53" i="17"/>
  <c r="AO53" i="17"/>
  <c r="AP53" i="17"/>
  <c r="AQ53" i="17"/>
  <c r="AR53" i="17"/>
  <c r="AS53" i="17"/>
  <c r="AT53" i="17"/>
  <c r="AU53" i="17"/>
  <c r="AV53" i="17"/>
  <c r="AW53" i="17"/>
  <c r="AX53" i="17"/>
  <c r="AY53" i="17"/>
  <c r="AZ53" i="17"/>
  <c r="BA53" i="17"/>
  <c r="BB53" i="17"/>
  <c r="BC53" i="17"/>
  <c r="BD53" i="17"/>
  <c r="BE53" i="17"/>
  <c r="BF53" i="17"/>
  <c r="BG53" i="17"/>
  <c r="BH53" i="17"/>
  <c r="BI53" i="17"/>
  <c r="BJ53" i="17"/>
  <c r="BK53" i="17"/>
  <c r="BL53" i="17"/>
  <c r="BM53" i="17"/>
  <c r="BN53" i="17"/>
  <c r="BO53" i="17"/>
  <c r="BP53" i="17"/>
  <c r="AC18" i="17"/>
  <c r="E9" i="35"/>
  <c r="D9" i="35"/>
  <c r="B9" i="35"/>
  <c r="M8" i="35"/>
  <c r="L8" i="35"/>
  <c r="K8" i="35"/>
  <c r="J8" i="35"/>
  <c r="I8" i="35"/>
  <c r="G8" i="35"/>
  <c r="F8" i="35"/>
  <c r="E52" i="17" a="1"/>
  <c r="E52" i="17"/>
  <c r="F52" i="17" a="1"/>
  <c r="F52" i="17"/>
  <c r="G52" i="17" a="1"/>
  <c r="H52" i="17" a="1"/>
  <c r="I52" i="17" a="1"/>
  <c r="J52" i="17" a="1"/>
  <c r="K52" i="17" a="1"/>
  <c r="L52" i="17" a="1"/>
  <c r="M52" i="17" a="1"/>
  <c r="N52" i="17" a="1"/>
  <c r="O52" i="17" a="1"/>
  <c r="P52" i="17" a="1"/>
  <c r="Q52" i="17" a="1"/>
  <c r="R52" i="17" a="1"/>
  <c r="S52" i="17" a="1"/>
  <c r="T52" i="17" a="1"/>
  <c r="U52" i="17" a="1"/>
  <c r="V52" i="17" a="1"/>
  <c r="W52" i="17" a="1"/>
  <c r="X52" i="17" a="1"/>
  <c r="Y52" i="17" a="1"/>
  <c r="Z52" i="17" a="1"/>
  <c r="AA52" i="17" a="1"/>
  <c r="AB52" i="17" a="1"/>
  <c r="AC52" i="17" a="1"/>
  <c r="AD52" i="17" a="1"/>
  <c r="AE52" i="17" a="1"/>
  <c r="AF52" i="17" a="1"/>
  <c r="AG52" i="17" a="1"/>
  <c r="AH52" i="17" a="1"/>
  <c r="AI52" i="17" a="1"/>
  <c r="AJ52" i="17" a="1"/>
  <c r="AK52" i="17" a="1"/>
  <c r="AL52" i="17" a="1"/>
  <c r="AM52" i="17" a="1"/>
  <c r="AN52" i="17" a="1"/>
  <c r="AO52" i="17" a="1"/>
  <c r="AP52" i="17" a="1"/>
  <c r="AQ52" i="17" a="1"/>
  <c r="AR52" i="17" a="1"/>
  <c r="AS52" i="17" a="1"/>
  <c r="AT52" i="17" a="1"/>
  <c r="AU52" i="17" a="1"/>
  <c r="AV52" i="17" a="1"/>
  <c r="AW52" i="17" a="1"/>
  <c r="AX52" i="17" a="1"/>
  <c r="AY52" i="17" a="1"/>
  <c r="AZ52" i="17" a="1"/>
  <c r="BA52" i="17" a="1"/>
  <c r="BB52" i="17" a="1"/>
  <c r="BC52" i="17" a="1"/>
  <c r="BD52" i="17" a="1"/>
  <c r="BE52" i="17" a="1"/>
  <c r="BF52" i="17" a="1"/>
  <c r="BG52" i="17" a="1"/>
  <c r="BH52" i="17" a="1"/>
  <c r="BI52" i="17" a="1"/>
  <c r="BJ52" i="17" a="1"/>
  <c r="BK52" i="17" a="1"/>
  <c r="BL52" i="17" a="1"/>
  <c r="BM52" i="17" a="1"/>
  <c r="BN52" i="17" a="1"/>
  <c r="BO52" i="17" a="1"/>
  <c r="BP52" i="17" a="1"/>
  <c r="G52" i="17"/>
  <c r="H52" i="17"/>
  <c r="I52" i="17"/>
  <c r="J52" i="17"/>
  <c r="K52" i="17"/>
  <c r="L52" i="17"/>
  <c r="M52" i="17"/>
  <c r="N52" i="17"/>
  <c r="O52" i="17"/>
  <c r="P52" i="17"/>
  <c r="Q52" i="17"/>
  <c r="R52" i="17"/>
  <c r="S52" i="17"/>
  <c r="T52" i="17"/>
  <c r="U52" i="17"/>
  <c r="V52" i="17"/>
  <c r="W52" i="17"/>
  <c r="X52" i="17"/>
  <c r="Y52" i="17"/>
  <c r="Z52" i="17"/>
  <c r="AA52" i="17"/>
  <c r="AB52" i="17"/>
  <c r="AC52" i="17"/>
  <c r="AD52" i="17"/>
  <c r="AE52" i="17"/>
  <c r="AF52" i="17"/>
  <c r="AG52" i="17"/>
  <c r="AH52" i="17"/>
  <c r="AI52" i="17"/>
  <c r="AJ52" i="17"/>
  <c r="AK52" i="17"/>
  <c r="AL52" i="17"/>
  <c r="AM52" i="17"/>
  <c r="AN52" i="17"/>
  <c r="AO52" i="17"/>
  <c r="AP52" i="17"/>
  <c r="AQ52" i="17"/>
  <c r="AR52" i="17"/>
  <c r="AS52" i="17"/>
  <c r="AT52" i="17"/>
  <c r="AU52" i="17"/>
  <c r="AV52" i="17"/>
  <c r="AW52" i="17"/>
  <c r="AX52" i="17"/>
  <c r="AY52" i="17"/>
  <c r="AZ52" i="17"/>
  <c r="BA52" i="17"/>
  <c r="BB52" i="17"/>
  <c r="BC52" i="17"/>
  <c r="BD52" i="17"/>
  <c r="BE52" i="17"/>
  <c r="BF52" i="17"/>
  <c r="BG52" i="17"/>
  <c r="BH52" i="17"/>
  <c r="BI52" i="17"/>
  <c r="BJ52" i="17"/>
  <c r="BK52" i="17"/>
  <c r="BL52" i="17"/>
  <c r="BM52" i="17"/>
  <c r="BN52" i="17"/>
  <c r="BO52" i="17"/>
  <c r="BP52" i="17"/>
  <c r="AC17" i="17"/>
  <c r="E8" i="35"/>
  <c r="D8" i="35"/>
  <c r="B8" i="35"/>
  <c r="O3" i="34"/>
  <c r="P3" i="34"/>
  <c r="Q3" i="34"/>
  <c r="R3" i="34"/>
  <c r="S3" i="34"/>
  <c r="T3" i="34"/>
  <c r="U3" i="34"/>
  <c r="V3" i="34"/>
  <c r="R4" i="34"/>
  <c r="AL3" i="34"/>
  <c r="AL4" i="34"/>
  <c r="AN4" i="34"/>
  <c r="AL5" i="34"/>
  <c r="AN5" i="34"/>
  <c r="AL6" i="34"/>
  <c r="AN6" i="34"/>
  <c r="AL7" i="34"/>
  <c r="AN7" i="34"/>
  <c r="AL8" i="34"/>
  <c r="AN8" i="34"/>
  <c r="AL9" i="34"/>
  <c r="AN9" i="34"/>
  <c r="AL10" i="34"/>
  <c r="AN10" i="34"/>
  <c r="AL11" i="34"/>
  <c r="AN11" i="34"/>
  <c r="AL12" i="34"/>
  <c r="AN12" i="34"/>
  <c r="AO4" i="34"/>
  <c r="AO5" i="34"/>
  <c r="AO6" i="34"/>
  <c r="AO7" i="34"/>
  <c r="AO8" i="34"/>
  <c r="AO9" i="34"/>
  <c r="AO10" i="34"/>
  <c r="AO11" i="34"/>
  <c r="AO12" i="34"/>
  <c r="AP4" i="34"/>
  <c r="AP5" i="34"/>
  <c r="AP6" i="34"/>
  <c r="AP7" i="34"/>
  <c r="AP8" i="34"/>
  <c r="AP9" i="34"/>
  <c r="AP10" i="34"/>
  <c r="AP11" i="34"/>
  <c r="AP12" i="34"/>
  <c r="AM9" i="34"/>
  <c r="N40" i="35"/>
  <c r="AM8" i="34"/>
  <c r="Z64" i="34"/>
  <c r="Z65" i="34"/>
  <c r="Z66" i="34"/>
  <c r="AB64" i="34"/>
  <c r="AB65" i="34"/>
  <c r="AB66" i="34"/>
  <c r="Z67" i="34"/>
  <c r="AB67" i="34"/>
  <c r="Z68" i="34"/>
  <c r="AB68" i="34"/>
  <c r="Z69" i="34"/>
  <c r="AB69" i="34"/>
  <c r="Z70" i="34"/>
  <c r="AB70" i="34"/>
  <c r="Z71" i="34"/>
  <c r="AB71" i="34"/>
  <c r="Z72" i="34"/>
  <c r="AB72" i="34"/>
  <c r="Z73" i="34"/>
  <c r="AB73" i="34"/>
  <c r="Z74" i="34"/>
  <c r="AB74" i="34"/>
  <c r="Z75" i="34"/>
  <c r="AB75" i="34"/>
  <c r="Z76" i="34"/>
  <c r="AB76" i="34"/>
  <c r="Z77" i="34"/>
  <c r="AB77" i="34"/>
  <c r="Z78" i="34"/>
  <c r="AB78" i="34"/>
  <c r="Z79" i="34"/>
  <c r="AB79" i="34"/>
  <c r="Z80" i="34"/>
  <c r="AB80" i="34"/>
  <c r="Z81" i="34"/>
  <c r="AB81" i="34"/>
  <c r="Z82" i="34"/>
  <c r="AB82" i="34"/>
  <c r="Z83" i="34"/>
  <c r="AB83" i="34"/>
  <c r="Z84" i="34"/>
  <c r="AB84" i="34"/>
  <c r="Z85" i="34"/>
  <c r="AB85" i="34"/>
  <c r="Z86" i="34"/>
  <c r="AB86" i="34"/>
  <c r="Z87" i="34"/>
  <c r="AB87" i="34"/>
  <c r="Z88" i="34"/>
  <c r="AB88" i="34"/>
  <c r="Z89" i="34"/>
  <c r="AB89" i="34"/>
  <c r="Z90" i="34"/>
  <c r="AB90" i="34"/>
  <c r="Z91" i="34"/>
  <c r="AB91" i="34"/>
  <c r="Z92" i="34"/>
  <c r="AB92" i="34"/>
  <c r="Z93" i="34"/>
  <c r="AB93" i="34"/>
  <c r="Z136" i="34"/>
  <c r="AA136" i="34"/>
  <c r="Z137" i="34"/>
  <c r="Z138" i="34"/>
  <c r="Z139" i="34"/>
  <c r="Z140" i="34"/>
  <c r="Z141" i="34"/>
  <c r="Z142" i="34"/>
  <c r="Z143" i="34"/>
  <c r="Z144" i="34"/>
  <c r="Z145" i="34"/>
  <c r="Z146" i="34"/>
  <c r="Z147" i="34"/>
  <c r="Z148" i="34"/>
  <c r="Z149" i="34"/>
  <c r="Z150" i="34"/>
  <c r="Z151" i="34"/>
  <c r="Z152" i="34"/>
  <c r="Z153" i="34"/>
  <c r="Z154" i="34"/>
  <c r="Z155" i="34"/>
  <c r="Z156" i="34"/>
  <c r="Z157" i="34"/>
  <c r="Z158" i="34"/>
  <c r="Z159" i="34"/>
  <c r="Z160" i="34"/>
  <c r="Z161" i="34"/>
  <c r="Z162" i="34"/>
  <c r="Z163" i="34"/>
  <c r="Z164" i="34"/>
  <c r="Z165" i="34"/>
  <c r="AM7" i="34"/>
  <c r="AM6" i="34"/>
  <c r="AM5" i="34"/>
  <c r="AM4" i="34"/>
  <c r="N39" i="35"/>
  <c r="N38" i="35"/>
  <c r="N37" i="35"/>
  <c r="N36" i="35"/>
  <c r="N35" i="35"/>
  <c r="E49" i="9"/>
  <c r="G34" i="35"/>
  <c r="E26" i="9"/>
  <c r="F34" i="35"/>
  <c r="E60" i="9"/>
  <c r="E34" i="35"/>
  <c r="E80" i="9"/>
  <c r="D34" i="35"/>
  <c r="C34" i="35"/>
  <c r="M33" i="35"/>
  <c r="L33" i="35"/>
  <c r="K33" i="35"/>
  <c r="J33" i="35"/>
  <c r="I33" i="35"/>
  <c r="H33" i="35"/>
  <c r="Q4" i="34"/>
  <c r="AG3" i="34"/>
  <c r="AG4" i="34"/>
  <c r="AI4" i="34"/>
  <c r="AG5" i="34"/>
  <c r="AI5" i="34"/>
  <c r="AG6" i="34"/>
  <c r="AI6" i="34"/>
  <c r="AG7" i="34"/>
  <c r="AI7" i="34"/>
  <c r="AG8" i="34"/>
  <c r="AI8" i="34"/>
  <c r="AG9" i="34"/>
  <c r="AI9" i="34"/>
  <c r="AG10" i="34"/>
  <c r="AI10" i="34"/>
  <c r="AG11" i="34"/>
  <c r="AI11" i="34"/>
  <c r="AG12" i="34"/>
  <c r="AI12" i="34"/>
  <c r="AJ4" i="34"/>
  <c r="AJ5" i="34"/>
  <c r="AJ6" i="34"/>
  <c r="AJ7" i="34"/>
  <c r="AJ8" i="34"/>
  <c r="AJ9" i="34"/>
  <c r="AJ10" i="34"/>
  <c r="AJ11" i="34"/>
  <c r="AJ12" i="34"/>
  <c r="AK4" i="34"/>
  <c r="AK5" i="34"/>
  <c r="AK6" i="34"/>
  <c r="AK7" i="34"/>
  <c r="AK8" i="34"/>
  <c r="AK9" i="34"/>
  <c r="AK10" i="34"/>
  <c r="AK11" i="34"/>
  <c r="AK12" i="34"/>
  <c r="AH9" i="34"/>
  <c r="N31" i="35"/>
  <c r="AH8" i="34"/>
  <c r="AH7" i="34"/>
  <c r="AH6" i="34"/>
  <c r="AH5" i="34"/>
  <c r="AH4" i="34"/>
  <c r="N30" i="35"/>
  <c r="N29" i="35"/>
  <c r="N28" i="35"/>
  <c r="N27" i="35"/>
  <c r="N26" i="35"/>
  <c r="G25" i="35"/>
  <c r="F25" i="35"/>
  <c r="E25" i="35"/>
  <c r="D25" i="35"/>
  <c r="C25" i="35"/>
  <c r="M24" i="35"/>
  <c r="L24" i="35"/>
  <c r="K24" i="35"/>
  <c r="J24" i="35"/>
  <c r="I24" i="35"/>
  <c r="H24" i="35"/>
  <c r="P4" i="34"/>
  <c r="AB3" i="34"/>
  <c r="AB4" i="34"/>
  <c r="AD4" i="34"/>
  <c r="AB5" i="34"/>
  <c r="AD5" i="34"/>
  <c r="AB6" i="34"/>
  <c r="AD6" i="34"/>
  <c r="AB7" i="34"/>
  <c r="AD7" i="34"/>
  <c r="AB8" i="34"/>
  <c r="AD8" i="34"/>
  <c r="AB9" i="34"/>
  <c r="AD9" i="34"/>
  <c r="AB10" i="34"/>
  <c r="AD10" i="34"/>
  <c r="AB11" i="34"/>
  <c r="AD11" i="34"/>
  <c r="AB12" i="34"/>
  <c r="AD12" i="34"/>
  <c r="AE4" i="34"/>
  <c r="AE5" i="34"/>
  <c r="AE6" i="34"/>
  <c r="AE7" i="34"/>
  <c r="AE8" i="34"/>
  <c r="AE9" i="34"/>
  <c r="AE10" i="34"/>
  <c r="AE11" i="34"/>
  <c r="AE12" i="34"/>
  <c r="AF4" i="34"/>
  <c r="AF5" i="34"/>
  <c r="AF6" i="34"/>
  <c r="AF7" i="34"/>
  <c r="AF8" i="34"/>
  <c r="AF9" i="34"/>
  <c r="AF10" i="34"/>
  <c r="AF11" i="34"/>
  <c r="AF12" i="34"/>
  <c r="AC9" i="34"/>
  <c r="N22" i="35"/>
  <c r="AC8" i="34"/>
  <c r="AC7" i="34"/>
  <c r="AC6" i="34"/>
  <c r="AC5" i="34"/>
  <c r="AC4" i="34"/>
  <c r="N21" i="35"/>
  <c r="N20" i="35"/>
  <c r="N19" i="35"/>
  <c r="N18" i="35"/>
  <c r="N17" i="35"/>
  <c r="G16" i="35"/>
  <c r="F16" i="35"/>
  <c r="E16" i="35"/>
  <c r="D16" i="35"/>
  <c r="C16" i="35"/>
  <c r="M15" i="35"/>
  <c r="L15" i="35"/>
  <c r="K15" i="35"/>
  <c r="J15" i="35"/>
  <c r="I15" i="35"/>
  <c r="H15" i="35"/>
  <c r="O4" i="34"/>
  <c r="W3" i="34"/>
  <c r="W4" i="34"/>
  <c r="Y4" i="34"/>
  <c r="W5" i="34"/>
  <c r="Z18" i="34"/>
  <c r="Y5" i="34"/>
  <c r="W6" i="34"/>
  <c r="Z19" i="34"/>
  <c r="Y6" i="34"/>
  <c r="W7" i="34"/>
  <c r="Z20" i="34"/>
  <c r="Y7" i="34"/>
  <c r="W8" i="34"/>
  <c r="Z21" i="34"/>
  <c r="Y8" i="34"/>
  <c r="W9" i="34"/>
  <c r="Y9" i="34"/>
  <c r="W10" i="34"/>
  <c r="Y10" i="34"/>
  <c r="W11" i="34"/>
  <c r="Y11" i="34"/>
  <c r="W12" i="34"/>
  <c r="Y12" i="34"/>
  <c r="Z4" i="34"/>
  <c r="Z5" i="34"/>
  <c r="Z6" i="34"/>
  <c r="Z7" i="34"/>
  <c r="Z8" i="34"/>
  <c r="Z9" i="34"/>
  <c r="Z10" i="34"/>
  <c r="Z11" i="34"/>
  <c r="Z12" i="34"/>
  <c r="AA4" i="34"/>
  <c r="AA5" i="34"/>
  <c r="AA6" i="34"/>
  <c r="AA7" i="34"/>
  <c r="AA8" i="34"/>
  <c r="AA9" i="34"/>
  <c r="AA10" i="34"/>
  <c r="AA11" i="34"/>
  <c r="AA12" i="34"/>
  <c r="X9" i="34"/>
  <c r="N13" i="35"/>
  <c r="X8" i="34"/>
  <c r="X7" i="34"/>
  <c r="X6" i="34"/>
  <c r="X5" i="34"/>
  <c r="X4" i="34"/>
  <c r="N12" i="35"/>
  <c r="N11" i="35"/>
  <c r="N10" i="35"/>
  <c r="N9" i="35"/>
  <c r="E55" i="34" a="1"/>
  <c r="E55" i="34"/>
  <c r="F55" i="34" a="1"/>
  <c r="F55" i="34"/>
  <c r="G55" i="34" a="1"/>
  <c r="H55" i="34" a="1"/>
  <c r="I55" i="34" a="1"/>
  <c r="J55" i="34" a="1"/>
  <c r="K55" i="34" a="1"/>
  <c r="L55" i="34" a="1"/>
  <c r="M55" i="34" a="1"/>
  <c r="N55" i="34" a="1"/>
  <c r="O55" i="34" a="1"/>
  <c r="P55" i="34" a="1"/>
  <c r="Q55" i="34" a="1"/>
  <c r="R55" i="34" a="1"/>
  <c r="S55" i="34" a="1"/>
  <c r="T55" i="34" a="1"/>
  <c r="U55" i="34" a="1"/>
  <c r="V55" i="34" a="1"/>
  <c r="W55" i="34" a="1"/>
  <c r="X55" i="34" a="1"/>
  <c r="Y55" i="34" a="1"/>
  <c r="Z55" i="34" a="1"/>
  <c r="AA55" i="34" a="1"/>
  <c r="AB55" i="34" a="1"/>
  <c r="AC55" i="34" a="1"/>
  <c r="AD55" i="34" a="1"/>
  <c r="AE55" i="34" a="1"/>
  <c r="AF55" i="34" a="1"/>
  <c r="AG55" i="34" a="1"/>
  <c r="AH55" i="34" a="1"/>
  <c r="AI55" i="34" a="1"/>
  <c r="AJ55" i="34" a="1"/>
  <c r="AK55" i="34" a="1"/>
  <c r="AL55" i="34" a="1"/>
  <c r="AM55" i="34" a="1"/>
  <c r="AN55" i="34" a="1"/>
  <c r="AO55" i="34" a="1"/>
  <c r="AP55" i="34" a="1"/>
  <c r="AQ55" i="34" a="1"/>
  <c r="AR55" i="34" a="1"/>
  <c r="AS55" i="34" a="1"/>
  <c r="AT55" i="34" a="1"/>
  <c r="AU55" i="34" a="1"/>
  <c r="AV55" i="34" a="1"/>
  <c r="AW55" i="34" a="1"/>
  <c r="AX55" i="34" a="1"/>
  <c r="AY55" i="34" a="1"/>
  <c r="AZ55" i="34" a="1"/>
  <c r="BA55" i="34" a="1"/>
  <c r="BB55" i="34" a="1"/>
  <c r="BC55" i="34" a="1"/>
  <c r="BD55" i="34" a="1"/>
  <c r="BE55" i="34" a="1"/>
  <c r="BF55" i="34" a="1"/>
  <c r="BG55" i="34" a="1"/>
  <c r="BH55" i="34" a="1"/>
  <c r="BI55" i="34" a="1"/>
  <c r="BJ55" i="34" a="1"/>
  <c r="BK55" i="34" a="1"/>
  <c r="BL55" i="34" a="1"/>
  <c r="BM55" i="34" a="1"/>
  <c r="BN55" i="34" a="1"/>
  <c r="BO55" i="34" a="1"/>
  <c r="BP55" i="34" a="1"/>
  <c r="G55" i="34"/>
  <c r="H55" i="34"/>
  <c r="I55" i="34"/>
  <c r="J55" i="34"/>
  <c r="K55" i="34"/>
  <c r="L55" i="34"/>
  <c r="M55" i="34"/>
  <c r="N55" i="34"/>
  <c r="O55" i="34"/>
  <c r="P55" i="34"/>
  <c r="Q55" i="34"/>
  <c r="R55" i="34"/>
  <c r="S55" i="34"/>
  <c r="T55" i="34"/>
  <c r="U55" i="34"/>
  <c r="V55" i="34"/>
  <c r="W55" i="34"/>
  <c r="X55" i="34"/>
  <c r="Y55" i="34"/>
  <c r="Z55" i="34"/>
  <c r="AA55" i="34"/>
  <c r="AB55" i="34"/>
  <c r="AC55" i="34"/>
  <c r="AD55" i="34"/>
  <c r="AE55" i="34"/>
  <c r="AF55" i="34"/>
  <c r="AG55" i="34"/>
  <c r="AH55" i="34"/>
  <c r="AI55" i="34"/>
  <c r="AJ55" i="34"/>
  <c r="AK55" i="34"/>
  <c r="AL55" i="34"/>
  <c r="AM55" i="34"/>
  <c r="AN55" i="34"/>
  <c r="AO55" i="34"/>
  <c r="AP55" i="34"/>
  <c r="AQ55" i="34"/>
  <c r="AR55" i="34"/>
  <c r="AS55" i="34"/>
  <c r="AT55" i="34"/>
  <c r="AU55" i="34"/>
  <c r="AV55" i="34"/>
  <c r="AW55" i="34"/>
  <c r="AX55" i="34"/>
  <c r="AY55" i="34"/>
  <c r="AZ55" i="34"/>
  <c r="BA55" i="34"/>
  <c r="BB55" i="34"/>
  <c r="BC55" i="34"/>
  <c r="BD55" i="34"/>
  <c r="BE55" i="34"/>
  <c r="BF55" i="34"/>
  <c r="BG55" i="34"/>
  <c r="BH55" i="34"/>
  <c r="BI55" i="34"/>
  <c r="BJ55" i="34"/>
  <c r="BK55" i="34"/>
  <c r="BL55" i="34"/>
  <c r="BM55" i="34"/>
  <c r="BN55" i="34"/>
  <c r="BO55" i="34"/>
  <c r="BP55" i="34"/>
  <c r="AC20" i="34"/>
  <c r="N8" i="35"/>
  <c r="E54" i="34" a="1"/>
  <c r="E54" i="34"/>
  <c r="F54" i="34" a="1"/>
  <c r="F54" i="34"/>
  <c r="G54" i="34" a="1"/>
  <c r="H54" i="34" a="1"/>
  <c r="I54" i="34" a="1"/>
  <c r="J54" i="34" a="1"/>
  <c r="K54" i="34" a="1"/>
  <c r="L54" i="34" a="1"/>
  <c r="M54" i="34" a="1"/>
  <c r="N54" i="34" a="1"/>
  <c r="O54" i="34" a="1"/>
  <c r="P54" i="34" a="1"/>
  <c r="Q54" i="34" a="1"/>
  <c r="R54" i="34" a="1"/>
  <c r="S54" i="34" a="1"/>
  <c r="T54" i="34" a="1"/>
  <c r="U54" i="34" a="1"/>
  <c r="V54" i="34" a="1"/>
  <c r="W54" i="34" a="1"/>
  <c r="X54" i="34" a="1"/>
  <c r="Y54" i="34" a="1"/>
  <c r="Z54" i="34" a="1"/>
  <c r="AA54" i="34" a="1"/>
  <c r="AB54" i="34" a="1"/>
  <c r="AC54" i="34" a="1"/>
  <c r="AD54" i="34" a="1"/>
  <c r="AE54" i="34" a="1"/>
  <c r="AF54" i="34" a="1"/>
  <c r="AG54" i="34" a="1"/>
  <c r="AH54" i="34" a="1"/>
  <c r="AI54" i="34" a="1"/>
  <c r="AJ54" i="34" a="1"/>
  <c r="AK54" i="34" a="1"/>
  <c r="AL54" i="34" a="1"/>
  <c r="AM54" i="34" a="1"/>
  <c r="AN54" i="34" a="1"/>
  <c r="AO54" i="34" a="1"/>
  <c r="AP54" i="34" a="1"/>
  <c r="AQ54" i="34" a="1"/>
  <c r="AR54" i="34" a="1"/>
  <c r="AS54" i="34" a="1"/>
  <c r="AT54" i="34" a="1"/>
  <c r="AU54" i="34" a="1"/>
  <c r="AV54" i="34" a="1"/>
  <c r="AW54" i="34" a="1"/>
  <c r="AX54" i="34" a="1"/>
  <c r="AY54" i="34" a="1"/>
  <c r="AZ54" i="34" a="1"/>
  <c r="BA54" i="34" a="1"/>
  <c r="BB54" i="34" a="1"/>
  <c r="BC54" i="34" a="1"/>
  <c r="BD54" i="34" a="1"/>
  <c r="BE54" i="34" a="1"/>
  <c r="BF54" i="34" a="1"/>
  <c r="BG54" i="34" a="1"/>
  <c r="BH54" i="34" a="1"/>
  <c r="BI54" i="34" a="1"/>
  <c r="BJ54" i="34" a="1"/>
  <c r="BK54" i="34" a="1"/>
  <c r="BL54" i="34" a="1"/>
  <c r="BM54" i="34" a="1"/>
  <c r="BN54" i="34" a="1"/>
  <c r="BO54" i="34" a="1"/>
  <c r="BP54" i="34" a="1"/>
  <c r="G54" i="34"/>
  <c r="H54" i="34"/>
  <c r="I54" i="34"/>
  <c r="J54" i="34"/>
  <c r="K54" i="34"/>
  <c r="L54" i="34"/>
  <c r="M54" i="34"/>
  <c r="N54" i="34"/>
  <c r="O54" i="34"/>
  <c r="P54" i="34"/>
  <c r="Q54" i="34"/>
  <c r="R54" i="34"/>
  <c r="S54" i="34"/>
  <c r="T54" i="34"/>
  <c r="U54" i="34"/>
  <c r="V54" i="34"/>
  <c r="W54" i="34"/>
  <c r="X54" i="34"/>
  <c r="Y54" i="34"/>
  <c r="Z54" i="34"/>
  <c r="AA54" i="34"/>
  <c r="AB54" i="34"/>
  <c r="AC54" i="34"/>
  <c r="AD54" i="34"/>
  <c r="AE54" i="34"/>
  <c r="AF54" i="34"/>
  <c r="AG54" i="34"/>
  <c r="AH54" i="34"/>
  <c r="AI54" i="34"/>
  <c r="AJ54" i="34"/>
  <c r="AK54" i="34"/>
  <c r="AL54" i="34"/>
  <c r="AM54" i="34"/>
  <c r="AN54" i="34"/>
  <c r="AO54" i="34"/>
  <c r="AP54" i="34"/>
  <c r="AQ54" i="34"/>
  <c r="AR54" i="34"/>
  <c r="AS54" i="34"/>
  <c r="AT54" i="34"/>
  <c r="AU54" i="34"/>
  <c r="AV54" i="34"/>
  <c r="AW54" i="34"/>
  <c r="AX54" i="34"/>
  <c r="AY54" i="34"/>
  <c r="AZ54" i="34"/>
  <c r="BA54" i="34"/>
  <c r="BB54" i="34"/>
  <c r="BC54" i="34"/>
  <c r="BD54" i="34"/>
  <c r="BE54" i="34"/>
  <c r="BF54" i="34"/>
  <c r="BG54" i="34"/>
  <c r="BH54" i="34"/>
  <c r="BI54" i="34"/>
  <c r="BJ54" i="34"/>
  <c r="BK54" i="34"/>
  <c r="BL54" i="34"/>
  <c r="BM54" i="34"/>
  <c r="BN54" i="34"/>
  <c r="BO54" i="34"/>
  <c r="BP54" i="34"/>
  <c r="AC19" i="34"/>
  <c r="G7" i="35"/>
  <c r="F7" i="35"/>
  <c r="E7" i="35"/>
  <c r="D7" i="35"/>
  <c r="C7" i="35"/>
  <c r="M6" i="35"/>
  <c r="L6" i="35"/>
  <c r="K6" i="35"/>
  <c r="J6" i="35"/>
  <c r="I6" i="35"/>
  <c r="H6" i="35"/>
  <c r="E97" i="9"/>
  <c r="B4" i="35"/>
  <c r="E7" i="9"/>
  <c r="B2" i="35"/>
  <c r="C40" i="10"/>
  <c r="E40" i="10"/>
  <c r="C39" i="10"/>
  <c r="E39" i="10"/>
  <c r="C38" i="10"/>
  <c r="E38" i="10"/>
  <c r="C37" i="10"/>
  <c r="E37" i="10"/>
  <c r="C36" i="10"/>
  <c r="E36" i="10"/>
  <c r="C35" i="10"/>
  <c r="E35" i="10"/>
  <c r="C31" i="10"/>
  <c r="E31" i="10"/>
  <c r="C30" i="10"/>
  <c r="E30" i="10"/>
  <c r="C29" i="10"/>
  <c r="E29" i="10"/>
  <c r="C28" i="10"/>
  <c r="E28" i="10"/>
  <c r="C27" i="10"/>
  <c r="E27" i="10"/>
  <c r="C26" i="10"/>
  <c r="E26" i="10"/>
  <c r="C22" i="10"/>
  <c r="E22" i="10"/>
  <c r="C21" i="10"/>
  <c r="E21" i="10"/>
  <c r="C20" i="10"/>
  <c r="E20" i="10"/>
  <c r="C19" i="10"/>
  <c r="E19" i="10"/>
  <c r="C18" i="10"/>
  <c r="E18" i="10"/>
  <c r="C17" i="10"/>
  <c r="E17" i="10"/>
  <c r="C13" i="10"/>
  <c r="E13" i="10"/>
  <c r="C12" i="10"/>
  <c r="E12" i="10"/>
  <c r="C11" i="10"/>
  <c r="E11" i="10"/>
  <c r="C10" i="10"/>
  <c r="E10" i="10"/>
  <c r="C9" i="10"/>
  <c r="F9" i="10"/>
  <c r="E56" i="34" a="1"/>
  <c r="E56" i="34"/>
  <c r="F56" i="34" a="1"/>
  <c r="F56" i="34"/>
  <c r="G56" i="34" a="1"/>
  <c r="H56" i="34" a="1"/>
  <c r="I56" i="34" a="1"/>
  <c r="J56" i="34" a="1"/>
  <c r="K56" i="34" a="1"/>
  <c r="L56" i="34" a="1"/>
  <c r="M56" i="34" a="1"/>
  <c r="N56" i="34" a="1"/>
  <c r="O56" i="34" a="1"/>
  <c r="P56" i="34" a="1"/>
  <c r="Q56" i="34" a="1"/>
  <c r="R56" i="34" a="1"/>
  <c r="S56" i="34" a="1"/>
  <c r="T56" i="34" a="1"/>
  <c r="U56" i="34" a="1"/>
  <c r="V56" i="34" a="1"/>
  <c r="W56" i="34" a="1"/>
  <c r="X56" i="34" a="1"/>
  <c r="Y56" i="34" a="1"/>
  <c r="Z56" i="34" a="1"/>
  <c r="AA56" i="34" a="1"/>
  <c r="AB56" i="34" a="1"/>
  <c r="AC56" i="34" a="1"/>
  <c r="AD56" i="34" a="1"/>
  <c r="AE56" i="34" a="1"/>
  <c r="AF56" i="34" a="1"/>
  <c r="AG56" i="34" a="1"/>
  <c r="AH56" i="34" a="1"/>
  <c r="AI56" i="34" a="1"/>
  <c r="AJ56" i="34" a="1"/>
  <c r="AK56" i="34" a="1"/>
  <c r="AL56" i="34" a="1"/>
  <c r="AM56" i="34" a="1"/>
  <c r="AN56" i="34" a="1"/>
  <c r="AO56" i="34" a="1"/>
  <c r="AP56" i="34" a="1"/>
  <c r="AQ56" i="34" a="1"/>
  <c r="AR56" i="34" a="1"/>
  <c r="AS56" i="34" a="1"/>
  <c r="AT56" i="34" a="1"/>
  <c r="AU56" i="34" a="1"/>
  <c r="AV56" i="34" a="1"/>
  <c r="AW56" i="34" a="1"/>
  <c r="AX56" i="34" a="1"/>
  <c r="AY56" i="34" a="1"/>
  <c r="AZ56" i="34" a="1"/>
  <c r="BA56" i="34" a="1"/>
  <c r="BB56" i="34" a="1"/>
  <c r="BC56" i="34" a="1"/>
  <c r="BD56" i="34" a="1"/>
  <c r="BE56" i="34" a="1"/>
  <c r="BF56" i="34" a="1"/>
  <c r="BG56" i="34" a="1"/>
  <c r="BH56" i="34" a="1"/>
  <c r="BI56" i="34" a="1"/>
  <c r="BJ56" i="34" a="1"/>
  <c r="BK56" i="34" a="1"/>
  <c r="BL56" i="34" a="1"/>
  <c r="BM56" i="34" a="1"/>
  <c r="BN56" i="34" a="1"/>
  <c r="BO56" i="34" a="1"/>
  <c r="BP56" i="34" a="1"/>
  <c r="G56" i="34"/>
  <c r="H56" i="34"/>
  <c r="I56" i="34"/>
  <c r="J56" i="34"/>
  <c r="K56" i="34"/>
  <c r="L56" i="34"/>
  <c r="M56" i="34"/>
  <c r="N56" i="34"/>
  <c r="O56" i="34"/>
  <c r="P56" i="34"/>
  <c r="Q56" i="34"/>
  <c r="R56" i="34"/>
  <c r="S56" i="34"/>
  <c r="T56" i="34"/>
  <c r="U56" i="34"/>
  <c r="V56" i="34"/>
  <c r="W56" i="34"/>
  <c r="X56" i="34"/>
  <c r="Y56" i="34"/>
  <c r="Z56" i="34"/>
  <c r="AA56" i="34"/>
  <c r="AB56" i="34"/>
  <c r="AC56" i="34"/>
  <c r="AD56" i="34"/>
  <c r="AE56" i="34"/>
  <c r="AF56" i="34"/>
  <c r="AG56" i="34"/>
  <c r="AH56" i="34"/>
  <c r="AI56" i="34"/>
  <c r="AJ56" i="34"/>
  <c r="AK56" i="34"/>
  <c r="AL56" i="34"/>
  <c r="AM56" i="34"/>
  <c r="AN56" i="34"/>
  <c r="AO56" i="34"/>
  <c r="AP56" i="34"/>
  <c r="AQ56" i="34"/>
  <c r="AR56" i="34"/>
  <c r="AS56" i="34"/>
  <c r="AT56" i="34"/>
  <c r="AU56" i="34"/>
  <c r="AV56" i="34"/>
  <c r="AW56" i="34"/>
  <c r="AX56" i="34"/>
  <c r="AY56" i="34"/>
  <c r="AZ56" i="34"/>
  <c r="BA56" i="34"/>
  <c r="BB56" i="34"/>
  <c r="BC56" i="34"/>
  <c r="BD56" i="34"/>
  <c r="BE56" i="34"/>
  <c r="BF56" i="34"/>
  <c r="BG56" i="34"/>
  <c r="BH56" i="34"/>
  <c r="BI56" i="34"/>
  <c r="BJ56" i="34"/>
  <c r="BK56" i="34"/>
  <c r="BL56" i="34"/>
  <c r="BM56" i="34"/>
  <c r="BN56" i="34"/>
  <c r="BO56" i="34"/>
  <c r="BP56" i="34"/>
  <c r="AC21" i="34"/>
  <c r="E9" i="10"/>
  <c r="G40" i="10"/>
  <c r="G39" i="10"/>
  <c r="G38" i="10"/>
  <c r="G37" i="10"/>
  <c r="G36" i="10"/>
  <c r="G35" i="10"/>
  <c r="G31" i="10"/>
  <c r="G30" i="10"/>
  <c r="G29" i="10"/>
  <c r="G28" i="10"/>
  <c r="G27" i="10"/>
  <c r="G26" i="10"/>
  <c r="G22" i="10"/>
  <c r="G21" i="10"/>
  <c r="G20" i="10"/>
  <c r="G19" i="10"/>
  <c r="G18" i="10"/>
  <c r="G17" i="10"/>
  <c r="G13" i="10"/>
  <c r="G12" i="10"/>
  <c r="G11" i="10"/>
  <c r="G10" i="10"/>
  <c r="G9" i="10"/>
  <c r="C8" i="10"/>
  <c r="G8" i="10"/>
  <c r="F8" i="10"/>
  <c r="E53" i="34" a="1"/>
  <c r="E53" i="34"/>
  <c r="F53" i="34" a="1"/>
  <c r="F53" i="34"/>
  <c r="G53" i="34" a="1"/>
  <c r="H53" i="34" a="1"/>
  <c r="I53" i="34" a="1"/>
  <c r="J53" i="34" a="1"/>
  <c r="K53" i="34" a="1"/>
  <c r="L53" i="34" a="1"/>
  <c r="M53" i="34" a="1"/>
  <c r="N53" i="34" a="1"/>
  <c r="O53" i="34" a="1"/>
  <c r="P53" i="34" a="1"/>
  <c r="Q53" i="34" a="1"/>
  <c r="R53" i="34" a="1"/>
  <c r="S53" i="34" a="1"/>
  <c r="T53" i="34" a="1"/>
  <c r="U53" i="34" a="1"/>
  <c r="V53" i="34" a="1"/>
  <c r="W53" i="34" a="1"/>
  <c r="X53" i="34" a="1"/>
  <c r="Y53" i="34" a="1"/>
  <c r="Z53" i="34" a="1"/>
  <c r="AA53" i="34" a="1"/>
  <c r="AB53" i="34" a="1"/>
  <c r="AC53" i="34" a="1"/>
  <c r="AD53" i="34" a="1"/>
  <c r="AE53" i="34" a="1"/>
  <c r="AF53" i="34" a="1"/>
  <c r="AG53" i="34" a="1"/>
  <c r="AH53" i="34" a="1"/>
  <c r="AI53" i="34" a="1"/>
  <c r="AJ53" i="34" a="1"/>
  <c r="AK53" i="34" a="1"/>
  <c r="AL53" i="34" a="1"/>
  <c r="AM53" i="34" a="1"/>
  <c r="AN53" i="34" a="1"/>
  <c r="AO53" i="34" a="1"/>
  <c r="AP53" i="34" a="1"/>
  <c r="AQ53" i="34" a="1"/>
  <c r="AR53" i="34" a="1"/>
  <c r="AS53" i="34" a="1"/>
  <c r="AT53" i="34" a="1"/>
  <c r="AU53" i="34" a="1"/>
  <c r="AV53" i="34" a="1"/>
  <c r="AW53" i="34" a="1"/>
  <c r="AX53" i="34" a="1"/>
  <c r="AY53" i="34" a="1"/>
  <c r="AZ53" i="34" a="1"/>
  <c r="BA53" i="34" a="1"/>
  <c r="BB53" i="34" a="1"/>
  <c r="BC53" i="34" a="1"/>
  <c r="BD53" i="34" a="1"/>
  <c r="BE53" i="34" a="1"/>
  <c r="BF53" i="34" a="1"/>
  <c r="BG53" i="34" a="1"/>
  <c r="BH53" i="34" a="1"/>
  <c r="BI53" i="34" a="1"/>
  <c r="BJ53" i="34" a="1"/>
  <c r="BK53" i="34" a="1"/>
  <c r="BL53" i="34" a="1"/>
  <c r="BM53" i="34" a="1"/>
  <c r="BN53" i="34" a="1"/>
  <c r="BO53" i="34" a="1"/>
  <c r="BP53" i="34" a="1"/>
  <c r="G53" i="34"/>
  <c r="H53" i="34"/>
  <c r="I53" i="34"/>
  <c r="J53" i="34"/>
  <c r="K53" i="34"/>
  <c r="L53" i="34"/>
  <c r="M53" i="34"/>
  <c r="N53" i="34"/>
  <c r="O53" i="34"/>
  <c r="P53" i="34"/>
  <c r="Q53" i="34"/>
  <c r="R53" i="34"/>
  <c r="S53" i="34"/>
  <c r="T53" i="34"/>
  <c r="U53" i="34"/>
  <c r="V53" i="34"/>
  <c r="W53" i="34"/>
  <c r="X53" i="34"/>
  <c r="Y53" i="34"/>
  <c r="Z53" i="34"/>
  <c r="AA53" i="34"/>
  <c r="AB53" i="34"/>
  <c r="AC53" i="34"/>
  <c r="AD53" i="34"/>
  <c r="AE53" i="34"/>
  <c r="AF53" i="34"/>
  <c r="AG53" i="34"/>
  <c r="AH53" i="34"/>
  <c r="AI53" i="34"/>
  <c r="AJ53" i="34"/>
  <c r="AK53" i="34"/>
  <c r="AL53" i="34"/>
  <c r="AM53" i="34"/>
  <c r="AN53" i="34"/>
  <c r="AO53" i="34"/>
  <c r="AP53" i="34"/>
  <c r="AQ53" i="34"/>
  <c r="AR53" i="34"/>
  <c r="AS53" i="34"/>
  <c r="AT53" i="34"/>
  <c r="AU53" i="34"/>
  <c r="AV53" i="34"/>
  <c r="AW53" i="34"/>
  <c r="AX53" i="34"/>
  <c r="AY53" i="34"/>
  <c r="AZ53" i="34"/>
  <c r="BA53" i="34"/>
  <c r="BB53" i="34"/>
  <c r="BC53" i="34"/>
  <c r="BD53" i="34"/>
  <c r="BE53" i="34"/>
  <c r="BF53" i="34"/>
  <c r="BG53" i="34"/>
  <c r="BH53" i="34"/>
  <c r="BI53" i="34"/>
  <c r="BJ53" i="34"/>
  <c r="BK53" i="34"/>
  <c r="BL53" i="34"/>
  <c r="BM53" i="34"/>
  <c r="BN53" i="34"/>
  <c r="BO53" i="34"/>
  <c r="BP53" i="34"/>
  <c r="AC18" i="34"/>
  <c r="E8" i="10"/>
  <c r="E34" i="10"/>
  <c r="D34" i="10"/>
  <c r="E25" i="10"/>
  <c r="D25" i="10"/>
  <c r="E16" i="10"/>
  <c r="D16" i="10"/>
  <c r="E7" i="10"/>
  <c r="D7" i="10"/>
  <c r="E91" i="9"/>
  <c r="AU7" i="6"/>
  <c r="E60" i="30" a="1"/>
  <c r="E60" i="30"/>
  <c r="F60" i="30" a="1"/>
  <c r="F60" i="30"/>
  <c r="G60" i="30" a="1"/>
  <c r="H60" i="30" a="1"/>
  <c r="I60" i="30" a="1"/>
  <c r="J60" i="30" a="1"/>
  <c r="K60" i="30" a="1"/>
  <c r="L60" i="30" a="1"/>
  <c r="M60" i="30" a="1"/>
  <c r="N60" i="30" a="1"/>
  <c r="O60" i="30" a="1"/>
  <c r="P60" i="30" a="1"/>
  <c r="Q60" i="30" a="1"/>
  <c r="R60" i="30" a="1"/>
  <c r="S60" i="30" a="1"/>
  <c r="T60" i="30" a="1"/>
  <c r="U60" i="30" a="1"/>
  <c r="V60" i="30" a="1"/>
  <c r="W60" i="30" a="1"/>
  <c r="X60" i="30" a="1"/>
  <c r="Y60" i="30" a="1"/>
  <c r="Z60" i="30" a="1"/>
  <c r="AA60" i="30" a="1"/>
  <c r="AB60" i="30" a="1"/>
  <c r="AC60" i="30" a="1"/>
  <c r="AD60" i="30" a="1"/>
  <c r="AE60" i="30" a="1"/>
  <c r="AF60" i="30" a="1"/>
  <c r="AG60" i="30" a="1"/>
  <c r="AH60" i="30" a="1"/>
  <c r="AI60" i="30" a="1"/>
  <c r="AJ60" i="30" a="1"/>
  <c r="AK60" i="30" a="1"/>
  <c r="AL60" i="30" a="1"/>
  <c r="AM60" i="30" a="1"/>
  <c r="AN60" i="30" a="1"/>
  <c r="AO60" i="30" a="1"/>
  <c r="AP60" i="30" a="1"/>
  <c r="AQ60" i="30" a="1"/>
  <c r="AR60" i="30" a="1"/>
  <c r="AS60" i="30" a="1"/>
  <c r="AT60" i="30" a="1"/>
  <c r="AU60" i="30" a="1"/>
  <c r="AV60" i="30" a="1"/>
  <c r="AW60" i="30" a="1"/>
  <c r="AX60" i="30" a="1"/>
  <c r="AY60" i="30" a="1"/>
  <c r="AZ60" i="30" a="1"/>
  <c r="BA60" i="30" a="1"/>
  <c r="BB60" i="30" a="1"/>
  <c r="BC60" i="30" a="1"/>
  <c r="BD60" i="30" a="1"/>
  <c r="BE60" i="30" a="1"/>
  <c r="BF60" i="30" a="1"/>
  <c r="BG60" i="30" a="1"/>
  <c r="BH60" i="30" a="1"/>
  <c r="BI60" i="30" a="1"/>
  <c r="BJ60" i="30" a="1"/>
  <c r="BK60" i="30" a="1"/>
  <c r="BL60" i="30" a="1"/>
  <c r="BM60" i="30" a="1"/>
  <c r="BN60" i="30" a="1"/>
  <c r="BO60" i="30" a="1"/>
  <c r="BP60" i="30" a="1"/>
  <c r="G60" i="30"/>
  <c r="H60" i="30"/>
  <c r="I60" i="30"/>
  <c r="J60" i="30"/>
  <c r="K60" i="30"/>
  <c r="L60" i="30"/>
  <c r="M60" i="30"/>
  <c r="N60" i="30"/>
  <c r="O60" i="30"/>
  <c r="P60" i="30"/>
  <c r="Q60" i="30"/>
  <c r="R60" i="30"/>
  <c r="S60" i="30"/>
  <c r="T60" i="30"/>
  <c r="U60" i="30"/>
  <c r="V60" i="30"/>
  <c r="W60" i="30"/>
  <c r="X60" i="30"/>
  <c r="Y60" i="30"/>
  <c r="Z60" i="30"/>
  <c r="AA60" i="30"/>
  <c r="AB60" i="30"/>
  <c r="AC60" i="30"/>
  <c r="AD60" i="30"/>
  <c r="AE60" i="30"/>
  <c r="AF60" i="30"/>
  <c r="AG60" i="30"/>
  <c r="AH60" i="30"/>
  <c r="AI60" i="30"/>
  <c r="AJ60" i="30"/>
  <c r="AK60" i="30"/>
  <c r="AL60" i="30"/>
  <c r="AM60" i="30"/>
  <c r="AN60" i="30"/>
  <c r="AO60" i="30"/>
  <c r="AP60" i="30"/>
  <c r="AQ60" i="30"/>
  <c r="AR60" i="30"/>
  <c r="AS60" i="30"/>
  <c r="AT60" i="30"/>
  <c r="AU60" i="30"/>
  <c r="AV60" i="30"/>
  <c r="AW60" i="30"/>
  <c r="AX60" i="30"/>
  <c r="AY60" i="30"/>
  <c r="AZ60" i="30"/>
  <c r="BA60" i="30"/>
  <c r="BB60" i="30"/>
  <c r="BC60" i="30"/>
  <c r="BD60" i="30"/>
  <c r="BE60" i="30"/>
  <c r="BF60" i="30"/>
  <c r="BG60" i="30"/>
  <c r="BH60" i="30"/>
  <c r="BI60" i="30"/>
  <c r="BJ60" i="30"/>
  <c r="BK60" i="30"/>
  <c r="BL60" i="30"/>
  <c r="BM60" i="30"/>
  <c r="BN60" i="30"/>
  <c r="BO60" i="30"/>
  <c r="BP60" i="30"/>
  <c r="AC25" i="30"/>
  <c r="Z25" i="30"/>
  <c r="E59" i="30" a="1"/>
  <c r="E59" i="30"/>
  <c r="F59" i="30" a="1"/>
  <c r="F59" i="30"/>
  <c r="G59" i="30" a="1"/>
  <c r="H59" i="30" a="1"/>
  <c r="I59" i="30" a="1"/>
  <c r="J59" i="30" a="1"/>
  <c r="K59" i="30" a="1"/>
  <c r="L59" i="30" a="1"/>
  <c r="M59" i="30" a="1"/>
  <c r="N59" i="30" a="1"/>
  <c r="O59" i="30" a="1"/>
  <c r="P59" i="30" a="1"/>
  <c r="Q59" i="30" a="1"/>
  <c r="R59" i="30" a="1"/>
  <c r="S59" i="30" a="1"/>
  <c r="T59" i="30" a="1"/>
  <c r="U59" i="30" a="1"/>
  <c r="V59" i="30" a="1"/>
  <c r="W59" i="30" a="1"/>
  <c r="X59" i="30" a="1"/>
  <c r="Y59" i="30" a="1"/>
  <c r="Z59" i="30" a="1"/>
  <c r="AA59" i="30" a="1"/>
  <c r="AB59" i="30" a="1"/>
  <c r="AC59" i="30" a="1"/>
  <c r="AD59" i="30" a="1"/>
  <c r="AE59" i="30" a="1"/>
  <c r="AF59" i="30" a="1"/>
  <c r="AG59" i="30" a="1"/>
  <c r="AH59" i="30" a="1"/>
  <c r="AI59" i="30" a="1"/>
  <c r="AJ59" i="30" a="1"/>
  <c r="AK59" i="30" a="1"/>
  <c r="AL59" i="30" a="1"/>
  <c r="AM59" i="30" a="1"/>
  <c r="AN59" i="30" a="1"/>
  <c r="AO59" i="30" a="1"/>
  <c r="AP59" i="30" a="1"/>
  <c r="AQ59" i="30" a="1"/>
  <c r="AR59" i="30" a="1"/>
  <c r="AS59" i="30" a="1"/>
  <c r="AT59" i="30" a="1"/>
  <c r="AU59" i="30" a="1"/>
  <c r="AV59" i="30" a="1"/>
  <c r="AW59" i="30" a="1"/>
  <c r="AX59" i="30" a="1"/>
  <c r="AY59" i="30" a="1"/>
  <c r="AZ59" i="30" a="1"/>
  <c r="BA59" i="30" a="1"/>
  <c r="BB59" i="30" a="1"/>
  <c r="BC59" i="30" a="1"/>
  <c r="BD59" i="30" a="1"/>
  <c r="BE59" i="30" a="1"/>
  <c r="BF59" i="30" a="1"/>
  <c r="BG59" i="30" a="1"/>
  <c r="BH59" i="30" a="1"/>
  <c r="BI59" i="30" a="1"/>
  <c r="BJ59" i="30" a="1"/>
  <c r="BK59" i="30" a="1"/>
  <c r="BL59" i="30" a="1"/>
  <c r="BM59" i="30" a="1"/>
  <c r="BN59" i="30" a="1"/>
  <c r="BO59" i="30" a="1"/>
  <c r="BP59" i="30" a="1"/>
  <c r="G59" i="30"/>
  <c r="H59" i="30"/>
  <c r="I59" i="30"/>
  <c r="J59" i="30"/>
  <c r="K59" i="30"/>
  <c r="L59" i="30"/>
  <c r="M59" i="30"/>
  <c r="N59" i="30"/>
  <c r="O59" i="30"/>
  <c r="P59" i="30"/>
  <c r="Q59" i="30"/>
  <c r="R59" i="30"/>
  <c r="S59" i="30"/>
  <c r="T59" i="30"/>
  <c r="U59" i="30"/>
  <c r="V59" i="30"/>
  <c r="W59" i="30"/>
  <c r="X59" i="30"/>
  <c r="Y59" i="30"/>
  <c r="Z59" i="30"/>
  <c r="AA59" i="30"/>
  <c r="AB59" i="30"/>
  <c r="AC59" i="30"/>
  <c r="AD59" i="30"/>
  <c r="AE59" i="30"/>
  <c r="AF59" i="30"/>
  <c r="AG59" i="30"/>
  <c r="AH59" i="30"/>
  <c r="AI59" i="30"/>
  <c r="AJ59" i="30"/>
  <c r="AK59" i="30"/>
  <c r="AL59" i="30"/>
  <c r="AM59" i="30"/>
  <c r="AN59" i="30"/>
  <c r="AO59" i="30"/>
  <c r="AP59" i="30"/>
  <c r="AQ59" i="30"/>
  <c r="AR59" i="30"/>
  <c r="AS59" i="30"/>
  <c r="AT59" i="30"/>
  <c r="AU59" i="30"/>
  <c r="AV59" i="30"/>
  <c r="AW59" i="30"/>
  <c r="AX59" i="30"/>
  <c r="AY59" i="30"/>
  <c r="AZ59" i="30"/>
  <c r="BA59" i="30"/>
  <c r="BB59" i="30"/>
  <c r="BC59" i="30"/>
  <c r="BD59" i="30"/>
  <c r="BE59" i="30"/>
  <c r="BF59" i="30"/>
  <c r="BG59" i="30"/>
  <c r="BH59" i="30"/>
  <c r="BI59" i="30"/>
  <c r="BJ59" i="30"/>
  <c r="BK59" i="30"/>
  <c r="BL59" i="30"/>
  <c r="BM59" i="30"/>
  <c r="BN59" i="30"/>
  <c r="BO59" i="30"/>
  <c r="BP59" i="30"/>
  <c r="AC24" i="30"/>
  <c r="Z24" i="30"/>
  <c r="E58" i="30" a="1"/>
  <c r="E58" i="30"/>
  <c r="F58" i="30" a="1"/>
  <c r="F58" i="30"/>
  <c r="G58" i="30" a="1"/>
  <c r="H58" i="30" a="1"/>
  <c r="I58" i="30" a="1"/>
  <c r="J58" i="30" a="1"/>
  <c r="K58" i="30" a="1"/>
  <c r="L58" i="30" a="1"/>
  <c r="M58" i="30" a="1"/>
  <c r="N58" i="30" a="1"/>
  <c r="O58" i="30" a="1"/>
  <c r="P58" i="30" a="1"/>
  <c r="Q58" i="30" a="1"/>
  <c r="R58" i="30" a="1"/>
  <c r="S58" i="30" a="1"/>
  <c r="T58" i="30" a="1"/>
  <c r="U58" i="30" a="1"/>
  <c r="V58" i="30" a="1"/>
  <c r="W58" i="30" a="1"/>
  <c r="X58" i="30" a="1"/>
  <c r="Y58" i="30" a="1"/>
  <c r="Z58" i="30" a="1"/>
  <c r="AA58" i="30" a="1"/>
  <c r="AB58" i="30" a="1"/>
  <c r="AC58" i="30" a="1"/>
  <c r="AD58" i="30" a="1"/>
  <c r="AE58" i="30" a="1"/>
  <c r="AF58" i="30" a="1"/>
  <c r="AG58" i="30" a="1"/>
  <c r="AH58" i="30" a="1"/>
  <c r="AI58" i="30" a="1"/>
  <c r="AJ58" i="30" a="1"/>
  <c r="AK58" i="30" a="1"/>
  <c r="AL58" i="30" a="1"/>
  <c r="AM58" i="30" a="1"/>
  <c r="AN58" i="30" a="1"/>
  <c r="AO58" i="30" a="1"/>
  <c r="AP58" i="30" a="1"/>
  <c r="AQ58" i="30" a="1"/>
  <c r="AR58" i="30" a="1"/>
  <c r="AS58" i="30" a="1"/>
  <c r="AT58" i="30" a="1"/>
  <c r="AU58" i="30" a="1"/>
  <c r="AV58" i="30" a="1"/>
  <c r="AW58" i="30" a="1"/>
  <c r="AX58" i="30" a="1"/>
  <c r="AY58" i="30" a="1"/>
  <c r="AZ58" i="30" a="1"/>
  <c r="BA58" i="30" a="1"/>
  <c r="BB58" i="30" a="1"/>
  <c r="BC58" i="30" a="1"/>
  <c r="BD58" i="30" a="1"/>
  <c r="BE58" i="30" a="1"/>
  <c r="BF58" i="30" a="1"/>
  <c r="BG58" i="30" a="1"/>
  <c r="BH58" i="30" a="1"/>
  <c r="BI58" i="30" a="1"/>
  <c r="BJ58" i="30" a="1"/>
  <c r="BK58" i="30" a="1"/>
  <c r="BL58" i="30" a="1"/>
  <c r="BM58" i="30" a="1"/>
  <c r="BN58" i="30" a="1"/>
  <c r="BO58" i="30" a="1"/>
  <c r="BP58" i="30" a="1"/>
  <c r="G58" i="30"/>
  <c r="H58" i="30"/>
  <c r="I58" i="30"/>
  <c r="J58" i="30"/>
  <c r="K58" i="30"/>
  <c r="L58" i="30"/>
  <c r="M58" i="30"/>
  <c r="N58" i="30"/>
  <c r="O58" i="30"/>
  <c r="P58" i="30"/>
  <c r="Q58" i="30"/>
  <c r="R58" i="30"/>
  <c r="S58" i="30"/>
  <c r="T58" i="30"/>
  <c r="U58" i="30"/>
  <c r="V58" i="30"/>
  <c r="W58" i="30"/>
  <c r="X58" i="30"/>
  <c r="Y58" i="30"/>
  <c r="Z58" i="30"/>
  <c r="AA58" i="30"/>
  <c r="AB58" i="30"/>
  <c r="AC58" i="30"/>
  <c r="AD58" i="30"/>
  <c r="AE58" i="30"/>
  <c r="AF58" i="30"/>
  <c r="AG58" i="30"/>
  <c r="AH58" i="30"/>
  <c r="AI58" i="30"/>
  <c r="AJ58" i="30"/>
  <c r="AK58" i="30"/>
  <c r="AL58" i="30"/>
  <c r="AM58" i="30"/>
  <c r="AN58" i="30"/>
  <c r="AO58" i="30"/>
  <c r="AP58" i="30"/>
  <c r="AQ58" i="30"/>
  <c r="AR58" i="30"/>
  <c r="AS58" i="30"/>
  <c r="AT58" i="30"/>
  <c r="AU58" i="30"/>
  <c r="AV58" i="30"/>
  <c r="AW58" i="30"/>
  <c r="AX58" i="30"/>
  <c r="AY58" i="30"/>
  <c r="AZ58" i="30"/>
  <c r="BA58" i="30"/>
  <c r="BB58" i="30"/>
  <c r="BC58" i="30"/>
  <c r="BD58" i="30"/>
  <c r="BE58" i="30"/>
  <c r="BF58" i="30"/>
  <c r="BG58" i="30"/>
  <c r="BH58" i="30"/>
  <c r="BI58" i="30"/>
  <c r="BJ58" i="30"/>
  <c r="BK58" i="30"/>
  <c r="BL58" i="30"/>
  <c r="BM58" i="30"/>
  <c r="BN58" i="30"/>
  <c r="BO58" i="30"/>
  <c r="BP58" i="30"/>
  <c r="AC23" i="30"/>
  <c r="Z23" i="30"/>
  <c r="E57" i="30" a="1"/>
  <c r="E57" i="30"/>
  <c r="F57" i="30" a="1"/>
  <c r="F57" i="30"/>
  <c r="G57" i="30" a="1"/>
  <c r="H57" i="30" a="1"/>
  <c r="I57" i="30" a="1"/>
  <c r="J57" i="30" a="1"/>
  <c r="K57" i="30" a="1"/>
  <c r="L57" i="30" a="1"/>
  <c r="M57" i="30" a="1"/>
  <c r="N57" i="30" a="1"/>
  <c r="O57" i="30" a="1"/>
  <c r="P57" i="30" a="1"/>
  <c r="Q57" i="30" a="1"/>
  <c r="R57" i="30" a="1"/>
  <c r="S57" i="30" a="1"/>
  <c r="T57" i="30" a="1"/>
  <c r="U57" i="30" a="1"/>
  <c r="V57" i="30" a="1"/>
  <c r="W57" i="30" a="1"/>
  <c r="X57" i="30" a="1"/>
  <c r="Y57" i="30" a="1"/>
  <c r="Z57" i="30" a="1"/>
  <c r="AA57" i="30" a="1"/>
  <c r="AB57" i="30" a="1"/>
  <c r="AC57" i="30" a="1"/>
  <c r="AD57" i="30" a="1"/>
  <c r="AE57" i="30" a="1"/>
  <c r="AF57" i="30" a="1"/>
  <c r="AG57" i="30" a="1"/>
  <c r="AH57" i="30" a="1"/>
  <c r="AI57" i="30" a="1"/>
  <c r="AJ57" i="30" a="1"/>
  <c r="AK57" i="30" a="1"/>
  <c r="AL57" i="30" a="1"/>
  <c r="AM57" i="30" a="1"/>
  <c r="AN57" i="30" a="1"/>
  <c r="AO57" i="30" a="1"/>
  <c r="AP57" i="30" a="1"/>
  <c r="AQ57" i="30" a="1"/>
  <c r="AR57" i="30" a="1"/>
  <c r="AS57" i="30" a="1"/>
  <c r="AT57" i="30" a="1"/>
  <c r="AU57" i="30" a="1"/>
  <c r="AV57" i="30" a="1"/>
  <c r="AW57" i="30" a="1"/>
  <c r="AX57" i="30" a="1"/>
  <c r="AY57" i="30" a="1"/>
  <c r="AZ57" i="30" a="1"/>
  <c r="BA57" i="30" a="1"/>
  <c r="BB57" i="30" a="1"/>
  <c r="BC57" i="30" a="1"/>
  <c r="BD57" i="30" a="1"/>
  <c r="BE57" i="30" a="1"/>
  <c r="BF57" i="30" a="1"/>
  <c r="BG57" i="30" a="1"/>
  <c r="BH57" i="30" a="1"/>
  <c r="BI57" i="30" a="1"/>
  <c r="BJ57" i="30" a="1"/>
  <c r="BK57" i="30" a="1"/>
  <c r="BL57" i="30" a="1"/>
  <c r="BM57" i="30" a="1"/>
  <c r="BN57" i="30" a="1"/>
  <c r="BO57" i="30" a="1"/>
  <c r="BP57" i="30" a="1"/>
  <c r="G57" i="30"/>
  <c r="H57" i="30"/>
  <c r="I57" i="30"/>
  <c r="J57" i="30"/>
  <c r="K57" i="30"/>
  <c r="L57" i="30"/>
  <c r="M57" i="30"/>
  <c r="N57" i="30"/>
  <c r="O57" i="30"/>
  <c r="P57" i="30"/>
  <c r="Q57" i="30"/>
  <c r="R57" i="30"/>
  <c r="S57" i="30"/>
  <c r="T57" i="30"/>
  <c r="U57" i="30"/>
  <c r="V57" i="30"/>
  <c r="W57" i="30"/>
  <c r="X57" i="30"/>
  <c r="Y57" i="30"/>
  <c r="Z57" i="30"/>
  <c r="AA57" i="30"/>
  <c r="AB57" i="30"/>
  <c r="AC57" i="30"/>
  <c r="AD57" i="30"/>
  <c r="AE57" i="30"/>
  <c r="AF57" i="30"/>
  <c r="AG57" i="30"/>
  <c r="AH57" i="30"/>
  <c r="AI57" i="30"/>
  <c r="AJ57" i="30"/>
  <c r="AK57" i="30"/>
  <c r="AL57" i="30"/>
  <c r="AM57" i="30"/>
  <c r="AN57" i="30"/>
  <c r="AO57" i="30"/>
  <c r="AP57" i="30"/>
  <c r="AQ57" i="30"/>
  <c r="AR57" i="30"/>
  <c r="AS57" i="30"/>
  <c r="AT57" i="30"/>
  <c r="AU57" i="30"/>
  <c r="AV57" i="30"/>
  <c r="AW57" i="30"/>
  <c r="AX57" i="30"/>
  <c r="AY57" i="30"/>
  <c r="AZ57" i="30"/>
  <c r="BA57" i="30"/>
  <c r="BB57" i="30"/>
  <c r="BC57" i="30"/>
  <c r="BD57" i="30"/>
  <c r="BE57" i="30"/>
  <c r="BF57" i="30"/>
  <c r="BG57" i="30"/>
  <c r="BH57" i="30"/>
  <c r="BI57" i="30"/>
  <c r="BJ57" i="30"/>
  <c r="BK57" i="30"/>
  <c r="BL57" i="30"/>
  <c r="BM57" i="30"/>
  <c r="BN57" i="30"/>
  <c r="BO57" i="30"/>
  <c r="BP57" i="30"/>
  <c r="AC22" i="30"/>
  <c r="Z22" i="30"/>
  <c r="E56" i="30" a="1"/>
  <c r="E56" i="30"/>
  <c r="F56" i="30" a="1"/>
  <c r="F56" i="30"/>
  <c r="G56" i="30" a="1"/>
  <c r="H56" i="30" a="1"/>
  <c r="I56" i="30" a="1"/>
  <c r="J56" i="30" a="1"/>
  <c r="K56" i="30" a="1"/>
  <c r="L56" i="30" a="1"/>
  <c r="M56" i="30" a="1"/>
  <c r="N56" i="30" a="1"/>
  <c r="O56" i="30" a="1"/>
  <c r="P56" i="30" a="1"/>
  <c r="Q56" i="30" a="1"/>
  <c r="R56" i="30" a="1"/>
  <c r="S56" i="30" a="1"/>
  <c r="T56" i="30" a="1"/>
  <c r="U56" i="30" a="1"/>
  <c r="V56" i="30" a="1"/>
  <c r="W56" i="30" a="1"/>
  <c r="X56" i="30" a="1"/>
  <c r="Y56" i="30" a="1"/>
  <c r="Z56" i="30" a="1"/>
  <c r="AA56" i="30" a="1"/>
  <c r="AB56" i="30" a="1"/>
  <c r="AC56" i="30" a="1"/>
  <c r="AD56" i="30" a="1"/>
  <c r="AE56" i="30" a="1"/>
  <c r="AF56" i="30" a="1"/>
  <c r="AG56" i="30" a="1"/>
  <c r="AH56" i="30" a="1"/>
  <c r="AI56" i="30" a="1"/>
  <c r="AJ56" i="30" a="1"/>
  <c r="AK56" i="30" a="1"/>
  <c r="AL56" i="30" a="1"/>
  <c r="AM56" i="30" a="1"/>
  <c r="AN56" i="30" a="1"/>
  <c r="AO56" i="30" a="1"/>
  <c r="AP56" i="30" a="1"/>
  <c r="AQ56" i="30" a="1"/>
  <c r="AR56" i="30" a="1"/>
  <c r="AS56" i="30" a="1"/>
  <c r="AT56" i="30" a="1"/>
  <c r="AU56" i="30" a="1"/>
  <c r="AV56" i="30" a="1"/>
  <c r="AW56" i="30" a="1"/>
  <c r="AX56" i="30" a="1"/>
  <c r="AY56" i="30" a="1"/>
  <c r="AZ56" i="30" a="1"/>
  <c r="BA56" i="30" a="1"/>
  <c r="BB56" i="30" a="1"/>
  <c r="BC56" i="30" a="1"/>
  <c r="BD56" i="30" a="1"/>
  <c r="BE56" i="30" a="1"/>
  <c r="BF56" i="30" a="1"/>
  <c r="BG56" i="30" a="1"/>
  <c r="BH56" i="30" a="1"/>
  <c r="BI56" i="30" a="1"/>
  <c r="BJ56" i="30" a="1"/>
  <c r="BK56" i="30" a="1"/>
  <c r="BL56" i="30" a="1"/>
  <c r="BM56" i="30" a="1"/>
  <c r="BN56" i="30" a="1"/>
  <c r="BO56" i="30" a="1"/>
  <c r="BP56" i="30" a="1"/>
  <c r="G56" i="30"/>
  <c r="H56" i="30"/>
  <c r="I56" i="30"/>
  <c r="J56" i="30"/>
  <c r="K56" i="30"/>
  <c r="L56" i="30"/>
  <c r="M56" i="30"/>
  <c r="N56" i="30"/>
  <c r="O56" i="30"/>
  <c r="P56" i="30"/>
  <c r="Q56" i="30"/>
  <c r="R56" i="30"/>
  <c r="S56" i="30"/>
  <c r="T56" i="30"/>
  <c r="U56" i="30"/>
  <c r="V56" i="30"/>
  <c r="W56" i="30"/>
  <c r="X56" i="30"/>
  <c r="Y56" i="30"/>
  <c r="Z56" i="30"/>
  <c r="AA56" i="30"/>
  <c r="AB56" i="30"/>
  <c r="AC56" i="30"/>
  <c r="AD56" i="30"/>
  <c r="AE56" i="30"/>
  <c r="AF56" i="30"/>
  <c r="AG56" i="30"/>
  <c r="AH56" i="30"/>
  <c r="AI56" i="30"/>
  <c r="AJ56" i="30"/>
  <c r="AK56" i="30"/>
  <c r="AL56" i="30"/>
  <c r="AM56" i="30"/>
  <c r="AN56" i="30"/>
  <c r="AO56" i="30"/>
  <c r="AP56" i="30"/>
  <c r="AQ56" i="30"/>
  <c r="AR56" i="30"/>
  <c r="AS56" i="30"/>
  <c r="AT56" i="30"/>
  <c r="AU56" i="30"/>
  <c r="AV56" i="30"/>
  <c r="AW56" i="30"/>
  <c r="AX56" i="30"/>
  <c r="AY56" i="30"/>
  <c r="AZ56" i="30"/>
  <c r="BA56" i="30"/>
  <c r="BB56" i="30"/>
  <c r="BC56" i="30"/>
  <c r="BD56" i="30"/>
  <c r="BE56" i="30"/>
  <c r="BF56" i="30"/>
  <c r="BG56" i="30"/>
  <c r="BH56" i="30"/>
  <c r="BI56" i="30"/>
  <c r="BJ56" i="30"/>
  <c r="BK56" i="30"/>
  <c r="BL56" i="30"/>
  <c r="BM56" i="30"/>
  <c r="BN56" i="30"/>
  <c r="BO56" i="30"/>
  <c r="BP56" i="30"/>
  <c r="AC21" i="30"/>
  <c r="Z21" i="30"/>
  <c r="E55" i="30" a="1"/>
  <c r="E55" i="30"/>
  <c r="F55" i="30" a="1"/>
  <c r="F55" i="30"/>
  <c r="G55" i="30" a="1"/>
  <c r="H55" i="30" a="1"/>
  <c r="I55" i="30" a="1"/>
  <c r="J55" i="30" a="1"/>
  <c r="K55" i="30" a="1"/>
  <c r="L55" i="30" a="1"/>
  <c r="M55" i="30" a="1"/>
  <c r="N55" i="30" a="1"/>
  <c r="O55" i="30" a="1"/>
  <c r="P55" i="30" a="1"/>
  <c r="Q55" i="30" a="1"/>
  <c r="R55" i="30" a="1"/>
  <c r="S55" i="30" a="1"/>
  <c r="T55" i="30" a="1"/>
  <c r="U55" i="30" a="1"/>
  <c r="V55" i="30" a="1"/>
  <c r="W55" i="30" a="1"/>
  <c r="X55" i="30" a="1"/>
  <c r="Y55" i="30" a="1"/>
  <c r="Z55" i="30" a="1"/>
  <c r="AA55" i="30" a="1"/>
  <c r="AB55" i="30" a="1"/>
  <c r="AC55" i="30" a="1"/>
  <c r="AD55" i="30" a="1"/>
  <c r="AE55" i="30" a="1"/>
  <c r="AF55" i="30" a="1"/>
  <c r="AG55" i="30" a="1"/>
  <c r="AH55" i="30" a="1"/>
  <c r="AI55" i="30" a="1"/>
  <c r="AJ55" i="30" a="1"/>
  <c r="AK55" i="30" a="1"/>
  <c r="AL55" i="30" a="1"/>
  <c r="AM55" i="30" a="1"/>
  <c r="AN55" i="30" a="1"/>
  <c r="AO55" i="30" a="1"/>
  <c r="AP55" i="30" a="1"/>
  <c r="AQ55" i="30" a="1"/>
  <c r="AR55" i="30" a="1"/>
  <c r="AS55" i="30" a="1"/>
  <c r="AT55" i="30" a="1"/>
  <c r="AU55" i="30" a="1"/>
  <c r="AV55" i="30" a="1"/>
  <c r="AW55" i="30" a="1"/>
  <c r="AX55" i="30" a="1"/>
  <c r="AY55" i="30" a="1"/>
  <c r="AZ55" i="30" a="1"/>
  <c r="BA55" i="30" a="1"/>
  <c r="BB55" i="30" a="1"/>
  <c r="BC55" i="30" a="1"/>
  <c r="BD55" i="30" a="1"/>
  <c r="BE55" i="30" a="1"/>
  <c r="BF55" i="30" a="1"/>
  <c r="BG55" i="30" a="1"/>
  <c r="BH55" i="30" a="1"/>
  <c r="BI55" i="30" a="1"/>
  <c r="BJ55" i="30" a="1"/>
  <c r="BK55" i="30" a="1"/>
  <c r="BL55" i="30" a="1"/>
  <c r="BM55" i="30" a="1"/>
  <c r="BN55" i="30" a="1"/>
  <c r="BO55" i="30" a="1"/>
  <c r="BP55" i="30" a="1"/>
  <c r="G55" i="30"/>
  <c r="H55" i="30"/>
  <c r="I55" i="30"/>
  <c r="J55" i="30"/>
  <c r="K55" i="30"/>
  <c r="L55" i="30"/>
  <c r="M55" i="30"/>
  <c r="N55" i="30"/>
  <c r="O55" i="30"/>
  <c r="P55" i="30"/>
  <c r="Q55" i="30"/>
  <c r="R55" i="30"/>
  <c r="S55" i="30"/>
  <c r="T55" i="30"/>
  <c r="U55" i="30"/>
  <c r="V55" i="30"/>
  <c r="W55" i="30"/>
  <c r="X55" i="30"/>
  <c r="Y55" i="30"/>
  <c r="Z55" i="30"/>
  <c r="AA55" i="30"/>
  <c r="AB55" i="30"/>
  <c r="AC55" i="30"/>
  <c r="AD55" i="30"/>
  <c r="AE55" i="30"/>
  <c r="AF55" i="30"/>
  <c r="AG55" i="30"/>
  <c r="AH55" i="30"/>
  <c r="AI55" i="30"/>
  <c r="AJ55" i="30"/>
  <c r="AK55" i="30"/>
  <c r="AL55" i="30"/>
  <c r="AM55" i="30"/>
  <c r="AN55" i="30"/>
  <c r="AO55" i="30"/>
  <c r="AP55" i="30"/>
  <c r="AQ55" i="30"/>
  <c r="AR55" i="30"/>
  <c r="AS55" i="30"/>
  <c r="AT55" i="30"/>
  <c r="AU55" i="30"/>
  <c r="AV55" i="30"/>
  <c r="AW55" i="30"/>
  <c r="AX55" i="30"/>
  <c r="AY55" i="30"/>
  <c r="AZ55" i="30"/>
  <c r="BA55" i="30"/>
  <c r="BB55" i="30"/>
  <c r="BC55" i="30"/>
  <c r="BD55" i="30"/>
  <c r="BE55" i="30"/>
  <c r="BF55" i="30"/>
  <c r="BG55" i="30"/>
  <c r="BH55" i="30"/>
  <c r="BI55" i="30"/>
  <c r="BJ55" i="30"/>
  <c r="BK55" i="30"/>
  <c r="BL55" i="30"/>
  <c r="BM55" i="30"/>
  <c r="BN55" i="30"/>
  <c r="BO55" i="30"/>
  <c r="BP55" i="30"/>
  <c r="AC20" i="30"/>
  <c r="Z20" i="30"/>
  <c r="E54" i="30" a="1"/>
  <c r="E54" i="30"/>
  <c r="F54" i="30" a="1"/>
  <c r="F54" i="30"/>
  <c r="G54" i="30" a="1"/>
  <c r="H54" i="30" a="1"/>
  <c r="I54" i="30" a="1"/>
  <c r="J54" i="30" a="1"/>
  <c r="K54" i="30" a="1"/>
  <c r="L54" i="30" a="1"/>
  <c r="M54" i="30" a="1"/>
  <c r="N54" i="30" a="1"/>
  <c r="O54" i="30" a="1"/>
  <c r="P54" i="30" a="1"/>
  <c r="Q54" i="30" a="1"/>
  <c r="R54" i="30" a="1"/>
  <c r="S54" i="30" a="1"/>
  <c r="T54" i="30" a="1"/>
  <c r="U54" i="30" a="1"/>
  <c r="V54" i="30" a="1"/>
  <c r="W54" i="30" a="1"/>
  <c r="X54" i="30" a="1"/>
  <c r="Y54" i="30" a="1"/>
  <c r="Z54" i="30" a="1"/>
  <c r="AA54" i="30" a="1"/>
  <c r="AB54" i="30" a="1"/>
  <c r="AC54" i="30" a="1"/>
  <c r="AD54" i="30" a="1"/>
  <c r="AE54" i="30" a="1"/>
  <c r="AF54" i="30" a="1"/>
  <c r="AG54" i="30" a="1"/>
  <c r="AH54" i="30" a="1"/>
  <c r="AI54" i="30" a="1"/>
  <c r="AJ54" i="30" a="1"/>
  <c r="AK54" i="30" a="1"/>
  <c r="AL54" i="30" a="1"/>
  <c r="AM54" i="30" a="1"/>
  <c r="AN54" i="30" a="1"/>
  <c r="AO54" i="30" a="1"/>
  <c r="AP54" i="30" a="1"/>
  <c r="AQ54" i="30" a="1"/>
  <c r="AR54" i="30" a="1"/>
  <c r="AS54" i="30" a="1"/>
  <c r="AT54" i="30" a="1"/>
  <c r="AU54" i="30" a="1"/>
  <c r="AV54" i="30" a="1"/>
  <c r="AW54" i="30" a="1"/>
  <c r="AX54" i="30" a="1"/>
  <c r="AY54" i="30" a="1"/>
  <c r="AZ54" i="30" a="1"/>
  <c r="BA54" i="30" a="1"/>
  <c r="BB54" i="30" a="1"/>
  <c r="BC54" i="30" a="1"/>
  <c r="BD54" i="30" a="1"/>
  <c r="BE54" i="30" a="1"/>
  <c r="BF54" i="30" a="1"/>
  <c r="BG54" i="30" a="1"/>
  <c r="BH54" i="30" a="1"/>
  <c r="BI54" i="30" a="1"/>
  <c r="BJ54" i="30" a="1"/>
  <c r="BK54" i="30" a="1"/>
  <c r="BL54" i="30" a="1"/>
  <c r="BM54" i="30" a="1"/>
  <c r="BN54" i="30" a="1"/>
  <c r="BO54" i="30" a="1"/>
  <c r="BP54" i="30" a="1"/>
  <c r="G54" i="30"/>
  <c r="H54" i="30"/>
  <c r="I54" i="30"/>
  <c r="J54" i="30"/>
  <c r="K54" i="30"/>
  <c r="L54" i="30"/>
  <c r="M54" i="30"/>
  <c r="N54" i="30"/>
  <c r="O54" i="30"/>
  <c r="P54" i="30"/>
  <c r="Q54" i="30"/>
  <c r="R54" i="30"/>
  <c r="S54" i="30"/>
  <c r="T54" i="30"/>
  <c r="U54" i="30"/>
  <c r="V54" i="30"/>
  <c r="W54" i="30"/>
  <c r="X54" i="30"/>
  <c r="Y54" i="30"/>
  <c r="Z54" i="30"/>
  <c r="AA54" i="30"/>
  <c r="AB54" i="30"/>
  <c r="AC54" i="30"/>
  <c r="AD54" i="30"/>
  <c r="AE54" i="30"/>
  <c r="AF54" i="30"/>
  <c r="AG54" i="30"/>
  <c r="AH54" i="30"/>
  <c r="AI54" i="30"/>
  <c r="AJ54" i="30"/>
  <c r="AK54" i="30"/>
  <c r="AL54" i="30"/>
  <c r="AM54" i="30"/>
  <c r="AN54" i="30"/>
  <c r="AO54" i="30"/>
  <c r="AP54" i="30"/>
  <c r="AQ54" i="30"/>
  <c r="AR54" i="30"/>
  <c r="AS54" i="30"/>
  <c r="AT54" i="30"/>
  <c r="AU54" i="30"/>
  <c r="AV54" i="30"/>
  <c r="AW54" i="30"/>
  <c r="AX54" i="30"/>
  <c r="AY54" i="30"/>
  <c r="AZ54" i="30"/>
  <c r="BA54" i="30"/>
  <c r="BB54" i="30"/>
  <c r="BC54" i="30"/>
  <c r="BD54" i="30"/>
  <c r="BE54" i="30"/>
  <c r="BF54" i="30"/>
  <c r="BG54" i="30"/>
  <c r="BH54" i="30"/>
  <c r="BI54" i="30"/>
  <c r="BJ54" i="30"/>
  <c r="BK54" i="30"/>
  <c r="BL54" i="30"/>
  <c r="BM54" i="30"/>
  <c r="BN54" i="30"/>
  <c r="BO54" i="30"/>
  <c r="BP54" i="30"/>
  <c r="AC19" i="30"/>
  <c r="Z19" i="30"/>
  <c r="E53" i="30" a="1"/>
  <c r="E53" i="30"/>
  <c r="F53" i="30" a="1"/>
  <c r="F53" i="30"/>
  <c r="G53" i="30" a="1"/>
  <c r="H53" i="30" a="1"/>
  <c r="I53" i="30" a="1"/>
  <c r="J53" i="30" a="1"/>
  <c r="K53" i="30" a="1"/>
  <c r="L53" i="30" a="1"/>
  <c r="M53" i="30" a="1"/>
  <c r="N53" i="30" a="1"/>
  <c r="O53" i="30" a="1"/>
  <c r="P53" i="30" a="1"/>
  <c r="Q53" i="30" a="1"/>
  <c r="R53" i="30" a="1"/>
  <c r="S53" i="30" a="1"/>
  <c r="T53" i="30" a="1"/>
  <c r="U53" i="30" a="1"/>
  <c r="V53" i="30" a="1"/>
  <c r="W53" i="30" a="1"/>
  <c r="X53" i="30" a="1"/>
  <c r="Y53" i="30" a="1"/>
  <c r="Z53" i="30" a="1"/>
  <c r="AA53" i="30" a="1"/>
  <c r="AB53" i="30" a="1"/>
  <c r="AC53" i="30" a="1"/>
  <c r="AD53" i="30" a="1"/>
  <c r="AE53" i="30" a="1"/>
  <c r="AF53" i="30" a="1"/>
  <c r="AG53" i="30" a="1"/>
  <c r="AH53" i="30" a="1"/>
  <c r="AI53" i="30" a="1"/>
  <c r="AJ53" i="30" a="1"/>
  <c r="AK53" i="30" a="1"/>
  <c r="AL53" i="30" a="1"/>
  <c r="AM53" i="30" a="1"/>
  <c r="AN53" i="30" a="1"/>
  <c r="AO53" i="30" a="1"/>
  <c r="AP53" i="30" a="1"/>
  <c r="AQ53" i="30" a="1"/>
  <c r="AR53" i="30" a="1"/>
  <c r="AS53" i="30" a="1"/>
  <c r="AT53" i="30" a="1"/>
  <c r="AU53" i="30" a="1"/>
  <c r="AV53" i="30" a="1"/>
  <c r="AW53" i="30" a="1"/>
  <c r="AX53" i="30" a="1"/>
  <c r="AY53" i="30" a="1"/>
  <c r="AZ53" i="30" a="1"/>
  <c r="BA53" i="30" a="1"/>
  <c r="BB53" i="30" a="1"/>
  <c r="BC53" i="30" a="1"/>
  <c r="BD53" i="30" a="1"/>
  <c r="BE53" i="30" a="1"/>
  <c r="BF53" i="30" a="1"/>
  <c r="BG53" i="30" a="1"/>
  <c r="BH53" i="30" a="1"/>
  <c r="BI53" i="30" a="1"/>
  <c r="BJ53" i="30" a="1"/>
  <c r="BK53" i="30" a="1"/>
  <c r="BL53" i="30" a="1"/>
  <c r="BM53" i="30" a="1"/>
  <c r="BN53" i="30" a="1"/>
  <c r="BO53" i="30" a="1"/>
  <c r="BP53" i="30" a="1"/>
  <c r="G53" i="30"/>
  <c r="H53" i="30"/>
  <c r="I53" i="30"/>
  <c r="J53" i="30"/>
  <c r="K53" i="30"/>
  <c r="L53" i="30"/>
  <c r="M53" i="30"/>
  <c r="N53" i="30"/>
  <c r="O53" i="30"/>
  <c r="P53" i="30"/>
  <c r="Q53" i="30"/>
  <c r="R53" i="30"/>
  <c r="S53" i="30"/>
  <c r="T53" i="30"/>
  <c r="U53" i="30"/>
  <c r="V53" i="30"/>
  <c r="W53" i="30"/>
  <c r="X53" i="30"/>
  <c r="Y53" i="30"/>
  <c r="Z53" i="30"/>
  <c r="AA53" i="30"/>
  <c r="AB53" i="30"/>
  <c r="AC53" i="30"/>
  <c r="AD53" i="30"/>
  <c r="AE53" i="30"/>
  <c r="AF53" i="30"/>
  <c r="AG53" i="30"/>
  <c r="AH53" i="30"/>
  <c r="AI53" i="30"/>
  <c r="AJ53" i="30"/>
  <c r="AK53" i="30"/>
  <c r="AL53" i="30"/>
  <c r="AM53" i="30"/>
  <c r="AN53" i="30"/>
  <c r="AO53" i="30"/>
  <c r="AP53" i="30"/>
  <c r="AQ53" i="30"/>
  <c r="AR53" i="30"/>
  <c r="AS53" i="30"/>
  <c r="AT53" i="30"/>
  <c r="AU53" i="30"/>
  <c r="AV53" i="30"/>
  <c r="AW53" i="30"/>
  <c r="AX53" i="30"/>
  <c r="AY53" i="30"/>
  <c r="AZ53" i="30"/>
  <c r="BA53" i="30"/>
  <c r="BB53" i="30"/>
  <c r="BC53" i="30"/>
  <c r="BD53" i="30"/>
  <c r="BE53" i="30"/>
  <c r="BF53" i="30"/>
  <c r="BG53" i="30"/>
  <c r="BH53" i="30"/>
  <c r="BI53" i="30"/>
  <c r="BJ53" i="30"/>
  <c r="BK53" i="30"/>
  <c r="BL53" i="30"/>
  <c r="BM53" i="30"/>
  <c r="BN53" i="30"/>
  <c r="BO53" i="30"/>
  <c r="BP53" i="30"/>
  <c r="AC18" i="30"/>
  <c r="Z18" i="30"/>
  <c r="E52" i="30" a="1"/>
  <c r="E52" i="30"/>
  <c r="F52" i="30" a="1"/>
  <c r="F52" i="30"/>
  <c r="G52" i="30" a="1"/>
  <c r="H52" i="30" a="1"/>
  <c r="I52" i="30" a="1"/>
  <c r="J52" i="30" a="1"/>
  <c r="K52" i="30" a="1"/>
  <c r="L52" i="30" a="1"/>
  <c r="M52" i="30" a="1"/>
  <c r="N52" i="30" a="1"/>
  <c r="O52" i="30" a="1"/>
  <c r="P52" i="30" a="1"/>
  <c r="Q52" i="30" a="1"/>
  <c r="R52" i="30" a="1"/>
  <c r="S52" i="30" a="1"/>
  <c r="T52" i="30" a="1"/>
  <c r="U52" i="30" a="1"/>
  <c r="V52" i="30" a="1"/>
  <c r="W52" i="30" a="1"/>
  <c r="X52" i="30" a="1"/>
  <c r="Y52" i="30" a="1"/>
  <c r="Z52" i="30" a="1"/>
  <c r="AA52" i="30" a="1"/>
  <c r="AB52" i="30" a="1"/>
  <c r="AC52" i="30" a="1"/>
  <c r="AD52" i="30" a="1"/>
  <c r="AE52" i="30" a="1"/>
  <c r="AF52" i="30" a="1"/>
  <c r="AG52" i="30" a="1"/>
  <c r="AH52" i="30" a="1"/>
  <c r="AI52" i="30" a="1"/>
  <c r="AJ52" i="30" a="1"/>
  <c r="AK52" i="30" a="1"/>
  <c r="AL52" i="30" a="1"/>
  <c r="AM52" i="30" a="1"/>
  <c r="AN52" i="30" a="1"/>
  <c r="AO52" i="30" a="1"/>
  <c r="AP52" i="30" a="1"/>
  <c r="AQ52" i="30" a="1"/>
  <c r="AR52" i="30" a="1"/>
  <c r="AS52" i="30" a="1"/>
  <c r="AT52" i="30" a="1"/>
  <c r="AU52" i="30" a="1"/>
  <c r="AV52" i="30" a="1"/>
  <c r="AW52" i="30" a="1"/>
  <c r="AX52" i="30" a="1"/>
  <c r="AY52" i="30" a="1"/>
  <c r="AZ52" i="30" a="1"/>
  <c r="BA52" i="30" a="1"/>
  <c r="BB52" i="30" a="1"/>
  <c r="BC52" i="30" a="1"/>
  <c r="BD52" i="30" a="1"/>
  <c r="BE52" i="30" a="1"/>
  <c r="BF52" i="30" a="1"/>
  <c r="BG52" i="30" a="1"/>
  <c r="BH52" i="30" a="1"/>
  <c r="BI52" i="30" a="1"/>
  <c r="BJ52" i="30" a="1"/>
  <c r="BK52" i="30" a="1"/>
  <c r="BL52" i="30" a="1"/>
  <c r="BM52" i="30" a="1"/>
  <c r="BN52" i="30" a="1"/>
  <c r="BO52" i="30" a="1"/>
  <c r="BP52" i="30" a="1"/>
  <c r="G52" i="30"/>
  <c r="H52" i="30"/>
  <c r="I52" i="30"/>
  <c r="J52" i="30"/>
  <c r="K52" i="30"/>
  <c r="L52" i="30"/>
  <c r="M52" i="30"/>
  <c r="N52" i="30"/>
  <c r="O52" i="30"/>
  <c r="P52" i="30"/>
  <c r="Q52" i="30"/>
  <c r="R52" i="30"/>
  <c r="S52" i="30"/>
  <c r="T52" i="30"/>
  <c r="U52" i="30"/>
  <c r="V52" i="30"/>
  <c r="W52" i="30"/>
  <c r="X52" i="30"/>
  <c r="Y52" i="30"/>
  <c r="Z52" i="30"/>
  <c r="AA52" i="30"/>
  <c r="AB52" i="30"/>
  <c r="AC52" i="30"/>
  <c r="AD52" i="30"/>
  <c r="AE52" i="30"/>
  <c r="AF52" i="30"/>
  <c r="AG52" i="30"/>
  <c r="AH52" i="30"/>
  <c r="AI52" i="30"/>
  <c r="AJ52" i="30"/>
  <c r="AK52" i="30"/>
  <c r="AL52" i="30"/>
  <c r="AM52" i="30"/>
  <c r="AN52" i="30"/>
  <c r="AO52" i="30"/>
  <c r="AP52" i="30"/>
  <c r="AQ52" i="30"/>
  <c r="AR52" i="30"/>
  <c r="AS52" i="30"/>
  <c r="AT52" i="30"/>
  <c r="AU52" i="30"/>
  <c r="AV52" i="30"/>
  <c r="AW52" i="30"/>
  <c r="AX52" i="30"/>
  <c r="AY52" i="30"/>
  <c r="AZ52" i="30"/>
  <c r="BA52" i="30"/>
  <c r="BB52" i="30"/>
  <c r="BC52" i="30"/>
  <c r="BD52" i="30"/>
  <c r="BE52" i="30"/>
  <c r="BF52" i="30"/>
  <c r="BG52" i="30"/>
  <c r="BH52" i="30"/>
  <c r="BI52" i="30"/>
  <c r="BJ52" i="30"/>
  <c r="BK52" i="30"/>
  <c r="BL52" i="30"/>
  <c r="BM52" i="30"/>
  <c r="BN52" i="30"/>
  <c r="BO52" i="30"/>
  <c r="BP52" i="30"/>
  <c r="AC17" i="30"/>
  <c r="Z17" i="30"/>
  <c r="E60" i="29" a="1"/>
  <c r="E60" i="29"/>
  <c r="F60" i="29" a="1"/>
  <c r="F60" i="29"/>
  <c r="G60" i="29" a="1"/>
  <c r="H60" i="29" a="1"/>
  <c r="I60" i="29" a="1"/>
  <c r="J60" i="29" a="1"/>
  <c r="K60" i="29" a="1"/>
  <c r="L60" i="29" a="1"/>
  <c r="M60" i="29" a="1"/>
  <c r="N60" i="29" a="1"/>
  <c r="O60" i="29" a="1"/>
  <c r="P60" i="29" a="1"/>
  <c r="Q60" i="29" a="1"/>
  <c r="R60" i="29" a="1"/>
  <c r="S60" i="29" a="1"/>
  <c r="T60" i="29" a="1"/>
  <c r="U60" i="29" a="1"/>
  <c r="V60" i="29" a="1"/>
  <c r="W60" i="29" a="1"/>
  <c r="X60" i="29" a="1"/>
  <c r="Y60" i="29" a="1"/>
  <c r="Z60" i="29" a="1"/>
  <c r="AA60" i="29" a="1"/>
  <c r="AB60" i="29" a="1"/>
  <c r="AC60" i="29" a="1"/>
  <c r="AD60" i="29" a="1"/>
  <c r="AE60" i="29" a="1"/>
  <c r="AF60" i="29" a="1"/>
  <c r="AG60" i="29" a="1"/>
  <c r="AH60" i="29" a="1"/>
  <c r="AI60" i="29" a="1"/>
  <c r="AJ60" i="29" a="1"/>
  <c r="AK60" i="29" a="1"/>
  <c r="AL60" i="29" a="1"/>
  <c r="AM60" i="29" a="1"/>
  <c r="AN60" i="29" a="1"/>
  <c r="AO60" i="29" a="1"/>
  <c r="AP60" i="29" a="1"/>
  <c r="AQ60" i="29" a="1"/>
  <c r="AR60" i="29" a="1"/>
  <c r="AS60" i="29" a="1"/>
  <c r="AT60" i="29" a="1"/>
  <c r="AU60" i="29" a="1"/>
  <c r="AV60" i="29" a="1"/>
  <c r="AW60" i="29" a="1"/>
  <c r="AX60" i="29" a="1"/>
  <c r="AY60" i="29" a="1"/>
  <c r="AZ60" i="29" a="1"/>
  <c r="BA60" i="29" a="1"/>
  <c r="BB60" i="29" a="1"/>
  <c r="BC60" i="29" a="1"/>
  <c r="BD60" i="29" a="1"/>
  <c r="BE60" i="29" a="1"/>
  <c r="BF60" i="29" a="1"/>
  <c r="BG60" i="29" a="1"/>
  <c r="BH60" i="29" a="1"/>
  <c r="BI60" i="29" a="1"/>
  <c r="BJ60" i="29" a="1"/>
  <c r="BK60" i="29" a="1"/>
  <c r="BL60" i="29" a="1"/>
  <c r="BM60" i="29" a="1"/>
  <c r="BN60" i="29" a="1"/>
  <c r="BO60" i="29" a="1"/>
  <c r="BP60" i="29" a="1"/>
  <c r="G60" i="29"/>
  <c r="H60" i="29"/>
  <c r="I60" i="29"/>
  <c r="J60" i="29"/>
  <c r="K60" i="29"/>
  <c r="L60" i="29"/>
  <c r="M60" i="29"/>
  <c r="N60" i="29"/>
  <c r="O60" i="29"/>
  <c r="P60" i="29"/>
  <c r="Q60" i="29"/>
  <c r="R60" i="29"/>
  <c r="S60" i="29"/>
  <c r="T60" i="29"/>
  <c r="U60" i="29"/>
  <c r="V60" i="29"/>
  <c r="W60" i="29"/>
  <c r="X60" i="29"/>
  <c r="Y60" i="29"/>
  <c r="Z60" i="29"/>
  <c r="AA60" i="29"/>
  <c r="AB60" i="29"/>
  <c r="AC60" i="29"/>
  <c r="AD60" i="29"/>
  <c r="AE60" i="29"/>
  <c r="AF60" i="29"/>
  <c r="AG60" i="29"/>
  <c r="AH60" i="29"/>
  <c r="AI60" i="29"/>
  <c r="AJ60" i="29"/>
  <c r="AK60" i="29"/>
  <c r="AL60" i="29"/>
  <c r="AM60" i="29"/>
  <c r="AN60" i="29"/>
  <c r="AO60" i="29"/>
  <c r="AP60" i="29"/>
  <c r="AQ60" i="29"/>
  <c r="AR60" i="29"/>
  <c r="AS60" i="29"/>
  <c r="AT60" i="29"/>
  <c r="AU60" i="29"/>
  <c r="AV60" i="29"/>
  <c r="AW60" i="29"/>
  <c r="AX60" i="29"/>
  <c r="AY60" i="29"/>
  <c r="AZ60" i="29"/>
  <c r="BA60" i="29"/>
  <c r="BB60" i="29"/>
  <c r="BC60" i="29"/>
  <c r="BD60" i="29"/>
  <c r="BE60" i="29"/>
  <c r="BF60" i="29"/>
  <c r="BG60" i="29"/>
  <c r="BH60" i="29"/>
  <c r="BI60" i="29"/>
  <c r="BJ60" i="29"/>
  <c r="BK60" i="29"/>
  <c r="BL60" i="29"/>
  <c r="BM60" i="29"/>
  <c r="BN60" i="29"/>
  <c r="BO60" i="29"/>
  <c r="BP60" i="29"/>
  <c r="AC25" i="29"/>
  <c r="Z25" i="29"/>
  <c r="E59" i="29" a="1"/>
  <c r="E59" i="29"/>
  <c r="F59" i="29" a="1"/>
  <c r="F59" i="29"/>
  <c r="G59" i="29" a="1"/>
  <c r="H59" i="29" a="1"/>
  <c r="I59" i="29" a="1"/>
  <c r="J59" i="29" a="1"/>
  <c r="K59" i="29" a="1"/>
  <c r="L59" i="29" a="1"/>
  <c r="M59" i="29" a="1"/>
  <c r="N59" i="29" a="1"/>
  <c r="O59" i="29" a="1"/>
  <c r="P59" i="29" a="1"/>
  <c r="Q59" i="29" a="1"/>
  <c r="R59" i="29" a="1"/>
  <c r="S59" i="29" a="1"/>
  <c r="T59" i="29" a="1"/>
  <c r="U59" i="29" a="1"/>
  <c r="V59" i="29" a="1"/>
  <c r="W59" i="29" a="1"/>
  <c r="X59" i="29" a="1"/>
  <c r="Y59" i="29" a="1"/>
  <c r="Z59" i="29" a="1"/>
  <c r="AA59" i="29" a="1"/>
  <c r="AB59" i="29" a="1"/>
  <c r="AC59" i="29" a="1"/>
  <c r="AD59" i="29" a="1"/>
  <c r="AE59" i="29" a="1"/>
  <c r="AF59" i="29" a="1"/>
  <c r="AG59" i="29" a="1"/>
  <c r="AH59" i="29" a="1"/>
  <c r="AI59" i="29" a="1"/>
  <c r="AJ59" i="29" a="1"/>
  <c r="AK59" i="29" a="1"/>
  <c r="AL59" i="29" a="1"/>
  <c r="AM59" i="29" a="1"/>
  <c r="AN59" i="29" a="1"/>
  <c r="AO59" i="29" a="1"/>
  <c r="AP59" i="29" a="1"/>
  <c r="AQ59" i="29" a="1"/>
  <c r="AR59" i="29" a="1"/>
  <c r="AS59" i="29" a="1"/>
  <c r="AT59" i="29" a="1"/>
  <c r="AU59" i="29" a="1"/>
  <c r="AV59" i="29" a="1"/>
  <c r="AW59" i="29" a="1"/>
  <c r="AX59" i="29" a="1"/>
  <c r="AY59" i="29" a="1"/>
  <c r="AZ59" i="29" a="1"/>
  <c r="BA59" i="29" a="1"/>
  <c r="BB59" i="29" a="1"/>
  <c r="BC59" i="29" a="1"/>
  <c r="BD59" i="29" a="1"/>
  <c r="BE59" i="29" a="1"/>
  <c r="BF59" i="29" a="1"/>
  <c r="BG59" i="29" a="1"/>
  <c r="BH59" i="29" a="1"/>
  <c r="BI59" i="29" a="1"/>
  <c r="BJ59" i="29" a="1"/>
  <c r="BK59" i="29" a="1"/>
  <c r="BL59" i="29" a="1"/>
  <c r="BM59" i="29" a="1"/>
  <c r="BN59" i="29" a="1"/>
  <c r="BO59" i="29" a="1"/>
  <c r="BP59" i="29" a="1"/>
  <c r="G59" i="29"/>
  <c r="H59" i="29"/>
  <c r="I59" i="29"/>
  <c r="J59" i="29"/>
  <c r="K59" i="29"/>
  <c r="L59" i="29"/>
  <c r="M59" i="29"/>
  <c r="N59" i="29"/>
  <c r="O59" i="29"/>
  <c r="P59" i="29"/>
  <c r="Q59" i="29"/>
  <c r="R59" i="29"/>
  <c r="S59" i="29"/>
  <c r="T59" i="29"/>
  <c r="U59" i="29"/>
  <c r="V59" i="29"/>
  <c r="W59" i="29"/>
  <c r="X59" i="29"/>
  <c r="Y59" i="29"/>
  <c r="Z59" i="29"/>
  <c r="AA59" i="29"/>
  <c r="AB59" i="29"/>
  <c r="AC59" i="29"/>
  <c r="AD59" i="29"/>
  <c r="AE59" i="29"/>
  <c r="AF59" i="29"/>
  <c r="AG59" i="29"/>
  <c r="AH59" i="29"/>
  <c r="AI59" i="29"/>
  <c r="AJ59" i="29"/>
  <c r="AK59" i="29"/>
  <c r="AL59" i="29"/>
  <c r="AM59" i="29"/>
  <c r="AN59" i="29"/>
  <c r="AO59" i="29"/>
  <c r="AP59" i="29"/>
  <c r="AQ59" i="29"/>
  <c r="AR59" i="29"/>
  <c r="AS59" i="29"/>
  <c r="AT59" i="29"/>
  <c r="AU59" i="29"/>
  <c r="AV59" i="29"/>
  <c r="AW59" i="29"/>
  <c r="AX59" i="29"/>
  <c r="AY59" i="29"/>
  <c r="AZ59" i="29"/>
  <c r="BA59" i="29"/>
  <c r="BB59" i="29"/>
  <c r="BC59" i="29"/>
  <c r="BD59" i="29"/>
  <c r="BE59" i="29"/>
  <c r="BF59" i="29"/>
  <c r="BG59" i="29"/>
  <c r="BH59" i="29"/>
  <c r="BI59" i="29"/>
  <c r="BJ59" i="29"/>
  <c r="BK59" i="29"/>
  <c r="BL59" i="29"/>
  <c r="BM59" i="29"/>
  <c r="BN59" i="29"/>
  <c r="BO59" i="29"/>
  <c r="BP59" i="29"/>
  <c r="AC24" i="29"/>
  <c r="Z24" i="29"/>
  <c r="E58" i="29" a="1"/>
  <c r="E58" i="29"/>
  <c r="F58" i="29" a="1"/>
  <c r="F58" i="29"/>
  <c r="G58" i="29" a="1"/>
  <c r="H58" i="29" a="1"/>
  <c r="I58" i="29" a="1"/>
  <c r="J58" i="29" a="1"/>
  <c r="K58" i="29" a="1"/>
  <c r="L58" i="29" a="1"/>
  <c r="M58" i="29" a="1"/>
  <c r="N58" i="29" a="1"/>
  <c r="O58" i="29" a="1"/>
  <c r="P58" i="29" a="1"/>
  <c r="Q58" i="29" a="1"/>
  <c r="R58" i="29" a="1"/>
  <c r="S58" i="29" a="1"/>
  <c r="T58" i="29" a="1"/>
  <c r="U58" i="29" a="1"/>
  <c r="V58" i="29" a="1"/>
  <c r="W58" i="29" a="1"/>
  <c r="X58" i="29" a="1"/>
  <c r="Y58" i="29" a="1"/>
  <c r="Z58" i="29" a="1"/>
  <c r="AA58" i="29" a="1"/>
  <c r="AB58" i="29" a="1"/>
  <c r="AC58" i="29" a="1"/>
  <c r="AD58" i="29" a="1"/>
  <c r="AE58" i="29" a="1"/>
  <c r="AF58" i="29" a="1"/>
  <c r="AG58" i="29" a="1"/>
  <c r="AH58" i="29" a="1"/>
  <c r="AI58" i="29" a="1"/>
  <c r="AJ58" i="29" a="1"/>
  <c r="AK58" i="29" a="1"/>
  <c r="AL58" i="29" a="1"/>
  <c r="AM58" i="29" a="1"/>
  <c r="AN58" i="29" a="1"/>
  <c r="AO58" i="29" a="1"/>
  <c r="AP58" i="29" a="1"/>
  <c r="AQ58" i="29" a="1"/>
  <c r="AR58" i="29" a="1"/>
  <c r="AS58" i="29" a="1"/>
  <c r="AT58" i="29" a="1"/>
  <c r="AU58" i="29" a="1"/>
  <c r="AV58" i="29" a="1"/>
  <c r="AW58" i="29" a="1"/>
  <c r="AX58" i="29" a="1"/>
  <c r="AY58" i="29" a="1"/>
  <c r="AZ58" i="29" a="1"/>
  <c r="BA58" i="29" a="1"/>
  <c r="BB58" i="29" a="1"/>
  <c r="BC58" i="29" a="1"/>
  <c r="BD58" i="29" a="1"/>
  <c r="BE58" i="29" a="1"/>
  <c r="BF58" i="29" a="1"/>
  <c r="BG58" i="29" a="1"/>
  <c r="BH58" i="29" a="1"/>
  <c r="BI58" i="29" a="1"/>
  <c r="BJ58" i="29" a="1"/>
  <c r="BK58" i="29" a="1"/>
  <c r="BL58" i="29" a="1"/>
  <c r="BM58" i="29" a="1"/>
  <c r="BN58" i="29" a="1"/>
  <c r="BO58" i="29" a="1"/>
  <c r="BP58" i="29" a="1"/>
  <c r="G58" i="29"/>
  <c r="H58" i="29"/>
  <c r="I58" i="29"/>
  <c r="J58" i="29"/>
  <c r="K58" i="29"/>
  <c r="L58" i="29"/>
  <c r="M58" i="29"/>
  <c r="N58" i="29"/>
  <c r="O58" i="29"/>
  <c r="P58" i="29"/>
  <c r="Q58" i="29"/>
  <c r="R58" i="29"/>
  <c r="S58" i="29"/>
  <c r="T58" i="29"/>
  <c r="U58" i="29"/>
  <c r="V58" i="29"/>
  <c r="W58" i="29"/>
  <c r="X58" i="29"/>
  <c r="Y58" i="29"/>
  <c r="Z58" i="29"/>
  <c r="AA58" i="29"/>
  <c r="AB58" i="29"/>
  <c r="AC58" i="29"/>
  <c r="AD58" i="29"/>
  <c r="AE58" i="29"/>
  <c r="AF58" i="29"/>
  <c r="AG58" i="29"/>
  <c r="AH58" i="29"/>
  <c r="AI58" i="29"/>
  <c r="AJ58" i="29"/>
  <c r="AK58" i="29"/>
  <c r="AL58" i="29"/>
  <c r="AM58" i="29"/>
  <c r="AN58" i="29"/>
  <c r="AO58" i="29"/>
  <c r="AP58" i="29"/>
  <c r="AQ58" i="29"/>
  <c r="AR58" i="29"/>
  <c r="AS58" i="29"/>
  <c r="AT58" i="29"/>
  <c r="AU58" i="29"/>
  <c r="AV58" i="29"/>
  <c r="AW58" i="29"/>
  <c r="AX58" i="29"/>
  <c r="AY58" i="29"/>
  <c r="AZ58" i="29"/>
  <c r="BA58" i="29"/>
  <c r="BB58" i="29"/>
  <c r="BC58" i="29"/>
  <c r="BD58" i="29"/>
  <c r="BE58" i="29"/>
  <c r="BF58" i="29"/>
  <c r="BG58" i="29"/>
  <c r="BH58" i="29"/>
  <c r="BI58" i="29"/>
  <c r="BJ58" i="29"/>
  <c r="BK58" i="29"/>
  <c r="BL58" i="29"/>
  <c r="BM58" i="29"/>
  <c r="BN58" i="29"/>
  <c r="BO58" i="29"/>
  <c r="BP58" i="29"/>
  <c r="AC23" i="29"/>
  <c r="Z23" i="29"/>
  <c r="E57" i="29" a="1"/>
  <c r="E57" i="29"/>
  <c r="F57" i="29" a="1"/>
  <c r="F57" i="29"/>
  <c r="G57" i="29" a="1"/>
  <c r="H57" i="29" a="1"/>
  <c r="I57" i="29" a="1"/>
  <c r="J57" i="29" a="1"/>
  <c r="K57" i="29" a="1"/>
  <c r="L57" i="29" a="1"/>
  <c r="M57" i="29" a="1"/>
  <c r="N57" i="29" a="1"/>
  <c r="O57" i="29" a="1"/>
  <c r="P57" i="29" a="1"/>
  <c r="Q57" i="29" a="1"/>
  <c r="R57" i="29" a="1"/>
  <c r="S57" i="29" a="1"/>
  <c r="T57" i="29" a="1"/>
  <c r="U57" i="29" a="1"/>
  <c r="V57" i="29" a="1"/>
  <c r="W57" i="29" a="1"/>
  <c r="X57" i="29" a="1"/>
  <c r="Y57" i="29" a="1"/>
  <c r="Z57" i="29" a="1"/>
  <c r="AA57" i="29" a="1"/>
  <c r="AB57" i="29" a="1"/>
  <c r="AC57" i="29" a="1"/>
  <c r="AD57" i="29" a="1"/>
  <c r="AE57" i="29" a="1"/>
  <c r="AF57" i="29" a="1"/>
  <c r="AG57" i="29" a="1"/>
  <c r="AH57" i="29" a="1"/>
  <c r="AI57" i="29" a="1"/>
  <c r="AJ57" i="29" a="1"/>
  <c r="AK57" i="29" a="1"/>
  <c r="AL57" i="29" a="1"/>
  <c r="AM57" i="29" a="1"/>
  <c r="AN57" i="29" a="1"/>
  <c r="AO57" i="29" a="1"/>
  <c r="AP57" i="29" a="1"/>
  <c r="AQ57" i="29" a="1"/>
  <c r="AR57" i="29" a="1"/>
  <c r="AS57" i="29" a="1"/>
  <c r="AT57" i="29" a="1"/>
  <c r="AU57" i="29" a="1"/>
  <c r="AV57" i="29" a="1"/>
  <c r="AW57" i="29" a="1"/>
  <c r="AX57" i="29" a="1"/>
  <c r="AY57" i="29" a="1"/>
  <c r="AZ57" i="29" a="1"/>
  <c r="BA57" i="29" a="1"/>
  <c r="BB57" i="29" a="1"/>
  <c r="BC57" i="29" a="1"/>
  <c r="BD57" i="29" a="1"/>
  <c r="BE57" i="29" a="1"/>
  <c r="BF57" i="29" a="1"/>
  <c r="BG57" i="29" a="1"/>
  <c r="BH57" i="29" a="1"/>
  <c r="BI57" i="29" a="1"/>
  <c r="BJ57" i="29" a="1"/>
  <c r="BK57" i="29" a="1"/>
  <c r="BL57" i="29" a="1"/>
  <c r="BM57" i="29" a="1"/>
  <c r="BN57" i="29" a="1"/>
  <c r="BO57" i="29" a="1"/>
  <c r="BP57" i="29" a="1"/>
  <c r="G57" i="29"/>
  <c r="H57" i="29"/>
  <c r="I57" i="29"/>
  <c r="J57" i="29"/>
  <c r="K57" i="29"/>
  <c r="L57" i="29"/>
  <c r="M57" i="29"/>
  <c r="N57" i="29"/>
  <c r="O57" i="29"/>
  <c r="P57" i="29"/>
  <c r="Q57" i="29"/>
  <c r="R57" i="29"/>
  <c r="S57" i="29"/>
  <c r="T57" i="29"/>
  <c r="U57" i="29"/>
  <c r="V57" i="29"/>
  <c r="W57" i="29"/>
  <c r="X57" i="29"/>
  <c r="Y57" i="29"/>
  <c r="Z57" i="29"/>
  <c r="AA57" i="29"/>
  <c r="AB57" i="29"/>
  <c r="AC57" i="29"/>
  <c r="AD57" i="29"/>
  <c r="AE57" i="29"/>
  <c r="AF57" i="29"/>
  <c r="AG57" i="29"/>
  <c r="AH57" i="29"/>
  <c r="AI57" i="29"/>
  <c r="AJ57" i="29"/>
  <c r="AK57" i="29"/>
  <c r="AL57" i="29"/>
  <c r="AM57" i="29"/>
  <c r="AN57" i="29"/>
  <c r="AO57" i="29"/>
  <c r="AP57" i="29"/>
  <c r="AQ57" i="29"/>
  <c r="AR57" i="29"/>
  <c r="AS57" i="29"/>
  <c r="AT57" i="29"/>
  <c r="AU57" i="29"/>
  <c r="AV57" i="29"/>
  <c r="AW57" i="29"/>
  <c r="AX57" i="29"/>
  <c r="AY57" i="29"/>
  <c r="AZ57" i="29"/>
  <c r="BA57" i="29"/>
  <c r="BB57" i="29"/>
  <c r="BC57" i="29"/>
  <c r="BD57" i="29"/>
  <c r="BE57" i="29"/>
  <c r="BF57" i="29"/>
  <c r="BG57" i="29"/>
  <c r="BH57" i="29"/>
  <c r="BI57" i="29"/>
  <c r="BJ57" i="29"/>
  <c r="BK57" i="29"/>
  <c r="BL57" i="29"/>
  <c r="BM57" i="29"/>
  <c r="BN57" i="29"/>
  <c r="BO57" i="29"/>
  <c r="BP57" i="29"/>
  <c r="AC22" i="29"/>
  <c r="Z22" i="29"/>
  <c r="E56" i="29" a="1"/>
  <c r="E56" i="29"/>
  <c r="F56" i="29" a="1"/>
  <c r="F56" i="29"/>
  <c r="G56" i="29" a="1"/>
  <c r="H56" i="29" a="1"/>
  <c r="I56" i="29" a="1"/>
  <c r="J56" i="29" a="1"/>
  <c r="K56" i="29" a="1"/>
  <c r="L56" i="29" a="1"/>
  <c r="M56" i="29" a="1"/>
  <c r="N56" i="29" a="1"/>
  <c r="O56" i="29" a="1"/>
  <c r="P56" i="29" a="1"/>
  <c r="Q56" i="29" a="1"/>
  <c r="R56" i="29" a="1"/>
  <c r="S56" i="29" a="1"/>
  <c r="T56" i="29" a="1"/>
  <c r="U56" i="29" a="1"/>
  <c r="V56" i="29" a="1"/>
  <c r="W56" i="29" a="1"/>
  <c r="X56" i="29" a="1"/>
  <c r="Y56" i="29" a="1"/>
  <c r="Z56" i="29" a="1"/>
  <c r="AA56" i="29" a="1"/>
  <c r="AB56" i="29" a="1"/>
  <c r="AC56" i="29" a="1"/>
  <c r="AD56" i="29" a="1"/>
  <c r="AE56" i="29" a="1"/>
  <c r="AF56" i="29" a="1"/>
  <c r="AG56" i="29" a="1"/>
  <c r="AH56" i="29" a="1"/>
  <c r="AI56" i="29" a="1"/>
  <c r="AJ56" i="29" a="1"/>
  <c r="AK56" i="29" a="1"/>
  <c r="AL56" i="29" a="1"/>
  <c r="AM56" i="29" a="1"/>
  <c r="AN56" i="29" a="1"/>
  <c r="AO56" i="29" a="1"/>
  <c r="AP56" i="29" a="1"/>
  <c r="AQ56" i="29" a="1"/>
  <c r="AR56" i="29" a="1"/>
  <c r="AS56" i="29" a="1"/>
  <c r="AT56" i="29" a="1"/>
  <c r="AU56" i="29" a="1"/>
  <c r="AV56" i="29" a="1"/>
  <c r="AW56" i="29" a="1"/>
  <c r="AX56" i="29" a="1"/>
  <c r="AY56" i="29" a="1"/>
  <c r="AZ56" i="29" a="1"/>
  <c r="BA56" i="29" a="1"/>
  <c r="BB56" i="29" a="1"/>
  <c r="BC56" i="29" a="1"/>
  <c r="BD56" i="29" a="1"/>
  <c r="BE56" i="29" a="1"/>
  <c r="BF56" i="29" a="1"/>
  <c r="BG56" i="29" a="1"/>
  <c r="BH56" i="29" a="1"/>
  <c r="BI56" i="29" a="1"/>
  <c r="BJ56" i="29" a="1"/>
  <c r="BK56" i="29" a="1"/>
  <c r="BL56" i="29" a="1"/>
  <c r="BM56" i="29" a="1"/>
  <c r="BN56" i="29" a="1"/>
  <c r="BO56" i="29" a="1"/>
  <c r="BP56" i="29" a="1"/>
  <c r="G56" i="29"/>
  <c r="H56" i="29"/>
  <c r="I56" i="29"/>
  <c r="J56" i="29"/>
  <c r="K56" i="29"/>
  <c r="L56" i="29"/>
  <c r="M56" i="29"/>
  <c r="N56" i="29"/>
  <c r="O56" i="29"/>
  <c r="P56" i="29"/>
  <c r="Q56" i="29"/>
  <c r="R56" i="29"/>
  <c r="S56" i="29"/>
  <c r="T56" i="29"/>
  <c r="U56" i="29"/>
  <c r="V56" i="29"/>
  <c r="W56" i="29"/>
  <c r="X56" i="29"/>
  <c r="Y56" i="29"/>
  <c r="Z56" i="29"/>
  <c r="AA56" i="29"/>
  <c r="AB56" i="29"/>
  <c r="AC56" i="29"/>
  <c r="AD56" i="29"/>
  <c r="AE56" i="29"/>
  <c r="AF56" i="29"/>
  <c r="AG56" i="29"/>
  <c r="AH56" i="29"/>
  <c r="AI56" i="29"/>
  <c r="AJ56" i="29"/>
  <c r="AK56" i="29"/>
  <c r="AL56" i="29"/>
  <c r="AM56" i="29"/>
  <c r="AN56" i="29"/>
  <c r="AO56" i="29"/>
  <c r="AP56" i="29"/>
  <c r="AQ56" i="29"/>
  <c r="AR56" i="29"/>
  <c r="AS56" i="29"/>
  <c r="AT56" i="29"/>
  <c r="AU56" i="29"/>
  <c r="AV56" i="29"/>
  <c r="AW56" i="29"/>
  <c r="AX56" i="29"/>
  <c r="AY56" i="29"/>
  <c r="AZ56" i="29"/>
  <c r="BA56" i="29"/>
  <c r="BB56" i="29"/>
  <c r="BC56" i="29"/>
  <c r="BD56" i="29"/>
  <c r="BE56" i="29"/>
  <c r="BF56" i="29"/>
  <c r="BG56" i="29"/>
  <c r="BH56" i="29"/>
  <c r="BI56" i="29"/>
  <c r="BJ56" i="29"/>
  <c r="BK56" i="29"/>
  <c r="BL56" i="29"/>
  <c r="BM56" i="29"/>
  <c r="BN56" i="29"/>
  <c r="BO56" i="29"/>
  <c r="BP56" i="29"/>
  <c r="AC21" i="29"/>
  <c r="Z21" i="29"/>
  <c r="E55" i="29" a="1"/>
  <c r="E55" i="29"/>
  <c r="F55" i="29" a="1"/>
  <c r="F55" i="29"/>
  <c r="G55" i="29" a="1"/>
  <c r="H55" i="29" a="1"/>
  <c r="I55" i="29" a="1"/>
  <c r="J55" i="29" a="1"/>
  <c r="K55" i="29" a="1"/>
  <c r="L55" i="29" a="1"/>
  <c r="M55" i="29" a="1"/>
  <c r="N55" i="29" a="1"/>
  <c r="O55" i="29" a="1"/>
  <c r="P55" i="29" a="1"/>
  <c r="Q55" i="29" a="1"/>
  <c r="R55" i="29" a="1"/>
  <c r="S55" i="29" a="1"/>
  <c r="T55" i="29" a="1"/>
  <c r="U55" i="29" a="1"/>
  <c r="V55" i="29" a="1"/>
  <c r="W55" i="29" a="1"/>
  <c r="X55" i="29" a="1"/>
  <c r="Y55" i="29" a="1"/>
  <c r="Z55" i="29" a="1"/>
  <c r="AA55" i="29" a="1"/>
  <c r="AB55" i="29" a="1"/>
  <c r="AC55" i="29" a="1"/>
  <c r="AD55" i="29" a="1"/>
  <c r="AE55" i="29" a="1"/>
  <c r="AF55" i="29" a="1"/>
  <c r="AG55" i="29" a="1"/>
  <c r="AH55" i="29" a="1"/>
  <c r="AI55" i="29" a="1"/>
  <c r="AJ55" i="29" a="1"/>
  <c r="AK55" i="29" a="1"/>
  <c r="AL55" i="29" a="1"/>
  <c r="AM55" i="29" a="1"/>
  <c r="AN55" i="29" a="1"/>
  <c r="AO55" i="29" a="1"/>
  <c r="AP55" i="29" a="1"/>
  <c r="AQ55" i="29" a="1"/>
  <c r="AR55" i="29" a="1"/>
  <c r="AS55" i="29" a="1"/>
  <c r="AT55" i="29" a="1"/>
  <c r="AU55" i="29" a="1"/>
  <c r="AV55" i="29" a="1"/>
  <c r="AW55" i="29" a="1"/>
  <c r="AX55" i="29" a="1"/>
  <c r="AY55" i="29" a="1"/>
  <c r="AZ55" i="29" a="1"/>
  <c r="BA55" i="29" a="1"/>
  <c r="BB55" i="29" a="1"/>
  <c r="BC55" i="29" a="1"/>
  <c r="BD55" i="29" a="1"/>
  <c r="BE55" i="29" a="1"/>
  <c r="BF55" i="29" a="1"/>
  <c r="BG55" i="29" a="1"/>
  <c r="BH55" i="29" a="1"/>
  <c r="BI55" i="29" a="1"/>
  <c r="BJ55" i="29" a="1"/>
  <c r="BK55" i="29" a="1"/>
  <c r="BL55" i="29" a="1"/>
  <c r="BM55" i="29" a="1"/>
  <c r="BN55" i="29" a="1"/>
  <c r="BO55" i="29" a="1"/>
  <c r="BP55" i="29" a="1"/>
  <c r="G55" i="29"/>
  <c r="H55" i="29"/>
  <c r="I55" i="29"/>
  <c r="J55" i="29"/>
  <c r="K55" i="29"/>
  <c r="L55" i="29"/>
  <c r="M55" i="29"/>
  <c r="N55" i="29"/>
  <c r="O55" i="29"/>
  <c r="P55" i="29"/>
  <c r="Q55" i="29"/>
  <c r="R55" i="29"/>
  <c r="S55" i="29"/>
  <c r="T55" i="29"/>
  <c r="U55" i="29"/>
  <c r="V55" i="29"/>
  <c r="W55" i="29"/>
  <c r="X55" i="29"/>
  <c r="Y55" i="29"/>
  <c r="Z55" i="29"/>
  <c r="AA55" i="29"/>
  <c r="AB55" i="29"/>
  <c r="AC55" i="29"/>
  <c r="AD55" i="29"/>
  <c r="AE55" i="29"/>
  <c r="AF55" i="29"/>
  <c r="AG55" i="29"/>
  <c r="AH55" i="29"/>
  <c r="AI55" i="29"/>
  <c r="AJ55" i="29"/>
  <c r="AK55" i="29"/>
  <c r="AL55" i="29"/>
  <c r="AM55" i="29"/>
  <c r="AN55" i="29"/>
  <c r="AO55" i="29"/>
  <c r="AP55" i="29"/>
  <c r="AQ55" i="29"/>
  <c r="AR55" i="29"/>
  <c r="AS55" i="29"/>
  <c r="AT55" i="29"/>
  <c r="AU55" i="29"/>
  <c r="AV55" i="29"/>
  <c r="AW55" i="29"/>
  <c r="AX55" i="29"/>
  <c r="AY55" i="29"/>
  <c r="AZ55" i="29"/>
  <c r="BA55" i="29"/>
  <c r="BB55" i="29"/>
  <c r="BC55" i="29"/>
  <c r="BD55" i="29"/>
  <c r="BE55" i="29"/>
  <c r="BF55" i="29"/>
  <c r="BG55" i="29"/>
  <c r="BH55" i="29"/>
  <c r="BI55" i="29"/>
  <c r="BJ55" i="29"/>
  <c r="BK55" i="29"/>
  <c r="BL55" i="29"/>
  <c r="BM55" i="29"/>
  <c r="BN55" i="29"/>
  <c r="BO55" i="29"/>
  <c r="BP55" i="29"/>
  <c r="AC20" i="29"/>
  <c r="Z20" i="29"/>
  <c r="E54" i="29" a="1"/>
  <c r="E54" i="29"/>
  <c r="F54" i="29" a="1"/>
  <c r="F54" i="29"/>
  <c r="G54" i="29" a="1"/>
  <c r="H54" i="29" a="1"/>
  <c r="I54" i="29" a="1"/>
  <c r="J54" i="29" a="1"/>
  <c r="K54" i="29" a="1"/>
  <c r="L54" i="29" a="1"/>
  <c r="M54" i="29" a="1"/>
  <c r="N54" i="29" a="1"/>
  <c r="O54" i="29" a="1"/>
  <c r="P54" i="29" a="1"/>
  <c r="Q54" i="29" a="1"/>
  <c r="R54" i="29" a="1"/>
  <c r="S54" i="29" a="1"/>
  <c r="T54" i="29" a="1"/>
  <c r="U54" i="29" a="1"/>
  <c r="V54" i="29" a="1"/>
  <c r="W54" i="29" a="1"/>
  <c r="X54" i="29" a="1"/>
  <c r="Y54" i="29" a="1"/>
  <c r="Z54" i="29" a="1"/>
  <c r="AA54" i="29" a="1"/>
  <c r="AB54" i="29" a="1"/>
  <c r="AC54" i="29" a="1"/>
  <c r="AD54" i="29" a="1"/>
  <c r="AE54" i="29" a="1"/>
  <c r="AF54" i="29" a="1"/>
  <c r="AG54" i="29" a="1"/>
  <c r="AH54" i="29" a="1"/>
  <c r="AI54" i="29" a="1"/>
  <c r="AJ54" i="29" a="1"/>
  <c r="AK54" i="29" a="1"/>
  <c r="AL54" i="29" a="1"/>
  <c r="AM54" i="29" a="1"/>
  <c r="AN54" i="29" a="1"/>
  <c r="AO54" i="29" a="1"/>
  <c r="AP54" i="29" a="1"/>
  <c r="AQ54" i="29" a="1"/>
  <c r="AR54" i="29" a="1"/>
  <c r="AS54" i="29" a="1"/>
  <c r="AT54" i="29" a="1"/>
  <c r="AU54" i="29" a="1"/>
  <c r="AV54" i="29" a="1"/>
  <c r="AW54" i="29" a="1"/>
  <c r="AX54" i="29" a="1"/>
  <c r="AY54" i="29" a="1"/>
  <c r="AZ54" i="29" a="1"/>
  <c r="BA54" i="29" a="1"/>
  <c r="BB54" i="29" a="1"/>
  <c r="BC54" i="29" a="1"/>
  <c r="BD54" i="29" a="1"/>
  <c r="BE54" i="29" a="1"/>
  <c r="BF54" i="29" a="1"/>
  <c r="BG54" i="29" a="1"/>
  <c r="BH54" i="29" a="1"/>
  <c r="BI54" i="29" a="1"/>
  <c r="BJ54" i="29" a="1"/>
  <c r="BK54" i="29" a="1"/>
  <c r="BL54" i="29" a="1"/>
  <c r="BM54" i="29" a="1"/>
  <c r="BN54" i="29" a="1"/>
  <c r="BO54" i="29" a="1"/>
  <c r="BP54" i="29" a="1"/>
  <c r="G54" i="29"/>
  <c r="H54" i="29"/>
  <c r="I54" i="29"/>
  <c r="J54" i="29"/>
  <c r="K54" i="29"/>
  <c r="L54" i="29"/>
  <c r="M54" i="29"/>
  <c r="N54" i="29"/>
  <c r="O54" i="29"/>
  <c r="P54" i="29"/>
  <c r="Q54" i="29"/>
  <c r="R54" i="29"/>
  <c r="S54" i="29"/>
  <c r="T54" i="29"/>
  <c r="U54" i="29"/>
  <c r="V54" i="29"/>
  <c r="W54" i="29"/>
  <c r="X54" i="29"/>
  <c r="Y54" i="29"/>
  <c r="Z54" i="29"/>
  <c r="AA54" i="29"/>
  <c r="AB54" i="29"/>
  <c r="AC54" i="29"/>
  <c r="AD54" i="29"/>
  <c r="AE54" i="29"/>
  <c r="AF54" i="29"/>
  <c r="AG54" i="29"/>
  <c r="AH54" i="29"/>
  <c r="AI54" i="29"/>
  <c r="AJ54" i="29"/>
  <c r="AK54" i="29"/>
  <c r="AL54" i="29"/>
  <c r="AM54" i="29"/>
  <c r="AN54" i="29"/>
  <c r="AO54" i="29"/>
  <c r="AP54" i="29"/>
  <c r="AQ54" i="29"/>
  <c r="AR54" i="29"/>
  <c r="AS54" i="29"/>
  <c r="AT54" i="29"/>
  <c r="AU54" i="29"/>
  <c r="AV54" i="29"/>
  <c r="AW54" i="29"/>
  <c r="AX54" i="29"/>
  <c r="AY54" i="29"/>
  <c r="AZ54" i="29"/>
  <c r="BA54" i="29"/>
  <c r="BB54" i="29"/>
  <c r="BC54" i="29"/>
  <c r="BD54" i="29"/>
  <c r="BE54" i="29"/>
  <c r="BF54" i="29"/>
  <c r="BG54" i="29"/>
  <c r="BH54" i="29"/>
  <c r="BI54" i="29"/>
  <c r="BJ54" i="29"/>
  <c r="BK54" i="29"/>
  <c r="BL54" i="29"/>
  <c r="BM54" i="29"/>
  <c r="BN54" i="29"/>
  <c r="BO54" i="29"/>
  <c r="BP54" i="29"/>
  <c r="AC19" i="29"/>
  <c r="Z19" i="29"/>
  <c r="E53" i="29" a="1"/>
  <c r="E53" i="29"/>
  <c r="F53" i="29" a="1"/>
  <c r="F53" i="29"/>
  <c r="G53" i="29" a="1"/>
  <c r="H53" i="29" a="1"/>
  <c r="I53" i="29" a="1"/>
  <c r="J53" i="29" a="1"/>
  <c r="K53" i="29" a="1"/>
  <c r="L53" i="29" a="1"/>
  <c r="M53" i="29" a="1"/>
  <c r="N53" i="29" a="1"/>
  <c r="O53" i="29" a="1"/>
  <c r="P53" i="29" a="1"/>
  <c r="Q53" i="29" a="1"/>
  <c r="R53" i="29" a="1"/>
  <c r="S53" i="29" a="1"/>
  <c r="T53" i="29" a="1"/>
  <c r="U53" i="29" a="1"/>
  <c r="V53" i="29" a="1"/>
  <c r="W53" i="29" a="1"/>
  <c r="X53" i="29" a="1"/>
  <c r="Y53" i="29" a="1"/>
  <c r="Z53" i="29" a="1"/>
  <c r="AA53" i="29" a="1"/>
  <c r="AB53" i="29" a="1"/>
  <c r="AC53" i="29" a="1"/>
  <c r="AD53" i="29" a="1"/>
  <c r="AE53" i="29" a="1"/>
  <c r="AF53" i="29" a="1"/>
  <c r="AG53" i="29" a="1"/>
  <c r="AH53" i="29" a="1"/>
  <c r="AI53" i="29" a="1"/>
  <c r="AJ53" i="29" a="1"/>
  <c r="AK53" i="29" a="1"/>
  <c r="AL53" i="29" a="1"/>
  <c r="AM53" i="29" a="1"/>
  <c r="AN53" i="29" a="1"/>
  <c r="AO53" i="29" a="1"/>
  <c r="AP53" i="29" a="1"/>
  <c r="AQ53" i="29" a="1"/>
  <c r="AR53" i="29" a="1"/>
  <c r="AS53" i="29" a="1"/>
  <c r="AT53" i="29" a="1"/>
  <c r="AU53" i="29" a="1"/>
  <c r="AV53" i="29" a="1"/>
  <c r="AW53" i="29" a="1"/>
  <c r="AX53" i="29" a="1"/>
  <c r="AY53" i="29" a="1"/>
  <c r="AZ53" i="29" a="1"/>
  <c r="BA53" i="29" a="1"/>
  <c r="BB53" i="29" a="1"/>
  <c r="BC53" i="29" a="1"/>
  <c r="BD53" i="29" a="1"/>
  <c r="BE53" i="29" a="1"/>
  <c r="BF53" i="29" a="1"/>
  <c r="BG53" i="29" a="1"/>
  <c r="BH53" i="29" a="1"/>
  <c r="BI53" i="29" a="1"/>
  <c r="BJ53" i="29" a="1"/>
  <c r="BK53" i="29" a="1"/>
  <c r="BL53" i="29" a="1"/>
  <c r="BM53" i="29" a="1"/>
  <c r="BN53" i="29" a="1"/>
  <c r="BO53" i="29" a="1"/>
  <c r="BP53" i="29" a="1"/>
  <c r="G53" i="29"/>
  <c r="H53" i="29"/>
  <c r="I53" i="29"/>
  <c r="J53" i="29"/>
  <c r="K53" i="29"/>
  <c r="L53" i="29"/>
  <c r="M53" i="29"/>
  <c r="N53" i="29"/>
  <c r="O53" i="29"/>
  <c r="P53" i="29"/>
  <c r="Q53" i="29"/>
  <c r="R53" i="29"/>
  <c r="S53" i="29"/>
  <c r="T53" i="29"/>
  <c r="U53" i="29"/>
  <c r="V53" i="29"/>
  <c r="W53" i="29"/>
  <c r="X53" i="29"/>
  <c r="Y53" i="29"/>
  <c r="Z53" i="29"/>
  <c r="AA53" i="29"/>
  <c r="AB53" i="29"/>
  <c r="AC53" i="29"/>
  <c r="AD53" i="29"/>
  <c r="AE53" i="29"/>
  <c r="AF53" i="29"/>
  <c r="AG53" i="29"/>
  <c r="AH53" i="29"/>
  <c r="AI53" i="29"/>
  <c r="AJ53" i="29"/>
  <c r="AK53" i="29"/>
  <c r="AL53" i="29"/>
  <c r="AM53" i="29"/>
  <c r="AN53" i="29"/>
  <c r="AO53" i="29"/>
  <c r="AP53" i="29"/>
  <c r="AQ53" i="29"/>
  <c r="AR53" i="29"/>
  <c r="AS53" i="29"/>
  <c r="AT53" i="29"/>
  <c r="AU53" i="29"/>
  <c r="AV53" i="29"/>
  <c r="AW53" i="29"/>
  <c r="AX53" i="29"/>
  <c r="AY53" i="29"/>
  <c r="AZ53" i="29"/>
  <c r="BA53" i="29"/>
  <c r="BB53" i="29"/>
  <c r="BC53" i="29"/>
  <c r="BD53" i="29"/>
  <c r="BE53" i="29"/>
  <c r="BF53" i="29"/>
  <c r="BG53" i="29"/>
  <c r="BH53" i="29"/>
  <c r="BI53" i="29"/>
  <c r="BJ53" i="29"/>
  <c r="BK53" i="29"/>
  <c r="BL53" i="29"/>
  <c r="BM53" i="29"/>
  <c r="BN53" i="29"/>
  <c r="BO53" i="29"/>
  <c r="BP53" i="29"/>
  <c r="AC18" i="29"/>
  <c r="Z18" i="29"/>
  <c r="E52" i="29" a="1"/>
  <c r="E52" i="29"/>
  <c r="F52" i="29" a="1"/>
  <c r="F52" i="29"/>
  <c r="G52" i="29" a="1"/>
  <c r="H52" i="29" a="1"/>
  <c r="I52" i="29" a="1"/>
  <c r="J52" i="29" a="1"/>
  <c r="K52" i="29" a="1"/>
  <c r="L52" i="29" a="1"/>
  <c r="M52" i="29" a="1"/>
  <c r="N52" i="29" a="1"/>
  <c r="O52" i="29" a="1"/>
  <c r="P52" i="29" a="1"/>
  <c r="Q52" i="29" a="1"/>
  <c r="R52" i="29" a="1"/>
  <c r="S52" i="29" a="1"/>
  <c r="T52" i="29" a="1"/>
  <c r="U52" i="29" a="1"/>
  <c r="V52" i="29" a="1"/>
  <c r="W52" i="29" a="1"/>
  <c r="X52" i="29" a="1"/>
  <c r="Y52" i="29" a="1"/>
  <c r="Z52" i="29" a="1"/>
  <c r="AA52" i="29" a="1"/>
  <c r="AB52" i="29" a="1"/>
  <c r="AC52" i="29" a="1"/>
  <c r="AD52" i="29" a="1"/>
  <c r="AE52" i="29" a="1"/>
  <c r="AF52" i="29" a="1"/>
  <c r="AG52" i="29" a="1"/>
  <c r="AH52" i="29" a="1"/>
  <c r="AI52" i="29" a="1"/>
  <c r="AJ52" i="29" a="1"/>
  <c r="AK52" i="29" a="1"/>
  <c r="AL52" i="29" a="1"/>
  <c r="AM52" i="29" a="1"/>
  <c r="AN52" i="29" a="1"/>
  <c r="AO52" i="29" a="1"/>
  <c r="AP52" i="29" a="1"/>
  <c r="AQ52" i="29" a="1"/>
  <c r="AR52" i="29" a="1"/>
  <c r="AS52" i="29" a="1"/>
  <c r="AT52" i="29" a="1"/>
  <c r="AU52" i="29" a="1"/>
  <c r="AV52" i="29" a="1"/>
  <c r="AW52" i="29" a="1"/>
  <c r="AX52" i="29" a="1"/>
  <c r="AY52" i="29" a="1"/>
  <c r="AZ52" i="29" a="1"/>
  <c r="BA52" i="29" a="1"/>
  <c r="BB52" i="29" a="1"/>
  <c r="BC52" i="29" a="1"/>
  <c r="BD52" i="29" a="1"/>
  <c r="BE52" i="29" a="1"/>
  <c r="BF52" i="29" a="1"/>
  <c r="BG52" i="29" a="1"/>
  <c r="BH52" i="29" a="1"/>
  <c r="BI52" i="29" a="1"/>
  <c r="BJ52" i="29" a="1"/>
  <c r="BK52" i="29" a="1"/>
  <c r="BL52" i="29" a="1"/>
  <c r="BM52" i="29" a="1"/>
  <c r="BN52" i="29" a="1"/>
  <c r="BO52" i="29" a="1"/>
  <c r="BP52" i="29" a="1"/>
  <c r="G52" i="29"/>
  <c r="H52" i="29"/>
  <c r="I52" i="29"/>
  <c r="J52" i="29"/>
  <c r="K52" i="29"/>
  <c r="L52" i="29"/>
  <c r="M52" i="29"/>
  <c r="N52" i="29"/>
  <c r="O52" i="29"/>
  <c r="P52" i="29"/>
  <c r="Q52" i="29"/>
  <c r="R52" i="29"/>
  <c r="S52" i="29"/>
  <c r="T52" i="29"/>
  <c r="U52" i="29"/>
  <c r="V52" i="29"/>
  <c r="W52" i="29"/>
  <c r="X52" i="29"/>
  <c r="Y52" i="29"/>
  <c r="Z52" i="29"/>
  <c r="AA52" i="29"/>
  <c r="AB52" i="29"/>
  <c r="AC52" i="29"/>
  <c r="AD52" i="29"/>
  <c r="AE52" i="29"/>
  <c r="AF52" i="29"/>
  <c r="AG52" i="29"/>
  <c r="AH52" i="29"/>
  <c r="AI52" i="29"/>
  <c r="AJ52" i="29"/>
  <c r="AK52" i="29"/>
  <c r="AL52" i="29"/>
  <c r="AM52" i="29"/>
  <c r="AN52" i="29"/>
  <c r="AO52" i="29"/>
  <c r="AP52" i="29"/>
  <c r="AQ52" i="29"/>
  <c r="AR52" i="29"/>
  <c r="AS52" i="29"/>
  <c r="AT52" i="29"/>
  <c r="AU52" i="29"/>
  <c r="AV52" i="29"/>
  <c r="AW52" i="29"/>
  <c r="AX52" i="29"/>
  <c r="AY52" i="29"/>
  <c r="AZ52" i="29"/>
  <c r="BA52" i="29"/>
  <c r="BB52" i="29"/>
  <c r="BC52" i="29"/>
  <c r="BD52" i="29"/>
  <c r="BE52" i="29"/>
  <c r="BF52" i="29"/>
  <c r="BG52" i="29"/>
  <c r="BH52" i="29"/>
  <c r="BI52" i="29"/>
  <c r="BJ52" i="29"/>
  <c r="BK52" i="29"/>
  <c r="BL52" i="29"/>
  <c r="BM52" i="29"/>
  <c r="BN52" i="29"/>
  <c r="BO52" i="29"/>
  <c r="BP52" i="29"/>
  <c r="AC17" i="29"/>
  <c r="Z17" i="29"/>
  <c r="E71" i="9"/>
  <c r="AU10" i="27"/>
  <c r="C8" i="30"/>
  <c r="N8" i="30"/>
  <c r="C9" i="30"/>
  <c r="N9" i="30"/>
  <c r="C10" i="30"/>
  <c r="N10" i="30"/>
  <c r="C11" i="30"/>
  <c r="N11" i="30"/>
  <c r="C12" i="30"/>
  <c r="N12" i="30"/>
  <c r="H9" i="33"/>
  <c r="AO29" i="27"/>
  <c r="AN29" i="27"/>
  <c r="AO28" i="27"/>
  <c r="AN28" i="27"/>
  <c r="AO27" i="27"/>
  <c r="AN27" i="27"/>
  <c r="AO26" i="27"/>
  <c r="AN26" i="27"/>
  <c r="AI29" i="27"/>
  <c r="AG29" i="27"/>
  <c r="AI28" i="27"/>
  <c r="AG28" i="27"/>
  <c r="AI27" i="27"/>
  <c r="AG27" i="27"/>
  <c r="AI26" i="27"/>
  <c r="AG26" i="27"/>
  <c r="AJ29" i="27"/>
  <c r="AJ28" i="27"/>
  <c r="AJ27" i="27"/>
  <c r="C8" i="28"/>
  <c r="N8" i="28"/>
  <c r="C9" i="28"/>
  <c r="N9" i="28"/>
  <c r="C10" i="28"/>
  <c r="N10" i="28"/>
  <c r="C11" i="28"/>
  <c r="N11" i="28"/>
  <c r="C12" i="28"/>
  <c r="N12" i="28"/>
  <c r="AJ26" i="27"/>
  <c r="AV8" i="28"/>
  <c r="AV9" i="28"/>
  <c r="AV10" i="28"/>
  <c r="AV11" i="28"/>
  <c r="AV12" i="28"/>
  <c r="AH29" i="27"/>
  <c r="AH28" i="27"/>
  <c r="AH27" i="27"/>
  <c r="C8" i="29"/>
  <c r="N8" i="29"/>
  <c r="AV8" i="29"/>
  <c r="C9" i="29"/>
  <c r="N9" i="29"/>
  <c r="AV9" i="29"/>
  <c r="C10" i="29"/>
  <c r="N10" i="29"/>
  <c r="AV10" i="29"/>
  <c r="C11" i="29"/>
  <c r="N11" i="29"/>
  <c r="AV11" i="29"/>
  <c r="C12" i="29"/>
  <c r="N12" i="29"/>
  <c r="AV12" i="29"/>
  <c r="AN22" i="27"/>
  <c r="AN21" i="27"/>
  <c r="AN20" i="27"/>
  <c r="E27" i="9"/>
  <c r="AO25" i="27"/>
  <c r="E67" i="9"/>
  <c r="AN25" i="27"/>
  <c r="AK25" i="27"/>
  <c r="AJ25" i="27"/>
  <c r="E25" i="9"/>
  <c r="AG25" i="27"/>
  <c r="AO18" i="27"/>
  <c r="AN18" i="27"/>
  <c r="AK18" i="27"/>
  <c r="AJ18" i="27"/>
  <c r="AG18" i="27"/>
  <c r="AO22" i="27"/>
  <c r="AO21" i="27"/>
  <c r="AO20" i="27"/>
  <c r="AO19" i="27"/>
  <c r="AN19" i="27"/>
  <c r="AG22" i="27"/>
  <c r="AI22" i="27"/>
  <c r="AJ22" i="27"/>
  <c r="AG21" i="27"/>
  <c r="AI21" i="27"/>
  <c r="AJ21" i="27"/>
  <c r="AG20" i="27"/>
  <c r="AI20" i="27"/>
  <c r="AJ20" i="27"/>
  <c r="AG19" i="27"/>
  <c r="AI19" i="27"/>
  <c r="AJ19" i="27"/>
  <c r="AH22" i="27"/>
  <c r="AH21" i="27"/>
  <c r="AH20" i="27"/>
  <c r="F13" i="28"/>
  <c r="B13" i="28"/>
  <c r="B14" i="28"/>
  <c r="AH19" i="27"/>
  <c r="AO15" i="27"/>
  <c r="AN15" i="27"/>
  <c r="AO14" i="27"/>
  <c r="AN14" i="27"/>
  <c r="AO13" i="27"/>
  <c r="AN13" i="27"/>
  <c r="AO12" i="27"/>
  <c r="X10" i="34"/>
  <c r="AC10" i="34"/>
  <c r="AH10" i="34"/>
  <c r="AM10" i="34"/>
  <c r="X11" i="34"/>
  <c r="AC11" i="34"/>
  <c r="AH11" i="34"/>
  <c r="AM11" i="34"/>
  <c r="X12" i="34"/>
  <c r="AC12" i="34"/>
  <c r="AH12" i="34"/>
  <c r="AM12" i="34"/>
  <c r="AN12" i="27"/>
  <c r="AV4" i="34"/>
  <c r="AV5" i="34"/>
  <c r="AV6" i="34"/>
  <c r="AV7" i="34"/>
  <c r="AV8" i="34"/>
  <c r="AV9" i="34"/>
  <c r="AV10" i="34"/>
  <c r="AV11" i="34"/>
  <c r="AV12" i="34"/>
  <c r="AG15" i="27"/>
  <c r="AI15" i="27"/>
  <c r="AJ15" i="27"/>
  <c r="AH15" i="27"/>
  <c r="AG14" i="27"/>
  <c r="AI14" i="27"/>
  <c r="AJ14" i="27"/>
  <c r="AH14" i="27"/>
  <c r="AG13" i="27"/>
  <c r="AI13" i="27"/>
  <c r="AJ13" i="27"/>
  <c r="AH13" i="27"/>
  <c r="AI12" i="27"/>
  <c r="AG12" i="27"/>
  <c r="AJ12" i="27"/>
  <c r="AH12" i="27"/>
  <c r="AB207" i="30"/>
  <c r="Z207" i="30"/>
  <c r="AB206" i="30"/>
  <c r="Z206" i="30"/>
  <c r="AB205" i="30"/>
  <c r="Z205" i="30"/>
  <c r="AB204" i="30"/>
  <c r="Z204" i="30"/>
  <c r="AB203" i="30"/>
  <c r="Z203" i="30"/>
  <c r="AB202" i="30"/>
  <c r="Z202" i="30"/>
  <c r="AB201" i="30"/>
  <c r="Z201" i="30"/>
  <c r="AB200" i="30"/>
  <c r="Z200" i="30"/>
  <c r="AB199" i="30"/>
  <c r="Z199" i="30"/>
  <c r="AB198" i="30"/>
  <c r="Z198" i="30"/>
  <c r="AB197" i="30"/>
  <c r="Z197" i="30"/>
  <c r="AB196" i="30"/>
  <c r="Z196" i="30"/>
  <c r="AC195" i="30"/>
  <c r="AB195" i="30"/>
  <c r="Z195" i="30"/>
  <c r="AC194" i="30"/>
  <c r="AB194" i="30"/>
  <c r="Z194" i="30"/>
  <c r="AC193" i="30"/>
  <c r="AB193" i="30"/>
  <c r="Z193" i="30"/>
  <c r="AC192" i="30"/>
  <c r="AB192" i="30"/>
  <c r="Z192" i="30"/>
  <c r="AC191" i="30"/>
  <c r="AB191" i="30"/>
  <c r="Z191" i="30"/>
  <c r="AC190" i="30"/>
  <c r="AB190" i="30"/>
  <c r="Z190" i="30"/>
  <c r="AC189" i="30"/>
  <c r="AB189" i="30"/>
  <c r="Z189" i="30"/>
  <c r="AC188" i="30"/>
  <c r="AB188" i="30"/>
  <c r="Z188" i="30"/>
  <c r="AC187" i="30"/>
  <c r="AB187" i="30"/>
  <c r="Z187" i="30"/>
  <c r="AC186" i="30"/>
  <c r="AB186" i="30"/>
  <c r="Z186" i="30"/>
  <c r="AC185" i="30"/>
  <c r="AB185" i="30"/>
  <c r="Z185" i="30"/>
  <c r="AC184" i="30"/>
  <c r="AB184" i="30"/>
  <c r="Z184" i="30"/>
  <c r="AC183" i="30"/>
  <c r="AB183" i="30"/>
  <c r="Z183" i="30"/>
  <c r="AC182" i="30"/>
  <c r="AB182" i="30"/>
  <c r="Z182" i="30"/>
  <c r="AC181" i="30"/>
  <c r="AB181" i="30"/>
  <c r="Z181" i="30"/>
  <c r="AC180" i="30"/>
  <c r="AB180" i="30"/>
  <c r="Z180" i="30"/>
  <c r="AC179" i="30"/>
  <c r="AB179" i="30"/>
  <c r="Z179" i="30"/>
  <c r="AC178" i="30"/>
  <c r="AB178" i="30"/>
  <c r="Z178" i="30"/>
  <c r="AC177" i="30"/>
  <c r="AB177" i="30"/>
  <c r="Z177" i="30"/>
  <c r="AC176" i="30"/>
  <c r="AB176" i="30"/>
  <c r="Z176" i="30"/>
  <c r="AC175" i="30"/>
  <c r="AB175" i="30"/>
  <c r="Z175" i="30"/>
  <c r="AC174" i="30"/>
  <c r="AB174" i="30"/>
  <c r="Z174" i="30"/>
  <c r="AC173" i="30"/>
  <c r="AB173" i="30"/>
  <c r="Z173" i="30"/>
  <c r="AC172" i="30"/>
  <c r="AB172" i="30"/>
  <c r="Z172" i="30"/>
  <c r="AC171" i="30"/>
  <c r="AB171" i="30"/>
  <c r="Z171" i="30"/>
  <c r="AC170" i="30"/>
  <c r="AB170" i="30"/>
  <c r="Z170" i="30"/>
  <c r="AC169" i="30"/>
  <c r="AB169" i="30"/>
  <c r="Z169" i="30"/>
  <c r="AC168" i="30"/>
  <c r="AB168" i="30"/>
  <c r="Z168" i="30"/>
  <c r="AC167" i="30"/>
  <c r="AB167" i="30"/>
  <c r="Z167" i="30"/>
  <c r="AC166" i="30"/>
  <c r="AB166" i="30"/>
  <c r="Z166" i="30"/>
  <c r="AC165" i="30"/>
  <c r="AB165" i="30"/>
  <c r="Z165" i="30"/>
  <c r="AC164" i="30"/>
  <c r="AB164" i="30"/>
  <c r="Z164" i="30"/>
  <c r="AC163" i="30"/>
  <c r="AB163" i="30"/>
  <c r="Z163" i="30"/>
  <c r="AC162" i="30"/>
  <c r="AB162" i="30"/>
  <c r="Z162" i="30"/>
  <c r="AC161" i="30"/>
  <c r="AB161" i="30"/>
  <c r="Z161" i="30"/>
  <c r="AC160" i="30"/>
  <c r="AB160" i="30"/>
  <c r="Z160" i="30"/>
  <c r="AC159" i="30"/>
  <c r="AB159" i="30"/>
  <c r="Z159" i="30"/>
  <c r="AC158" i="30"/>
  <c r="AB158" i="30"/>
  <c r="Z158" i="30"/>
  <c r="AC157" i="30"/>
  <c r="AB157" i="30"/>
  <c r="Z157" i="30"/>
  <c r="AC156" i="30"/>
  <c r="AB156" i="30"/>
  <c r="Z156" i="30"/>
  <c r="AC155" i="30"/>
  <c r="AB155" i="30"/>
  <c r="Z155" i="30"/>
  <c r="AC154" i="30"/>
  <c r="AB154" i="30"/>
  <c r="Z154" i="30"/>
  <c r="AC153" i="30"/>
  <c r="AA153" i="30"/>
  <c r="Z153" i="30"/>
  <c r="AC152" i="30"/>
  <c r="AA152" i="30"/>
  <c r="Z152" i="30"/>
  <c r="AC151" i="30"/>
  <c r="AA151" i="30"/>
  <c r="Z151" i="30"/>
  <c r="AC150" i="30"/>
  <c r="AA150" i="30"/>
  <c r="Z150" i="30"/>
  <c r="AC149" i="30"/>
  <c r="AA149" i="30"/>
  <c r="Z149" i="30"/>
  <c r="AC148" i="30"/>
  <c r="AA148" i="30"/>
  <c r="Z148" i="30"/>
  <c r="AC147" i="30"/>
  <c r="AA147" i="30"/>
  <c r="Z147" i="30"/>
  <c r="AC146" i="30"/>
  <c r="AA146" i="30"/>
  <c r="Z146" i="30"/>
  <c r="AC145" i="30"/>
  <c r="AA145" i="30"/>
  <c r="Z145" i="30"/>
  <c r="AC144" i="30"/>
  <c r="AA144" i="30"/>
  <c r="Z144" i="30"/>
  <c r="AC143" i="30"/>
  <c r="AA143" i="30"/>
  <c r="Z143" i="30"/>
  <c r="AC142" i="30"/>
  <c r="AA142" i="30"/>
  <c r="Z142" i="30"/>
  <c r="AC141" i="30"/>
  <c r="AA141" i="30"/>
  <c r="Z141" i="30"/>
  <c r="AC140" i="30"/>
  <c r="AA140" i="30"/>
  <c r="Z140" i="30"/>
  <c r="AC139" i="30"/>
  <c r="AA139" i="30"/>
  <c r="Z139" i="30"/>
  <c r="AC138" i="30"/>
  <c r="AA138" i="30"/>
  <c r="Z138" i="30"/>
  <c r="AC137" i="30"/>
  <c r="AA137" i="30"/>
  <c r="Z137" i="30"/>
  <c r="AC136" i="30"/>
  <c r="AA136" i="30"/>
  <c r="Z136" i="30"/>
  <c r="AM135" i="30"/>
  <c r="AL135" i="30"/>
  <c r="AI135" i="30"/>
  <c r="AH135" i="30"/>
  <c r="AG135" i="30"/>
  <c r="AF135" i="30"/>
  <c r="AE135" i="30"/>
  <c r="AD135" i="30"/>
  <c r="AB135" i="30"/>
  <c r="Z135" i="30"/>
  <c r="Y135" i="30"/>
  <c r="X135" i="30"/>
  <c r="W135" i="30"/>
  <c r="V135" i="30"/>
  <c r="AM134" i="30"/>
  <c r="AL134" i="30"/>
  <c r="AI134" i="30"/>
  <c r="AH134" i="30"/>
  <c r="AG134" i="30"/>
  <c r="AF134" i="30"/>
  <c r="AE134" i="30"/>
  <c r="AD134" i="30"/>
  <c r="AB134" i="30"/>
  <c r="Z134" i="30"/>
  <c r="Y134" i="30"/>
  <c r="X134" i="30"/>
  <c r="W134" i="30"/>
  <c r="V134" i="30"/>
  <c r="AM133" i="30"/>
  <c r="AL133" i="30"/>
  <c r="AI133" i="30"/>
  <c r="AH133" i="30"/>
  <c r="AG133" i="30"/>
  <c r="AF133" i="30"/>
  <c r="AE133" i="30"/>
  <c r="AD133" i="30"/>
  <c r="AB133" i="30"/>
  <c r="Z133" i="30"/>
  <c r="Y133" i="30"/>
  <c r="X133" i="30"/>
  <c r="W133" i="30"/>
  <c r="V133" i="30"/>
  <c r="AM132" i="30"/>
  <c r="AL132" i="30"/>
  <c r="AI132" i="30"/>
  <c r="AH132" i="30"/>
  <c r="AG132" i="30"/>
  <c r="AF132" i="30"/>
  <c r="AE132" i="30"/>
  <c r="AD132" i="30"/>
  <c r="AB132" i="30"/>
  <c r="Z132" i="30"/>
  <c r="Y132" i="30"/>
  <c r="X132" i="30"/>
  <c r="W132" i="30"/>
  <c r="V132" i="30"/>
  <c r="AM131" i="30"/>
  <c r="AL131" i="30"/>
  <c r="AI131" i="30"/>
  <c r="AH131" i="30"/>
  <c r="AG131" i="30"/>
  <c r="AF131" i="30"/>
  <c r="AE131" i="30"/>
  <c r="AD131" i="30"/>
  <c r="AB131" i="30"/>
  <c r="Z131" i="30"/>
  <c r="Y131" i="30"/>
  <c r="X131" i="30"/>
  <c r="W131" i="30"/>
  <c r="V131" i="30"/>
  <c r="AM130" i="30"/>
  <c r="AL130" i="30"/>
  <c r="AI130" i="30"/>
  <c r="AH130" i="30"/>
  <c r="AG130" i="30"/>
  <c r="AF130" i="30"/>
  <c r="AE130" i="30"/>
  <c r="AD130" i="30"/>
  <c r="AB130" i="30"/>
  <c r="Z130" i="30"/>
  <c r="Y130" i="30"/>
  <c r="X130" i="30"/>
  <c r="W130" i="30"/>
  <c r="V130" i="30"/>
  <c r="AM129" i="30"/>
  <c r="AL129" i="30"/>
  <c r="AI129" i="30"/>
  <c r="AH129" i="30"/>
  <c r="AG129" i="30"/>
  <c r="AF129" i="30"/>
  <c r="AE129" i="30"/>
  <c r="AD129" i="30"/>
  <c r="AB129" i="30"/>
  <c r="Z129" i="30"/>
  <c r="Y129" i="30"/>
  <c r="X129" i="30"/>
  <c r="W129" i="30"/>
  <c r="V129" i="30"/>
  <c r="AM128" i="30"/>
  <c r="AL128" i="30"/>
  <c r="AI128" i="30"/>
  <c r="AH128" i="30"/>
  <c r="AG128" i="30"/>
  <c r="AF128" i="30"/>
  <c r="AE128" i="30"/>
  <c r="AD128" i="30"/>
  <c r="AB128" i="30"/>
  <c r="Z128" i="30"/>
  <c r="Y128" i="30"/>
  <c r="X128" i="30"/>
  <c r="W128" i="30"/>
  <c r="V128" i="30"/>
  <c r="AM127" i="30"/>
  <c r="AL127" i="30"/>
  <c r="AI127" i="30"/>
  <c r="AH127" i="30"/>
  <c r="AG127" i="30"/>
  <c r="AF127" i="30"/>
  <c r="AE127" i="30"/>
  <c r="AD127" i="30"/>
  <c r="AB127" i="30"/>
  <c r="Z127" i="30"/>
  <c r="Y127" i="30"/>
  <c r="X127" i="30"/>
  <c r="W127" i="30"/>
  <c r="V127" i="30"/>
  <c r="AM126" i="30"/>
  <c r="AL126" i="30"/>
  <c r="AI126" i="30"/>
  <c r="AH126" i="30"/>
  <c r="AG126" i="30"/>
  <c r="AF126" i="30"/>
  <c r="AE126" i="30"/>
  <c r="AD126" i="30"/>
  <c r="AB126" i="30"/>
  <c r="Z126" i="30"/>
  <c r="Y126" i="30"/>
  <c r="X126" i="30"/>
  <c r="W126" i="30"/>
  <c r="V126" i="30"/>
  <c r="AM125" i="30"/>
  <c r="AL125" i="30"/>
  <c r="AI125" i="30"/>
  <c r="AH125" i="30"/>
  <c r="AG125" i="30"/>
  <c r="AF125" i="30"/>
  <c r="AE125" i="30"/>
  <c r="AD125" i="30"/>
  <c r="AB125" i="30"/>
  <c r="Z125" i="30"/>
  <c r="Y125" i="30"/>
  <c r="X125" i="30"/>
  <c r="W125" i="30"/>
  <c r="V125" i="30"/>
  <c r="AM124" i="30"/>
  <c r="AL124" i="30"/>
  <c r="AI124" i="30"/>
  <c r="AH124" i="30"/>
  <c r="AG124" i="30"/>
  <c r="AF124" i="30"/>
  <c r="AE124" i="30"/>
  <c r="AD124" i="30"/>
  <c r="AB124" i="30"/>
  <c r="Z124" i="30"/>
  <c r="Y124" i="30"/>
  <c r="X124" i="30"/>
  <c r="W124" i="30"/>
  <c r="V124" i="30"/>
  <c r="AM123" i="30"/>
  <c r="AL123" i="30"/>
  <c r="AI123" i="30"/>
  <c r="AH123" i="30"/>
  <c r="AG123" i="30"/>
  <c r="AF123" i="30"/>
  <c r="AE123" i="30"/>
  <c r="AD123" i="30"/>
  <c r="AB123" i="30"/>
  <c r="Z123" i="30"/>
  <c r="Y123" i="30"/>
  <c r="X123" i="30"/>
  <c r="W123" i="30"/>
  <c r="V123" i="30"/>
  <c r="AM122" i="30"/>
  <c r="AL122" i="30"/>
  <c r="AI122" i="30"/>
  <c r="AH122" i="30"/>
  <c r="AG122" i="30"/>
  <c r="AF122" i="30"/>
  <c r="AE122" i="30"/>
  <c r="AD122" i="30"/>
  <c r="AB122" i="30"/>
  <c r="Z122" i="30"/>
  <c r="Y122" i="30"/>
  <c r="X122" i="30"/>
  <c r="W122" i="30"/>
  <c r="V122" i="30"/>
  <c r="AM121" i="30"/>
  <c r="AL121" i="30"/>
  <c r="AI121" i="30"/>
  <c r="AH121" i="30"/>
  <c r="AG121" i="30"/>
  <c r="AF121" i="30"/>
  <c r="AE121" i="30"/>
  <c r="AD121" i="30"/>
  <c r="AB121" i="30"/>
  <c r="Z121" i="30"/>
  <c r="Y121" i="30"/>
  <c r="X121" i="30"/>
  <c r="W121" i="30"/>
  <c r="V121" i="30"/>
  <c r="AM120" i="30"/>
  <c r="AL120" i="30"/>
  <c r="AI120" i="30"/>
  <c r="AH120" i="30"/>
  <c r="AG120" i="30"/>
  <c r="AF120" i="30"/>
  <c r="AE120" i="30"/>
  <c r="AD120" i="30"/>
  <c r="AB120" i="30"/>
  <c r="Z120" i="30"/>
  <c r="Y120" i="30"/>
  <c r="X120" i="30"/>
  <c r="W120" i="30"/>
  <c r="V120" i="30"/>
  <c r="AM119" i="30"/>
  <c r="AL119" i="30"/>
  <c r="AI119" i="30"/>
  <c r="AH119" i="30"/>
  <c r="AG119" i="30"/>
  <c r="AF119" i="30"/>
  <c r="AE119" i="30"/>
  <c r="AD119" i="30"/>
  <c r="AB119" i="30"/>
  <c r="Z119" i="30"/>
  <c r="Y119" i="30"/>
  <c r="X119" i="30"/>
  <c r="W119" i="30"/>
  <c r="V119" i="30"/>
  <c r="AM118" i="30"/>
  <c r="AL118" i="30"/>
  <c r="AI118" i="30"/>
  <c r="AH118" i="30"/>
  <c r="AG118" i="30"/>
  <c r="AF118" i="30"/>
  <c r="AE118" i="30"/>
  <c r="AD118" i="30"/>
  <c r="AB118" i="30"/>
  <c r="Z118" i="30"/>
  <c r="Y118" i="30"/>
  <c r="X118" i="30"/>
  <c r="W118" i="30"/>
  <c r="V118" i="30"/>
  <c r="AM117" i="30"/>
  <c r="AL117" i="30"/>
  <c r="AI117" i="30"/>
  <c r="AH117" i="30"/>
  <c r="AG117" i="30"/>
  <c r="AF117" i="30"/>
  <c r="AE117" i="30"/>
  <c r="AD117" i="30"/>
  <c r="AB117" i="30"/>
  <c r="Z117" i="30"/>
  <c r="Y117" i="30"/>
  <c r="X117" i="30"/>
  <c r="W117" i="30"/>
  <c r="V117" i="30"/>
  <c r="AM116" i="30"/>
  <c r="AL116" i="30"/>
  <c r="AI116" i="30"/>
  <c r="AH116" i="30"/>
  <c r="AG116" i="30"/>
  <c r="AF116" i="30"/>
  <c r="AE116" i="30"/>
  <c r="AD116" i="30"/>
  <c r="AB116" i="30"/>
  <c r="Z116" i="30"/>
  <c r="Y116" i="30"/>
  <c r="X116" i="30"/>
  <c r="W116" i="30"/>
  <c r="V116" i="30"/>
  <c r="AM115" i="30"/>
  <c r="AL115" i="30"/>
  <c r="AI115" i="30"/>
  <c r="AH115" i="30"/>
  <c r="AG115" i="30"/>
  <c r="AF115" i="30"/>
  <c r="AE115" i="30"/>
  <c r="AD115" i="30"/>
  <c r="AB115" i="30"/>
  <c r="Z115" i="30"/>
  <c r="Y115" i="30"/>
  <c r="X115" i="30"/>
  <c r="W115" i="30"/>
  <c r="V115" i="30"/>
  <c r="AM114" i="30"/>
  <c r="AL114" i="30"/>
  <c r="AI114" i="30"/>
  <c r="AH114" i="30"/>
  <c r="AG114" i="30"/>
  <c r="AF114" i="30"/>
  <c r="AE114" i="30"/>
  <c r="AD114" i="30"/>
  <c r="AB114" i="30"/>
  <c r="Z114" i="30"/>
  <c r="Y114" i="30"/>
  <c r="X114" i="30"/>
  <c r="W114" i="30"/>
  <c r="V114" i="30"/>
  <c r="AM113" i="30"/>
  <c r="AL113" i="30"/>
  <c r="AI113" i="30"/>
  <c r="AH113" i="30"/>
  <c r="AG113" i="30"/>
  <c r="AF113" i="30"/>
  <c r="AE113" i="30"/>
  <c r="AD113" i="30"/>
  <c r="AB113" i="30"/>
  <c r="Z113" i="30"/>
  <c r="Y113" i="30"/>
  <c r="X113" i="30"/>
  <c r="W113" i="30"/>
  <c r="V113" i="30"/>
  <c r="AM112" i="30"/>
  <c r="AL112" i="30"/>
  <c r="AI112" i="30"/>
  <c r="AH112" i="30"/>
  <c r="AG112" i="30"/>
  <c r="AF112" i="30"/>
  <c r="AE112" i="30"/>
  <c r="AD112" i="30"/>
  <c r="AB112" i="30"/>
  <c r="Z112" i="30"/>
  <c r="Y112" i="30"/>
  <c r="X112" i="30"/>
  <c r="W112" i="30"/>
  <c r="V112" i="30"/>
  <c r="AM111" i="30"/>
  <c r="AL111" i="30"/>
  <c r="AI111" i="30"/>
  <c r="AH111" i="30"/>
  <c r="AG111" i="30"/>
  <c r="AF111" i="30"/>
  <c r="AE111" i="30"/>
  <c r="AD111" i="30"/>
  <c r="AB111" i="30"/>
  <c r="Z111" i="30"/>
  <c r="Y111" i="30"/>
  <c r="X111" i="30"/>
  <c r="W111" i="30"/>
  <c r="V111" i="30"/>
  <c r="AM110" i="30"/>
  <c r="AL110" i="30"/>
  <c r="AI110" i="30"/>
  <c r="AH110" i="30"/>
  <c r="AG110" i="30"/>
  <c r="AF110" i="30"/>
  <c r="AE110" i="30"/>
  <c r="AD110" i="30"/>
  <c r="AB110" i="30"/>
  <c r="Z110" i="30"/>
  <c r="Y110" i="30"/>
  <c r="X110" i="30"/>
  <c r="W110" i="30"/>
  <c r="V110" i="30"/>
  <c r="AM109" i="30"/>
  <c r="AL109" i="30"/>
  <c r="AI109" i="30"/>
  <c r="AH109" i="30"/>
  <c r="AG109" i="30"/>
  <c r="AF109" i="30"/>
  <c r="AE109" i="30"/>
  <c r="AD109" i="30"/>
  <c r="AB109" i="30"/>
  <c r="Z109" i="30"/>
  <c r="Y109" i="30"/>
  <c r="X109" i="30"/>
  <c r="W109" i="30"/>
  <c r="V109" i="30"/>
  <c r="AM108" i="30"/>
  <c r="AL108" i="30"/>
  <c r="AI108" i="30"/>
  <c r="AH108" i="30"/>
  <c r="AG108" i="30"/>
  <c r="AF108" i="30"/>
  <c r="AE108" i="30"/>
  <c r="AD108" i="30"/>
  <c r="AB108" i="30"/>
  <c r="Z108" i="30"/>
  <c r="Y108" i="30"/>
  <c r="X108" i="30"/>
  <c r="W108" i="30"/>
  <c r="V108" i="30"/>
  <c r="AM107" i="30"/>
  <c r="AL107" i="30"/>
  <c r="AI107" i="30"/>
  <c r="AH107" i="30"/>
  <c r="AG107" i="30"/>
  <c r="AF107" i="30"/>
  <c r="AE107" i="30"/>
  <c r="AD107" i="30"/>
  <c r="AB107" i="30"/>
  <c r="Z107" i="30"/>
  <c r="Y107" i="30"/>
  <c r="X107" i="30"/>
  <c r="W107" i="30"/>
  <c r="V107" i="30"/>
  <c r="AM106" i="30"/>
  <c r="AL106" i="30"/>
  <c r="AI106" i="30"/>
  <c r="AH106" i="30"/>
  <c r="AG106" i="30"/>
  <c r="AF106" i="30"/>
  <c r="AE106" i="30"/>
  <c r="AD106" i="30"/>
  <c r="AB106" i="30"/>
  <c r="Z106" i="30"/>
  <c r="Y106" i="30"/>
  <c r="X106" i="30"/>
  <c r="W106" i="30"/>
  <c r="V106" i="30"/>
  <c r="AM105" i="30"/>
  <c r="AL105" i="30"/>
  <c r="AI105" i="30"/>
  <c r="AH105" i="30"/>
  <c r="AG105" i="30"/>
  <c r="AF105" i="30"/>
  <c r="AE105" i="30"/>
  <c r="AD105" i="30"/>
  <c r="AB105" i="30"/>
  <c r="Z105" i="30"/>
  <c r="Y105" i="30"/>
  <c r="X105" i="30"/>
  <c r="W105" i="30"/>
  <c r="V105" i="30"/>
  <c r="AM104" i="30"/>
  <c r="AL104" i="30"/>
  <c r="AI104" i="30"/>
  <c r="AH104" i="30"/>
  <c r="AG104" i="30"/>
  <c r="AF104" i="30"/>
  <c r="AE104" i="30"/>
  <c r="AD104" i="30"/>
  <c r="AB104" i="30"/>
  <c r="Z104" i="30"/>
  <c r="Y104" i="30"/>
  <c r="X104" i="30"/>
  <c r="W104" i="30"/>
  <c r="V104" i="30"/>
  <c r="AM103" i="30"/>
  <c r="AL103" i="30"/>
  <c r="AI103" i="30"/>
  <c r="AH103" i="30"/>
  <c r="AG103" i="30"/>
  <c r="AF103" i="30"/>
  <c r="AE103" i="30"/>
  <c r="AD103" i="30"/>
  <c r="AB103" i="30"/>
  <c r="Z103" i="30"/>
  <c r="Y103" i="30"/>
  <c r="X103" i="30"/>
  <c r="W103" i="30"/>
  <c r="V103" i="30"/>
  <c r="AM102" i="30"/>
  <c r="AL102" i="30"/>
  <c r="AI102" i="30"/>
  <c r="AH102" i="30"/>
  <c r="AG102" i="30"/>
  <c r="AF102" i="30"/>
  <c r="AE102" i="30"/>
  <c r="AD102" i="30"/>
  <c r="AB102" i="30"/>
  <c r="Z102" i="30"/>
  <c r="Y102" i="30"/>
  <c r="X102" i="30"/>
  <c r="W102" i="30"/>
  <c r="V102" i="30"/>
  <c r="AM101" i="30"/>
  <c r="AL101" i="30"/>
  <c r="AI101" i="30"/>
  <c r="AH101" i="30"/>
  <c r="AG101" i="30"/>
  <c r="AF101" i="30"/>
  <c r="AE101" i="30"/>
  <c r="AD101" i="30"/>
  <c r="AB101" i="30"/>
  <c r="Z101" i="30"/>
  <c r="Y101" i="30"/>
  <c r="X101" i="30"/>
  <c r="W101" i="30"/>
  <c r="V101" i="30"/>
  <c r="AM100" i="30"/>
  <c r="AL100" i="30"/>
  <c r="AI100" i="30"/>
  <c r="AH100" i="30"/>
  <c r="AG100" i="30"/>
  <c r="AF100" i="30"/>
  <c r="AE100" i="30"/>
  <c r="AD100" i="30"/>
  <c r="AB100" i="30"/>
  <c r="Z100" i="30"/>
  <c r="Y100" i="30"/>
  <c r="X100" i="30"/>
  <c r="W100" i="30"/>
  <c r="V100" i="30"/>
  <c r="AM99" i="30"/>
  <c r="AL99" i="30"/>
  <c r="AI99" i="30"/>
  <c r="AH99" i="30"/>
  <c r="AG99" i="30"/>
  <c r="AF99" i="30"/>
  <c r="AE99" i="30"/>
  <c r="AD99" i="30"/>
  <c r="AB99" i="30"/>
  <c r="Z99" i="30"/>
  <c r="Y99" i="30"/>
  <c r="X99" i="30"/>
  <c r="W99" i="30"/>
  <c r="V99" i="30"/>
  <c r="AM98" i="30"/>
  <c r="AL98" i="30"/>
  <c r="AI98" i="30"/>
  <c r="AH98" i="30"/>
  <c r="AG98" i="30"/>
  <c r="AF98" i="30"/>
  <c r="AE98" i="30"/>
  <c r="AD98" i="30"/>
  <c r="AB98" i="30"/>
  <c r="Z98" i="30"/>
  <c r="Y98" i="30"/>
  <c r="X98" i="30"/>
  <c r="W98" i="30"/>
  <c r="V98" i="30"/>
  <c r="AM97" i="30"/>
  <c r="AL97" i="30"/>
  <c r="AI97" i="30"/>
  <c r="AH97" i="30"/>
  <c r="AG97" i="30"/>
  <c r="AF97" i="30"/>
  <c r="AE97" i="30"/>
  <c r="AD97" i="30"/>
  <c r="AB97" i="30"/>
  <c r="Z97" i="30"/>
  <c r="Y97" i="30"/>
  <c r="X97" i="30"/>
  <c r="W97" i="30"/>
  <c r="V97" i="30"/>
  <c r="AM96" i="30"/>
  <c r="AL96" i="30"/>
  <c r="AI96" i="30"/>
  <c r="AH96" i="30"/>
  <c r="AG96" i="30"/>
  <c r="AF96" i="30"/>
  <c r="AE96" i="30"/>
  <c r="AD96" i="30"/>
  <c r="AB96" i="30"/>
  <c r="Z96" i="30"/>
  <c r="Y96" i="30"/>
  <c r="X96" i="30"/>
  <c r="W96" i="30"/>
  <c r="V96" i="30"/>
  <c r="AM95" i="30"/>
  <c r="AL95" i="30"/>
  <c r="AI95" i="30"/>
  <c r="AH95" i="30"/>
  <c r="AG95" i="30"/>
  <c r="AF95" i="30"/>
  <c r="AE95" i="30"/>
  <c r="AD95" i="30"/>
  <c r="AB95" i="30"/>
  <c r="Z95" i="30"/>
  <c r="Y95" i="30"/>
  <c r="X95" i="30"/>
  <c r="W95" i="30"/>
  <c r="V95" i="30"/>
  <c r="AM94" i="30"/>
  <c r="AL94" i="30"/>
  <c r="AI94" i="30"/>
  <c r="AH94" i="30"/>
  <c r="AG94" i="30"/>
  <c r="AF94" i="30"/>
  <c r="AE94" i="30"/>
  <c r="AD94" i="30"/>
  <c r="AB94" i="30"/>
  <c r="Z94" i="30"/>
  <c r="Y94" i="30"/>
  <c r="X94" i="30"/>
  <c r="W94" i="30"/>
  <c r="V94" i="30"/>
  <c r="AM93" i="30"/>
  <c r="AL93" i="30"/>
  <c r="AI93" i="30"/>
  <c r="AH93" i="30"/>
  <c r="AG93" i="30"/>
  <c r="AF93" i="30"/>
  <c r="AE93" i="30"/>
  <c r="AD93" i="30"/>
  <c r="AB93" i="30"/>
  <c r="Z93" i="30"/>
  <c r="Y93" i="30"/>
  <c r="X93" i="30"/>
  <c r="W93" i="30"/>
  <c r="V93" i="30"/>
  <c r="AM92" i="30"/>
  <c r="AL92" i="30"/>
  <c r="AI92" i="30"/>
  <c r="AH92" i="30"/>
  <c r="AG92" i="30"/>
  <c r="AF92" i="30"/>
  <c r="AE92" i="30"/>
  <c r="AD92" i="30"/>
  <c r="AB92" i="30"/>
  <c r="Z92" i="30"/>
  <c r="Y92" i="30"/>
  <c r="X92" i="30"/>
  <c r="W92" i="30"/>
  <c r="V92" i="30"/>
  <c r="AM91" i="30"/>
  <c r="AL91" i="30"/>
  <c r="AI91" i="30"/>
  <c r="AH91" i="30"/>
  <c r="AG91" i="30"/>
  <c r="AF91" i="30"/>
  <c r="AE91" i="30"/>
  <c r="AD91" i="30"/>
  <c r="AB91" i="30"/>
  <c r="Z91" i="30"/>
  <c r="Y91" i="30"/>
  <c r="X91" i="30"/>
  <c r="W91" i="30"/>
  <c r="V91" i="30"/>
  <c r="AM90" i="30"/>
  <c r="AL90" i="30"/>
  <c r="AI90" i="30"/>
  <c r="AH90" i="30"/>
  <c r="AG90" i="30"/>
  <c r="AF90" i="30"/>
  <c r="AE90" i="30"/>
  <c r="AD90" i="30"/>
  <c r="AB90" i="30"/>
  <c r="Z90" i="30"/>
  <c r="Y90" i="30"/>
  <c r="X90" i="30"/>
  <c r="W90" i="30"/>
  <c r="V90" i="30"/>
  <c r="AM89" i="30"/>
  <c r="AL89" i="30"/>
  <c r="AI89" i="30"/>
  <c r="AH89" i="30"/>
  <c r="AG89" i="30"/>
  <c r="AF89" i="30"/>
  <c r="AE89" i="30"/>
  <c r="AD89" i="30"/>
  <c r="AB89" i="30"/>
  <c r="Z89" i="30"/>
  <c r="Y89" i="30"/>
  <c r="X89" i="30"/>
  <c r="W89" i="30"/>
  <c r="V89" i="30"/>
  <c r="AM88" i="30"/>
  <c r="AL88" i="30"/>
  <c r="AI88" i="30"/>
  <c r="AH88" i="30"/>
  <c r="AG88" i="30"/>
  <c r="AF88" i="30"/>
  <c r="AE88" i="30"/>
  <c r="AD88" i="30"/>
  <c r="AB88" i="30"/>
  <c r="Z88" i="30"/>
  <c r="Y88" i="30"/>
  <c r="X88" i="30"/>
  <c r="W88" i="30"/>
  <c r="V88" i="30"/>
  <c r="AM87" i="30"/>
  <c r="AL87" i="30"/>
  <c r="AI87" i="30"/>
  <c r="AH87" i="30"/>
  <c r="AG87" i="30"/>
  <c r="AF87" i="30"/>
  <c r="AE87" i="30"/>
  <c r="AD87" i="30"/>
  <c r="AB87" i="30"/>
  <c r="Z87" i="30"/>
  <c r="Y87" i="30"/>
  <c r="X87" i="30"/>
  <c r="W87" i="30"/>
  <c r="V87" i="30"/>
  <c r="AM86" i="30"/>
  <c r="AL86" i="30"/>
  <c r="AI86" i="30"/>
  <c r="AH86" i="30"/>
  <c r="AG86" i="30"/>
  <c r="AF86" i="30"/>
  <c r="AE86" i="30"/>
  <c r="AD86" i="30"/>
  <c r="AB86" i="30"/>
  <c r="Z86" i="30"/>
  <c r="Y86" i="30"/>
  <c r="X86" i="30"/>
  <c r="W86" i="30"/>
  <c r="V86" i="30"/>
  <c r="AM85" i="30"/>
  <c r="AL85" i="30"/>
  <c r="AI85" i="30"/>
  <c r="AH85" i="30"/>
  <c r="AG85" i="30"/>
  <c r="AF85" i="30"/>
  <c r="AE85" i="30"/>
  <c r="AD85" i="30"/>
  <c r="AB85" i="30"/>
  <c r="Z85" i="30"/>
  <c r="Y85" i="30"/>
  <c r="X85" i="30"/>
  <c r="W85" i="30"/>
  <c r="V85" i="30"/>
  <c r="AM84" i="30"/>
  <c r="AL84" i="30"/>
  <c r="AI84" i="30"/>
  <c r="AH84" i="30"/>
  <c r="AG84" i="30"/>
  <c r="AF84" i="30"/>
  <c r="AE84" i="30"/>
  <c r="AD84" i="30"/>
  <c r="AB84" i="30"/>
  <c r="Z84" i="30"/>
  <c r="Y84" i="30"/>
  <c r="X84" i="30"/>
  <c r="W84" i="30"/>
  <c r="V84" i="30"/>
  <c r="AM83" i="30"/>
  <c r="AL83" i="30"/>
  <c r="AI83" i="30"/>
  <c r="AH83" i="30"/>
  <c r="AG83" i="30"/>
  <c r="AF83" i="30"/>
  <c r="AE83" i="30"/>
  <c r="AD83" i="30"/>
  <c r="AB83" i="30"/>
  <c r="Z83" i="30"/>
  <c r="Y83" i="30"/>
  <c r="X83" i="30"/>
  <c r="W83" i="30"/>
  <c r="V83" i="30"/>
  <c r="AM82" i="30"/>
  <c r="AL82" i="30"/>
  <c r="AI82" i="30"/>
  <c r="AH82" i="30"/>
  <c r="AG82" i="30"/>
  <c r="AF82" i="30"/>
  <c r="AE82" i="30"/>
  <c r="AD82" i="30"/>
  <c r="AB82" i="30"/>
  <c r="Z82" i="30"/>
  <c r="Y82" i="30"/>
  <c r="X82" i="30"/>
  <c r="W82" i="30"/>
  <c r="V82" i="30"/>
  <c r="AM81" i="30"/>
  <c r="AL81" i="30"/>
  <c r="AM80" i="30"/>
  <c r="AL80" i="30"/>
  <c r="AM79" i="30"/>
  <c r="AL79" i="30"/>
  <c r="AM78" i="30"/>
  <c r="AL78" i="30"/>
  <c r="AM77" i="30"/>
  <c r="AL77" i="30"/>
  <c r="AM76" i="30"/>
  <c r="AL76" i="30"/>
  <c r="AM75" i="30"/>
  <c r="AL75" i="30"/>
  <c r="AM74" i="30"/>
  <c r="AL74" i="30"/>
  <c r="AM73" i="30"/>
  <c r="AL73" i="30"/>
  <c r="AM72" i="30"/>
  <c r="AL72" i="30"/>
  <c r="Q72" i="30"/>
  <c r="AM71" i="30"/>
  <c r="AL71" i="30"/>
  <c r="Q71" i="30"/>
  <c r="AM70" i="30"/>
  <c r="AL70" i="30"/>
  <c r="Q70" i="30"/>
  <c r="AM69" i="30"/>
  <c r="AL69" i="30"/>
  <c r="Q69" i="30"/>
  <c r="AM68" i="30"/>
  <c r="AL68" i="30"/>
  <c r="Q68" i="30"/>
  <c r="AM67" i="30"/>
  <c r="AL67" i="30"/>
  <c r="AM66" i="30"/>
  <c r="AL66" i="30"/>
  <c r="AM65" i="30"/>
  <c r="AL65" i="30"/>
  <c r="AM64" i="30"/>
  <c r="AL64" i="30"/>
  <c r="F12" i="30"/>
  <c r="BR60" i="30"/>
  <c r="F11" i="30"/>
  <c r="BZ51" i="30"/>
  <c r="F10" i="30"/>
  <c r="BY51" i="30"/>
  <c r="F9" i="30"/>
  <c r="BX51" i="30"/>
  <c r="F8" i="30"/>
  <c r="BW51" i="30"/>
  <c r="C25" i="30"/>
  <c r="BR59" i="30"/>
  <c r="CA51" i="30"/>
  <c r="C24" i="30"/>
  <c r="BR58" i="30"/>
  <c r="C23" i="30"/>
  <c r="BR57" i="30"/>
  <c r="C22" i="30"/>
  <c r="BR56" i="30"/>
  <c r="C21" i="30"/>
  <c r="BR49" i="30"/>
  <c r="BR48" i="30"/>
  <c r="BR47" i="30"/>
  <c r="BR46" i="30"/>
  <c r="BR45" i="30"/>
  <c r="CA40" i="30"/>
  <c r="BZ40" i="30"/>
  <c r="BY40" i="30"/>
  <c r="BX40" i="30"/>
  <c r="BW40" i="30"/>
  <c r="C38" i="30"/>
  <c r="C37" i="30"/>
  <c r="C36" i="30"/>
  <c r="C35" i="30"/>
  <c r="C34" i="30"/>
  <c r="C33" i="30"/>
  <c r="C32" i="30"/>
  <c r="C31" i="30"/>
  <c r="C30" i="30"/>
  <c r="J25" i="30"/>
  <c r="I25" i="30"/>
  <c r="H25" i="30"/>
  <c r="G25" i="30"/>
  <c r="F25" i="30"/>
  <c r="E25" i="30"/>
  <c r="D25" i="30"/>
  <c r="J24" i="30"/>
  <c r="I24" i="30"/>
  <c r="H24" i="30"/>
  <c r="G24" i="30"/>
  <c r="F24" i="30"/>
  <c r="E24" i="30"/>
  <c r="D24" i="30"/>
  <c r="J23" i="30"/>
  <c r="I23" i="30"/>
  <c r="H23" i="30"/>
  <c r="G23" i="30"/>
  <c r="F23" i="30"/>
  <c r="E23" i="30"/>
  <c r="D23" i="30"/>
  <c r="J22" i="30"/>
  <c r="I22" i="30"/>
  <c r="H22" i="30"/>
  <c r="G22" i="30"/>
  <c r="F22" i="30"/>
  <c r="E22" i="30"/>
  <c r="D22" i="30"/>
  <c r="J21" i="30"/>
  <c r="I21" i="30"/>
  <c r="H21" i="30"/>
  <c r="G21" i="30"/>
  <c r="F21" i="30"/>
  <c r="E21" i="30"/>
  <c r="D21" i="30"/>
  <c r="J20" i="30"/>
  <c r="I20" i="30"/>
  <c r="H20" i="30"/>
  <c r="G20" i="30"/>
  <c r="F20" i="30"/>
  <c r="E20" i="30"/>
  <c r="D20" i="30"/>
  <c r="J19" i="30"/>
  <c r="I19" i="30"/>
  <c r="H19" i="30"/>
  <c r="G19" i="30"/>
  <c r="F19" i="30"/>
  <c r="E19" i="30"/>
  <c r="D19" i="30"/>
  <c r="J18" i="30"/>
  <c r="I18" i="30"/>
  <c r="H18" i="30"/>
  <c r="G18" i="30"/>
  <c r="F18" i="30"/>
  <c r="E18" i="30"/>
  <c r="D18" i="30"/>
  <c r="J17" i="30"/>
  <c r="I17" i="30"/>
  <c r="H17" i="30"/>
  <c r="G17" i="30"/>
  <c r="F17" i="30"/>
  <c r="E17" i="30"/>
  <c r="D17" i="30"/>
  <c r="F14" i="30"/>
  <c r="B13" i="30"/>
  <c r="B14" i="30"/>
  <c r="AV12" i="30"/>
  <c r="AV11" i="30"/>
  <c r="AV10" i="30"/>
  <c r="AV9" i="30"/>
  <c r="AV8" i="30"/>
  <c r="AB207" i="29"/>
  <c r="Z207" i="29"/>
  <c r="AB206" i="29"/>
  <c r="Z206" i="29"/>
  <c r="AB205" i="29"/>
  <c r="Z205" i="29"/>
  <c r="AB204" i="29"/>
  <c r="Z204" i="29"/>
  <c r="AB203" i="29"/>
  <c r="Z203" i="29"/>
  <c r="AB202" i="29"/>
  <c r="Z202" i="29"/>
  <c r="AB201" i="29"/>
  <c r="Z201" i="29"/>
  <c r="AB200" i="29"/>
  <c r="Z200" i="29"/>
  <c r="AB199" i="29"/>
  <c r="Z199" i="29"/>
  <c r="AB198" i="29"/>
  <c r="Z198" i="29"/>
  <c r="AB197" i="29"/>
  <c r="Z197" i="29"/>
  <c r="AB196" i="29"/>
  <c r="Z196" i="29"/>
  <c r="AC195" i="29"/>
  <c r="AB195" i="29"/>
  <c r="Z195" i="29"/>
  <c r="AC194" i="29"/>
  <c r="AB194" i="29"/>
  <c r="Z194" i="29"/>
  <c r="AC193" i="29"/>
  <c r="AB193" i="29"/>
  <c r="Z193" i="29"/>
  <c r="AC192" i="29"/>
  <c r="AB192" i="29"/>
  <c r="Z192" i="29"/>
  <c r="AC191" i="29"/>
  <c r="AB191" i="29"/>
  <c r="Z191" i="29"/>
  <c r="AC190" i="29"/>
  <c r="AB190" i="29"/>
  <c r="Z190" i="29"/>
  <c r="AC189" i="29"/>
  <c r="AB189" i="29"/>
  <c r="Z189" i="29"/>
  <c r="AC188" i="29"/>
  <c r="AB188" i="29"/>
  <c r="Z188" i="29"/>
  <c r="AC187" i="29"/>
  <c r="AB187" i="29"/>
  <c r="Z187" i="29"/>
  <c r="AC186" i="29"/>
  <c r="AB186" i="29"/>
  <c r="Z186" i="29"/>
  <c r="AC185" i="29"/>
  <c r="AB185" i="29"/>
  <c r="Z185" i="29"/>
  <c r="AC184" i="29"/>
  <c r="AB184" i="29"/>
  <c r="Z184" i="29"/>
  <c r="AC183" i="29"/>
  <c r="AB183" i="29"/>
  <c r="Z183" i="29"/>
  <c r="AC182" i="29"/>
  <c r="AB182" i="29"/>
  <c r="Z182" i="29"/>
  <c r="AC181" i="29"/>
  <c r="AB181" i="29"/>
  <c r="Z181" i="29"/>
  <c r="AC180" i="29"/>
  <c r="AB180" i="29"/>
  <c r="Z180" i="29"/>
  <c r="AC179" i="29"/>
  <c r="AB179" i="29"/>
  <c r="Z179" i="29"/>
  <c r="AC178" i="29"/>
  <c r="AB178" i="29"/>
  <c r="Z178" i="29"/>
  <c r="AC177" i="29"/>
  <c r="AB177" i="29"/>
  <c r="Z177" i="29"/>
  <c r="AC176" i="29"/>
  <c r="AB176" i="29"/>
  <c r="Z176" i="29"/>
  <c r="AC175" i="29"/>
  <c r="AB175" i="29"/>
  <c r="Z175" i="29"/>
  <c r="AC174" i="29"/>
  <c r="AB174" i="29"/>
  <c r="Z174" i="29"/>
  <c r="AC173" i="29"/>
  <c r="AB173" i="29"/>
  <c r="Z173" i="29"/>
  <c r="AC172" i="29"/>
  <c r="AB172" i="29"/>
  <c r="Z172" i="29"/>
  <c r="AC171" i="29"/>
  <c r="AB171" i="29"/>
  <c r="Z171" i="29"/>
  <c r="AC170" i="29"/>
  <c r="AB170" i="29"/>
  <c r="Z170" i="29"/>
  <c r="AC169" i="29"/>
  <c r="AB169" i="29"/>
  <c r="Z169" i="29"/>
  <c r="AC168" i="29"/>
  <c r="AB168" i="29"/>
  <c r="Z168" i="29"/>
  <c r="AC167" i="29"/>
  <c r="AB167" i="29"/>
  <c r="Z167" i="29"/>
  <c r="AC166" i="29"/>
  <c r="AB166" i="29"/>
  <c r="Z166" i="29"/>
  <c r="AC165" i="29"/>
  <c r="AB165" i="29"/>
  <c r="Z165" i="29"/>
  <c r="AC164" i="29"/>
  <c r="AB164" i="29"/>
  <c r="Z164" i="29"/>
  <c r="AC163" i="29"/>
  <c r="AB163" i="29"/>
  <c r="Z163" i="29"/>
  <c r="AC162" i="29"/>
  <c r="AB162" i="29"/>
  <c r="Z162" i="29"/>
  <c r="AC161" i="29"/>
  <c r="AB161" i="29"/>
  <c r="Z161" i="29"/>
  <c r="AC160" i="29"/>
  <c r="AB160" i="29"/>
  <c r="Z160" i="29"/>
  <c r="AC159" i="29"/>
  <c r="AB159" i="29"/>
  <c r="Z159" i="29"/>
  <c r="AC158" i="29"/>
  <c r="AB158" i="29"/>
  <c r="Z158" i="29"/>
  <c r="AC157" i="29"/>
  <c r="AB157" i="29"/>
  <c r="Z157" i="29"/>
  <c r="AC156" i="29"/>
  <c r="AB156" i="29"/>
  <c r="Z156" i="29"/>
  <c r="AC155" i="29"/>
  <c r="AB155" i="29"/>
  <c r="Z155" i="29"/>
  <c r="AC154" i="29"/>
  <c r="AB154" i="29"/>
  <c r="Z154" i="29"/>
  <c r="AC153" i="29"/>
  <c r="AA153" i="29"/>
  <c r="Z153" i="29"/>
  <c r="AC152" i="29"/>
  <c r="AA152" i="29"/>
  <c r="Z152" i="29"/>
  <c r="AC151" i="29"/>
  <c r="AA151" i="29"/>
  <c r="Z151" i="29"/>
  <c r="AC150" i="29"/>
  <c r="AA150" i="29"/>
  <c r="Z150" i="29"/>
  <c r="AC149" i="29"/>
  <c r="AA149" i="29"/>
  <c r="Z149" i="29"/>
  <c r="AC148" i="29"/>
  <c r="AA148" i="29"/>
  <c r="Z148" i="29"/>
  <c r="AC147" i="29"/>
  <c r="AA147" i="29"/>
  <c r="Z147" i="29"/>
  <c r="AC146" i="29"/>
  <c r="AA146" i="29"/>
  <c r="Z146" i="29"/>
  <c r="AC145" i="29"/>
  <c r="AA145" i="29"/>
  <c r="Z145" i="29"/>
  <c r="AC144" i="29"/>
  <c r="AA144" i="29"/>
  <c r="Z144" i="29"/>
  <c r="AC143" i="29"/>
  <c r="AA143" i="29"/>
  <c r="Z143" i="29"/>
  <c r="AC142" i="29"/>
  <c r="AA142" i="29"/>
  <c r="Z142" i="29"/>
  <c r="AC141" i="29"/>
  <c r="AA141" i="29"/>
  <c r="Z141" i="29"/>
  <c r="AC140" i="29"/>
  <c r="AA140" i="29"/>
  <c r="Z140" i="29"/>
  <c r="AC139" i="29"/>
  <c r="AA139" i="29"/>
  <c r="Z139" i="29"/>
  <c r="AC138" i="29"/>
  <c r="AA138" i="29"/>
  <c r="Z138" i="29"/>
  <c r="AC137" i="29"/>
  <c r="AA137" i="29"/>
  <c r="Z137" i="29"/>
  <c r="AC136" i="29"/>
  <c r="AA136" i="29"/>
  <c r="Z136" i="29"/>
  <c r="AM135" i="29"/>
  <c r="AL135" i="29"/>
  <c r="AI135" i="29"/>
  <c r="AH135" i="29"/>
  <c r="AG135" i="29"/>
  <c r="AF135" i="29"/>
  <c r="AE135" i="29"/>
  <c r="AD135" i="29"/>
  <c r="AB135" i="29"/>
  <c r="Z135" i="29"/>
  <c r="Y135" i="29"/>
  <c r="X135" i="29"/>
  <c r="W135" i="29"/>
  <c r="V135" i="29"/>
  <c r="AM134" i="29"/>
  <c r="AL134" i="29"/>
  <c r="AI134" i="29"/>
  <c r="AH134" i="29"/>
  <c r="AG134" i="29"/>
  <c r="AF134" i="29"/>
  <c r="AE134" i="29"/>
  <c r="AD134" i="29"/>
  <c r="AB134" i="29"/>
  <c r="Z134" i="29"/>
  <c r="Y134" i="29"/>
  <c r="X134" i="29"/>
  <c r="W134" i="29"/>
  <c r="V134" i="29"/>
  <c r="AM133" i="29"/>
  <c r="AL133" i="29"/>
  <c r="AI133" i="29"/>
  <c r="AH133" i="29"/>
  <c r="AG133" i="29"/>
  <c r="AF133" i="29"/>
  <c r="AE133" i="29"/>
  <c r="AD133" i="29"/>
  <c r="AB133" i="29"/>
  <c r="Z133" i="29"/>
  <c r="Y133" i="29"/>
  <c r="X133" i="29"/>
  <c r="W133" i="29"/>
  <c r="V133" i="29"/>
  <c r="AM132" i="29"/>
  <c r="AL132" i="29"/>
  <c r="AI132" i="29"/>
  <c r="AH132" i="29"/>
  <c r="AG132" i="29"/>
  <c r="AF132" i="29"/>
  <c r="AE132" i="29"/>
  <c r="AD132" i="29"/>
  <c r="AB132" i="29"/>
  <c r="Z132" i="29"/>
  <c r="Y132" i="29"/>
  <c r="X132" i="29"/>
  <c r="W132" i="29"/>
  <c r="V132" i="29"/>
  <c r="AM131" i="29"/>
  <c r="AL131" i="29"/>
  <c r="AI131" i="29"/>
  <c r="AH131" i="29"/>
  <c r="AG131" i="29"/>
  <c r="AF131" i="29"/>
  <c r="AE131" i="29"/>
  <c r="AD131" i="29"/>
  <c r="AB131" i="29"/>
  <c r="Z131" i="29"/>
  <c r="Y131" i="29"/>
  <c r="X131" i="29"/>
  <c r="W131" i="29"/>
  <c r="V131" i="29"/>
  <c r="AM130" i="29"/>
  <c r="AL130" i="29"/>
  <c r="AI130" i="29"/>
  <c r="AH130" i="29"/>
  <c r="AG130" i="29"/>
  <c r="AF130" i="29"/>
  <c r="AE130" i="29"/>
  <c r="AD130" i="29"/>
  <c r="AB130" i="29"/>
  <c r="Z130" i="29"/>
  <c r="Y130" i="29"/>
  <c r="X130" i="29"/>
  <c r="W130" i="29"/>
  <c r="V130" i="29"/>
  <c r="AM129" i="29"/>
  <c r="AL129" i="29"/>
  <c r="AI129" i="29"/>
  <c r="AH129" i="29"/>
  <c r="AG129" i="29"/>
  <c r="AF129" i="29"/>
  <c r="AE129" i="29"/>
  <c r="AD129" i="29"/>
  <c r="AB129" i="29"/>
  <c r="Z129" i="29"/>
  <c r="Y129" i="29"/>
  <c r="X129" i="29"/>
  <c r="W129" i="29"/>
  <c r="V129" i="29"/>
  <c r="AM128" i="29"/>
  <c r="AL128" i="29"/>
  <c r="AI128" i="29"/>
  <c r="AH128" i="29"/>
  <c r="AG128" i="29"/>
  <c r="AF128" i="29"/>
  <c r="AE128" i="29"/>
  <c r="AD128" i="29"/>
  <c r="AB128" i="29"/>
  <c r="Z128" i="29"/>
  <c r="Y128" i="29"/>
  <c r="X128" i="29"/>
  <c r="W128" i="29"/>
  <c r="V128" i="29"/>
  <c r="AM127" i="29"/>
  <c r="AL127" i="29"/>
  <c r="AI127" i="29"/>
  <c r="AH127" i="29"/>
  <c r="AG127" i="29"/>
  <c r="AF127" i="29"/>
  <c r="AE127" i="29"/>
  <c r="AD127" i="29"/>
  <c r="AB127" i="29"/>
  <c r="Z127" i="29"/>
  <c r="Y127" i="29"/>
  <c r="X127" i="29"/>
  <c r="W127" i="29"/>
  <c r="V127" i="29"/>
  <c r="AM126" i="29"/>
  <c r="AL126" i="29"/>
  <c r="AI126" i="29"/>
  <c r="AH126" i="29"/>
  <c r="AG126" i="29"/>
  <c r="AF126" i="29"/>
  <c r="AE126" i="29"/>
  <c r="AD126" i="29"/>
  <c r="AB126" i="29"/>
  <c r="Z126" i="29"/>
  <c r="Y126" i="29"/>
  <c r="X126" i="29"/>
  <c r="W126" i="29"/>
  <c r="V126" i="29"/>
  <c r="AM125" i="29"/>
  <c r="AL125" i="29"/>
  <c r="AI125" i="29"/>
  <c r="AH125" i="29"/>
  <c r="AG125" i="29"/>
  <c r="AF125" i="29"/>
  <c r="AE125" i="29"/>
  <c r="AD125" i="29"/>
  <c r="AB125" i="29"/>
  <c r="Z125" i="29"/>
  <c r="Y125" i="29"/>
  <c r="X125" i="29"/>
  <c r="W125" i="29"/>
  <c r="V125" i="29"/>
  <c r="AM124" i="29"/>
  <c r="AL124" i="29"/>
  <c r="AI124" i="29"/>
  <c r="AH124" i="29"/>
  <c r="AG124" i="29"/>
  <c r="AF124" i="29"/>
  <c r="AE124" i="29"/>
  <c r="AD124" i="29"/>
  <c r="AB124" i="29"/>
  <c r="Z124" i="29"/>
  <c r="Y124" i="29"/>
  <c r="X124" i="29"/>
  <c r="W124" i="29"/>
  <c r="V124" i="29"/>
  <c r="AM123" i="29"/>
  <c r="AL123" i="29"/>
  <c r="AI123" i="29"/>
  <c r="AH123" i="29"/>
  <c r="AG123" i="29"/>
  <c r="AF123" i="29"/>
  <c r="AE123" i="29"/>
  <c r="AD123" i="29"/>
  <c r="AB123" i="29"/>
  <c r="Z123" i="29"/>
  <c r="Y123" i="29"/>
  <c r="X123" i="29"/>
  <c r="W123" i="29"/>
  <c r="V123" i="29"/>
  <c r="AM122" i="29"/>
  <c r="AL122" i="29"/>
  <c r="AI122" i="29"/>
  <c r="AH122" i="29"/>
  <c r="AG122" i="29"/>
  <c r="AF122" i="29"/>
  <c r="AE122" i="29"/>
  <c r="AD122" i="29"/>
  <c r="AB122" i="29"/>
  <c r="Z122" i="29"/>
  <c r="Y122" i="29"/>
  <c r="X122" i="29"/>
  <c r="W122" i="29"/>
  <c r="V122" i="29"/>
  <c r="AM121" i="29"/>
  <c r="AL121" i="29"/>
  <c r="AI121" i="29"/>
  <c r="AH121" i="29"/>
  <c r="AG121" i="29"/>
  <c r="AF121" i="29"/>
  <c r="AE121" i="29"/>
  <c r="AD121" i="29"/>
  <c r="AB121" i="29"/>
  <c r="Z121" i="29"/>
  <c r="Y121" i="29"/>
  <c r="X121" i="29"/>
  <c r="W121" i="29"/>
  <c r="V121" i="29"/>
  <c r="AM120" i="29"/>
  <c r="AL120" i="29"/>
  <c r="AI120" i="29"/>
  <c r="AH120" i="29"/>
  <c r="AG120" i="29"/>
  <c r="AF120" i="29"/>
  <c r="AE120" i="29"/>
  <c r="AD120" i="29"/>
  <c r="AB120" i="29"/>
  <c r="Z120" i="29"/>
  <c r="Y120" i="29"/>
  <c r="X120" i="29"/>
  <c r="W120" i="29"/>
  <c r="V120" i="29"/>
  <c r="AM119" i="29"/>
  <c r="AL119" i="29"/>
  <c r="AI119" i="29"/>
  <c r="AH119" i="29"/>
  <c r="AG119" i="29"/>
  <c r="AF119" i="29"/>
  <c r="AE119" i="29"/>
  <c r="AD119" i="29"/>
  <c r="AB119" i="29"/>
  <c r="Z119" i="29"/>
  <c r="Y119" i="29"/>
  <c r="X119" i="29"/>
  <c r="W119" i="29"/>
  <c r="V119" i="29"/>
  <c r="AM118" i="29"/>
  <c r="AL118" i="29"/>
  <c r="AI118" i="29"/>
  <c r="AH118" i="29"/>
  <c r="AG118" i="29"/>
  <c r="AF118" i="29"/>
  <c r="AE118" i="29"/>
  <c r="AD118" i="29"/>
  <c r="AB118" i="29"/>
  <c r="Z118" i="29"/>
  <c r="Y118" i="29"/>
  <c r="X118" i="29"/>
  <c r="W118" i="29"/>
  <c r="V118" i="29"/>
  <c r="AM117" i="29"/>
  <c r="AL117" i="29"/>
  <c r="AI117" i="29"/>
  <c r="AH117" i="29"/>
  <c r="AG117" i="29"/>
  <c r="AF117" i="29"/>
  <c r="AE117" i="29"/>
  <c r="AD117" i="29"/>
  <c r="AB117" i="29"/>
  <c r="Z117" i="29"/>
  <c r="Y117" i="29"/>
  <c r="X117" i="29"/>
  <c r="W117" i="29"/>
  <c r="V117" i="29"/>
  <c r="AM116" i="29"/>
  <c r="AL116" i="29"/>
  <c r="AI116" i="29"/>
  <c r="AH116" i="29"/>
  <c r="AG116" i="29"/>
  <c r="AF116" i="29"/>
  <c r="AE116" i="29"/>
  <c r="AD116" i="29"/>
  <c r="AB116" i="29"/>
  <c r="Z116" i="29"/>
  <c r="Y116" i="29"/>
  <c r="X116" i="29"/>
  <c r="W116" i="29"/>
  <c r="V116" i="29"/>
  <c r="AM115" i="29"/>
  <c r="AL115" i="29"/>
  <c r="AI115" i="29"/>
  <c r="AH115" i="29"/>
  <c r="AG115" i="29"/>
  <c r="AF115" i="29"/>
  <c r="AE115" i="29"/>
  <c r="AD115" i="29"/>
  <c r="AB115" i="29"/>
  <c r="Z115" i="29"/>
  <c r="Y115" i="29"/>
  <c r="X115" i="29"/>
  <c r="W115" i="29"/>
  <c r="V115" i="29"/>
  <c r="AM114" i="29"/>
  <c r="AL114" i="29"/>
  <c r="AI114" i="29"/>
  <c r="AH114" i="29"/>
  <c r="AG114" i="29"/>
  <c r="AF114" i="29"/>
  <c r="AE114" i="29"/>
  <c r="AD114" i="29"/>
  <c r="AB114" i="29"/>
  <c r="Z114" i="29"/>
  <c r="Y114" i="29"/>
  <c r="X114" i="29"/>
  <c r="W114" i="29"/>
  <c r="V114" i="29"/>
  <c r="AM113" i="29"/>
  <c r="AL113" i="29"/>
  <c r="AI113" i="29"/>
  <c r="AH113" i="29"/>
  <c r="AG113" i="29"/>
  <c r="AF113" i="29"/>
  <c r="AE113" i="29"/>
  <c r="AD113" i="29"/>
  <c r="AB113" i="29"/>
  <c r="Z113" i="29"/>
  <c r="Y113" i="29"/>
  <c r="X113" i="29"/>
  <c r="W113" i="29"/>
  <c r="V113" i="29"/>
  <c r="AM112" i="29"/>
  <c r="AL112" i="29"/>
  <c r="AI112" i="29"/>
  <c r="AH112" i="29"/>
  <c r="AG112" i="29"/>
  <c r="AF112" i="29"/>
  <c r="AE112" i="29"/>
  <c r="AD112" i="29"/>
  <c r="AB112" i="29"/>
  <c r="Z112" i="29"/>
  <c r="Y112" i="29"/>
  <c r="X112" i="29"/>
  <c r="W112" i="29"/>
  <c r="V112" i="29"/>
  <c r="AM111" i="29"/>
  <c r="AL111" i="29"/>
  <c r="AI111" i="29"/>
  <c r="AH111" i="29"/>
  <c r="AG111" i="29"/>
  <c r="AF111" i="29"/>
  <c r="AE111" i="29"/>
  <c r="AD111" i="29"/>
  <c r="AB111" i="29"/>
  <c r="Z111" i="29"/>
  <c r="Y111" i="29"/>
  <c r="X111" i="29"/>
  <c r="W111" i="29"/>
  <c r="V111" i="29"/>
  <c r="AM110" i="29"/>
  <c r="AL110" i="29"/>
  <c r="AI110" i="29"/>
  <c r="AH110" i="29"/>
  <c r="AG110" i="29"/>
  <c r="AF110" i="29"/>
  <c r="AE110" i="29"/>
  <c r="AD110" i="29"/>
  <c r="AB110" i="29"/>
  <c r="Z110" i="29"/>
  <c r="Y110" i="29"/>
  <c r="X110" i="29"/>
  <c r="W110" i="29"/>
  <c r="V110" i="29"/>
  <c r="AM109" i="29"/>
  <c r="AL109" i="29"/>
  <c r="AI109" i="29"/>
  <c r="AH109" i="29"/>
  <c r="AG109" i="29"/>
  <c r="AF109" i="29"/>
  <c r="AE109" i="29"/>
  <c r="AD109" i="29"/>
  <c r="AB109" i="29"/>
  <c r="Z109" i="29"/>
  <c r="Y109" i="29"/>
  <c r="X109" i="29"/>
  <c r="W109" i="29"/>
  <c r="V109" i="29"/>
  <c r="AM108" i="29"/>
  <c r="AL108" i="29"/>
  <c r="AI108" i="29"/>
  <c r="AH108" i="29"/>
  <c r="AG108" i="29"/>
  <c r="AF108" i="29"/>
  <c r="AE108" i="29"/>
  <c r="AD108" i="29"/>
  <c r="AB108" i="29"/>
  <c r="Z108" i="29"/>
  <c r="Y108" i="29"/>
  <c r="X108" i="29"/>
  <c r="W108" i="29"/>
  <c r="V108" i="29"/>
  <c r="AM107" i="29"/>
  <c r="AL107" i="29"/>
  <c r="AI107" i="29"/>
  <c r="AH107" i="29"/>
  <c r="AG107" i="29"/>
  <c r="AF107" i="29"/>
  <c r="AE107" i="29"/>
  <c r="AD107" i="29"/>
  <c r="AB107" i="29"/>
  <c r="Z107" i="29"/>
  <c r="Y107" i="29"/>
  <c r="X107" i="29"/>
  <c r="W107" i="29"/>
  <c r="V107" i="29"/>
  <c r="AM106" i="29"/>
  <c r="AL106" i="29"/>
  <c r="AI106" i="29"/>
  <c r="AH106" i="29"/>
  <c r="AG106" i="29"/>
  <c r="AF106" i="29"/>
  <c r="AE106" i="29"/>
  <c r="AD106" i="29"/>
  <c r="AB106" i="29"/>
  <c r="Z106" i="29"/>
  <c r="Y106" i="29"/>
  <c r="X106" i="29"/>
  <c r="W106" i="29"/>
  <c r="V106" i="29"/>
  <c r="AM105" i="29"/>
  <c r="AL105" i="29"/>
  <c r="AI105" i="29"/>
  <c r="AH105" i="29"/>
  <c r="AG105" i="29"/>
  <c r="AF105" i="29"/>
  <c r="AE105" i="29"/>
  <c r="AD105" i="29"/>
  <c r="AB105" i="29"/>
  <c r="Z105" i="29"/>
  <c r="Y105" i="29"/>
  <c r="X105" i="29"/>
  <c r="W105" i="29"/>
  <c r="V105" i="29"/>
  <c r="AM104" i="29"/>
  <c r="AL104" i="29"/>
  <c r="AI104" i="29"/>
  <c r="AH104" i="29"/>
  <c r="AG104" i="29"/>
  <c r="AF104" i="29"/>
  <c r="AE104" i="29"/>
  <c r="AD104" i="29"/>
  <c r="AB104" i="29"/>
  <c r="Z104" i="29"/>
  <c r="Y104" i="29"/>
  <c r="X104" i="29"/>
  <c r="W104" i="29"/>
  <c r="V104" i="29"/>
  <c r="AM103" i="29"/>
  <c r="AL103" i="29"/>
  <c r="AI103" i="29"/>
  <c r="AH103" i="29"/>
  <c r="AG103" i="29"/>
  <c r="AF103" i="29"/>
  <c r="AE103" i="29"/>
  <c r="AD103" i="29"/>
  <c r="AB103" i="29"/>
  <c r="Z103" i="29"/>
  <c r="Y103" i="29"/>
  <c r="X103" i="29"/>
  <c r="W103" i="29"/>
  <c r="V103" i="29"/>
  <c r="AM102" i="29"/>
  <c r="AL102" i="29"/>
  <c r="AI102" i="29"/>
  <c r="AH102" i="29"/>
  <c r="AG102" i="29"/>
  <c r="AF102" i="29"/>
  <c r="AE102" i="29"/>
  <c r="AD102" i="29"/>
  <c r="AB102" i="29"/>
  <c r="Z102" i="29"/>
  <c r="Y102" i="29"/>
  <c r="X102" i="29"/>
  <c r="W102" i="29"/>
  <c r="V102" i="29"/>
  <c r="AM101" i="29"/>
  <c r="AL101" i="29"/>
  <c r="AI101" i="29"/>
  <c r="AH101" i="29"/>
  <c r="AG101" i="29"/>
  <c r="AF101" i="29"/>
  <c r="AE101" i="29"/>
  <c r="AD101" i="29"/>
  <c r="AB101" i="29"/>
  <c r="Z101" i="29"/>
  <c r="Y101" i="29"/>
  <c r="X101" i="29"/>
  <c r="W101" i="29"/>
  <c r="V101" i="29"/>
  <c r="AM100" i="29"/>
  <c r="AL100" i="29"/>
  <c r="AI100" i="29"/>
  <c r="AH100" i="29"/>
  <c r="AG100" i="29"/>
  <c r="AF100" i="29"/>
  <c r="AE100" i="29"/>
  <c r="AD100" i="29"/>
  <c r="AB100" i="29"/>
  <c r="Z100" i="29"/>
  <c r="Y100" i="29"/>
  <c r="X100" i="29"/>
  <c r="W100" i="29"/>
  <c r="V100" i="29"/>
  <c r="AM99" i="29"/>
  <c r="AL99" i="29"/>
  <c r="AI99" i="29"/>
  <c r="AH99" i="29"/>
  <c r="AG99" i="29"/>
  <c r="AF99" i="29"/>
  <c r="AE99" i="29"/>
  <c r="AD99" i="29"/>
  <c r="AB99" i="29"/>
  <c r="Z99" i="29"/>
  <c r="Y99" i="29"/>
  <c r="X99" i="29"/>
  <c r="W99" i="29"/>
  <c r="V99" i="29"/>
  <c r="AM98" i="29"/>
  <c r="AL98" i="29"/>
  <c r="AI98" i="29"/>
  <c r="AH98" i="29"/>
  <c r="AG98" i="29"/>
  <c r="AF98" i="29"/>
  <c r="AE98" i="29"/>
  <c r="AD98" i="29"/>
  <c r="AB98" i="29"/>
  <c r="Z98" i="29"/>
  <c r="Y98" i="29"/>
  <c r="X98" i="29"/>
  <c r="W98" i="29"/>
  <c r="V98" i="29"/>
  <c r="AM97" i="29"/>
  <c r="AL97" i="29"/>
  <c r="AI97" i="29"/>
  <c r="AH97" i="29"/>
  <c r="AG97" i="29"/>
  <c r="AF97" i="29"/>
  <c r="AE97" i="29"/>
  <c r="AD97" i="29"/>
  <c r="AB97" i="29"/>
  <c r="Z97" i="29"/>
  <c r="Y97" i="29"/>
  <c r="X97" i="29"/>
  <c r="W97" i="29"/>
  <c r="V97" i="29"/>
  <c r="AM96" i="29"/>
  <c r="AL96" i="29"/>
  <c r="AI96" i="29"/>
  <c r="AH96" i="29"/>
  <c r="AG96" i="29"/>
  <c r="AF96" i="29"/>
  <c r="AE96" i="29"/>
  <c r="AD96" i="29"/>
  <c r="AB96" i="29"/>
  <c r="Z96" i="29"/>
  <c r="Y96" i="29"/>
  <c r="X96" i="29"/>
  <c r="W96" i="29"/>
  <c r="V96" i="29"/>
  <c r="AM95" i="29"/>
  <c r="AL95" i="29"/>
  <c r="AI95" i="29"/>
  <c r="AH95" i="29"/>
  <c r="AG95" i="29"/>
  <c r="AF95" i="29"/>
  <c r="AE95" i="29"/>
  <c r="AD95" i="29"/>
  <c r="AB95" i="29"/>
  <c r="Z95" i="29"/>
  <c r="Y95" i="29"/>
  <c r="X95" i="29"/>
  <c r="W95" i="29"/>
  <c r="V95" i="29"/>
  <c r="AM94" i="29"/>
  <c r="AL94" i="29"/>
  <c r="AI94" i="29"/>
  <c r="AH94" i="29"/>
  <c r="AG94" i="29"/>
  <c r="AF94" i="29"/>
  <c r="AE94" i="29"/>
  <c r="AD94" i="29"/>
  <c r="AB94" i="29"/>
  <c r="Z94" i="29"/>
  <c r="Y94" i="29"/>
  <c r="X94" i="29"/>
  <c r="W94" i="29"/>
  <c r="V94" i="29"/>
  <c r="AM93" i="29"/>
  <c r="AL93" i="29"/>
  <c r="AI93" i="29"/>
  <c r="AH93" i="29"/>
  <c r="AG93" i="29"/>
  <c r="AF93" i="29"/>
  <c r="AE93" i="29"/>
  <c r="AD93" i="29"/>
  <c r="AB93" i="29"/>
  <c r="Z93" i="29"/>
  <c r="Y93" i="29"/>
  <c r="X93" i="29"/>
  <c r="W93" i="29"/>
  <c r="V93" i="29"/>
  <c r="AM92" i="29"/>
  <c r="AL92" i="29"/>
  <c r="AI92" i="29"/>
  <c r="AH92" i="29"/>
  <c r="AG92" i="29"/>
  <c r="AF92" i="29"/>
  <c r="AE92" i="29"/>
  <c r="AD92" i="29"/>
  <c r="AB92" i="29"/>
  <c r="Z92" i="29"/>
  <c r="Y92" i="29"/>
  <c r="X92" i="29"/>
  <c r="W92" i="29"/>
  <c r="V92" i="29"/>
  <c r="AM91" i="29"/>
  <c r="AL91" i="29"/>
  <c r="AI91" i="29"/>
  <c r="AH91" i="29"/>
  <c r="AG91" i="29"/>
  <c r="AF91" i="29"/>
  <c r="AE91" i="29"/>
  <c r="AD91" i="29"/>
  <c r="AB91" i="29"/>
  <c r="Z91" i="29"/>
  <c r="Y91" i="29"/>
  <c r="X91" i="29"/>
  <c r="W91" i="29"/>
  <c r="V91" i="29"/>
  <c r="AM90" i="29"/>
  <c r="AL90" i="29"/>
  <c r="AI90" i="29"/>
  <c r="AH90" i="29"/>
  <c r="AG90" i="29"/>
  <c r="AF90" i="29"/>
  <c r="AE90" i="29"/>
  <c r="AD90" i="29"/>
  <c r="AB90" i="29"/>
  <c r="Z90" i="29"/>
  <c r="Y90" i="29"/>
  <c r="X90" i="29"/>
  <c r="W90" i="29"/>
  <c r="V90" i="29"/>
  <c r="AM89" i="29"/>
  <c r="AL89" i="29"/>
  <c r="AI89" i="29"/>
  <c r="AH89" i="29"/>
  <c r="AG89" i="29"/>
  <c r="AF89" i="29"/>
  <c r="AE89" i="29"/>
  <c r="AD89" i="29"/>
  <c r="AB89" i="29"/>
  <c r="Z89" i="29"/>
  <c r="Y89" i="29"/>
  <c r="X89" i="29"/>
  <c r="W89" i="29"/>
  <c r="V89" i="29"/>
  <c r="AM88" i="29"/>
  <c r="AL88" i="29"/>
  <c r="AI88" i="29"/>
  <c r="AH88" i="29"/>
  <c r="AG88" i="29"/>
  <c r="AF88" i="29"/>
  <c r="AE88" i="29"/>
  <c r="AD88" i="29"/>
  <c r="AB88" i="29"/>
  <c r="Z88" i="29"/>
  <c r="Y88" i="29"/>
  <c r="X88" i="29"/>
  <c r="W88" i="29"/>
  <c r="V88" i="29"/>
  <c r="AM87" i="29"/>
  <c r="AL87" i="29"/>
  <c r="AI87" i="29"/>
  <c r="AH87" i="29"/>
  <c r="AG87" i="29"/>
  <c r="AF87" i="29"/>
  <c r="AE87" i="29"/>
  <c r="AD87" i="29"/>
  <c r="AB87" i="29"/>
  <c r="Z87" i="29"/>
  <c r="Y87" i="29"/>
  <c r="X87" i="29"/>
  <c r="W87" i="29"/>
  <c r="V87" i="29"/>
  <c r="AM86" i="29"/>
  <c r="AL86" i="29"/>
  <c r="AI86" i="29"/>
  <c r="AH86" i="29"/>
  <c r="AG86" i="29"/>
  <c r="AF86" i="29"/>
  <c r="AE86" i="29"/>
  <c r="AD86" i="29"/>
  <c r="AB86" i="29"/>
  <c r="Z86" i="29"/>
  <c r="Y86" i="29"/>
  <c r="X86" i="29"/>
  <c r="W86" i="29"/>
  <c r="V86" i="29"/>
  <c r="AM85" i="29"/>
  <c r="AL85" i="29"/>
  <c r="AI85" i="29"/>
  <c r="AH85" i="29"/>
  <c r="AG85" i="29"/>
  <c r="AF85" i="29"/>
  <c r="AE85" i="29"/>
  <c r="AD85" i="29"/>
  <c r="AB85" i="29"/>
  <c r="Z85" i="29"/>
  <c r="Y85" i="29"/>
  <c r="X85" i="29"/>
  <c r="W85" i="29"/>
  <c r="V85" i="29"/>
  <c r="AM84" i="29"/>
  <c r="AL84" i="29"/>
  <c r="AI84" i="29"/>
  <c r="AH84" i="29"/>
  <c r="AG84" i="29"/>
  <c r="AF84" i="29"/>
  <c r="AE84" i="29"/>
  <c r="AD84" i="29"/>
  <c r="AB84" i="29"/>
  <c r="Z84" i="29"/>
  <c r="Y84" i="29"/>
  <c r="X84" i="29"/>
  <c r="W84" i="29"/>
  <c r="V84" i="29"/>
  <c r="AM83" i="29"/>
  <c r="AL83" i="29"/>
  <c r="AI83" i="29"/>
  <c r="AH83" i="29"/>
  <c r="AG83" i="29"/>
  <c r="AF83" i="29"/>
  <c r="AE83" i="29"/>
  <c r="AD83" i="29"/>
  <c r="AB83" i="29"/>
  <c r="Z83" i="29"/>
  <c r="Y83" i="29"/>
  <c r="X83" i="29"/>
  <c r="W83" i="29"/>
  <c r="V83" i="29"/>
  <c r="AM82" i="29"/>
  <c r="AL82" i="29"/>
  <c r="AI82" i="29"/>
  <c r="AH82" i="29"/>
  <c r="AG82" i="29"/>
  <c r="AF82" i="29"/>
  <c r="AE82" i="29"/>
  <c r="AD82" i="29"/>
  <c r="AB82" i="29"/>
  <c r="Z82" i="29"/>
  <c r="Y82" i="29"/>
  <c r="X82" i="29"/>
  <c r="W82" i="29"/>
  <c r="V82" i="29"/>
  <c r="AM81" i="29"/>
  <c r="AL81" i="29"/>
  <c r="AM80" i="29"/>
  <c r="AL80" i="29"/>
  <c r="AM79" i="29"/>
  <c r="AL79" i="29"/>
  <c r="AM78" i="29"/>
  <c r="AL78" i="29"/>
  <c r="AM77" i="29"/>
  <c r="AL77" i="29"/>
  <c r="AM76" i="29"/>
  <c r="AL76" i="29"/>
  <c r="AM75" i="29"/>
  <c r="AL75" i="29"/>
  <c r="AM74" i="29"/>
  <c r="AL74" i="29"/>
  <c r="AM73" i="29"/>
  <c r="AL73" i="29"/>
  <c r="AM72" i="29"/>
  <c r="AL72" i="29"/>
  <c r="Q72" i="29"/>
  <c r="AM71" i="29"/>
  <c r="AL71" i="29"/>
  <c r="Q71" i="29"/>
  <c r="AM70" i="29"/>
  <c r="AL70" i="29"/>
  <c r="Q70" i="29"/>
  <c r="AM69" i="29"/>
  <c r="AL69" i="29"/>
  <c r="Q69" i="29"/>
  <c r="AM68" i="29"/>
  <c r="AL68" i="29"/>
  <c r="Q68" i="29"/>
  <c r="AM67" i="29"/>
  <c r="AL67" i="29"/>
  <c r="AM66" i="29"/>
  <c r="AL66" i="29"/>
  <c r="AM65" i="29"/>
  <c r="AL65" i="29"/>
  <c r="AM64" i="29"/>
  <c r="AL64" i="29"/>
  <c r="F12" i="29"/>
  <c r="BR60" i="29"/>
  <c r="F11" i="29"/>
  <c r="BZ51" i="29"/>
  <c r="F10" i="29"/>
  <c r="BY51" i="29"/>
  <c r="F9" i="29"/>
  <c r="BX51" i="29"/>
  <c r="F8" i="29"/>
  <c r="BW51" i="29"/>
  <c r="C25" i="29"/>
  <c r="BR59" i="29"/>
  <c r="CA51" i="29"/>
  <c r="C24" i="29"/>
  <c r="BR58" i="29"/>
  <c r="C23" i="29"/>
  <c r="BR57" i="29"/>
  <c r="C22" i="29"/>
  <c r="BR56" i="29"/>
  <c r="C21" i="29"/>
  <c r="BR49" i="29"/>
  <c r="BR48" i="29"/>
  <c r="BR47" i="29"/>
  <c r="BR46" i="29"/>
  <c r="BR45" i="29"/>
  <c r="CA40" i="29"/>
  <c r="BZ40" i="29"/>
  <c r="BY40" i="29"/>
  <c r="BX40" i="29"/>
  <c r="BW40" i="29"/>
  <c r="C38" i="29"/>
  <c r="C37" i="29"/>
  <c r="C36" i="29"/>
  <c r="C35" i="29"/>
  <c r="C34" i="29"/>
  <c r="C33" i="29"/>
  <c r="C32" i="29"/>
  <c r="C31" i="29"/>
  <c r="C30" i="29"/>
  <c r="J25" i="29"/>
  <c r="I25" i="29"/>
  <c r="H25" i="29"/>
  <c r="G25" i="29"/>
  <c r="F25" i="29"/>
  <c r="E25" i="29"/>
  <c r="D25" i="29"/>
  <c r="J24" i="29"/>
  <c r="I24" i="29"/>
  <c r="H24" i="29"/>
  <c r="G24" i="29"/>
  <c r="F24" i="29"/>
  <c r="E24" i="29"/>
  <c r="D24" i="29"/>
  <c r="J23" i="29"/>
  <c r="I23" i="29"/>
  <c r="H23" i="29"/>
  <c r="G23" i="29"/>
  <c r="F23" i="29"/>
  <c r="E23" i="29"/>
  <c r="D23" i="29"/>
  <c r="J22" i="29"/>
  <c r="I22" i="29"/>
  <c r="H22" i="29"/>
  <c r="G22" i="29"/>
  <c r="F22" i="29"/>
  <c r="E22" i="29"/>
  <c r="D22" i="29"/>
  <c r="J21" i="29"/>
  <c r="I21" i="29"/>
  <c r="H21" i="29"/>
  <c r="G21" i="29"/>
  <c r="F21" i="29"/>
  <c r="E21" i="29"/>
  <c r="D21" i="29"/>
  <c r="J20" i="29"/>
  <c r="I20" i="29"/>
  <c r="H20" i="29"/>
  <c r="G20" i="29"/>
  <c r="F20" i="29"/>
  <c r="E20" i="29"/>
  <c r="D20" i="29"/>
  <c r="J19" i="29"/>
  <c r="I19" i="29"/>
  <c r="H19" i="29"/>
  <c r="G19" i="29"/>
  <c r="F19" i="29"/>
  <c r="E19" i="29"/>
  <c r="D19" i="29"/>
  <c r="J18" i="29"/>
  <c r="I18" i="29"/>
  <c r="H18" i="29"/>
  <c r="G18" i="29"/>
  <c r="F18" i="29"/>
  <c r="E18" i="29"/>
  <c r="D18" i="29"/>
  <c r="J17" i="29"/>
  <c r="I17" i="29"/>
  <c r="H17" i="29"/>
  <c r="G17" i="29"/>
  <c r="F17" i="29"/>
  <c r="E17" i="29"/>
  <c r="D17" i="29"/>
  <c r="F14" i="29"/>
  <c r="B13" i="29"/>
  <c r="B14" i="29"/>
  <c r="BA13" i="27"/>
  <c r="BB13" i="27"/>
  <c r="BC13" i="27"/>
  <c r="BA14" i="27"/>
  <c r="BB14" i="27"/>
  <c r="BC14" i="27"/>
  <c r="BA15" i="27"/>
  <c r="BB15" i="27"/>
  <c r="BC15" i="27"/>
  <c r="BA16" i="27"/>
  <c r="BB16" i="27"/>
  <c r="BC16" i="27"/>
  <c r="BA17" i="27"/>
  <c r="BB17" i="27"/>
  <c r="BC17" i="27"/>
  <c r="BA18" i="27"/>
  <c r="BB18" i="27"/>
  <c r="BC18" i="27"/>
  <c r="BA19" i="27"/>
  <c r="BB19" i="27"/>
  <c r="BC19" i="27"/>
  <c r="BA20" i="27"/>
  <c r="BB20" i="27"/>
  <c r="BC20" i="27"/>
  <c r="BA21" i="27"/>
  <c r="BB21" i="27"/>
  <c r="BC21" i="27"/>
  <c r="BA22" i="27"/>
  <c r="BB22" i="27"/>
  <c r="BC22" i="27"/>
  <c r="BA23" i="27"/>
  <c r="BB23" i="27"/>
  <c r="BC23" i="27"/>
  <c r="BA24" i="27"/>
  <c r="BB24" i="27"/>
  <c r="BC24" i="27"/>
  <c r="BA25" i="27"/>
  <c r="BB25" i="27"/>
  <c r="BC25" i="27"/>
  <c r="BA26" i="27"/>
  <c r="BB26" i="27"/>
  <c r="BC26" i="27"/>
  <c r="BA27" i="27"/>
  <c r="BB27" i="27"/>
  <c r="BC27" i="27"/>
  <c r="BA28" i="27"/>
  <c r="BB28" i="27"/>
  <c r="BC28" i="27"/>
  <c r="BA29" i="27"/>
  <c r="BB29" i="27"/>
  <c r="BC29" i="27"/>
  <c r="AC165" i="28"/>
  <c r="AB165" i="28"/>
  <c r="AC164" i="28"/>
  <c r="AB164" i="28"/>
  <c r="AC163" i="28"/>
  <c r="AB163" i="28"/>
  <c r="AC162" i="28"/>
  <c r="AB162" i="28"/>
  <c r="AC161" i="28"/>
  <c r="AB161" i="28"/>
  <c r="AC160" i="28"/>
  <c r="AB160" i="28"/>
  <c r="AC159" i="28"/>
  <c r="AB159" i="28"/>
  <c r="AC158" i="28"/>
  <c r="AB158" i="28"/>
  <c r="AC157" i="28"/>
  <c r="AB157" i="28"/>
  <c r="AC156" i="28"/>
  <c r="AB156" i="28"/>
  <c r="AC155" i="28"/>
  <c r="AB155" i="28"/>
  <c r="AC154" i="28"/>
  <c r="AB154" i="28"/>
  <c r="Z165" i="28"/>
  <c r="Z164" i="28"/>
  <c r="Z163" i="28"/>
  <c r="Z162" i="28"/>
  <c r="Z161" i="28"/>
  <c r="Z160" i="28"/>
  <c r="Z159" i="28"/>
  <c r="Z158" i="28"/>
  <c r="Z157" i="28"/>
  <c r="Z156" i="28"/>
  <c r="Z155" i="28"/>
  <c r="Z154" i="28"/>
  <c r="S29" i="27"/>
  <c r="S28" i="27"/>
  <c r="S27" i="27"/>
  <c r="S26" i="27"/>
  <c r="S25" i="27"/>
  <c r="S23" i="27"/>
  <c r="S22" i="27"/>
  <c r="S20" i="27"/>
  <c r="S19" i="27"/>
  <c r="S17" i="27"/>
  <c r="S16" i="27"/>
  <c r="S14" i="27"/>
  <c r="S13" i="27"/>
  <c r="AM93" i="28"/>
  <c r="AL93" i="28"/>
  <c r="AM92" i="28"/>
  <c r="AL92" i="28"/>
  <c r="AM91" i="28"/>
  <c r="AL91" i="28"/>
  <c r="AM90" i="28"/>
  <c r="AL90" i="28"/>
  <c r="AM89" i="28"/>
  <c r="AL89" i="28"/>
  <c r="AM88" i="28"/>
  <c r="AL88" i="28"/>
  <c r="AM87" i="28"/>
  <c r="AL87" i="28"/>
  <c r="AM86" i="28"/>
  <c r="AL86" i="28"/>
  <c r="AM85" i="28"/>
  <c r="AL85" i="28"/>
  <c r="AM84" i="28"/>
  <c r="AL84" i="28"/>
  <c r="AM83" i="28"/>
  <c r="AL83" i="28"/>
  <c r="AM82" i="28"/>
  <c r="AL82" i="28"/>
  <c r="AI93" i="28"/>
  <c r="AH93" i="28"/>
  <c r="AG93" i="28"/>
  <c r="AF93" i="28"/>
  <c r="AE93" i="28"/>
  <c r="AD93" i="28"/>
  <c r="AI92" i="28"/>
  <c r="AH92" i="28"/>
  <c r="AG92" i="28"/>
  <c r="AF92" i="28"/>
  <c r="AE92" i="28"/>
  <c r="AD92" i="28"/>
  <c r="AI91" i="28"/>
  <c r="AH91" i="28"/>
  <c r="AG91" i="28"/>
  <c r="AF91" i="28"/>
  <c r="AE91" i="28"/>
  <c r="AD91" i="28"/>
  <c r="AI90" i="28"/>
  <c r="AH90" i="28"/>
  <c r="AG90" i="28"/>
  <c r="AF90" i="28"/>
  <c r="AE90" i="28"/>
  <c r="AD90" i="28"/>
  <c r="AI89" i="28"/>
  <c r="AH89" i="28"/>
  <c r="AG89" i="28"/>
  <c r="AF89" i="28"/>
  <c r="AE89" i="28"/>
  <c r="AD89" i="28"/>
  <c r="AI88" i="28"/>
  <c r="AH88" i="28"/>
  <c r="AG88" i="28"/>
  <c r="AF88" i="28"/>
  <c r="AE88" i="28"/>
  <c r="AD88" i="28"/>
  <c r="AI87" i="28"/>
  <c r="AH87" i="28"/>
  <c r="AG87" i="28"/>
  <c r="AF87" i="28"/>
  <c r="AE87" i="28"/>
  <c r="AD87" i="28"/>
  <c r="AI86" i="28"/>
  <c r="AH86" i="28"/>
  <c r="AG86" i="28"/>
  <c r="AF86" i="28"/>
  <c r="AE86" i="28"/>
  <c r="AD86" i="28"/>
  <c r="AI85" i="28"/>
  <c r="AH85" i="28"/>
  <c r="AG85" i="28"/>
  <c r="AF85" i="28"/>
  <c r="AE85" i="28"/>
  <c r="AD85" i="28"/>
  <c r="AI84" i="28"/>
  <c r="AH84" i="28"/>
  <c r="AG84" i="28"/>
  <c r="AF84" i="28"/>
  <c r="AE84" i="28"/>
  <c r="AD84" i="28"/>
  <c r="AI83" i="28"/>
  <c r="AH83" i="28"/>
  <c r="AG83" i="28"/>
  <c r="AF83" i="28"/>
  <c r="AE83" i="28"/>
  <c r="AD83" i="28"/>
  <c r="AI82" i="28"/>
  <c r="AH82" i="28"/>
  <c r="AG82" i="28"/>
  <c r="AF82" i="28"/>
  <c r="AE82" i="28"/>
  <c r="AD82" i="28"/>
  <c r="AB93" i="28"/>
  <c r="AB92" i="28"/>
  <c r="AB91" i="28"/>
  <c r="AB90" i="28"/>
  <c r="AB89" i="28"/>
  <c r="AB88" i="28"/>
  <c r="AB87" i="28"/>
  <c r="AB86" i="28"/>
  <c r="AB85" i="28"/>
  <c r="AB84" i="28"/>
  <c r="AB83" i="28"/>
  <c r="AB82" i="28"/>
  <c r="Z93" i="28"/>
  <c r="Y93" i="28"/>
  <c r="X93" i="28"/>
  <c r="W93" i="28"/>
  <c r="V93" i="28"/>
  <c r="Z92" i="28"/>
  <c r="Y92" i="28"/>
  <c r="X92" i="28"/>
  <c r="W92" i="28"/>
  <c r="V92" i="28"/>
  <c r="Z91" i="28"/>
  <c r="Y91" i="28"/>
  <c r="X91" i="28"/>
  <c r="W91" i="28"/>
  <c r="V91" i="28"/>
  <c r="Z90" i="28"/>
  <c r="Y90" i="28"/>
  <c r="X90" i="28"/>
  <c r="W90" i="28"/>
  <c r="V90" i="28"/>
  <c r="Z89" i="28"/>
  <c r="Y89" i="28"/>
  <c r="X89" i="28"/>
  <c r="W89" i="28"/>
  <c r="V89" i="28"/>
  <c r="Z88" i="28"/>
  <c r="Y88" i="28"/>
  <c r="X88" i="28"/>
  <c r="W88" i="28"/>
  <c r="V88" i="28"/>
  <c r="Z87" i="28"/>
  <c r="Y87" i="28"/>
  <c r="X87" i="28"/>
  <c r="W87" i="28"/>
  <c r="V87" i="28"/>
  <c r="Z86" i="28"/>
  <c r="Y86" i="28"/>
  <c r="X86" i="28"/>
  <c r="W86" i="28"/>
  <c r="V86" i="28"/>
  <c r="Z85" i="28"/>
  <c r="Y85" i="28"/>
  <c r="X85" i="28"/>
  <c r="W85" i="28"/>
  <c r="V85" i="28"/>
  <c r="Z84" i="28"/>
  <c r="Y84" i="28"/>
  <c r="X84" i="28"/>
  <c r="W84" i="28"/>
  <c r="V84" i="28"/>
  <c r="Z83" i="28"/>
  <c r="Y83" i="28"/>
  <c r="X83" i="28"/>
  <c r="W83" i="28"/>
  <c r="V83" i="28"/>
  <c r="Z82" i="28"/>
  <c r="Y82" i="28"/>
  <c r="X82" i="28"/>
  <c r="W82" i="28"/>
  <c r="V82" i="28"/>
  <c r="Q68" i="28"/>
  <c r="Q69" i="28"/>
  <c r="AB207" i="28"/>
  <c r="Z207" i="28"/>
  <c r="AB206" i="28"/>
  <c r="Z206" i="28"/>
  <c r="AB205" i="28"/>
  <c r="Z205" i="28"/>
  <c r="AB204" i="28"/>
  <c r="Z204" i="28"/>
  <c r="AB203" i="28"/>
  <c r="Z203" i="28"/>
  <c r="AB202" i="28"/>
  <c r="Z202" i="28"/>
  <c r="AB201" i="28"/>
  <c r="Z201" i="28"/>
  <c r="AB200" i="28"/>
  <c r="Z200" i="28"/>
  <c r="AB199" i="28"/>
  <c r="Z199" i="28"/>
  <c r="AB198" i="28"/>
  <c r="Z198" i="28"/>
  <c r="AB197" i="28"/>
  <c r="Z197" i="28"/>
  <c r="AB196" i="28"/>
  <c r="Z196" i="28"/>
  <c r="AC195" i="28"/>
  <c r="AB195" i="28"/>
  <c r="Z195" i="28"/>
  <c r="AC194" i="28"/>
  <c r="AB194" i="28"/>
  <c r="Z194" i="28"/>
  <c r="AC193" i="28"/>
  <c r="AB193" i="28"/>
  <c r="Z193" i="28"/>
  <c r="AC192" i="28"/>
  <c r="AB192" i="28"/>
  <c r="Z192" i="28"/>
  <c r="AC191" i="28"/>
  <c r="AB191" i="28"/>
  <c r="Z191" i="28"/>
  <c r="AC190" i="28"/>
  <c r="AB190" i="28"/>
  <c r="Z190" i="28"/>
  <c r="AC189" i="28"/>
  <c r="AB189" i="28"/>
  <c r="Z189" i="28"/>
  <c r="AC188" i="28"/>
  <c r="AB188" i="28"/>
  <c r="Z188" i="28"/>
  <c r="AC187" i="28"/>
  <c r="AB187" i="28"/>
  <c r="Z187" i="28"/>
  <c r="AC186" i="28"/>
  <c r="AB186" i="28"/>
  <c r="Z186" i="28"/>
  <c r="AC185" i="28"/>
  <c r="AB185" i="28"/>
  <c r="Z185" i="28"/>
  <c r="AC184" i="28"/>
  <c r="AB184" i="28"/>
  <c r="Z184" i="28"/>
  <c r="AC183" i="28"/>
  <c r="AB183" i="28"/>
  <c r="Z183" i="28"/>
  <c r="AC182" i="28"/>
  <c r="AB182" i="28"/>
  <c r="Z182" i="28"/>
  <c r="AC181" i="28"/>
  <c r="AB181" i="28"/>
  <c r="Z181" i="28"/>
  <c r="AC180" i="28"/>
  <c r="AB180" i="28"/>
  <c r="Z180" i="28"/>
  <c r="AC179" i="28"/>
  <c r="AB179" i="28"/>
  <c r="Z179" i="28"/>
  <c r="AC178" i="28"/>
  <c r="AB178" i="28"/>
  <c r="Z178" i="28"/>
  <c r="AC177" i="28"/>
  <c r="AB177" i="28"/>
  <c r="Z177" i="28"/>
  <c r="AC176" i="28"/>
  <c r="AB176" i="28"/>
  <c r="Z176" i="28"/>
  <c r="AC175" i="28"/>
  <c r="AB175" i="28"/>
  <c r="Z175" i="28"/>
  <c r="AC174" i="28"/>
  <c r="AB174" i="28"/>
  <c r="Z174" i="28"/>
  <c r="AC173" i="28"/>
  <c r="AB173" i="28"/>
  <c r="Z173" i="28"/>
  <c r="AC172" i="28"/>
  <c r="AB172" i="28"/>
  <c r="Z172" i="28"/>
  <c r="AC171" i="28"/>
  <c r="AB171" i="28"/>
  <c r="Z171" i="28"/>
  <c r="AC170" i="28"/>
  <c r="AB170" i="28"/>
  <c r="Z170" i="28"/>
  <c r="AC169" i="28"/>
  <c r="AB169" i="28"/>
  <c r="Z169" i="28"/>
  <c r="AC168" i="28"/>
  <c r="AB168" i="28"/>
  <c r="Z168" i="28"/>
  <c r="AC167" i="28"/>
  <c r="AB167" i="28"/>
  <c r="Z167" i="28"/>
  <c r="AC166" i="28"/>
  <c r="AB166" i="28"/>
  <c r="Z166" i="28"/>
  <c r="AC153" i="28"/>
  <c r="AA153" i="28"/>
  <c r="Z153" i="28"/>
  <c r="AC152" i="28"/>
  <c r="AA152" i="28"/>
  <c r="Z152" i="28"/>
  <c r="AC151" i="28"/>
  <c r="AA151" i="28"/>
  <c r="Z151" i="28"/>
  <c r="AC150" i="28"/>
  <c r="AA150" i="28"/>
  <c r="Z150" i="28"/>
  <c r="AC149" i="28"/>
  <c r="AA149" i="28"/>
  <c r="Z149" i="28"/>
  <c r="AC148" i="28"/>
  <c r="AA148" i="28"/>
  <c r="Z148" i="28"/>
  <c r="AC147" i="28"/>
  <c r="AA147" i="28"/>
  <c r="Z147" i="28"/>
  <c r="AC146" i="28"/>
  <c r="AA146" i="28"/>
  <c r="Z146" i="28"/>
  <c r="AC145" i="28"/>
  <c r="AA145" i="28"/>
  <c r="Z145" i="28"/>
  <c r="AC144" i="28"/>
  <c r="AA144" i="28"/>
  <c r="Z144" i="28"/>
  <c r="AC143" i="28"/>
  <c r="AA143" i="28"/>
  <c r="Z143" i="28"/>
  <c r="AC142" i="28"/>
  <c r="AA142" i="28"/>
  <c r="Z142" i="28"/>
  <c r="AC141" i="28"/>
  <c r="AA141" i="28"/>
  <c r="Z141" i="28"/>
  <c r="AC140" i="28"/>
  <c r="AA140" i="28"/>
  <c r="Z140" i="28"/>
  <c r="AC139" i="28"/>
  <c r="AA139" i="28"/>
  <c r="Z139" i="28"/>
  <c r="AC138" i="28"/>
  <c r="AA138" i="28"/>
  <c r="Z138" i="28"/>
  <c r="AC137" i="28"/>
  <c r="AA137" i="28"/>
  <c r="Z137" i="28"/>
  <c r="AC136" i="28"/>
  <c r="AA136" i="28"/>
  <c r="Z136" i="28"/>
  <c r="AM135" i="28"/>
  <c r="AL135" i="28"/>
  <c r="AI135" i="28"/>
  <c r="AH135" i="28"/>
  <c r="AG135" i="28"/>
  <c r="AF135" i="28"/>
  <c r="AE135" i="28"/>
  <c r="AD135" i="28"/>
  <c r="AB135" i="28"/>
  <c r="Z135" i="28"/>
  <c r="Y135" i="28"/>
  <c r="X135" i="28"/>
  <c r="W135" i="28"/>
  <c r="V135" i="28"/>
  <c r="AM134" i="28"/>
  <c r="AL134" i="28"/>
  <c r="AI134" i="28"/>
  <c r="AH134" i="28"/>
  <c r="AG134" i="28"/>
  <c r="AF134" i="28"/>
  <c r="AE134" i="28"/>
  <c r="AD134" i="28"/>
  <c r="AB134" i="28"/>
  <c r="Z134" i="28"/>
  <c r="Y134" i="28"/>
  <c r="X134" i="28"/>
  <c r="W134" i="28"/>
  <c r="V134" i="28"/>
  <c r="AM133" i="28"/>
  <c r="AL133" i="28"/>
  <c r="AI133" i="28"/>
  <c r="AH133" i="28"/>
  <c r="AG133" i="28"/>
  <c r="AF133" i="28"/>
  <c r="AE133" i="28"/>
  <c r="AD133" i="28"/>
  <c r="AB133" i="28"/>
  <c r="Z133" i="28"/>
  <c r="Y133" i="28"/>
  <c r="X133" i="28"/>
  <c r="W133" i="28"/>
  <c r="V133" i="28"/>
  <c r="AM132" i="28"/>
  <c r="AL132" i="28"/>
  <c r="AI132" i="28"/>
  <c r="AH132" i="28"/>
  <c r="AG132" i="28"/>
  <c r="AF132" i="28"/>
  <c r="AE132" i="28"/>
  <c r="AD132" i="28"/>
  <c r="AB132" i="28"/>
  <c r="Z132" i="28"/>
  <c r="Y132" i="28"/>
  <c r="X132" i="28"/>
  <c r="W132" i="28"/>
  <c r="V132" i="28"/>
  <c r="AM131" i="28"/>
  <c r="AL131" i="28"/>
  <c r="AI131" i="28"/>
  <c r="AH131" i="28"/>
  <c r="AG131" i="28"/>
  <c r="AF131" i="28"/>
  <c r="AE131" i="28"/>
  <c r="AD131" i="28"/>
  <c r="AB131" i="28"/>
  <c r="Z131" i="28"/>
  <c r="Y131" i="28"/>
  <c r="X131" i="28"/>
  <c r="W131" i="28"/>
  <c r="V131" i="28"/>
  <c r="AM130" i="28"/>
  <c r="AL130" i="28"/>
  <c r="AI130" i="28"/>
  <c r="AH130" i="28"/>
  <c r="AG130" i="28"/>
  <c r="AF130" i="28"/>
  <c r="AE130" i="28"/>
  <c r="AD130" i="28"/>
  <c r="AB130" i="28"/>
  <c r="Z130" i="28"/>
  <c r="Y130" i="28"/>
  <c r="X130" i="28"/>
  <c r="W130" i="28"/>
  <c r="V130" i="28"/>
  <c r="AM129" i="28"/>
  <c r="AL129" i="28"/>
  <c r="AI129" i="28"/>
  <c r="AH129" i="28"/>
  <c r="AG129" i="28"/>
  <c r="AF129" i="28"/>
  <c r="AE129" i="28"/>
  <c r="AD129" i="28"/>
  <c r="AB129" i="28"/>
  <c r="Z129" i="28"/>
  <c r="Y129" i="28"/>
  <c r="X129" i="28"/>
  <c r="W129" i="28"/>
  <c r="V129" i="28"/>
  <c r="AM128" i="28"/>
  <c r="AL128" i="28"/>
  <c r="AI128" i="28"/>
  <c r="AH128" i="28"/>
  <c r="AG128" i="28"/>
  <c r="AF128" i="28"/>
  <c r="AE128" i="28"/>
  <c r="AD128" i="28"/>
  <c r="AB128" i="28"/>
  <c r="Z128" i="28"/>
  <c r="Y128" i="28"/>
  <c r="X128" i="28"/>
  <c r="W128" i="28"/>
  <c r="V128" i="28"/>
  <c r="AM127" i="28"/>
  <c r="AL127" i="28"/>
  <c r="AI127" i="28"/>
  <c r="AH127" i="28"/>
  <c r="AG127" i="28"/>
  <c r="AF127" i="28"/>
  <c r="AE127" i="28"/>
  <c r="AD127" i="28"/>
  <c r="AB127" i="28"/>
  <c r="Z127" i="28"/>
  <c r="Y127" i="28"/>
  <c r="X127" i="28"/>
  <c r="W127" i="28"/>
  <c r="V127" i="28"/>
  <c r="AM126" i="28"/>
  <c r="AL126" i="28"/>
  <c r="AI126" i="28"/>
  <c r="AH126" i="28"/>
  <c r="AG126" i="28"/>
  <c r="AF126" i="28"/>
  <c r="AE126" i="28"/>
  <c r="AD126" i="28"/>
  <c r="AB126" i="28"/>
  <c r="Z126" i="28"/>
  <c r="Y126" i="28"/>
  <c r="X126" i="28"/>
  <c r="W126" i="28"/>
  <c r="V126" i="28"/>
  <c r="AM125" i="28"/>
  <c r="AL125" i="28"/>
  <c r="AI125" i="28"/>
  <c r="AH125" i="28"/>
  <c r="AG125" i="28"/>
  <c r="AF125" i="28"/>
  <c r="AE125" i="28"/>
  <c r="AD125" i="28"/>
  <c r="AB125" i="28"/>
  <c r="Z125" i="28"/>
  <c r="Y125" i="28"/>
  <c r="X125" i="28"/>
  <c r="W125" i="28"/>
  <c r="V125" i="28"/>
  <c r="AM124" i="28"/>
  <c r="AL124" i="28"/>
  <c r="AI124" i="28"/>
  <c r="AH124" i="28"/>
  <c r="AG124" i="28"/>
  <c r="AF124" i="28"/>
  <c r="AE124" i="28"/>
  <c r="AD124" i="28"/>
  <c r="AB124" i="28"/>
  <c r="Z124" i="28"/>
  <c r="Y124" i="28"/>
  <c r="X124" i="28"/>
  <c r="W124" i="28"/>
  <c r="V124" i="28"/>
  <c r="AM123" i="28"/>
  <c r="AL123" i="28"/>
  <c r="AI123" i="28"/>
  <c r="AH123" i="28"/>
  <c r="AG123" i="28"/>
  <c r="AF123" i="28"/>
  <c r="AE123" i="28"/>
  <c r="AD123" i="28"/>
  <c r="AB123" i="28"/>
  <c r="Z123" i="28"/>
  <c r="Y123" i="28"/>
  <c r="X123" i="28"/>
  <c r="W123" i="28"/>
  <c r="V123" i="28"/>
  <c r="AM122" i="28"/>
  <c r="AL122" i="28"/>
  <c r="AI122" i="28"/>
  <c r="AH122" i="28"/>
  <c r="AG122" i="28"/>
  <c r="AF122" i="28"/>
  <c r="AE122" i="28"/>
  <c r="AD122" i="28"/>
  <c r="AB122" i="28"/>
  <c r="Z122" i="28"/>
  <c r="Y122" i="28"/>
  <c r="X122" i="28"/>
  <c r="W122" i="28"/>
  <c r="V122" i="28"/>
  <c r="AM121" i="28"/>
  <c r="AL121" i="28"/>
  <c r="AI121" i="28"/>
  <c r="AH121" i="28"/>
  <c r="AG121" i="28"/>
  <c r="AF121" i="28"/>
  <c r="AE121" i="28"/>
  <c r="AD121" i="28"/>
  <c r="AB121" i="28"/>
  <c r="Z121" i="28"/>
  <c r="Y121" i="28"/>
  <c r="X121" i="28"/>
  <c r="W121" i="28"/>
  <c r="V121" i="28"/>
  <c r="AM120" i="28"/>
  <c r="AL120" i="28"/>
  <c r="AI120" i="28"/>
  <c r="AH120" i="28"/>
  <c r="AG120" i="28"/>
  <c r="AF120" i="28"/>
  <c r="AE120" i="28"/>
  <c r="AD120" i="28"/>
  <c r="AB120" i="28"/>
  <c r="Z120" i="28"/>
  <c r="Y120" i="28"/>
  <c r="X120" i="28"/>
  <c r="W120" i="28"/>
  <c r="V120" i="28"/>
  <c r="AM119" i="28"/>
  <c r="AL119" i="28"/>
  <c r="AI119" i="28"/>
  <c r="AH119" i="28"/>
  <c r="AG119" i="28"/>
  <c r="AF119" i="28"/>
  <c r="AE119" i="28"/>
  <c r="AD119" i="28"/>
  <c r="AB119" i="28"/>
  <c r="Z119" i="28"/>
  <c r="Y119" i="28"/>
  <c r="X119" i="28"/>
  <c r="W119" i="28"/>
  <c r="V119" i="28"/>
  <c r="AM118" i="28"/>
  <c r="AL118" i="28"/>
  <c r="AI118" i="28"/>
  <c r="AH118" i="28"/>
  <c r="AG118" i="28"/>
  <c r="AF118" i="28"/>
  <c r="AE118" i="28"/>
  <c r="AD118" i="28"/>
  <c r="AB118" i="28"/>
  <c r="Z118" i="28"/>
  <c r="Y118" i="28"/>
  <c r="X118" i="28"/>
  <c r="W118" i="28"/>
  <c r="V118" i="28"/>
  <c r="AM117" i="28"/>
  <c r="AL117" i="28"/>
  <c r="AI117" i="28"/>
  <c r="AH117" i="28"/>
  <c r="AG117" i="28"/>
  <c r="AF117" i="28"/>
  <c r="AE117" i="28"/>
  <c r="AD117" i="28"/>
  <c r="AB117" i="28"/>
  <c r="Z117" i="28"/>
  <c r="Y117" i="28"/>
  <c r="X117" i="28"/>
  <c r="W117" i="28"/>
  <c r="V117" i="28"/>
  <c r="AM116" i="28"/>
  <c r="AL116" i="28"/>
  <c r="AI116" i="28"/>
  <c r="AH116" i="28"/>
  <c r="AG116" i="28"/>
  <c r="AF116" i="28"/>
  <c r="AE116" i="28"/>
  <c r="AD116" i="28"/>
  <c r="AB116" i="28"/>
  <c r="Z116" i="28"/>
  <c r="Y116" i="28"/>
  <c r="X116" i="28"/>
  <c r="W116" i="28"/>
  <c r="V116" i="28"/>
  <c r="AM115" i="28"/>
  <c r="AL115" i="28"/>
  <c r="AI115" i="28"/>
  <c r="AH115" i="28"/>
  <c r="AG115" i="28"/>
  <c r="AF115" i="28"/>
  <c r="AE115" i="28"/>
  <c r="AD115" i="28"/>
  <c r="AB115" i="28"/>
  <c r="Z115" i="28"/>
  <c r="Y115" i="28"/>
  <c r="X115" i="28"/>
  <c r="W115" i="28"/>
  <c r="V115" i="28"/>
  <c r="AM114" i="28"/>
  <c r="AL114" i="28"/>
  <c r="AI114" i="28"/>
  <c r="AH114" i="28"/>
  <c r="AG114" i="28"/>
  <c r="AF114" i="28"/>
  <c r="AE114" i="28"/>
  <c r="AD114" i="28"/>
  <c r="AB114" i="28"/>
  <c r="Z114" i="28"/>
  <c r="Y114" i="28"/>
  <c r="X114" i="28"/>
  <c r="W114" i="28"/>
  <c r="V114" i="28"/>
  <c r="AM113" i="28"/>
  <c r="AL113" i="28"/>
  <c r="AI113" i="28"/>
  <c r="AH113" i="28"/>
  <c r="AG113" i="28"/>
  <c r="AF113" i="28"/>
  <c r="AE113" i="28"/>
  <c r="AD113" i="28"/>
  <c r="AB113" i="28"/>
  <c r="Z113" i="28"/>
  <c r="Y113" i="28"/>
  <c r="X113" i="28"/>
  <c r="W113" i="28"/>
  <c r="V113" i="28"/>
  <c r="AM112" i="28"/>
  <c r="AL112" i="28"/>
  <c r="AI112" i="28"/>
  <c r="AH112" i="28"/>
  <c r="AG112" i="28"/>
  <c r="AF112" i="28"/>
  <c r="AE112" i="28"/>
  <c r="AD112" i="28"/>
  <c r="AB112" i="28"/>
  <c r="Z112" i="28"/>
  <c r="Y112" i="28"/>
  <c r="X112" i="28"/>
  <c r="W112" i="28"/>
  <c r="V112" i="28"/>
  <c r="AM111" i="28"/>
  <c r="AL111" i="28"/>
  <c r="AI111" i="28"/>
  <c r="AH111" i="28"/>
  <c r="AG111" i="28"/>
  <c r="AF111" i="28"/>
  <c r="AE111" i="28"/>
  <c r="AD111" i="28"/>
  <c r="AB111" i="28"/>
  <c r="Z111" i="28"/>
  <c r="Y111" i="28"/>
  <c r="X111" i="28"/>
  <c r="W111" i="28"/>
  <c r="V111" i="28"/>
  <c r="AM110" i="28"/>
  <c r="AL110" i="28"/>
  <c r="AI110" i="28"/>
  <c r="AH110" i="28"/>
  <c r="AG110" i="28"/>
  <c r="AF110" i="28"/>
  <c r="AE110" i="28"/>
  <c r="AD110" i="28"/>
  <c r="AB110" i="28"/>
  <c r="Z110" i="28"/>
  <c r="Y110" i="28"/>
  <c r="X110" i="28"/>
  <c r="W110" i="28"/>
  <c r="V110" i="28"/>
  <c r="AM109" i="28"/>
  <c r="AL109" i="28"/>
  <c r="AI109" i="28"/>
  <c r="AH109" i="28"/>
  <c r="AG109" i="28"/>
  <c r="AF109" i="28"/>
  <c r="AE109" i="28"/>
  <c r="AD109" i="28"/>
  <c r="AB109" i="28"/>
  <c r="Z109" i="28"/>
  <c r="Y109" i="28"/>
  <c r="X109" i="28"/>
  <c r="W109" i="28"/>
  <c r="V109" i="28"/>
  <c r="AM108" i="28"/>
  <c r="AL108" i="28"/>
  <c r="AI108" i="28"/>
  <c r="AH108" i="28"/>
  <c r="AG108" i="28"/>
  <c r="AF108" i="28"/>
  <c r="AE108" i="28"/>
  <c r="AD108" i="28"/>
  <c r="AB108" i="28"/>
  <c r="Z108" i="28"/>
  <c r="Y108" i="28"/>
  <c r="X108" i="28"/>
  <c r="W108" i="28"/>
  <c r="V108" i="28"/>
  <c r="AM107" i="28"/>
  <c r="AL107" i="28"/>
  <c r="AI107" i="28"/>
  <c r="AH107" i="28"/>
  <c r="AG107" i="28"/>
  <c r="AF107" i="28"/>
  <c r="AE107" i="28"/>
  <c r="AD107" i="28"/>
  <c r="AB107" i="28"/>
  <c r="Z107" i="28"/>
  <c r="Y107" i="28"/>
  <c r="X107" i="28"/>
  <c r="W107" i="28"/>
  <c r="V107" i="28"/>
  <c r="AM106" i="28"/>
  <c r="AL106" i="28"/>
  <c r="AI106" i="28"/>
  <c r="AH106" i="28"/>
  <c r="AG106" i="28"/>
  <c r="AF106" i="28"/>
  <c r="AE106" i="28"/>
  <c r="AD106" i="28"/>
  <c r="AB106" i="28"/>
  <c r="Z106" i="28"/>
  <c r="Y106" i="28"/>
  <c r="X106" i="28"/>
  <c r="W106" i="28"/>
  <c r="V106" i="28"/>
  <c r="AM105" i="28"/>
  <c r="AL105" i="28"/>
  <c r="AI105" i="28"/>
  <c r="AH105" i="28"/>
  <c r="AG105" i="28"/>
  <c r="AF105" i="28"/>
  <c r="AE105" i="28"/>
  <c r="AD105" i="28"/>
  <c r="AB105" i="28"/>
  <c r="Z105" i="28"/>
  <c r="Y105" i="28"/>
  <c r="X105" i="28"/>
  <c r="W105" i="28"/>
  <c r="V105" i="28"/>
  <c r="AM104" i="28"/>
  <c r="AL104" i="28"/>
  <c r="AI104" i="28"/>
  <c r="AH104" i="28"/>
  <c r="AG104" i="28"/>
  <c r="AF104" i="28"/>
  <c r="AE104" i="28"/>
  <c r="AD104" i="28"/>
  <c r="AB104" i="28"/>
  <c r="Z104" i="28"/>
  <c r="Y104" i="28"/>
  <c r="X104" i="28"/>
  <c r="W104" i="28"/>
  <c r="V104" i="28"/>
  <c r="AM103" i="28"/>
  <c r="AL103" i="28"/>
  <c r="AI103" i="28"/>
  <c r="AH103" i="28"/>
  <c r="AG103" i="28"/>
  <c r="AF103" i="28"/>
  <c r="AE103" i="28"/>
  <c r="AD103" i="28"/>
  <c r="AB103" i="28"/>
  <c r="Z103" i="28"/>
  <c r="Y103" i="28"/>
  <c r="X103" i="28"/>
  <c r="W103" i="28"/>
  <c r="V103" i="28"/>
  <c r="AM102" i="28"/>
  <c r="AL102" i="28"/>
  <c r="AI102" i="28"/>
  <c r="AH102" i="28"/>
  <c r="AG102" i="28"/>
  <c r="AF102" i="28"/>
  <c r="AE102" i="28"/>
  <c r="AD102" i="28"/>
  <c r="AB102" i="28"/>
  <c r="Z102" i="28"/>
  <c r="Y102" i="28"/>
  <c r="X102" i="28"/>
  <c r="W102" i="28"/>
  <c r="V102" i="28"/>
  <c r="AM101" i="28"/>
  <c r="AL101" i="28"/>
  <c r="AI101" i="28"/>
  <c r="AH101" i="28"/>
  <c r="AG101" i="28"/>
  <c r="AF101" i="28"/>
  <c r="AE101" i="28"/>
  <c r="AD101" i="28"/>
  <c r="AB101" i="28"/>
  <c r="Z101" i="28"/>
  <c r="Y101" i="28"/>
  <c r="X101" i="28"/>
  <c r="W101" i="28"/>
  <c r="V101" i="28"/>
  <c r="AM100" i="28"/>
  <c r="AL100" i="28"/>
  <c r="AI100" i="28"/>
  <c r="AH100" i="28"/>
  <c r="AG100" i="28"/>
  <c r="AF100" i="28"/>
  <c r="AE100" i="28"/>
  <c r="AD100" i="28"/>
  <c r="AB100" i="28"/>
  <c r="Z100" i="28"/>
  <c r="Y100" i="28"/>
  <c r="X100" i="28"/>
  <c r="W100" i="28"/>
  <c r="V100" i="28"/>
  <c r="AM99" i="28"/>
  <c r="AL99" i="28"/>
  <c r="AI99" i="28"/>
  <c r="AH99" i="28"/>
  <c r="AG99" i="28"/>
  <c r="AF99" i="28"/>
  <c r="AE99" i="28"/>
  <c r="AD99" i="28"/>
  <c r="AB99" i="28"/>
  <c r="Z99" i="28"/>
  <c r="Y99" i="28"/>
  <c r="X99" i="28"/>
  <c r="W99" i="28"/>
  <c r="V99" i="28"/>
  <c r="AM98" i="28"/>
  <c r="AL98" i="28"/>
  <c r="AI98" i="28"/>
  <c r="AH98" i="28"/>
  <c r="AG98" i="28"/>
  <c r="AF98" i="28"/>
  <c r="AE98" i="28"/>
  <c r="AD98" i="28"/>
  <c r="AB98" i="28"/>
  <c r="Z98" i="28"/>
  <c r="Y98" i="28"/>
  <c r="X98" i="28"/>
  <c r="W98" i="28"/>
  <c r="V98" i="28"/>
  <c r="AM97" i="28"/>
  <c r="AL97" i="28"/>
  <c r="AI97" i="28"/>
  <c r="AH97" i="28"/>
  <c r="AG97" i="28"/>
  <c r="AF97" i="28"/>
  <c r="AE97" i="28"/>
  <c r="AD97" i="28"/>
  <c r="AB97" i="28"/>
  <c r="Z97" i="28"/>
  <c r="Y97" i="28"/>
  <c r="X97" i="28"/>
  <c r="W97" i="28"/>
  <c r="V97" i="28"/>
  <c r="AM96" i="28"/>
  <c r="AL96" i="28"/>
  <c r="AI96" i="28"/>
  <c r="AH96" i="28"/>
  <c r="AG96" i="28"/>
  <c r="AF96" i="28"/>
  <c r="AE96" i="28"/>
  <c r="AD96" i="28"/>
  <c r="AB96" i="28"/>
  <c r="Z96" i="28"/>
  <c r="Y96" i="28"/>
  <c r="X96" i="28"/>
  <c r="W96" i="28"/>
  <c r="V96" i="28"/>
  <c r="AM95" i="28"/>
  <c r="AL95" i="28"/>
  <c r="AI95" i="28"/>
  <c r="AH95" i="28"/>
  <c r="AG95" i="28"/>
  <c r="AF95" i="28"/>
  <c r="AE95" i="28"/>
  <c r="AD95" i="28"/>
  <c r="AB95" i="28"/>
  <c r="Z95" i="28"/>
  <c r="Y95" i="28"/>
  <c r="X95" i="28"/>
  <c r="W95" i="28"/>
  <c r="V95" i="28"/>
  <c r="AM94" i="28"/>
  <c r="AL94" i="28"/>
  <c r="AI94" i="28"/>
  <c r="AH94" i="28"/>
  <c r="AG94" i="28"/>
  <c r="AF94" i="28"/>
  <c r="AE94" i="28"/>
  <c r="AD94" i="28"/>
  <c r="AB94" i="28"/>
  <c r="Z94" i="28"/>
  <c r="Y94" i="28"/>
  <c r="X94" i="28"/>
  <c r="W94" i="28"/>
  <c r="V94" i="28"/>
  <c r="AM81" i="28"/>
  <c r="AL81" i="28"/>
  <c r="AC81" i="28"/>
  <c r="AB81" i="28"/>
  <c r="Z81" i="28"/>
  <c r="AM80" i="28"/>
  <c r="AL80" i="28"/>
  <c r="AC80" i="28"/>
  <c r="AB80" i="28"/>
  <c r="Z80" i="28"/>
  <c r="AM79" i="28"/>
  <c r="AL79" i="28"/>
  <c r="AC79" i="28"/>
  <c r="AB79" i="28"/>
  <c r="Z79" i="28"/>
  <c r="AM78" i="28"/>
  <c r="AL78" i="28"/>
  <c r="AC78" i="28"/>
  <c r="AB78" i="28"/>
  <c r="Z78" i="28"/>
  <c r="AM77" i="28"/>
  <c r="AL77" i="28"/>
  <c r="AC77" i="28"/>
  <c r="AB77" i="28"/>
  <c r="Z77" i="28"/>
  <c r="AM76" i="28"/>
  <c r="AL76" i="28"/>
  <c r="AC76" i="28"/>
  <c r="AB76" i="28"/>
  <c r="Z76" i="28"/>
  <c r="AM75" i="28"/>
  <c r="AL75" i="28"/>
  <c r="AC75" i="28"/>
  <c r="AB75" i="28"/>
  <c r="Z75" i="28"/>
  <c r="AM74" i="28"/>
  <c r="AL74" i="28"/>
  <c r="AC74" i="28"/>
  <c r="AB74" i="28"/>
  <c r="Z74" i="28"/>
  <c r="AM73" i="28"/>
  <c r="AL73" i="28"/>
  <c r="AC73" i="28"/>
  <c r="AB73" i="28"/>
  <c r="Z73" i="28"/>
  <c r="AM72" i="28"/>
  <c r="AL72" i="28"/>
  <c r="AC72" i="28"/>
  <c r="AB72" i="28"/>
  <c r="Z72" i="28"/>
  <c r="Q72" i="28"/>
  <c r="AM71" i="28"/>
  <c r="AL71" i="28"/>
  <c r="AC71" i="28"/>
  <c r="AB71" i="28"/>
  <c r="Z71" i="28"/>
  <c r="Q71" i="28"/>
  <c r="AM70" i="28"/>
  <c r="AL70" i="28"/>
  <c r="AC70" i="28"/>
  <c r="AB70" i="28"/>
  <c r="Z70" i="28"/>
  <c r="Q70" i="28"/>
  <c r="AM69" i="28"/>
  <c r="AL69" i="28"/>
  <c r="AC69" i="28"/>
  <c r="AB69" i="28"/>
  <c r="Z69" i="28"/>
  <c r="AM68" i="28"/>
  <c r="AL68" i="28"/>
  <c r="AC68" i="28"/>
  <c r="AB68" i="28"/>
  <c r="Z68" i="28"/>
  <c r="AM67" i="28"/>
  <c r="AL67" i="28"/>
  <c r="AC67" i="28"/>
  <c r="AB67" i="28"/>
  <c r="Z67" i="28"/>
  <c r="AM66" i="28"/>
  <c r="AL66" i="28"/>
  <c r="AC66" i="28"/>
  <c r="AB66" i="28"/>
  <c r="Z66" i="28"/>
  <c r="AM65" i="28"/>
  <c r="AL65" i="28"/>
  <c r="AC65" i="28"/>
  <c r="AB65" i="28"/>
  <c r="Z65" i="28"/>
  <c r="AM64" i="28"/>
  <c r="AL64" i="28"/>
  <c r="AC64" i="28"/>
  <c r="AB64" i="28"/>
  <c r="Z64" i="28"/>
  <c r="F12" i="28"/>
  <c r="BR60" i="28"/>
  <c r="F11" i="28"/>
  <c r="BZ51" i="28"/>
  <c r="F10" i="28"/>
  <c r="BY51" i="28"/>
  <c r="F9" i="28"/>
  <c r="BX51" i="28"/>
  <c r="F8" i="28"/>
  <c r="BW51" i="28"/>
  <c r="C25" i="28"/>
  <c r="BR59" i="28"/>
  <c r="CA51" i="28"/>
  <c r="C24" i="28"/>
  <c r="BR58" i="28"/>
  <c r="C23" i="28"/>
  <c r="BR57" i="28"/>
  <c r="C22" i="28"/>
  <c r="BR56" i="28"/>
  <c r="C21" i="28"/>
  <c r="BP56" i="28" a="1"/>
  <c r="BP56" i="28"/>
  <c r="BO56" i="28" a="1"/>
  <c r="BO56" i="28"/>
  <c r="BN56" i="28" a="1"/>
  <c r="BN56" i="28"/>
  <c r="BM56" i="28" a="1"/>
  <c r="BM56" i="28"/>
  <c r="BL56" i="28" a="1"/>
  <c r="BL56" i="28"/>
  <c r="BK56" i="28" a="1"/>
  <c r="BK56" i="28"/>
  <c r="BJ56" i="28" a="1"/>
  <c r="BJ56" i="28"/>
  <c r="BI56" i="28" a="1"/>
  <c r="BI56" i="28"/>
  <c r="BH56" i="28" a="1"/>
  <c r="BH56" i="28"/>
  <c r="BG56" i="28" a="1"/>
  <c r="BG56" i="28"/>
  <c r="BF56" i="28" a="1"/>
  <c r="BF56" i="28"/>
  <c r="BE56" i="28" a="1"/>
  <c r="BE56" i="28"/>
  <c r="BD56" i="28" a="1"/>
  <c r="BD56" i="28"/>
  <c r="BC56" i="28" a="1"/>
  <c r="BC56" i="28"/>
  <c r="BB56" i="28" a="1"/>
  <c r="BB56" i="28"/>
  <c r="BA56" i="28" a="1"/>
  <c r="BA56" i="28"/>
  <c r="AZ56" i="28" a="1"/>
  <c r="AZ56" i="28"/>
  <c r="AY56" i="28" a="1"/>
  <c r="AY56" i="28"/>
  <c r="AX56" i="28" a="1"/>
  <c r="AX56" i="28"/>
  <c r="AW56" i="28" a="1"/>
  <c r="AW56" i="28"/>
  <c r="AV56" i="28" a="1"/>
  <c r="AV56" i="28"/>
  <c r="AU56" i="28" a="1"/>
  <c r="AU56" i="28"/>
  <c r="AT56" i="28" a="1"/>
  <c r="AT56" i="28"/>
  <c r="AS56" i="28" a="1"/>
  <c r="AS56" i="28"/>
  <c r="AR56" i="28" a="1"/>
  <c r="AR56" i="28"/>
  <c r="AQ56" i="28" a="1"/>
  <c r="AQ56" i="28"/>
  <c r="AP56" i="28" a="1"/>
  <c r="AP56" i="28"/>
  <c r="AO56" i="28" a="1"/>
  <c r="AO56" i="28"/>
  <c r="AN56" i="28" a="1"/>
  <c r="AN56" i="28"/>
  <c r="AM56" i="28" a="1"/>
  <c r="AM56" i="28"/>
  <c r="AL56" i="28" a="1"/>
  <c r="AL56" i="28"/>
  <c r="AK56" i="28" a="1"/>
  <c r="AK56" i="28"/>
  <c r="AJ56" i="28" a="1"/>
  <c r="AJ56" i="28"/>
  <c r="AI56" i="28" a="1"/>
  <c r="AI56" i="28"/>
  <c r="AH56" i="28" a="1"/>
  <c r="AH56" i="28"/>
  <c r="AG56" i="28" a="1"/>
  <c r="AG56" i="28"/>
  <c r="AF56" i="28" a="1"/>
  <c r="AF56" i="28"/>
  <c r="AE56" i="28" a="1"/>
  <c r="AE56" i="28"/>
  <c r="AD56" i="28" a="1"/>
  <c r="AD56" i="28"/>
  <c r="AC56" i="28" a="1"/>
  <c r="AC56" i="28"/>
  <c r="AB56" i="28" a="1"/>
  <c r="AB56" i="28"/>
  <c r="AA56" i="28" a="1"/>
  <c r="AA56" i="28"/>
  <c r="Z56" i="28" a="1"/>
  <c r="Z56" i="28"/>
  <c r="Y56" i="28" a="1"/>
  <c r="Y56" i="28"/>
  <c r="X56" i="28" a="1"/>
  <c r="X56" i="28"/>
  <c r="W56" i="28" a="1"/>
  <c r="W56" i="28"/>
  <c r="V56" i="28" a="1"/>
  <c r="V56" i="28"/>
  <c r="U56" i="28" a="1"/>
  <c r="U56" i="28"/>
  <c r="T56" i="28" a="1"/>
  <c r="T56" i="28"/>
  <c r="S56" i="28" a="1"/>
  <c r="S56" i="28"/>
  <c r="R56" i="28" a="1"/>
  <c r="R56" i="28"/>
  <c r="Q56" i="28" a="1"/>
  <c r="Q56" i="28"/>
  <c r="P56" i="28" a="1"/>
  <c r="P56" i="28"/>
  <c r="O56" i="28" a="1"/>
  <c r="O56" i="28"/>
  <c r="N56" i="28" a="1"/>
  <c r="N56" i="28"/>
  <c r="M56" i="28" a="1"/>
  <c r="M56" i="28"/>
  <c r="L56" i="28" a="1"/>
  <c r="L56" i="28"/>
  <c r="K56" i="28" a="1"/>
  <c r="K56" i="28"/>
  <c r="J56" i="28" a="1"/>
  <c r="J56" i="28"/>
  <c r="I56" i="28" a="1"/>
  <c r="I56" i="28"/>
  <c r="H56" i="28" a="1"/>
  <c r="H56" i="28"/>
  <c r="G56" i="28" a="1"/>
  <c r="G56" i="28"/>
  <c r="F56" i="28" a="1"/>
  <c r="F56" i="28"/>
  <c r="E56" i="28" a="1"/>
  <c r="E56" i="28"/>
  <c r="BP55" i="28" a="1"/>
  <c r="BP55" i="28"/>
  <c r="BO55" i="28" a="1"/>
  <c r="BO55" i="28"/>
  <c r="BN55" i="28" a="1"/>
  <c r="BN55" i="28"/>
  <c r="BM55" i="28" a="1"/>
  <c r="BM55" i="28"/>
  <c r="BL55" i="28" a="1"/>
  <c r="BL55" i="28"/>
  <c r="BK55" i="28" a="1"/>
  <c r="BK55" i="28"/>
  <c r="BJ55" i="28" a="1"/>
  <c r="BJ55" i="28"/>
  <c r="BI55" i="28" a="1"/>
  <c r="BI55" i="28"/>
  <c r="BH55" i="28" a="1"/>
  <c r="BH55" i="28"/>
  <c r="BG55" i="28" a="1"/>
  <c r="BG55" i="28"/>
  <c r="BF55" i="28" a="1"/>
  <c r="BF55" i="28"/>
  <c r="BE55" i="28" a="1"/>
  <c r="BE55" i="28"/>
  <c r="BD55" i="28" a="1"/>
  <c r="BD55" i="28"/>
  <c r="BC55" i="28" a="1"/>
  <c r="BC55" i="28"/>
  <c r="BB55" i="28" a="1"/>
  <c r="BB55" i="28"/>
  <c r="BA55" i="28" a="1"/>
  <c r="BA55" i="28"/>
  <c r="AZ55" i="28" a="1"/>
  <c r="AZ55" i="28"/>
  <c r="AY55" i="28" a="1"/>
  <c r="AY55" i="28"/>
  <c r="AX55" i="28" a="1"/>
  <c r="AX55" i="28"/>
  <c r="AW55" i="28" a="1"/>
  <c r="AW55" i="28"/>
  <c r="AV55" i="28" a="1"/>
  <c r="AV55" i="28"/>
  <c r="AU55" i="28" a="1"/>
  <c r="AU55" i="28"/>
  <c r="AT55" i="28" a="1"/>
  <c r="AT55" i="28"/>
  <c r="AS55" i="28" a="1"/>
  <c r="AS55" i="28"/>
  <c r="AR55" i="28" a="1"/>
  <c r="AR55" i="28"/>
  <c r="AQ55" i="28" a="1"/>
  <c r="AQ55" i="28"/>
  <c r="AP55" i="28" a="1"/>
  <c r="AP55" i="28"/>
  <c r="AO55" i="28" a="1"/>
  <c r="AO55" i="28"/>
  <c r="AN55" i="28" a="1"/>
  <c r="AN55" i="28"/>
  <c r="AM55" i="28" a="1"/>
  <c r="AM55" i="28"/>
  <c r="AL55" i="28" a="1"/>
  <c r="AL55" i="28"/>
  <c r="AK55" i="28" a="1"/>
  <c r="AK55" i="28"/>
  <c r="AJ55" i="28" a="1"/>
  <c r="AJ55" i="28"/>
  <c r="AI55" i="28" a="1"/>
  <c r="AI55" i="28"/>
  <c r="AH55" i="28" a="1"/>
  <c r="AH55" i="28"/>
  <c r="AG55" i="28" a="1"/>
  <c r="AG55" i="28"/>
  <c r="AF55" i="28" a="1"/>
  <c r="AF55" i="28"/>
  <c r="AE55" i="28" a="1"/>
  <c r="AE55" i="28"/>
  <c r="AD55" i="28" a="1"/>
  <c r="AD55" i="28"/>
  <c r="AC55" i="28" a="1"/>
  <c r="AC55" i="28"/>
  <c r="AB55" i="28" a="1"/>
  <c r="AB55" i="28"/>
  <c r="AA55" i="28" a="1"/>
  <c r="AA55" i="28"/>
  <c r="Z55" i="28" a="1"/>
  <c r="Z55" i="28"/>
  <c r="Y55" i="28" a="1"/>
  <c r="Y55" i="28"/>
  <c r="X55" i="28" a="1"/>
  <c r="X55" i="28"/>
  <c r="W55" i="28" a="1"/>
  <c r="W55" i="28"/>
  <c r="V55" i="28" a="1"/>
  <c r="V55" i="28"/>
  <c r="U55" i="28" a="1"/>
  <c r="U55" i="28"/>
  <c r="T55" i="28" a="1"/>
  <c r="T55" i="28"/>
  <c r="S55" i="28" a="1"/>
  <c r="S55" i="28"/>
  <c r="R55" i="28" a="1"/>
  <c r="R55" i="28"/>
  <c r="Q55" i="28" a="1"/>
  <c r="Q55" i="28"/>
  <c r="P55" i="28" a="1"/>
  <c r="P55" i="28"/>
  <c r="O55" i="28" a="1"/>
  <c r="O55" i="28"/>
  <c r="N55" i="28" a="1"/>
  <c r="N55" i="28"/>
  <c r="M55" i="28" a="1"/>
  <c r="M55" i="28"/>
  <c r="L55" i="28" a="1"/>
  <c r="L55" i="28"/>
  <c r="K55" i="28" a="1"/>
  <c r="K55" i="28"/>
  <c r="J55" i="28" a="1"/>
  <c r="J55" i="28"/>
  <c r="I55" i="28" a="1"/>
  <c r="I55" i="28"/>
  <c r="H55" i="28" a="1"/>
  <c r="H55" i="28"/>
  <c r="G55" i="28" a="1"/>
  <c r="G55" i="28"/>
  <c r="F55" i="28" a="1"/>
  <c r="F55" i="28"/>
  <c r="E55" i="28" a="1"/>
  <c r="E55" i="28"/>
  <c r="BP54" i="28" a="1"/>
  <c r="BP54" i="28"/>
  <c r="BO54" i="28" a="1"/>
  <c r="BO54" i="28"/>
  <c r="BN54" i="28" a="1"/>
  <c r="BN54" i="28"/>
  <c r="BM54" i="28" a="1"/>
  <c r="BM54" i="28"/>
  <c r="BL54" i="28" a="1"/>
  <c r="BL54" i="28"/>
  <c r="BK54" i="28" a="1"/>
  <c r="BK54" i="28"/>
  <c r="BJ54" i="28" a="1"/>
  <c r="BJ54" i="28"/>
  <c r="BI54" i="28" a="1"/>
  <c r="BI54" i="28"/>
  <c r="BH54" i="28" a="1"/>
  <c r="BH54" i="28"/>
  <c r="BG54" i="28" a="1"/>
  <c r="BG54" i="28"/>
  <c r="BF54" i="28" a="1"/>
  <c r="BF54" i="28"/>
  <c r="BE54" i="28" a="1"/>
  <c r="BE54" i="28"/>
  <c r="BD54" i="28" a="1"/>
  <c r="BD54" i="28"/>
  <c r="BC54" i="28" a="1"/>
  <c r="BC54" i="28"/>
  <c r="BB54" i="28" a="1"/>
  <c r="BB54" i="28"/>
  <c r="BA54" i="28" a="1"/>
  <c r="BA54" i="28"/>
  <c r="AZ54" i="28" a="1"/>
  <c r="AZ54" i="28"/>
  <c r="AY54" i="28" a="1"/>
  <c r="AY54" i="28"/>
  <c r="AX54" i="28" a="1"/>
  <c r="AX54" i="28"/>
  <c r="AW54" i="28" a="1"/>
  <c r="AW54" i="28"/>
  <c r="AV54" i="28" a="1"/>
  <c r="AV54" i="28"/>
  <c r="AU54" i="28" a="1"/>
  <c r="AU54" i="28"/>
  <c r="AT54" i="28" a="1"/>
  <c r="AT54" i="28"/>
  <c r="AS54" i="28" a="1"/>
  <c r="AS54" i="28"/>
  <c r="AR54" i="28" a="1"/>
  <c r="AR54" i="28"/>
  <c r="AQ54" i="28" a="1"/>
  <c r="AQ54" i="28"/>
  <c r="AP54" i="28" a="1"/>
  <c r="AP54" i="28"/>
  <c r="AO54" i="28" a="1"/>
  <c r="AO54" i="28"/>
  <c r="AN54" i="28" a="1"/>
  <c r="AN54" i="28"/>
  <c r="AM54" i="28" a="1"/>
  <c r="AM54" i="28"/>
  <c r="AL54" i="28" a="1"/>
  <c r="AL54" i="28"/>
  <c r="AK54" i="28" a="1"/>
  <c r="AK54" i="28"/>
  <c r="AJ54" i="28" a="1"/>
  <c r="AJ54" i="28"/>
  <c r="AI54" i="28" a="1"/>
  <c r="AI54" i="28"/>
  <c r="AH54" i="28" a="1"/>
  <c r="AH54" i="28"/>
  <c r="AG54" i="28" a="1"/>
  <c r="AG54" i="28"/>
  <c r="AF54" i="28" a="1"/>
  <c r="AF54" i="28"/>
  <c r="AE54" i="28" a="1"/>
  <c r="AE54" i="28"/>
  <c r="AD54" i="28" a="1"/>
  <c r="AD54" i="28"/>
  <c r="AC54" i="28" a="1"/>
  <c r="AC54" i="28"/>
  <c r="AB54" i="28" a="1"/>
  <c r="AB54" i="28"/>
  <c r="AA54" i="28" a="1"/>
  <c r="AA54" i="28"/>
  <c r="Z54" i="28" a="1"/>
  <c r="Z54" i="28"/>
  <c r="Y54" i="28" a="1"/>
  <c r="Y54" i="28"/>
  <c r="X54" i="28" a="1"/>
  <c r="X54" i="28"/>
  <c r="W54" i="28" a="1"/>
  <c r="W54" i="28"/>
  <c r="V54" i="28" a="1"/>
  <c r="V54" i="28"/>
  <c r="U54" i="28" a="1"/>
  <c r="U54" i="28"/>
  <c r="T54" i="28" a="1"/>
  <c r="T54" i="28"/>
  <c r="S54" i="28" a="1"/>
  <c r="S54" i="28"/>
  <c r="R54" i="28" a="1"/>
  <c r="R54" i="28"/>
  <c r="Q54" i="28" a="1"/>
  <c r="Q54" i="28"/>
  <c r="P54" i="28" a="1"/>
  <c r="P54" i="28"/>
  <c r="O54" i="28" a="1"/>
  <c r="O54" i="28"/>
  <c r="N54" i="28" a="1"/>
  <c r="N54" i="28"/>
  <c r="M54" i="28" a="1"/>
  <c r="M54" i="28"/>
  <c r="L54" i="28" a="1"/>
  <c r="L54" i="28"/>
  <c r="K54" i="28" a="1"/>
  <c r="K54" i="28"/>
  <c r="J54" i="28" a="1"/>
  <c r="J54" i="28"/>
  <c r="I54" i="28" a="1"/>
  <c r="I54" i="28"/>
  <c r="H54" i="28" a="1"/>
  <c r="H54" i="28"/>
  <c r="G54" i="28" a="1"/>
  <c r="G54" i="28"/>
  <c r="F54" i="28" a="1"/>
  <c r="F54" i="28"/>
  <c r="E54" i="28" a="1"/>
  <c r="E54" i="28"/>
  <c r="BP53" i="28" a="1"/>
  <c r="BP53" i="28"/>
  <c r="BO53" i="28" a="1"/>
  <c r="BO53" i="28"/>
  <c r="BN53" i="28" a="1"/>
  <c r="BN53" i="28"/>
  <c r="BM53" i="28" a="1"/>
  <c r="BM53" i="28"/>
  <c r="BL53" i="28" a="1"/>
  <c r="BL53" i="28"/>
  <c r="BK53" i="28" a="1"/>
  <c r="BK53" i="28"/>
  <c r="BJ53" i="28" a="1"/>
  <c r="BJ53" i="28"/>
  <c r="BI53" i="28" a="1"/>
  <c r="BI53" i="28"/>
  <c r="BH53" i="28" a="1"/>
  <c r="BH53" i="28"/>
  <c r="BG53" i="28" a="1"/>
  <c r="BG53" i="28"/>
  <c r="BF53" i="28" a="1"/>
  <c r="BF53" i="28"/>
  <c r="BE53" i="28" a="1"/>
  <c r="BE53" i="28"/>
  <c r="BD53" i="28" a="1"/>
  <c r="BD53" i="28"/>
  <c r="BC53" i="28" a="1"/>
  <c r="BC53" i="28"/>
  <c r="BB53" i="28" a="1"/>
  <c r="BB53" i="28"/>
  <c r="BA53" i="28" a="1"/>
  <c r="BA53" i="28"/>
  <c r="AZ53" i="28" a="1"/>
  <c r="AZ53" i="28"/>
  <c r="AY53" i="28" a="1"/>
  <c r="AY53" i="28"/>
  <c r="AX53" i="28" a="1"/>
  <c r="AX53" i="28"/>
  <c r="AW53" i="28" a="1"/>
  <c r="AW53" i="28"/>
  <c r="AV53" i="28" a="1"/>
  <c r="AV53" i="28"/>
  <c r="AU53" i="28" a="1"/>
  <c r="AU53" i="28"/>
  <c r="AT53" i="28" a="1"/>
  <c r="AT53" i="28"/>
  <c r="AS53" i="28" a="1"/>
  <c r="AS53" i="28"/>
  <c r="AR53" i="28" a="1"/>
  <c r="AR53" i="28"/>
  <c r="AQ53" i="28" a="1"/>
  <c r="AQ53" i="28"/>
  <c r="AP53" i="28" a="1"/>
  <c r="AP53" i="28"/>
  <c r="AO53" i="28" a="1"/>
  <c r="AO53" i="28"/>
  <c r="AN53" i="28" a="1"/>
  <c r="AN53" i="28"/>
  <c r="AM53" i="28" a="1"/>
  <c r="AM53" i="28"/>
  <c r="AL53" i="28" a="1"/>
  <c r="AL53" i="28"/>
  <c r="AK53" i="28" a="1"/>
  <c r="AK53" i="28"/>
  <c r="AJ53" i="28" a="1"/>
  <c r="AJ53" i="28"/>
  <c r="AI53" i="28" a="1"/>
  <c r="AI53" i="28"/>
  <c r="AH53" i="28" a="1"/>
  <c r="AH53" i="28"/>
  <c r="AG53" i="28" a="1"/>
  <c r="AG53" i="28"/>
  <c r="AF53" i="28" a="1"/>
  <c r="AF53" i="28"/>
  <c r="AE53" i="28" a="1"/>
  <c r="AE53" i="28"/>
  <c r="AD53" i="28" a="1"/>
  <c r="AD53" i="28"/>
  <c r="AC53" i="28" a="1"/>
  <c r="AC53" i="28"/>
  <c r="AB53" i="28" a="1"/>
  <c r="AB53" i="28"/>
  <c r="AA53" i="28" a="1"/>
  <c r="AA53" i="28"/>
  <c r="Z53" i="28" a="1"/>
  <c r="Z53" i="28"/>
  <c r="Y53" i="28" a="1"/>
  <c r="Y53" i="28"/>
  <c r="X53" i="28" a="1"/>
  <c r="X53" i="28"/>
  <c r="W53" i="28" a="1"/>
  <c r="W53" i="28"/>
  <c r="V53" i="28" a="1"/>
  <c r="V53" i="28"/>
  <c r="U53" i="28" a="1"/>
  <c r="U53" i="28"/>
  <c r="T53" i="28" a="1"/>
  <c r="T53" i="28"/>
  <c r="S53" i="28" a="1"/>
  <c r="S53" i="28"/>
  <c r="R53" i="28" a="1"/>
  <c r="R53" i="28"/>
  <c r="Q53" i="28" a="1"/>
  <c r="Q53" i="28"/>
  <c r="P53" i="28" a="1"/>
  <c r="P53" i="28"/>
  <c r="O53" i="28" a="1"/>
  <c r="O53" i="28"/>
  <c r="N53" i="28" a="1"/>
  <c r="N53" i="28"/>
  <c r="M53" i="28" a="1"/>
  <c r="M53" i="28"/>
  <c r="L53" i="28" a="1"/>
  <c r="L53" i="28"/>
  <c r="K53" i="28" a="1"/>
  <c r="K53" i="28"/>
  <c r="J53" i="28" a="1"/>
  <c r="J53" i="28"/>
  <c r="I53" i="28" a="1"/>
  <c r="I53" i="28"/>
  <c r="H53" i="28" a="1"/>
  <c r="H53" i="28"/>
  <c r="G53" i="28" a="1"/>
  <c r="G53" i="28"/>
  <c r="F53" i="28" a="1"/>
  <c r="F53" i="28"/>
  <c r="E53" i="28" a="1"/>
  <c r="E53" i="28"/>
  <c r="BP52" i="28" a="1"/>
  <c r="BP52" i="28"/>
  <c r="BO52" i="28" a="1"/>
  <c r="BO52" i="28"/>
  <c r="BN52" i="28" a="1"/>
  <c r="BN52" i="28"/>
  <c r="BM52" i="28" a="1"/>
  <c r="BM52" i="28"/>
  <c r="BL52" i="28" a="1"/>
  <c r="BL52" i="28"/>
  <c r="BK52" i="28" a="1"/>
  <c r="BK52" i="28"/>
  <c r="BJ52" i="28" a="1"/>
  <c r="BJ52" i="28"/>
  <c r="BI52" i="28" a="1"/>
  <c r="BI52" i="28"/>
  <c r="BH52" i="28" a="1"/>
  <c r="BH52" i="28"/>
  <c r="BG52" i="28" a="1"/>
  <c r="BG52" i="28"/>
  <c r="BF52" i="28" a="1"/>
  <c r="BF52" i="28"/>
  <c r="BE52" i="28" a="1"/>
  <c r="BE52" i="28"/>
  <c r="BD52" i="28" a="1"/>
  <c r="BD52" i="28"/>
  <c r="BC52" i="28" a="1"/>
  <c r="BC52" i="28"/>
  <c r="BB52" i="28" a="1"/>
  <c r="BB52" i="28"/>
  <c r="BA52" i="28" a="1"/>
  <c r="BA52" i="28"/>
  <c r="AZ52" i="28" a="1"/>
  <c r="AZ52" i="28"/>
  <c r="AY52" i="28" a="1"/>
  <c r="AY52" i="28"/>
  <c r="AX52" i="28" a="1"/>
  <c r="AX52" i="28"/>
  <c r="AW52" i="28" a="1"/>
  <c r="AW52" i="28"/>
  <c r="AV52" i="28" a="1"/>
  <c r="AV52" i="28"/>
  <c r="AU52" i="28" a="1"/>
  <c r="AU52" i="28"/>
  <c r="AT52" i="28" a="1"/>
  <c r="AT52" i="28"/>
  <c r="AS52" i="28" a="1"/>
  <c r="AS52" i="28"/>
  <c r="AR52" i="28" a="1"/>
  <c r="AR52" i="28"/>
  <c r="AQ52" i="28" a="1"/>
  <c r="AQ52" i="28"/>
  <c r="AP52" i="28" a="1"/>
  <c r="AP52" i="28"/>
  <c r="AO52" i="28" a="1"/>
  <c r="AO52" i="28"/>
  <c r="AN52" i="28" a="1"/>
  <c r="AN52" i="28"/>
  <c r="AM52" i="28" a="1"/>
  <c r="AM52" i="28"/>
  <c r="AL52" i="28" a="1"/>
  <c r="AL52" i="28"/>
  <c r="AK52" i="28" a="1"/>
  <c r="AK52" i="28"/>
  <c r="AJ52" i="28" a="1"/>
  <c r="AJ52" i="28"/>
  <c r="AI52" i="28" a="1"/>
  <c r="AI52" i="28"/>
  <c r="AH52" i="28" a="1"/>
  <c r="AH52" i="28"/>
  <c r="AG52" i="28" a="1"/>
  <c r="AG52" i="28"/>
  <c r="AF52" i="28" a="1"/>
  <c r="AF52" i="28"/>
  <c r="AE52" i="28" a="1"/>
  <c r="AE52" i="28"/>
  <c r="AD52" i="28" a="1"/>
  <c r="AD52" i="28"/>
  <c r="AC52" i="28" a="1"/>
  <c r="AC52" i="28"/>
  <c r="AB52" i="28" a="1"/>
  <c r="AB52" i="28"/>
  <c r="AA52" i="28" a="1"/>
  <c r="AA52" i="28"/>
  <c r="Z52" i="28" a="1"/>
  <c r="Z52" i="28"/>
  <c r="Y52" i="28" a="1"/>
  <c r="Y52" i="28"/>
  <c r="X52" i="28" a="1"/>
  <c r="X52" i="28"/>
  <c r="W52" i="28" a="1"/>
  <c r="W52" i="28"/>
  <c r="V52" i="28" a="1"/>
  <c r="V52" i="28"/>
  <c r="U52" i="28" a="1"/>
  <c r="U52" i="28"/>
  <c r="T52" i="28" a="1"/>
  <c r="T52" i="28"/>
  <c r="S52" i="28" a="1"/>
  <c r="S52" i="28"/>
  <c r="R52" i="28" a="1"/>
  <c r="R52" i="28"/>
  <c r="Q52" i="28" a="1"/>
  <c r="Q52" i="28"/>
  <c r="P52" i="28" a="1"/>
  <c r="P52" i="28"/>
  <c r="O52" i="28" a="1"/>
  <c r="O52" i="28"/>
  <c r="N52" i="28" a="1"/>
  <c r="N52" i="28"/>
  <c r="M52" i="28" a="1"/>
  <c r="M52" i="28"/>
  <c r="L52" i="28" a="1"/>
  <c r="L52" i="28"/>
  <c r="K52" i="28" a="1"/>
  <c r="K52" i="28"/>
  <c r="J52" i="28" a="1"/>
  <c r="J52" i="28"/>
  <c r="I52" i="28" a="1"/>
  <c r="I52" i="28"/>
  <c r="H52" i="28" a="1"/>
  <c r="H52" i="28"/>
  <c r="G52" i="28" a="1"/>
  <c r="G52" i="28"/>
  <c r="F52" i="28" a="1"/>
  <c r="F52" i="28"/>
  <c r="E52" i="28" a="1"/>
  <c r="E52" i="28"/>
  <c r="BR49" i="28"/>
  <c r="BR48" i="28"/>
  <c r="BR47" i="28"/>
  <c r="BR46" i="28"/>
  <c r="BR45" i="28"/>
  <c r="BW40" i="28"/>
  <c r="BX40" i="28"/>
  <c r="CA40" i="28"/>
  <c r="BZ40" i="28"/>
  <c r="BY40" i="28"/>
  <c r="C38" i="28"/>
  <c r="C37" i="28"/>
  <c r="C36" i="28"/>
  <c r="C35" i="28"/>
  <c r="C34" i="28"/>
  <c r="C33" i="28"/>
  <c r="C32" i="28"/>
  <c r="C31" i="28"/>
  <c r="C30" i="28"/>
  <c r="J25" i="28"/>
  <c r="I25" i="28"/>
  <c r="H25" i="28"/>
  <c r="G25" i="28"/>
  <c r="F25" i="28"/>
  <c r="E25" i="28"/>
  <c r="D25" i="28"/>
  <c r="J24" i="28"/>
  <c r="I24" i="28"/>
  <c r="H24" i="28"/>
  <c r="G24" i="28"/>
  <c r="F24" i="28"/>
  <c r="E24" i="28"/>
  <c r="D24" i="28"/>
  <c r="J23" i="28"/>
  <c r="I23" i="28"/>
  <c r="H23" i="28"/>
  <c r="G23" i="28"/>
  <c r="F23" i="28"/>
  <c r="E23" i="28"/>
  <c r="D23" i="28"/>
  <c r="J22" i="28"/>
  <c r="I22" i="28"/>
  <c r="H22" i="28"/>
  <c r="G22" i="28"/>
  <c r="F22" i="28"/>
  <c r="E22" i="28"/>
  <c r="D22" i="28"/>
  <c r="AC21" i="28"/>
  <c r="J21" i="28"/>
  <c r="I21" i="28"/>
  <c r="H21" i="28"/>
  <c r="G21" i="28"/>
  <c r="F21" i="28"/>
  <c r="E21" i="28"/>
  <c r="D21" i="28"/>
  <c r="AC20" i="28"/>
  <c r="J20" i="28"/>
  <c r="I20" i="28"/>
  <c r="H20" i="28"/>
  <c r="G20" i="28"/>
  <c r="F20" i="28"/>
  <c r="E20" i="28"/>
  <c r="D20" i="28"/>
  <c r="AC19" i="28"/>
  <c r="J19" i="28"/>
  <c r="I19" i="28"/>
  <c r="H19" i="28"/>
  <c r="G19" i="28"/>
  <c r="F19" i="28"/>
  <c r="E19" i="28"/>
  <c r="D19" i="28"/>
  <c r="AC18" i="28"/>
  <c r="J18" i="28"/>
  <c r="I18" i="28"/>
  <c r="H18" i="28"/>
  <c r="G18" i="28"/>
  <c r="F18" i="28"/>
  <c r="E18" i="28"/>
  <c r="D18" i="28"/>
  <c r="AC17" i="28"/>
  <c r="J17" i="28"/>
  <c r="I17" i="28"/>
  <c r="H17" i="28"/>
  <c r="G17" i="28"/>
  <c r="F17" i="28"/>
  <c r="E17" i="28"/>
  <c r="D17" i="28"/>
  <c r="F14" i="28"/>
  <c r="Z17" i="28"/>
  <c r="L7" i="27"/>
  <c r="J5" i="27"/>
  <c r="J4" i="27"/>
  <c r="J3" i="27"/>
  <c r="J2" i="27"/>
  <c r="AH26" i="27"/>
  <c r="AO11" i="27"/>
  <c r="AN11" i="27"/>
  <c r="AK11" i="27"/>
  <c r="AJ11" i="27"/>
  <c r="AG11" i="27"/>
  <c r="V12" i="27"/>
  <c r="S24" i="27"/>
  <c r="S21" i="27"/>
  <c r="S18" i="27"/>
  <c r="S15" i="27"/>
  <c r="S12" i="27"/>
  <c r="U11" i="27"/>
  <c r="R11" i="27"/>
  <c r="E5" i="24"/>
  <c r="E4" i="24"/>
  <c r="E3" i="24"/>
  <c r="E2" i="24"/>
  <c r="E5" i="21"/>
  <c r="E4" i="21"/>
  <c r="E3" i="21"/>
  <c r="E2" i="21"/>
  <c r="F5" i="31"/>
  <c r="F4" i="31"/>
  <c r="F3" i="31"/>
  <c r="F2" i="31"/>
  <c r="E18" i="9"/>
  <c r="I7" i="6"/>
  <c r="E72" i="9"/>
  <c r="B22" i="33"/>
  <c r="E88" i="9"/>
  <c r="B27" i="33"/>
  <c r="X10" i="17"/>
  <c r="AC10" i="17"/>
  <c r="AH10" i="17"/>
  <c r="AM10" i="17"/>
  <c r="X11" i="17"/>
  <c r="AC11" i="17"/>
  <c r="AH11" i="17"/>
  <c r="AM11" i="17"/>
  <c r="X12" i="17"/>
  <c r="AC12" i="17"/>
  <c r="AH12" i="17"/>
  <c r="AM12" i="17"/>
  <c r="AK27" i="6"/>
  <c r="AK26" i="6"/>
  <c r="AK25" i="6"/>
  <c r="AK24" i="6"/>
  <c r="AK23" i="6"/>
  <c r="AK22" i="6"/>
  <c r="AV4" i="17"/>
  <c r="AV5" i="17"/>
  <c r="AV6" i="17"/>
  <c r="AV7" i="17"/>
  <c r="AV8" i="17"/>
  <c r="AV9" i="17"/>
  <c r="AV10" i="17"/>
  <c r="AV11" i="17"/>
  <c r="AV12" i="17"/>
  <c r="AJ27" i="6"/>
  <c r="AJ26" i="6"/>
  <c r="AJ25" i="6"/>
  <c r="AJ24" i="6"/>
  <c r="AJ23" i="6"/>
  <c r="AJ22" i="6"/>
  <c r="AC27" i="6"/>
  <c r="AC26" i="6"/>
  <c r="AC25" i="6"/>
  <c r="AC24" i="6"/>
  <c r="AC23" i="6"/>
  <c r="AC22" i="6"/>
  <c r="AE27" i="6"/>
  <c r="AF27" i="6"/>
  <c r="AE26" i="6"/>
  <c r="AF26" i="6"/>
  <c r="AE25" i="6"/>
  <c r="AF25" i="6"/>
  <c r="AE24" i="6"/>
  <c r="AF24" i="6"/>
  <c r="AE23" i="6"/>
  <c r="AF23" i="6"/>
  <c r="AE22" i="6"/>
  <c r="AF22" i="6"/>
  <c r="AK21" i="6"/>
  <c r="AJ21" i="6"/>
  <c r="AG21" i="6"/>
  <c r="AF21" i="6"/>
  <c r="AC21" i="6"/>
  <c r="AP21" i="6"/>
  <c r="AC136" i="17"/>
  <c r="AC137" i="17"/>
  <c r="AC138" i="17"/>
  <c r="AC139" i="17"/>
  <c r="AC140" i="17"/>
  <c r="AC141" i="17"/>
  <c r="AC142" i="17"/>
  <c r="AC143" i="17"/>
  <c r="AC144" i="17"/>
  <c r="AC145" i="17"/>
  <c r="AC146" i="17"/>
  <c r="AC147" i="17"/>
  <c r="AC148" i="17"/>
  <c r="AC149" i="17"/>
  <c r="AC150" i="17"/>
  <c r="AC151" i="17"/>
  <c r="AC152" i="17"/>
  <c r="AC153" i="17"/>
  <c r="AC154" i="17"/>
  <c r="AC155" i="17"/>
  <c r="AC156" i="17"/>
  <c r="AC157" i="17"/>
  <c r="AC158" i="17"/>
  <c r="AC159" i="17"/>
  <c r="AC160" i="17"/>
  <c r="AC161" i="17"/>
  <c r="AC162" i="17"/>
  <c r="AC163" i="17"/>
  <c r="AC164" i="17"/>
  <c r="AC165" i="17"/>
  <c r="AP27" i="6"/>
  <c r="AO21" i="6"/>
  <c r="AO27" i="6"/>
  <c r="AN21" i="6"/>
  <c r="AN27" i="6"/>
  <c r="AM21" i="6"/>
  <c r="AM27" i="6"/>
  <c r="AL21" i="6"/>
  <c r="AL27" i="6"/>
  <c r="AQ21" i="6"/>
  <c r="AQ26" i="6"/>
  <c r="E75" i="9"/>
  <c r="G29" i="33"/>
  <c r="AO26" i="6"/>
  <c r="AN26" i="6"/>
  <c r="AM26" i="6"/>
  <c r="AL26" i="6"/>
  <c r="AQ25" i="6"/>
  <c r="AP25" i="6"/>
  <c r="AN25" i="6"/>
  <c r="AM25" i="6"/>
  <c r="AL25" i="6"/>
  <c r="AQ24" i="6"/>
  <c r="AP24" i="6"/>
  <c r="AO24" i="6"/>
  <c r="AM24" i="6"/>
  <c r="AL24" i="6"/>
  <c r="AQ23" i="6"/>
  <c r="AP23" i="6"/>
  <c r="AO23" i="6"/>
  <c r="AN23" i="6"/>
  <c r="AL23" i="6"/>
  <c r="AQ22" i="6"/>
  <c r="AP22" i="6"/>
  <c r="AO22" i="6"/>
  <c r="AN22" i="6"/>
  <c r="AM22" i="6"/>
  <c r="Q69" i="17"/>
  <c r="Q68" i="17"/>
  <c r="Q67" i="17"/>
  <c r="Q66" i="17"/>
  <c r="Q65" i="17"/>
  <c r="Q64" i="17"/>
  <c r="AB207" i="17"/>
  <c r="Z207" i="17"/>
  <c r="AB206" i="17"/>
  <c r="Z206" i="17"/>
  <c r="AB205" i="17"/>
  <c r="Z205" i="17"/>
  <c r="AB204" i="17"/>
  <c r="Z204" i="17"/>
  <c r="AB203" i="17"/>
  <c r="Z203" i="17"/>
  <c r="AB202" i="17"/>
  <c r="Z202" i="17"/>
  <c r="AB201" i="17"/>
  <c r="Z201" i="17"/>
  <c r="AB200" i="17"/>
  <c r="Z200" i="17"/>
  <c r="AB199" i="17"/>
  <c r="Z199" i="17"/>
  <c r="AB198" i="17"/>
  <c r="Z198" i="17"/>
  <c r="AB197" i="17"/>
  <c r="Z197" i="17"/>
  <c r="AB196" i="17"/>
  <c r="Z196" i="17"/>
  <c r="AC195" i="17"/>
  <c r="AB195" i="17"/>
  <c r="Z195" i="17"/>
  <c r="AC194" i="17"/>
  <c r="AB194" i="17"/>
  <c r="Z194" i="17"/>
  <c r="AC193" i="17"/>
  <c r="AB193" i="17"/>
  <c r="Z193" i="17"/>
  <c r="AC192" i="17"/>
  <c r="AB192" i="17"/>
  <c r="Z192" i="17"/>
  <c r="AC191" i="17"/>
  <c r="AB191" i="17"/>
  <c r="Z191" i="17"/>
  <c r="AC190" i="17"/>
  <c r="AB190" i="17"/>
  <c r="Z190" i="17"/>
  <c r="AC189" i="17"/>
  <c r="AB189" i="17"/>
  <c r="Z189" i="17"/>
  <c r="AC188" i="17"/>
  <c r="AB188" i="17"/>
  <c r="Z188" i="17"/>
  <c r="AC187" i="17"/>
  <c r="AB187" i="17"/>
  <c r="Z187" i="17"/>
  <c r="AC186" i="17"/>
  <c r="AB186" i="17"/>
  <c r="Z186" i="17"/>
  <c r="AC185" i="17"/>
  <c r="AB185" i="17"/>
  <c r="Z185" i="17"/>
  <c r="AC184" i="17"/>
  <c r="AB184" i="17"/>
  <c r="Z184" i="17"/>
  <c r="AC183" i="17"/>
  <c r="AB183" i="17"/>
  <c r="Z183" i="17"/>
  <c r="AC182" i="17"/>
  <c r="AB182" i="17"/>
  <c r="Z182" i="17"/>
  <c r="AC181" i="17"/>
  <c r="AB181" i="17"/>
  <c r="Z181" i="17"/>
  <c r="AC180" i="17"/>
  <c r="AB180" i="17"/>
  <c r="Z180" i="17"/>
  <c r="AC179" i="17"/>
  <c r="AB179" i="17"/>
  <c r="Z179" i="17"/>
  <c r="AC178" i="17"/>
  <c r="AB178" i="17"/>
  <c r="Z178" i="17"/>
  <c r="AC177" i="17"/>
  <c r="AB177" i="17"/>
  <c r="Z177" i="17"/>
  <c r="AC176" i="17"/>
  <c r="AB176" i="17"/>
  <c r="Z176" i="17"/>
  <c r="AC175" i="17"/>
  <c r="AB175" i="17"/>
  <c r="Z175" i="17"/>
  <c r="AC174" i="17"/>
  <c r="AB174" i="17"/>
  <c r="Z174" i="17"/>
  <c r="AC173" i="17"/>
  <c r="AB173" i="17"/>
  <c r="Z173" i="17"/>
  <c r="AC172" i="17"/>
  <c r="AB172" i="17"/>
  <c r="Z172" i="17"/>
  <c r="AC171" i="17"/>
  <c r="AB171" i="17"/>
  <c r="Z171" i="17"/>
  <c r="AC170" i="17"/>
  <c r="AB170" i="17"/>
  <c r="Z170" i="17"/>
  <c r="AC169" i="17"/>
  <c r="AB169" i="17"/>
  <c r="Z169" i="17"/>
  <c r="AC168" i="17"/>
  <c r="AB168" i="17"/>
  <c r="Z168" i="17"/>
  <c r="AC167" i="17"/>
  <c r="AB167" i="17"/>
  <c r="Z167" i="17"/>
  <c r="AC166" i="17"/>
  <c r="AB166" i="17"/>
  <c r="Z166" i="17"/>
  <c r="F4" i="17"/>
  <c r="F5" i="17"/>
  <c r="F6" i="17"/>
  <c r="F7" i="17"/>
  <c r="F8" i="17"/>
  <c r="F9" i="17"/>
  <c r="Q70" i="17"/>
  <c r="F10" i="17"/>
  <c r="Q71" i="17"/>
  <c r="F11" i="17"/>
  <c r="Q72" i="17"/>
  <c r="F12" i="17"/>
  <c r="F13" i="17"/>
  <c r="F14" i="34"/>
  <c r="AM135" i="17"/>
  <c r="AL135" i="17"/>
  <c r="AI135" i="17"/>
  <c r="AH135" i="17"/>
  <c r="AG135" i="17"/>
  <c r="AF135" i="17"/>
  <c r="AE135" i="17"/>
  <c r="AD135" i="17"/>
  <c r="AB135" i="17"/>
  <c r="Z135" i="17"/>
  <c r="Y135" i="17"/>
  <c r="X135" i="17"/>
  <c r="W135" i="17"/>
  <c r="V135" i="17"/>
  <c r="AM134" i="17"/>
  <c r="AL134" i="17"/>
  <c r="AI134" i="17"/>
  <c r="AH134" i="17"/>
  <c r="AG134" i="17"/>
  <c r="AF134" i="17"/>
  <c r="AE134" i="17"/>
  <c r="AD134" i="17"/>
  <c r="AB134" i="17"/>
  <c r="Z134" i="17"/>
  <c r="Y134" i="17"/>
  <c r="X134" i="17"/>
  <c r="W134" i="17"/>
  <c r="V134" i="17"/>
  <c r="AM133" i="17"/>
  <c r="AL133" i="17"/>
  <c r="AI133" i="17"/>
  <c r="AH133" i="17"/>
  <c r="AG133" i="17"/>
  <c r="AF133" i="17"/>
  <c r="AE133" i="17"/>
  <c r="AD133" i="17"/>
  <c r="AB133" i="17"/>
  <c r="Z133" i="17"/>
  <c r="Y133" i="17"/>
  <c r="X133" i="17"/>
  <c r="W133" i="17"/>
  <c r="V133" i="17"/>
  <c r="AM132" i="17"/>
  <c r="AL132" i="17"/>
  <c r="AI132" i="17"/>
  <c r="AH132" i="17"/>
  <c r="AG132" i="17"/>
  <c r="AF132" i="17"/>
  <c r="AE132" i="17"/>
  <c r="AD132" i="17"/>
  <c r="AB132" i="17"/>
  <c r="Z132" i="17"/>
  <c r="Y132" i="17"/>
  <c r="X132" i="17"/>
  <c r="W132" i="17"/>
  <c r="V132" i="17"/>
  <c r="AM131" i="17"/>
  <c r="AL131" i="17"/>
  <c r="AI131" i="17"/>
  <c r="AH131" i="17"/>
  <c r="AG131" i="17"/>
  <c r="AF131" i="17"/>
  <c r="AE131" i="17"/>
  <c r="AD131" i="17"/>
  <c r="AB131" i="17"/>
  <c r="Z131" i="17"/>
  <c r="Y131" i="17"/>
  <c r="X131" i="17"/>
  <c r="W131" i="17"/>
  <c r="V131" i="17"/>
  <c r="AM130" i="17"/>
  <c r="AL130" i="17"/>
  <c r="AI130" i="17"/>
  <c r="AH130" i="17"/>
  <c r="AG130" i="17"/>
  <c r="AF130" i="17"/>
  <c r="AE130" i="17"/>
  <c r="AD130" i="17"/>
  <c r="AB130" i="17"/>
  <c r="Z130" i="17"/>
  <c r="Y130" i="17"/>
  <c r="X130" i="17"/>
  <c r="W130" i="17"/>
  <c r="V130" i="17"/>
  <c r="AM129" i="17"/>
  <c r="AL129" i="17"/>
  <c r="AI129" i="17"/>
  <c r="AH129" i="17"/>
  <c r="AG129" i="17"/>
  <c r="AF129" i="17"/>
  <c r="AE129" i="17"/>
  <c r="AD129" i="17"/>
  <c r="AB129" i="17"/>
  <c r="Z129" i="17"/>
  <c r="Y129" i="17"/>
  <c r="X129" i="17"/>
  <c r="W129" i="17"/>
  <c r="V129" i="17"/>
  <c r="AM128" i="17"/>
  <c r="AL128" i="17"/>
  <c r="AI128" i="17"/>
  <c r="AH128" i="17"/>
  <c r="AG128" i="17"/>
  <c r="AF128" i="17"/>
  <c r="AE128" i="17"/>
  <c r="AD128" i="17"/>
  <c r="AB128" i="17"/>
  <c r="Z128" i="17"/>
  <c r="Y128" i="17"/>
  <c r="X128" i="17"/>
  <c r="W128" i="17"/>
  <c r="V128" i="17"/>
  <c r="AM127" i="17"/>
  <c r="AL127" i="17"/>
  <c r="AI127" i="17"/>
  <c r="AH127" i="17"/>
  <c r="AG127" i="17"/>
  <c r="AF127" i="17"/>
  <c r="AE127" i="17"/>
  <c r="AD127" i="17"/>
  <c r="AB127" i="17"/>
  <c r="Z127" i="17"/>
  <c r="Y127" i="17"/>
  <c r="X127" i="17"/>
  <c r="W127" i="17"/>
  <c r="V127" i="17"/>
  <c r="AM126" i="17"/>
  <c r="AL126" i="17"/>
  <c r="AI126" i="17"/>
  <c r="AH126" i="17"/>
  <c r="AG126" i="17"/>
  <c r="AF126" i="17"/>
  <c r="AE126" i="17"/>
  <c r="AD126" i="17"/>
  <c r="AB126" i="17"/>
  <c r="Z126" i="17"/>
  <c r="Y126" i="17"/>
  <c r="X126" i="17"/>
  <c r="W126" i="17"/>
  <c r="V126" i="17"/>
  <c r="AM125" i="17"/>
  <c r="AL125" i="17"/>
  <c r="AI125" i="17"/>
  <c r="AH125" i="17"/>
  <c r="AG125" i="17"/>
  <c r="AF125" i="17"/>
  <c r="AE125" i="17"/>
  <c r="AD125" i="17"/>
  <c r="AB125" i="17"/>
  <c r="Z125" i="17"/>
  <c r="Y125" i="17"/>
  <c r="X125" i="17"/>
  <c r="W125" i="17"/>
  <c r="V125" i="17"/>
  <c r="AM124" i="17"/>
  <c r="AL124" i="17"/>
  <c r="AI124" i="17"/>
  <c r="AH124" i="17"/>
  <c r="AG124" i="17"/>
  <c r="AF124" i="17"/>
  <c r="AE124" i="17"/>
  <c r="AD124" i="17"/>
  <c r="AB124" i="17"/>
  <c r="Z124" i="17"/>
  <c r="Y124" i="17"/>
  <c r="X124" i="17"/>
  <c r="W124" i="17"/>
  <c r="V124" i="17"/>
  <c r="AM123" i="17"/>
  <c r="AL123" i="17"/>
  <c r="AI123" i="17"/>
  <c r="AH123" i="17"/>
  <c r="AG123" i="17"/>
  <c r="AF123" i="17"/>
  <c r="AE123" i="17"/>
  <c r="AD123" i="17"/>
  <c r="AB123" i="17"/>
  <c r="Z123" i="17"/>
  <c r="Y123" i="17"/>
  <c r="X123" i="17"/>
  <c r="W123" i="17"/>
  <c r="V123" i="17"/>
  <c r="AM122" i="17"/>
  <c r="AL122" i="17"/>
  <c r="AI122" i="17"/>
  <c r="AH122" i="17"/>
  <c r="AG122" i="17"/>
  <c r="AF122" i="17"/>
  <c r="AE122" i="17"/>
  <c r="AD122" i="17"/>
  <c r="AB122" i="17"/>
  <c r="Z122" i="17"/>
  <c r="Y122" i="17"/>
  <c r="X122" i="17"/>
  <c r="W122" i="17"/>
  <c r="V122" i="17"/>
  <c r="AM121" i="17"/>
  <c r="AL121" i="17"/>
  <c r="AI121" i="17"/>
  <c r="AH121" i="17"/>
  <c r="AG121" i="17"/>
  <c r="AF121" i="17"/>
  <c r="AE121" i="17"/>
  <c r="AD121" i="17"/>
  <c r="AB121" i="17"/>
  <c r="Z121" i="17"/>
  <c r="Y121" i="17"/>
  <c r="X121" i="17"/>
  <c r="W121" i="17"/>
  <c r="V121" i="17"/>
  <c r="AM120" i="17"/>
  <c r="AL120" i="17"/>
  <c r="AI120" i="17"/>
  <c r="AH120" i="17"/>
  <c r="AG120" i="17"/>
  <c r="AF120" i="17"/>
  <c r="AE120" i="17"/>
  <c r="AD120" i="17"/>
  <c r="AB120" i="17"/>
  <c r="Z120" i="17"/>
  <c r="Y120" i="17"/>
  <c r="X120" i="17"/>
  <c r="W120" i="17"/>
  <c r="V120" i="17"/>
  <c r="AM119" i="17"/>
  <c r="AL119" i="17"/>
  <c r="AI119" i="17"/>
  <c r="AH119" i="17"/>
  <c r="AG119" i="17"/>
  <c r="AF119" i="17"/>
  <c r="AE119" i="17"/>
  <c r="AD119" i="17"/>
  <c r="AB119" i="17"/>
  <c r="Z119" i="17"/>
  <c r="Y119" i="17"/>
  <c r="X119" i="17"/>
  <c r="W119" i="17"/>
  <c r="V119" i="17"/>
  <c r="AM118" i="17"/>
  <c r="AL118" i="17"/>
  <c r="AI118" i="17"/>
  <c r="AH118" i="17"/>
  <c r="AG118" i="17"/>
  <c r="AF118" i="17"/>
  <c r="AE118" i="17"/>
  <c r="AD118" i="17"/>
  <c r="AB118" i="17"/>
  <c r="Z118" i="17"/>
  <c r="Y118" i="17"/>
  <c r="X118" i="17"/>
  <c r="W118" i="17"/>
  <c r="V118" i="17"/>
  <c r="AM117" i="17"/>
  <c r="AL117" i="17"/>
  <c r="AI117" i="17"/>
  <c r="AH117" i="17"/>
  <c r="AG117" i="17"/>
  <c r="AF117" i="17"/>
  <c r="AE117" i="17"/>
  <c r="AD117" i="17"/>
  <c r="AB117" i="17"/>
  <c r="Z117" i="17"/>
  <c r="Y117" i="17"/>
  <c r="X117" i="17"/>
  <c r="W117" i="17"/>
  <c r="V117" i="17"/>
  <c r="AM116" i="17"/>
  <c r="AL116" i="17"/>
  <c r="AI116" i="17"/>
  <c r="AH116" i="17"/>
  <c r="AG116" i="17"/>
  <c r="AF116" i="17"/>
  <c r="AE116" i="17"/>
  <c r="AD116" i="17"/>
  <c r="AB116" i="17"/>
  <c r="Z116" i="17"/>
  <c r="Y116" i="17"/>
  <c r="X116" i="17"/>
  <c r="W116" i="17"/>
  <c r="V116" i="17"/>
  <c r="AM115" i="17"/>
  <c r="AL115" i="17"/>
  <c r="AI115" i="17"/>
  <c r="AH115" i="17"/>
  <c r="AG115" i="17"/>
  <c r="AF115" i="17"/>
  <c r="AE115" i="17"/>
  <c r="AD115" i="17"/>
  <c r="AB115" i="17"/>
  <c r="Z115" i="17"/>
  <c r="Y115" i="17"/>
  <c r="X115" i="17"/>
  <c r="W115" i="17"/>
  <c r="V115" i="17"/>
  <c r="AM114" i="17"/>
  <c r="AL114" i="17"/>
  <c r="AI114" i="17"/>
  <c r="AH114" i="17"/>
  <c r="AG114" i="17"/>
  <c r="AF114" i="17"/>
  <c r="AE114" i="17"/>
  <c r="AD114" i="17"/>
  <c r="AB114" i="17"/>
  <c r="Z114" i="17"/>
  <c r="Y114" i="17"/>
  <c r="X114" i="17"/>
  <c r="W114" i="17"/>
  <c r="V114" i="17"/>
  <c r="AM113" i="17"/>
  <c r="AL113" i="17"/>
  <c r="AI113" i="17"/>
  <c r="AH113" i="17"/>
  <c r="AG113" i="17"/>
  <c r="AF113" i="17"/>
  <c r="AE113" i="17"/>
  <c r="AD113" i="17"/>
  <c r="AB113" i="17"/>
  <c r="Z113" i="17"/>
  <c r="Y113" i="17"/>
  <c r="X113" i="17"/>
  <c r="W113" i="17"/>
  <c r="V113" i="17"/>
  <c r="AM112" i="17"/>
  <c r="AL112" i="17"/>
  <c r="AI112" i="17"/>
  <c r="AH112" i="17"/>
  <c r="AG112" i="17"/>
  <c r="AF112" i="17"/>
  <c r="AE112" i="17"/>
  <c r="AD112" i="17"/>
  <c r="AB112" i="17"/>
  <c r="Z112" i="17"/>
  <c r="Y112" i="17"/>
  <c r="X112" i="17"/>
  <c r="W112" i="17"/>
  <c r="V112" i="17"/>
  <c r="AM111" i="17"/>
  <c r="AL111" i="17"/>
  <c r="AI111" i="17"/>
  <c r="AH111" i="17"/>
  <c r="AG111" i="17"/>
  <c r="AF111" i="17"/>
  <c r="AE111" i="17"/>
  <c r="AD111" i="17"/>
  <c r="AB111" i="17"/>
  <c r="Z111" i="17"/>
  <c r="Y111" i="17"/>
  <c r="X111" i="17"/>
  <c r="W111" i="17"/>
  <c r="V111" i="17"/>
  <c r="AM110" i="17"/>
  <c r="AL110" i="17"/>
  <c r="AI110" i="17"/>
  <c r="AH110" i="17"/>
  <c r="AG110" i="17"/>
  <c r="AF110" i="17"/>
  <c r="AE110" i="17"/>
  <c r="AD110" i="17"/>
  <c r="AB110" i="17"/>
  <c r="Z110" i="17"/>
  <c r="Y110" i="17"/>
  <c r="X110" i="17"/>
  <c r="W110" i="17"/>
  <c r="V110" i="17"/>
  <c r="AM109" i="17"/>
  <c r="AL109" i="17"/>
  <c r="AI109" i="17"/>
  <c r="AH109" i="17"/>
  <c r="AG109" i="17"/>
  <c r="AF109" i="17"/>
  <c r="AE109" i="17"/>
  <c r="AD109" i="17"/>
  <c r="AB109" i="17"/>
  <c r="Z109" i="17"/>
  <c r="Y109" i="17"/>
  <c r="X109" i="17"/>
  <c r="W109" i="17"/>
  <c r="V109" i="17"/>
  <c r="AM108" i="17"/>
  <c r="AL108" i="17"/>
  <c r="AI108" i="17"/>
  <c r="AH108" i="17"/>
  <c r="AG108" i="17"/>
  <c r="AF108" i="17"/>
  <c r="AE108" i="17"/>
  <c r="AD108" i="17"/>
  <c r="AB108" i="17"/>
  <c r="Z108" i="17"/>
  <c r="Y108" i="17"/>
  <c r="X108" i="17"/>
  <c r="W108" i="17"/>
  <c r="V108" i="17"/>
  <c r="AM107" i="17"/>
  <c r="AL107" i="17"/>
  <c r="AI107" i="17"/>
  <c r="AH107" i="17"/>
  <c r="AG107" i="17"/>
  <c r="AF107" i="17"/>
  <c r="AE107" i="17"/>
  <c r="AD107" i="17"/>
  <c r="AB107" i="17"/>
  <c r="Z107" i="17"/>
  <c r="Y107" i="17"/>
  <c r="X107" i="17"/>
  <c r="W107" i="17"/>
  <c r="V107" i="17"/>
  <c r="AM106" i="17"/>
  <c r="AL106" i="17"/>
  <c r="AI106" i="17"/>
  <c r="AH106" i="17"/>
  <c r="AG106" i="17"/>
  <c r="AF106" i="17"/>
  <c r="AE106" i="17"/>
  <c r="AD106" i="17"/>
  <c r="AB106" i="17"/>
  <c r="Z106" i="17"/>
  <c r="Y106" i="17"/>
  <c r="X106" i="17"/>
  <c r="W106" i="17"/>
  <c r="V106" i="17"/>
  <c r="AM105" i="17"/>
  <c r="AL105" i="17"/>
  <c r="AI105" i="17"/>
  <c r="AH105" i="17"/>
  <c r="AG105" i="17"/>
  <c r="AF105" i="17"/>
  <c r="AE105" i="17"/>
  <c r="AD105" i="17"/>
  <c r="AB105" i="17"/>
  <c r="Z105" i="17"/>
  <c r="Y105" i="17"/>
  <c r="X105" i="17"/>
  <c r="W105" i="17"/>
  <c r="V105" i="17"/>
  <c r="AM104" i="17"/>
  <c r="AL104" i="17"/>
  <c r="AI104" i="17"/>
  <c r="AH104" i="17"/>
  <c r="AG104" i="17"/>
  <c r="AF104" i="17"/>
  <c r="AE104" i="17"/>
  <c r="AD104" i="17"/>
  <c r="AB104" i="17"/>
  <c r="Z104" i="17"/>
  <c r="Y104" i="17"/>
  <c r="X104" i="17"/>
  <c r="W104" i="17"/>
  <c r="V104" i="17"/>
  <c r="AM103" i="17"/>
  <c r="AL103" i="17"/>
  <c r="AI103" i="17"/>
  <c r="AH103" i="17"/>
  <c r="AG103" i="17"/>
  <c r="AF103" i="17"/>
  <c r="AE103" i="17"/>
  <c r="AD103" i="17"/>
  <c r="AB103" i="17"/>
  <c r="Z103" i="17"/>
  <c r="Y103" i="17"/>
  <c r="X103" i="17"/>
  <c r="W103" i="17"/>
  <c r="V103" i="17"/>
  <c r="AM102" i="17"/>
  <c r="AL102" i="17"/>
  <c r="AI102" i="17"/>
  <c r="AH102" i="17"/>
  <c r="AG102" i="17"/>
  <c r="AF102" i="17"/>
  <c r="AE102" i="17"/>
  <c r="AD102" i="17"/>
  <c r="AB102" i="17"/>
  <c r="Z102" i="17"/>
  <c r="Y102" i="17"/>
  <c r="X102" i="17"/>
  <c r="W102" i="17"/>
  <c r="V102" i="17"/>
  <c r="AM101" i="17"/>
  <c r="AL101" i="17"/>
  <c r="AI101" i="17"/>
  <c r="AH101" i="17"/>
  <c r="AG101" i="17"/>
  <c r="AF101" i="17"/>
  <c r="AE101" i="17"/>
  <c r="AD101" i="17"/>
  <c r="AB101" i="17"/>
  <c r="Z101" i="17"/>
  <c r="Y101" i="17"/>
  <c r="X101" i="17"/>
  <c r="W101" i="17"/>
  <c r="V101" i="17"/>
  <c r="AM100" i="17"/>
  <c r="AL100" i="17"/>
  <c r="AI100" i="17"/>
  <c r="AH100" i="17"/>
  <c r="AG100" i="17"/>
  <c r="AF100" i="17"/>
  <c r="AE100" i="17"/>
  <c r="AD100" i="17"/>
  <c r="AB100" i="17"/>
  <c r="Z100" i="17"/>
  <c r="Y100" i="17"/>
  <c r="X100" i="17"/>
  <c r="W100" i="17"/>
  <c r="V100" i="17"/>
  <c r="AM99" i="17"/>
  <c r="AL99" i="17"/>
  <c r="AI99" i="17"/>
  <c r="AH99" i="17"/>
  <c r="AG99" i="17"/>
  <c r="AF99" i="17"/>
  <c r="AE99" i="17"/>
  <c r="AD99" i="17"/>
  <c r="AB99" i="17"/>
  <c r="Z99" i="17"/>
  <c r="Y99" i="17"/>
  <c r="X99" i="17"/>
  <c r="W99" i="17"/>
  <c r="V99" i="17"/>
  <c r="AM98" i="17"/>
  <c r="AL98" i="17"/>
  <c r="AI98" i="17"/>
  <c r="AH98" i="17"/>
  <c r="AG98" i="17"/>
  <c r="AF98" i="17"/>
  <c r="AE98" i="17"/>
  <c r="AD98" i="17"/>
  <c r="AB98" i="17"/>
  <c r="Z98" i="17"/>
  <c r="Y98" i="17"/>
  <c r="X98" i="17"/>
  <c r="W98" i="17"/>
  <c r="V98" i="17"/>
  <c r="AM97" i="17"/>
  <c r="AL97" i="17"/>
  <c r="AI97" i="17"/>
  <c r="AH97" i="17"/>
  <c r="AG97" i="17"/>
  <c r="AF97" i="17"/>
  <c r="AE97" i="17"/>
  <c r="AD97" i="17"/>
  <c r="AB97" i="17"/>
  <c r="Z97" i="17"/>
  <c r="Y97" i="17"/>
  <c r="X97" i="17"/>
  <c r="W97" i="17"/>
  <c r="V97" i="17"/>
  <c r="AM96" i="17"/>
  <c r="AL96" i="17"/>
  <c r="AI96" i="17"/>
  <c r="AH96" i="17"/>
  <c r="AG96" i="17"/>
  <c r="AF96" i="17"/>
  <c r="AE96" i="17"/>
  <c r="AD96" i="17"/>
  <c r="AB96" i="17"/>
  <c r="Z96" i="17"/>
  <c r="Y96" i="17"/>
  <c r="X96" i="17"/>
  <c r="W96" i="17"/>
  <c r="V96" i="17"/>
  <c r="AM95" i="17"/>
  <c r="AL95" i="17"/>
  <c r="AI95" i="17"/>
  <c r="AH95" i="17"/>
  <c r="AG95" i="17"/>
  <c r="AF95" i="17"/>
  <c r="AE95" i="17"/>
  <c r="AD95" i="17"/>
  <c r="AB95" i="17"/>
  <c r="Z95" i="17"/>
  <c r="Y95" i="17"/>
  <c r="X95" i="17"/>
  <c r="W95" i="17"/>
  <c r="V95" i="17"/>
  <c r="AM94" i="17"/>
  <c r="AL94" i="17"/>
  <c r="AI94" i="17"/>
  <c r="AH94" i="17"/>
  <c r="AG94" i="17"/>
  <c r="AF94" i="17"/>
  <c r="AE94" i="17"/>
  <c r="AD94" i="17"/>
  <c r="AB94" i="17"/>
  <c r="Z94" i="17"/>
  <c r="Y94" i="17"/>
  <c r="X94" i="17"/>
  <c r="W94" i="17"/>
  <c r="V94" i="17"/>
  <c r="AM93" i="17"/>
  <c r="AL93" i="17"/>
  <c r="AM92" i="17"/>
  <c r="AL92" i="17"/>
  <c r="AM91" i="17"/>
  <c r="AL91" i="17"/>
  <c r="AM90" i="17"/>
  <c r="AL90" i="17"/>
  <c r="AM89" i="17"/>
  <c r="AL89" i="17"/>
  <c r="AM88" i="17"/>
  <c r="AL88" i="17"/>
  <c r="AM87" i="17"/>
  <c r="AL87" i="17"/>
  <c r="AM86" i="17"/>
  <c r="AL86" i="17"/>
  <c r="AM85" i="17"/>
  <c r="AL85" i="17"/>
  <c r="AM84" i="17"/>
  <c r="AL84" i="17"/>
  <c r="AM83" i="17"/>
  <c r="AL83" i="17"/>
  <c r="AM82" i="17"/>
  <c r="AL82" i="17"/>
  <c r="AM81" i="17"/>
  <c r="AL81" i="17"/>
  <c r="AM80" i="17"/>
  <c r="AL80" i="17"/>
  <c r="AM79" i="17"/>
  <c r="AL79" i="17"/>
  <c r="AM78" i="17"/>
  <c r="AL78" i="17"/>
  <c r="AM77" i="17"/>
  <c r="AL77" i="17"/>
  <c r="AM76" i="17"/>
  <c r="AL76" i="17"/>
  <c r="AM75" i="17"/>
  <c r="AL75" i="17"/>
  <c r="AM74" i="17"/>
  <c r="AL74" i="17"/>
  <c r="AM73" i="17"/>
  <c r="AL73" i="17"/>
  <c r="AM72" i="17"/>
  <c r="AL72" i="17"/>
  <c r="AM71" i="17"/>
  <c r="AL71" i="17"/>
  <c r="AM70" i="17"/>
  <c r="AL70" i="17"/>
  <c r="AM69" i="17"/>
  <c r="AL69" i="17"/>
  <c r="AM68" i="17"/>
  <c r="AL68" i="17"/>
  <c r="AM67" i="17"/>
  <c r="AL67" i="17"/>
  <c r="AM66" i="17"/>
  <c r="AL66" i="17"/>
  <c r="AM65" i="17"/>
  <c r="AL65" i="17"/>
  <c r="AM64" i="17"/>
  <c r="AL64" i="17"/>
  <c r="BR60" i="17"/>
  <c r="BZ51" i="17"/>
  <c r="BY51" i="17"/>
  <c r="BX51" i="17"/>
  <c r="BW51" i="17"/>
  <c r="BV51" i="17"/>
  <c r="BU51" i="17"/>
  <c r="BT51" i="17"/>
  <c r="BS51" i="17"/>
  <c r="C25" i="17"/>
  <c r="BR59" i="17"/>
  <c r="CA51" i="17"/>
  <c r="C24" i="17"/>
  <c r="BR58" i="17"/>
  <c r="C23" i="17"/>
  <c r="BR57" i="17"/>
  <c r="C22" i="17"/>
  <c r="BR56" i="17"/>
  <c r="C21" i="17"/>
  <c r="BP56" i="17" a="1"/>
  <c r="BP56" i="17"/>
  <c r="BO56" i="17" a="1"/>
  <c r="BO56" i="17"/>
  <c r="BN56" i="17" a="1"/>
  <c r="BN56" i="17"/>
  <c r="BM56" i="17" a="1"/>
  <c r="BM56" i="17"/>
  <c r="BL56" i="17" a="1"/>
  <c r="BL56" i="17"/>
  <c r="BK56" i="17" a="1"/>
  <c r="BK56" i="17"/>
  <c r="BJ56" i="17" a="1"/>
  <c r="BJ56" i="17"/>
  <c r="BI56" i="17" a="1"/>
  <c r="BI56" i="17"/>
  <c r="BH56" i="17" a="1"/>
  <c r="BH56" i="17"/>
  <c r="BG56" i="17" a="1"/>
  <c r="BG56" i="17"/>
  <c r="BF56" i="17" a="1"/>
  <c r="BF56" i="17"/>
  <c r="BE56" i="17" a="1"/>
  <c r="BE56" i="17"/>
  <c r="BD56" i="17" a="1"/>
  <c r="BD56" i="17"/>
  <c r="BC56" i="17" a="1"/>
  <c r="BC56" i="17"/>
  <c r="BB56" i="17" a="1"/>
  <c r="BB56" i="17"/>
  <c r="BA56" i="17" a="1"/>
  <c r="BA56" i="17"/>
  <c r="AZ56" i="17" a="1"/>
  <c r="AZ56" i="17"/>
  <c r="AY56" i="17" a="1"/>
  <c r="AY56" i="17"/>
  <c r="AX56" i="17" a="1"/>
  <c r="AX56" i="17"/>
  <c r="AW56" i="17" a="1"/>
  <c r="AW56" i="17"/>
  <c r="AV56" i="17" a="1"/>
  <c r="AV56" i="17"/>
  <c r="AU56" i="17" a="1"/>
  <c r="AU56" i="17"/>
  <c r="AT56" i="17" a="1"/>
  <c r="AT56" i="17"/>
  <c r="AS56" i="17" a="1"/>
  <c r="AS56" i="17"/>
  <c r="AR56" i="17" a="1"/>
  <c r="AR56" i="17"/>
  <c r="AQ56" i="17" a="1"/>
  <c r="AQ56" i="17"/>
  <c r="AP56" i="17" a="1"/>
  <c r="AP56" i="17"/>
  <c r="AO56" i="17" a="1"/>
  <c r="AO56" i="17"/>
  <c r="AN56" i="17" a="1"/>
  <c r="AN56" i="17"/>
  <c r="AM56" i="17" a="1"/>
  <c r="AM56" i="17"/>
  <c r="AL56" i="17" a="1"/>
  <c r="AL56" i="17"/>
  <c r="AK56" i="17" a="1"/>
  <c r="AK56" i="17"/>
  <c r="AJ56" i="17" a="1"/>
  <c r="AJ56" i="17"/>
  <c r="AI56" i="17" a="1"/>
  <c r="AI56" i="17"/>
  <c r="AH56" i="17" a="1"/>
  <c r="AH56" i="17"/>
  <c r="AG56" i="17" a="1"/>
  <c r="AG56" i="17"/>
  <c r="AF56" i="17" a="1"/>
  <c r="AF56" i="17"/>
  <c r="AE56" i="17" a="1"/>
  <c r="AE56" i="17"/>
  <c r="AD56" i="17" a="1"/>
  <c r="AD56" i="17"/>
  <c r="AC56" i="17" a="1"/>
  <c r="AC56" i="17"/>
  <c r="AB56" i="17" a="1"/>
  <c r="AB56" i="17"/>
  <c r="AA56" i="17" a="1"/>
  <c r="AA56" i="17"/>
  <c r="Z56" i="17" a="1"/>
  <c r="Z56" i="17"/>
  <c r="Y56" i="17" a="1"/>
  <c r="Y56" i="17"/>
  <c r="X56" i="17" a="1"/>
  <c r="X56" i="17"/>
  <c r="W56" i="17" a="1"/>
  <c r="W56" i="17"/>
  <c r="V56" i="17" a="1"/>
  <c r="V56" i="17"/>
  <c r="U56" i="17" a="1"/>
  <c r="U56" i="17"/>
  <c r="T56" i="17" a="1"/>
  <c r="T56" i="17"/>
  <c r="S56" i="17" a="1"/>
  <c r="S56" i="17"/>
  <c r="R56" i="17" a="1"/>
  <c r="R56" i="17"/>
  <c r="Q56" i="17" a="1"/>
  <c r="Q56" i="17"/>
  <c r="P56" i="17" a="1"/>
  <c r="P56" i="17"/>
  <c r="O56" i="17" a="1"/>
  <c r="O56" i="17"/>
  <c r="N56" i="17" a="1"/>
  <c r="N56" i="17"/>
  <c r="M56" i="17" a="1"/>
  <c r="M56" i="17"/>
  <c r="L56" i="17" a="1"/>
  <c r="L56" i="17"/>
  <c r="K56" i="17" a="1"/>
  <c r="K56" i="17"/>
  <c r="J56" i="17" a="1"/>
  <c r="J56" i="17"/>
  <c r="I56" i="17" a="1"/>
  <c r="I56" i="17"/>
  <c r="H56" i="17" a="1"/>
  <c r="H56" i="17"/>
  <c r="G56" i="17" a="1"/>
  <c r="G56" i="17"/>
  <c r="F56" i="17" a="1"/>
  <c r="F56" i="17"/>
  <c r="E56" i="17" a="1"/>
  <c r="E56" i="17"/>
  <c r="BR55" i="17"/>
  <c r="C20" i="17"/>
  <c r="BP55" i="17" a="1"/>
  <c r="BP55" i="17"/>
  <c r="BO55" i="17" a="1"/>
  <c r="BO55" i="17"/>
  <c r="BN55" i="17" a="1"/>
  <c r="BN55" i="17"/>
  <c r="BM55" i="17" a="1"/>
  <c r="BM55" i="17"/>
  <c r="BL55" i="17" a="1"/>
  <c r="BL55" i="17"/>
  <c r="BK55" i="17" a="1"/>
  <c r="BK55" i="17"/>
  <c r="BJ55" i="17" a="1"/>
  <c r="BJ55" i="17"/>
  <c r="BI55" i="17" a="1"/>
  <c r="BI55" i="17"/>
  <c r="BH55" i="17" a="1"/>
  <c r="BH55" i="17"/>
  <c r="BG55" i="17" a="1"/>
  <c r="BG55" i="17"/>
  <c r="BF55" i="17" a="1"/>
  <c r="BF55" i="17"/>
  <c r="BE55" i="17" a="1"/>
  <c r="BE55" i="17"/>
  <c r="BD55" i="17" a="1"/>
  <c r="BD55" i="17"/>
  <c r="BC55" i="17" a="1"/>
  <c r="BC55" i="17"/>
  <c r="BB55" i="17" a="1"/>
  <c r="BB55" i="17"/>
  <c r="BA55" i="17" a="1"/>
  <c r="BA55" i="17"/>
  <c r="AZ55" i="17" a="1"/>
  <c r="AZ55" i="17"/>
  <c r="AY55" i="17" a="1"/>
  <c r="AY55" i="17"/>
  <c r="AX55" i="17" a="1"/>
  <c r="AX55" i="17"/>
  <c r="AW55" i="17" a="1"/>
  <c r="AW55" i="17"/>
  <c r="AV55" i="17" a="1"/>
  <c r="AV55" i="17"/>
  <c r="AU55" i="17" a="1"/>
  <c r="AU55" i="17"/>
  <c r="AT55" i="17" a="1"/>
  <c r="AT55" i="17"/>
  <c r="AS55" i="17" a="1"/>
  <c r="AS55" i="17"/>
  <c r="AR55" i="17" a="1"/>
  <c r="AR55" i="17"/>
  <c r="AQ55" i="17" a="1"/>
  <c r="AQ55" i="17"/>
  <c r="AP55" i="17" a="1"/>
  <c r="AP55" i="17"/>
  <c r="AO55" i="17" a="1"/>
  <c r="AO55" i="17"/>
  <c r="AN55" i="17" a="1"/>
  <c r="AN55" i="17"/>
  <c r="AM55" i="17" a="1"/>
  <c r="AM55" i="17"/>
  <c r="AL55" i="17" a="1"/>
  <c r="AL55" i="17"/>
  <c r="AK55" i="17" a="1"/>
  <c r="AK55" i="17"/>
  <c r="AJ55" i="17" a="1"/>
  <c r="AJ55" i="17"/>
  <c r="AI55" i="17" a="1"/>
  <c r="AI55" i="17"/>
  <c r="AH55" i="17" a="1"/>
  <c r="AH55" i="17"/>
  <c r="AG55" i="17" a="1"/>
  <c r="AG55" i="17"/>
  <c r="AF55" i="17" a="1"/>
  <c r="AF55" i="17"/>
  <c r="AE55" i="17" a="1"/>
  <c r="AE55" i="17"/>
  <c r="AD55" i="17" a="1"/>
  <c r="AD55" i="17"/>
  <c r="AC55" i="17" a="1"/>
  <c r="AC55" i="17"/>
  <c r="AB55" i="17" a="1"/>
  <c r="AB55" i="17"/>
  <c r="AA55" i="17" a="1"/>
  <c r="AA55" i="17"/>
  <c r="Z55" i="17" a="1"/>
  <c r="Z55" i="17"/>
  <c r="Y55" i="17" a="1"/>
  <c r="Y55" i="17"/>
  <c r="X55" i="17" a="1"/>
  <c r="X55" i="17"/>
  <c r="W55" i="17" a="1"/>
  <c r="W55" i="17"/>
  <c r="V55" i="17" a="1"/>
  <c r="V55" i="17"/>
  <c r="U55" i="17" a="1"/>
  <c r="U55" i="17"/>
  <c r="T55" i="17" a="1"/>
  <c r="T55" i="17"/>
  <c r="S55" i="17" a="1"/>
  <c r="S55" i="17"/>
  <c r="R55" i="17" a="1"/>
  <c r="R55" i="17"/>
  <c r="Q55" i="17" a="1"/>
  <c r="Q55" i="17"/>
  <c r="P55" i="17" a="1"/>
  <c r="P55" i="17"/>
  <c r="O55" i="17" a="1"/>
  <c r="O55" i="17"/>
  <c r="N55" i="17" a="1"/>
  <c r="N55" i="17"/>
  <c r="M55" i="17" a="1"/>
  <c r="M55" i="17"/>
  <c r="L55" i="17" a="1"/>
  <c r="L55" i="17"/>
  <c r="K55" i="17" a="1"/>
  <c r="K55" i="17"/>
  <c r="J55" i="17" a="1"/>
  <c r="J55" i="17"/>
  <c r="I55" i="17" a="1"/>
  <c r="I55" i="17"/>
  <c r="H55" i="17" a="1"/>
  <c r="H55" i="17"/>
  <c r="G55" i="17" a="1"/>
  <c r="G55" i="17"/>
  <c r="F55" i="17" a="1"/>
  <c r="F55" i="17"/>
  <c r="E55" i="17" a="1"/>
  <c r="E55" i="17"/>
  <c r="BR54" i="17"/>
  <c r="C19" i="17"/>
  <c r="BP54" i="17" a="1"/>
  <c r="BP54" i="17"/>
  <c r="BO54" i="17" a="1"/>
  <c r="BO54" i="17"/>
  <c r="BN54" i="17" a="1"/>
  <c r="BN54" i="17"/>
  <c r="BM54" i="17" a="1"/>
  <c r="BM54" i="17"/>
  <c r="BL54" i="17" a="1"/>
  <c r="BL54" i="17"/>
  <c r="BK54" i="17" a="1"/>
  <c r="BK54" i="17"/>
  <c r="BJ54" i="17" a="1"/>
  <c r="BJ54" i="17"/>
  <c r="BI54" i="17" a="1"/>
  <c r="BI54" i="17"/>
  <c r="BH54" i="17" a="1"/>
  <c r="BH54" i="17"/>
  <c r="BG54" i="17" a="1"/>
  <c r="BG54" i="17"/>
  <c r="BF54" i="17" a="1"/>
  <c r="BF54" i="17"/>
  <c r="BE54" i="17" a="1"/>
  <c r="BE54" i="17"/>
  <c r="BD54" i="17" a="1"/>
  <c r="BD54" i="17"/>
  <c r="BC54" i="17" a="1"/>
  <c r="BC54" i="17"/>
  <c r="BB54" i="17" a="1"/>
  <c r="BB54" i="17"/>
  <c r="BA54" i="17" a="1"/>
  <c r="BA54" i="17"/>
  <c r="AZ54" i="17" a="1"/>
  <c r="AZ54" i="17"/>
  <c r="AY54" i="17" a="1"/>
  <c r="AY54" i="17"/>
  <c r="AX54" i="17" a="1"/>
  <c r="AX54" i="17"/>
  <c r="AW54" i="17" a="1"/>
  <c r="AW54" i="17"/>
  <c r="AV54" i="17" a="1"/>
  <c r="AV54" i="17"/>
  <c r="AU54" i="17" a="1"/>
  <c r="AU54" i="17"/>
  <c r="AT54" i="17" a="1"/>
  <c r="AT54" i="17"/>
  <c r="AS54" i="17" a="1"/>
  <c r="AS54" i="17"/>
  <c r="AR54" i="17" a="1"/>
  <c r="AR54" i="17"/>
  <c r="AQ54" i="17" a="1"/>
  <c r="AQ54" i="17"/>
  <c r="AP54" i="17" a="1"/>
  <c r="AP54" i="17"/>
  <c r="AO54" i="17" a="1"/>
  <c r="AO54" i="17"/>
  <c r="AN54" i="17" a="1"/>
  <c r="AN54" i="17"/>
  <c r="AM54" i="17" a="1"/>
  <c r="AM54" i="17"/>
  <c r="AL54" i="17" a="1"/>
  <c r="AL54" i="17"/>
  <c r="AK54" i="17" a="1"/>
  <c r="AK54" i="17"/>
  <c r="AJ54" i="17" a="1"/>
  <c r="AJ54" i="17"/>
  <c r="AI54" i="17" a="1"/>
  <c r="AI54" i="17"/>
  <c r="AH54" i="17" a="1"/>
  <c r="AH54" i="17"/>
  <c r="AG54" i="17" a="1"/>
  <c r="AG54" i="17"/>
  <c r="AF54" i="17" a="1"/>
  <c r="AF54" i="17"/>
  <c r="AE54" i="17" a="1"/>
  <c r="AE54" i="17"/>
  <c r="AD54" i="17" a="1"/>
  <c r="AD54" i="17"/>
  <c r="AC54" i="17" a="1"/>
  <c r="AC54" i="17"/>
  <c r="AB54" i="17" a="1"/>
  <c r="AB54" i="17"/>
  <c r="AA54" i="17" a="1"/>
  <c r="AA54" i="17"/>
  <c r="Z54" i="17" a="1"/>
  <c r="Z54" i="17"/>
  <c r="Y54" i="17" a="1"/>
  <c r="Y54" i="17"/>
  <c r="X54" i="17" a="1"/>
  <c r="X54" i="17"/>
  <c r="W54" i="17" a="1"/>
  <c r="W54" i="17"/>
  <c r="V54" i="17" a="1"/>
  <c r="V54" i="17"/>
  <c r="U54" i="17" a="1"/>
  <c r="U54" i="17"/>
  <c r="T54" i="17" a="1"/>
  <c r="T54" i="17"/>
  <c r="S54" i="17" a="1"/>
  <c r="S54" i="17"/>
  <c r="R54" i="17" a="1"/>
  <c r="R54" i="17"/>
  <c r="Q54" i="17" a="1"/>
  <c r="Q54" i="17"/>
  <c r="P54" i="17" a="1"/>
  <c r="P54" i="17"/>
  <c r="O54" i="17" a="1"/>
  <c r="O54" i="17"/>
  <c r="N54" i="17" a="1"/>
  <c r="N54" i="17"/>
  <c r="M54" i="17" a="1"/>
  <c r="M54" i="17"/>
  <c r="L54" i="17" a="1"/>
  <c r="L54" i="17"/>
  <c r="K54" i="17" a="1"/>
  <c r="K54" i="17"/>
  <c r="J54" i="17" a="1"/>
  <c r="J54" i="17"/>
  <c r="I54" i="17" a="1"/>
  <c r="I54" i="17"/>
  <c r="H54" i="17" a="1"/>
  <c r="H54" i="17"/>
  <c r="G54" i="17" a="1"/>
  <c r="G54" i="17"/>
  <c r="F54" i="17" a="1"/>
  <c r="F54" i="17"/>
  <c r="E54" i="17" a="1"/>
  <c r="E54" i="17"/>
  <c r="BR53" i="17"/>
  <c r="C18" i="17"/>
  <c r="BR52" i="17"/>
  <c r="C17" i="17"/>
  <c r="BR49" i="17"/>
  <c r="BR48" i="17"/>
  <c r="BR47" i="17"/>
  <c r="BR46" i="17"/>
  <c r="BR45" i="17"/>
  <c r="BR44" i="17"/>
  <c r="BR43" i="17"/>
  <c r="BR42" i="17"/>
  <c r="BR41" i="17"/>
  <c r="CA40" i="17"/>
  <c r="BZ40" i="17"/>
  <c r="BY40" i="17"/>
  <c r="BX40" i="17"/>
  <c r="BW40" i="17"/>
  <c r="BV40" i="17"/>
  <c r="BU40" i="17"/>
  <c r="BT40" i="17"/>
  <c r="BS40" i="17"/>
  <c r="C38" i="17"/>
  <c r="C37" i="17"/>
  <c r="C36" i="17"/>
  <c r="C35" i="17"/>
  <c r="C34" i="17"/>
  <c r="C33" i="17"/>
  <c r="C32" i="17"/>
  <c r="C31" i="17"/>
  <c r="C30" i="17"/>
  <c r="J25" i="17"/>
  <c r="I25" i="17"/>
  <c r="H25" i="17"/>
  <c r="G25" i="17"/>
  <c r="F25" i="17"/>
  <c r="E25" i="17"/>
  <c r="D25" i="17"/>
  <c r="J24" i="17"/>
  <c r="I24" i="17"/>
  <c r="H24" i="17"/>
  <c r="G24" i="17"/>
  <c r="F24" i="17"/>
  <c r="E24" i="17"/>
  <c r="D24" i="17"/>
  <c r="J23" i="17"/>
  <c r="I23" i="17"/>
  <c r="H23" i="17"/>
  <c r="G23" i="17"/>
  <c r="F23" i="17"/>
  <c r="E23" i="17"/>
  <c r="D23" i="17"/>
  <c r="J22" i="17"/>
  <c r="I22" i="17"/>
  <c r="H22" i="17"/>
  <c r="G22" i="17"/>
  <c r="F22" i="17"/>
  <c r="E22" i="17"/>
  <c r="D22" i="17"/>
  <c r="AC21" i="17"/>
  <c r="J21" i="17"/>
  <c r="I21" i="17"/>
  <c r="H21" i="17"/>
  <c r="G21" i="17"/>
  <c r="F21" i="17"/>
  <c r="E21" i="17"/>
  <c r="D21" i="17"/>
  <c r="AC20" i="17"/>
  <c r="J20" i="17"/>
  <c r="I20" i="17"/>
  <c r="H20" i="17"/>
  <c r="G20" i="17"/>
  <c r="F20" i="17"/>
  <c r="E20" i="17"/>
  <c r="D20" i="17"/>
  <c r="AC19" i="17"/>
  <c r="J19" i="17"/>
  <c r="I19" i="17"/>
  <c r="H19" i="17"/>
  <c r="G19" i="17"/>
  <c r="F19" i="17"/>
  <c r="E19" i="17"/>
  <c r="D19" i="17"/>
  <c r="J18" i="17"/>
  <c r="I18" i="17"/>
  <c r="H18" i="17"/>
  <c r="G18" i="17"/>
  <c r="F18" i="17"/>
  <c r="E18" i="17"/>
  <c r="D18" i="17"/>
  <c r="J17" i="17"/>
  <c r="I17" i="17"/>
  <c r="H17" i="17"/>
  <c r="G17" i="17"/>
  <c r="F17" i="17"/>
  <c r="E17" i="17"/>
  <c r="D17" i="17"/>
  <c r="B13" i="17"/>
  <c r="AC165" i="34"/>
  <c r="AC164" i="34"/>
  <c r="AC163" i="34"/>
  <c r="AC162" i="34"/>
  <c r="AC161" i="34"/>
  <c r="AC160" i="34"/>
  <c r="AC159" i="34"/>
  <c r="AC158" i="34"/>
  <c r="AC157" i="34"/>
  <c r="AC156" i="34"/>
  <c r="AC155" i="34"/>
  <c r="AC154" i="34"/>
  <c r="AC153" i="34"/>
  <c r="AC152" i="34"/>
  <c r="AC151" i="34"/>
  <c r="AC150" i="34"/>
  <c r="AC149" i="34"/>
  <c r="AC148" i="34"/>
  <c r="AC147" i="34"/>
  <c r="AC146" i="34"/>
  <c r="AC145" i="34"/>
  <c r="AC144" i="34"/>
  <c r="AC143" i="34"/>
  <c r="AC142" i="34"/>
  <c r="AC141" i="34"/>
  <c r="AC140" i="34"/>
  <c r="AC139" i="34"/>
  <c r="AC138" i="34"/>
  <c r="AC137" i="34"/>
  <c r="AC136" i="34"/>
  <c r="AM11" i="6"/>
  <c r="AC64" i="34"/>
  <c r="AC65" i="34"/>
  <c r="AC66" i="34"/>
  <c r="AC67" i="34"/>
  <c r="AC68" i="34"/>
  <c r="AC69" i="34"/>
  <c r="AC70" i="34"/>
  <c r="AC71" i="34"/>
  <c r="AC72" i="34"/>
  <c r="AC73" i="34"/>
  <c r="AC74" i="34"/>
  <c r="AC75" i="34"/>
  <c r="AC76" i="34"/>
  <c r="AC77" i="34"/>
  <c r="AC78" i="34"/>
  <c r="AC79" i="34"/>
  <c r="AC80" i="34"/>
  <c r="AC81" i="34"/>
  <c r="AC82" i="34"/>
  <c r="AC83" i="34"/>
  <c r="AC84" i="34"/>
  <c r="AC85" i="34"/>
  <c r="AC86" i="34"/>
  <c r="AC87" i="34"/>
  <c r="AC88" i="34"/>
  <c r="AC89" i="34"/>
  <c r="AC90" i="34"/>
  <c r="AC91" i="34"/>
  <c r="AC92" i="34"/>
  <c r="AC93" i="34"/>
  <c r="AC180" i="34"/>
  <c r="AB180" i="34"/>
  <c r="AC179" i="34"/>
  <c r="AB179" i="34"/>
  <c r="AC178" i="34"/>
  <c r="AB178" i="34"/>
  <c r="AC177" i="34"/>
  <c r="AB177" i="34"/>
  <c r="AC176" i="34"/>
  <c r="AB176" i="34"/>
  <c r="AC175" i="34"/>
  <c r="AB175" i="34"/>
  <c r="AC174" i="34"/>
  <c r="AB174" i="34"/>
  <c r="AC173" i="34"/>
  <c r="AB173" i="34"/>
  <c r="AC172" i="34"/>
  <c r="AB172" i="34"/>
  <c r="AC171" i="34"/>
  <c r="AB171" i="34"/>
  <c r="AC170" i="34"/>
  <c r="AB170" i="34"/>
  <c r="AC169" i="34"/>
  <c r="AB169" i="34"/>
  <c r="AC168" i="34"/>
  <c r="AB168" i="34"/>
  <c r="AC167" i="34"/>
  <c r="AB167" i="34"/>
  <c r="AC166" i="34"/>
  <c r="AB166" i="34"/>
  <c r="Z180" i="34"/>
  <c r="Z179" i="34"/>
  <c r="Z178" i="34"/>
  <c r="Z177" i="34"/>
  <c r="Z176" i="34"/>
  <c r="Z175" i="34"/>
  <c r="Z174" i="34"/>
  <c r="Z173" i="34"/>
  <c r="Z172" i="34"/>
  <c r="Z171" i="34"/>
  <c r="Z170" i="34"/>
  <c r="Z169" i="34"/>
  <c r="Z168" i="34"/>
  <c r="Z167" i="34"/>
  <c r="Z166" i="34"/>
  <c r="AM108" i="34"/>
  <c r="AL108" i="34"/>
  <c r="AM107" i="34"/>
  <c r="AL107" i="34"/>
  <c r="AM106" i="34"/>
  <c r="AL106" i="34"/>
  <c r="AM105" i="34"/>
  <c r="AL105" i="34"/>
  <c r="AM104" i="34"/>
  <c r="AL104" i="34"/>
  <c r="AM103" i="34"/>
  <c r="AL103" i="34"/>
  <c r="AM102" i="34"/>
  <c r="AL102" i="34"/>
  <c r="AM101" i="34"/>
  <c r="AL101" i="34"/>
  <c r="AM100" i="34"/>
  <c r="AL100" i="34"/>
  <c r="AM99" i="34"/>
  <c r="AL99" i="34"/>
  <c r="AM98" i="34"/>
  <c r="AL98" i="34"/>
  <c r="AM97" i="34"/>
  <c r="AL97" i="34"/>
  <c r="AM96" i="34"/>
  <c r="AL96" i="34"/>
  <c r="AM95" i="34"/>
  <c r="AL95" i="34"/>
  <c r="AM94" i="34"/>
  <c r="AL94" i="34"/>
  <c r="AI108" i="34"/>
  <c r="AH108" i="34"/>
  <c r="AG108" i="34"/>
  <c r="AF108" i="34"/>
  <c r="AE108" i="34"/>
  <c r="AD108" i="34"/>
  <c r="AI107" i="34"/>
  <c r="AH107" i="34"/>
  <c r="AG107" i="34"/>
  <c r="AF107" i="34"/>
  <c r="AE107" i="34"/>
  <c r="AD107" i="34"/>
  <c r="AI106" i="34"/>
  <c r="AH106" i="34"/>
  <c r="AG106" i="34"/>
  <c r="AF106" i="34"/>
  <c r="AE106" i="34"/>
  <c r="AD106" i="34"/>
  <c r="AI105" i="34"/>
  <c r="AH105" i="34"/>
  <c r="AG105" i="34"/>
  <c r="AF105" i="34"/>
  <c r="AE105" i="34"/>
  <c r="AD105" i="34"/>
  <c r="AI104" i="34"/>
  <c r="AH104" i="34"/>
  <c r="AG104" i="34"/>
  <c r="AF104" i="34"/>
  <c r="AE104" i="34"/>
  <c r="AD104" i="34"/>
  <c r="AI103" i="34"/>
  <c r="AH103" i="34"/>
  <c r="AG103" i="34"/>
  <c r="AF103" i="34"/>
  <c r="AE103" i="34"/>
  <c r="AD103" i="34"/>
  <c r="AI102" i="34"/>
  <c r="AH102" i="34"/>
  <c r="AG102" i="34"/>
  <c r="AF102" i="34"/>
  <c r="AE102" i="34"/>
  <c r="AD102" i="34"/>
  <c r="AI101" i="34"/>
  <c r="AH101" i="34"/>
  <c r="AG101" i="34"/>
  <c r="AF101" i="34"/>
  <c r="AE101" i="34"/>
  <c r="AD101" i="34"/>
  <c r="AI100" i="34"/>
  <c r="AH100" i="34"/>
  <c r="AG100" i="34"/>
  <c r="AF100" i="34"/>
  <c r="AE100" i="34"/>
  <c r="AD100" i="34"/>
  <c r="AI99" i="34"/>
  <c r="AH99" i="34"/>
  <c r="AG99" i="34"/>
  <c r="AF99" i="34"/>
  <c r="AE99" i="34"/>
  <c r="AD99" i="34"/>
  <c r="AI98" i="34"/>
  <c r="AH98" i="34"/>
  <c r="AG98" i="34"/>
  <c r="AF98" i="34"/>
  <c r="AE98" i="34"/>
  <c r="AD98" i="34"/>
  <c r="AI97" i="34"/>
  <c r="AH97" i="34"/>
  <c r="AG97" i="34"/>
  <c r="AF97" i="34"/>
  <c r="AE97" i="34"/>
  <c r="AD97" i="34"/>
  <c r="AI96" i="34"/>
  <c r="AH96" i="34"/>
  <c r="AG96" i="34"/>
  <c r="AF96" i="34"/>
  <c r="AE96" i="34"/>
  <c r="AD96" i="34"/>
  <c r="AI95" i="34"/>
  <c r="AH95" i="34"/>
  <c r="AG95" i="34"/>
  <c r="AF95" i="34"/>
  <c r="AE95" i="34"/>
  <c r="AD95" i="34"/>
  <c r="AI94" i="34"/>
  <c r="AH94" i="34"/>
  <c r="AG94" i="34"/>
  <c r="AF94" i="34"/>
  <c r="AE94" i="34"/>
  <c r="AD94" i="34"/>
  <c r="AB108" i="34"/>
  <c r="AB107" i="34"/>
  <c r="AB106" i="34"/>
  <c r="AB105" i="34"/>
  <c r="AB104" i="34"/>
  <c r="AB103" i="34"/>
  <c r="AB102" i="34"/>
  <c r="AB101" i="34"/>
  <c r="AB100" i="34"/>
  <c r="AB99" i="34"/>
  <c r="AB98" i="34"/>
  <c r="AB97" i="34"/>
  <c r="AB96" i="34"/>
  <c r="AB95" i="34"/>
  <c r="AB94" i="34"/>
  <c r="Z108" i="34"/>
  <c r="Y108" i="34"/>
  <c r="X108" i="34"/>
  <c r="W108" i="34"/>
  <c r="V108" i="34"/>
  <c r="Z107" i="34"/>
  <c r="Y107" i="34"/>
  <c r="X107" i="34"/>
  <c r="W107" i="34"/>
  <c r="V107" i="34"/>
  <c r="Z106" i="34"/>
  <c r="Y106" i="34"/>
  <c r="X106" i="34"/>
  <c r="W106" i="34"/>
  <c r="V106" i="34"/>
  <c r="Z105" i="34"/>
  <c r="Y105" i="34"/>
  <c r="X105" i="34"/>
  <c r="W105" i="34"/>
  <c r="V105" i="34"/>
  <c r="Z104" i="34"/>
  <c r="Y104" i="34"/>
  <c r="X104" i="34"/>
  <c r="W104" i="34"/>
  <c r="V104" i="34"/>
  <c r="Z103" i="34"/>
  <c r="Y103" i="34"/>
  <c r="X103" i="34"/>
  <c r="W103" i="34"/>
  <c r="V103" i="34"/>
  <c r="Z102" i="34"/>
  <c r="Y102" i="34"/>
  <c r="X102" i="34"/>
  <c r="W102" i="34"/>
  <c r="V102" i="34"/>
  <c r="Z101" i="34"/>
  <c r="Y101" i="34"/>
  <c r="X101" i="34"/>
  <c r="W101" i="34"/>
  <c r="V101" i="34"/>
  <c r="Z100" i="34"/>
  <c r="Y100" i="34"/>
  <c r="X100" i="34"/>
  <c r="W100" i="34"/>
  <c r="V100" i="34"/>
  <c r="Z99" i="34"/>
  <c r="Y99" i="34"/>
  <c r="X99" i="34"/>
  <c r="W99" i="34"/>
  <c r="V99" i="34"/>
  <c r="Z98" i="34"/>
  <c r="Y98" i="34"/>
  <c r="X98" i="34"/>
  <c r="W98" i="34"/>
  <c r="V98" i="34"/>
  <c r="Z97" i="34"/>
  <c r="Y97" i="34"/>
  <c r="X97" i="34"/>
  <c r="W97" i="34"/>
  <c r="V97" i="34"/>
  <c r="Z96" i="34"/>
  <c r="Y96" i="34"/>
  <c r="X96" i="34"/>
  <c r="W96" i="34"/>
  <c r="V96" i="34"/>
  <c r="Z95" i="34"/>
  <c r="Y95" i="34"/>
  <c r="X95" i="34"/>
  <c r="W95" i="34"/>
  <c r="V95" i="34"/>
  <c r="Z94" i="34"/>
  <c r="Y94" i="34"/>
  <c r="X94" i="34"/>
  <c r="W94" i="34"/>
  <c r="V94" i="34"/>
  <c r="AP11" i="6"/>
  <c r="AP17" i="6"/>
  <c r="AO11" i="6"/>
  <c r="AO17" i="6"/>
  <c r="AN11" i="6"/>
  <c r="AN17" i="6"/>
  <c r="AM17" i="6"/>
  <c r="AL11" i="6"/>
  <c r="AL17" i="6"/>
  <c r="AQ11" i="6"/>
  <c r="AQ16" i="6"/>
  <c r="AO16" i="6"/>
  <c r="AN16" i="6"/>
  <c r="AM16" i="6"/>
  <c r="AL16" i="6"/>
  <c r="AQ15" i="6"/>
  <c r="AP15" i="6"/>
  <c r="AN15" i="6"/>
  <c r="AM15" i="6"/>
  <c r="AL15" i="6"/>
  <c r="AQ14" i="6"/>
  <c r="AP14" i="6"/>
  <c r="AO14" i="6"/>
  <c r="AM14" i="6"/>
  <c r="AL14" i="6"/>
  <c r="AQ13" i="6"/>
  <c r="AP13" i="6"/>
  <c r="AO13" i="6"/>
  <c r="AN13" i="6"/>
  <c r="AL13" i="6"/>
  <c r="AQ12" i="6"/>
  <c r="AP12" i="6"/>
  <c r="AO12" i="6"/>
  <c r="AN12" i="6"/>
  <c r="AM12" i="6"/>
  <c r="AC17" i="6"/>
  <c r="AE17" i="6"/>
  <c r="AF17" i="6"/>
  <c r="AC16" i="6"/>
  <c r="AE16" i="6"/>
  <c r="AF16" i="6"/>
  <c r="AC15" i="6"/>
  <c r="AE15" i="6"/>
  <c r="AF15" i="6"/>
  <c r="AC14" i="6"/>
  <c r="AE14" i="6"/>
  <c r="AF14" i="6"/>
  <c r="AC13" i="6"/>
  <c r="AE13" i="6"/>
  <c r="AF13" i="6"/>
  <c r="AC12" i="6"/>
  <c r="AE12" i="6"/>
  <c r="AF12" i="6"/>
  <c r="AF11" i="6"/>
  <c r="AJ11" i="6"/>
  <c r="AQ10" i="6"/>
  <c r="AP10" i="6"/>
  <c r="AO10" i="6"/>
  <c r="AN10" i="6"/>
  <c r="AM10" i="6"/>
  <c r="AL10" i="6"/>
  <c r="AK11" i="6"/>
  <c r="AK17" i="6"/>
  <c r="AK16" i="6"/>
  <c r="AK15" i="6"/>
  <c r="AK14" i="6"/>
  <c r="AK13" i="6"/>
  <c r="AK12" i="6"/>
  <c r="AJ17" i="6"/>
  <c r="AJ16" i="6"/>
  <c r="AJ15" i="6"/>
  <c r="AJ14" i="6"/>
  <c r="AJ13" i="6"/>
  <c r="AJ12" i="6"/>
  <c r="E55" i="9"/>
  <c r="C10" i="24"/>
  <c r="C10" i="21"/>
  <c r="L34" i="10"/>
  <c r="L40" i="10"/>
  <c r="K34" i="10"/>
  <c r="K40" i="10"/>
  <c r="J34" i="10"/>
  <c r="J40" i="10"/>
  <c r="I34" i="10"/>
  <c r="I40" i="10"/>
  <c r="H34" i="10"/>
  <c r="H40" i="10"/>
  <c r="F40" i="10"/>
  <c r="D40" i="10"/>
  <c r="B40" i="10"/>
  <c r="M34" i="10"/>
  <c r="M39" i="10"/>
  <c r="K39" i="10"/>
  <c r="J39" i="10"/>
  <c r="I39" i="10"/>
  <c r="H39" i="10"/>
  <c r="F39" i="10"/>
  <c r="D39" i="10"/>
  <c r="B39" i="10"/>
  <c r="M38" i="10"/>
  <c r="L38" i="10"/>
  <c r="J38" i="10"/>
  <c r="I38" i="10"/>
  <c r="H38" i="10"/>
  <c r="F38" i="10"/>
  <c r="D38" i="10"/>
  <c r="B38" i="10"/>
  <c r="M37" i="10"/>
  <c r="L37" i="10"/>
  <c r="K37" i="10"/>
  <c r="I37" i="10"/>
  <c r="H37" i="10"/>
  <c r="F37" i="10"/>
  <c r="D37" i="10"/>
  <c r="B37" i="10"/>
  <c r="M36" i="10"/>
  <c r="L36" i="10"/>
  <c r="K36" i="10"/>
  <c r="J36" i="10"/>
  <c r="H36" i="10"/>
  <c r="F36" i="10"/>
  <c r="D36" i="10"/>
  <c r="B36" i="10"/>
  <c r="M35" i="10"/>
  <c r="L35" i="10"/>
  <c r="K35" i="10"/>
  <c r="J35" i="10"/>
  <c r="I35" i="10"/>
  <c r="F35" i="10"/>
  <c r="D35" i="10"/>
  <c r="B35" i="10"/>
  <c r="L25" i="10"/>
  <c r="L31" i="10"/>
  <c r="K25" i="10"/>
  <c r="K31" i="10"/>
  <c r="J25" i="10"/>
  <c r="J31" i="10"/>
  <c r="I25" i="10"/>
  <c r="I31" i="10"/>
  <c r="H25" i="10"/>
  <c r="H31" i="10"/>
  <c r="F31" i="10"/>
  <c r="D31" i="10"/>
  <c r="B31" i="10"/>
  <c r="M25" i="10"/>
  <c r="M30" i="10"/>
  <c r="K30" i="10"/>
  <c r="J30" i="10"/>
  <c r="I30" i="10"/>
  <c r="H30" i="10"/>
  <c r="F30" i="10"/>
  <c r="D30" i="10"/>
  <c r="B30" i="10"/>
  <c r="M29" i="10"/>
  <c r="L29" i="10"/>
  <c r="J29" i="10"/>
  <c r="I29" i="10"/>
  <c r="H29" i="10"/>
  <c r="F29" i="10"/>
  <c r="D29" i="10"/>
  <c r="B29" i="10"/>
  <c r="M28" i="10"/>
  <c r="L28" i="10"/>
  <c r="K28" i="10"/>
  <c r="I28" i="10"/>
  <c r="H28" i="10"/>
  <c r="F28" i="10"/>
  <c r="D28" i="10"/>
  <c r="B28" i="10"/>
  <c r="M27" i="10"/>
  <c r="L27" i="10"/>
  <c r="K27" i="10"/>
  <c r="J27" i="10"/>
  <c r="H27" i="10"/>
  <c r="F27" i="10"/>
  <c r="D27" i="10"/>
  <c r="B27" i="10"/>
  <c r="M26" i="10"/>
  <c r="L26" i="10"/>
  <c r="K26" i="10"/>
  <c r="J26" i="10"/>
  <c r="I26" i="10"/>
  <c r="F26" i="10"/>
  <c r="D26" i="10"/>
  <c r="B26" i="10"/>
  <c r="L16" i="10"/>
  <c r="L22" i="10"/>
  <c r="K16" i="10"/>
  <c r="K22" i="10"/>
  <c r="J16" i="10"/>
  <c r="J22" i="10"/>
  <c r="I16" i="10"/>
  <c r="I22" i="10"/>
  <c r="H16" i="10"/>
  <c r="H22" i="10"/>
  <c r="F22" i="10"/>
  <c r="D22" i="10"/>
  <c r="B22" i="10"/>
  <c r="M16" i="10"/>
  <c r="M21" i="10"/>
  <c r="K21" i="10"/>
  <c r="J21" i="10"/>
  <c r="I21" i="10"/>
  <c r="H21" i="10"/>
  <c r="F21" i="10"/>
  <c r="D21" i="10"/>
  <c r="B21" i="10"/>
  <c r="M20" i="10"/>
  <c r="L20" i="10"/>
  <c r="J20" i="10"/>
  <c r="I20" i="10"/>
  <c r="H20" i="10"/>
  <c r="F20" i="10"/>
  <c r="D20" i="10"/>
  <c r="B20" i="10"/>
  <c r="M19" i="10"/>
  <c r="L19" i="10"/>
  <c r="K19" i="10"/>
  <c r="I19" i="10"/>
  <c r="H19" i="10"/>
  <c r="F19" i="10"/>
  <c r="D19" i="10"/>
  <c r="B19" i="10"/>
  <c r="M18" i="10"/>
  <c r="L18" i="10"/>
  <c r="K18" i="10"/>
  <c r="J18" i="10"/>
  <c r="H18" i="10"/>
  <c r="F18" i="10"/>
  <c r="D18" i="10"/>
  <c r="B18" i="10"/>
  <c r="M17" i="10"/>
  <c r="L17" i="10"/>
  <c r="K17" i="10"/>
  <c r="J17" i="10"/>
  <c r="I17" i="10"/>
  <c r="F17" i="10"/>
  <c r="D17" i="10"/>
  <c r="B17" i="10"/>
  <c r="L7" i="10"/>
  <c r="L13" i="10"/>
  <c r="K7" i="10"/>
  <c r="K13" i="10"/>
  <c r="J7" i="10"/>
  <c r="J13" i="10"/>
  <c r="I7" i="10"/>
  <c r="I13" i="10"/>
  <c r="H7" i="10"/>
  <c r="H13" i="10"/>
  <c r="F13" i="10"/>
  <c r="D13" i="10"/>
  <c r="B13" i="10"/>
  <c r="M7" i="10"/>
  <c r="M12" i="10"/>
  <c r="K12" i="10"/>
  <c r="J12" i="10"/>
  <c r="I12" i="10"/>
  <c r="H12" i="10"/>
  <c r="F12" i="10"/>
  <c r="D12" i="10"/>
  <c r="B12" i="10"/>
  <c r="M11" i="10"/>
  <c r="L11" i="10"/>
  <c r="J11" i="10"/>
  <c r="I11" i="10"/>
  <c r="H11" i="10"/>
  <c r="F11" i="10"/>
  <c r="D11" i="10"/>
  <c r="B11" i="10"/>
  <c r="M10" i="10"/>
  <c r="L10" i="10"/>
  <c r="K10" i="10"/>
  <c r="I10" i="10"/>
  <c r="H10" i="10"/>
  <c r="F10" i="10"/>
  <c r="D10" i="10"/>
  <c r="B10" i="10"/>
  <c r="M9" i="10"/>
  <c r="L9" i="10"/>
  <c r="K9" i="10"/>
  <c r="J9" i="10"/>
  <c r="H9" i="10"/>
  <c r="D9" i="10"/>
  <c r="B9" i="10"/>
  <c r="M8" i="10"/>
  <c r="L8" i="10"/>
  <c r="K8" i="10"/>
  <c r="J8" i="10"/>
  <c r="I8" i="10"/>
  <c r="D8" i="10"/>
  <c r="B8" i="10"/>
  <c r="AT19" i="27"/>
  <c r="AT21" i="27"/>
  <c r="AT12" i="27"/>
  <c r="AT14" i="27"/>
  <c r="C10" i="27"/>
  <c r="AI17" i="6"/>
  <c r="AG17" i="6"/>
  <c r="AB17" i="6"/>
  <c r="AA17" i="6"/>
  <c r="Z17" i="6"/>
  <c r="Y17" i="6"/>
  <c r="W12" i="6"/>
  <c r="W13" i="6"/>
  <c r="W14" i="6"/>
  <c r="W15" i="6"/>
  <c r="W16" i="6"/>
  <c r="W17" i="6"/>
  <c r="AI16" i="6"/>
  <c r="AG16" i="6"/>
  <c r="AB16" i="6"/>
  <c r="AA16" i="6"/>
  <c r="Z16" i="6"/>
  <c r="Y16" i="6"/>
  <c r="AI15" i="6"/>
  <c r="AG15" i="6"/>
  <c r="AB15" i="6"/>
  <c r="AA15" i="6"/>
  <c r="Z15" i="6"/>
  <c r="Y15" i="6"/>
  <c r="AI14" i="6"/>
  <c r="AG14" i="6"/>
  <c r="AB14" i="6"/>
  <c r="AA14" i="6"/>
  <c r="Z14" i="6"/>
  <c r="Y14" i="6"/>
  <c r="AI13" i="6"/>
  <c r="AG13" i="6"/>
  <c r="AB13" i="6"/>
  <c r="AA13" i="6"/>
  <c r="Z13" i="6"/>
  <c r="Y13" i="6"/>
  <c r="AI12" i="6"/>
  <c r="AG12" i="6"/>
  <c r="AB12" i="6"/>
  <c r="AA12" i="6"/>
  <c r="Z12" i="6"/>
  <c r="Y12" i="6"/>
  <c r="V15" i="22"/>
  <c r="E35" i="22" a="1"/>
  <c r="E35" i="22"/>
  <c r="V10" i="22"/>
  <c r="V11" i="22"/>
  <c r="G35" i="22"/>
  <c r="F35" i="22"/>
  <c r="E34" i="22" a="1"/>
  <c r="E34" i="22"/>
  <c r="G34" i="22"/>
  <c r="F34" i="22"/>
  <c r="E33" i="22" a="1"/>
  <c r="E33" i="22"/>
  <c r="G33" i="22"/>
  <c r="F33" i="22"/>
  <c r="E32" i="22" a="1"/>
  <c r="E32" i="22"/>
  <c r="G32" i="22"/>
  <c r="F32" i="22"/>
  <c r="E31" i="22" a="1"/>
  <c r="E31" i="22"/>
  <c r="G31" i="22"/>
  <c r="F31" i="22"/>
  <c r="E30" i="22" a="1"/>
  <c r="E30" i="22"/>
  <c r="G30" i="22"/>
  <c r="F30" i="22"/>
  <c r="E29" i="22" a="1"/>
  <c r="E29" i="22"/>
  <c r="G29" i="22"/>
  <c r="F29" i="22"/>
  <c r="E28" i="22" a="1"/>
  <c r="E28" i="22"/>
  <c r="G28" i="22"/>
  <c r="F28" i="22"/>
  <c r="E27" i="22" a="1"/>
  <c r="E27" i="22"/>
  <c r="G27" i="22"/>
  <c r="F27" i="22"/>
  <c r="E26" i="22" a="1"/>
  <c r="E26" i="22"/>
  <c r="G26" i="22"/>
  <c r="F26" i="22"/>
  <c r="E25" i="22" a="1"/>
  <c r="E25" i="22"/>
  <c r="G25" i="22"/>
  <c r="F25" i="22"/>
  <c r="E24" i="22" a="1"/>
  <c r="E24" i="22"/>
  <c r="G24" i="22"/>
  <c r="F24" i="22"/>
  <c r="E23" i="22" a="1"/>
  <c r="E23" i="22"/>
  <c r="G23" i="22"/>
  <c r="F23" i="22"/>
  <c r="E22" i="22" a="1"/>
  <c r="E22" i="22"/>
  <c r="G22" i="22"/>
  <c r="F22" i="22"/>
  <c r="E21" i="22" a="1"/>
  <c r="E21" i="22"/>
  <c r="G21" i="22"/>
  <c r="F21" i="22"/>
  <c r="E20" i="22" a="1"/>
  <c r="E20" i="22"/>
  <c r="G20" i="22"/>
  <c r="F20" i="22"/>
  <c r="E19" i="22" a="1"/>
  <c r="E19" i="22"/>
  <c r="G19" i="22"/>
  <c r="F19" i="22"/>
  <c r="E18" i="22" a="1"/>
  <c r="E18" i="22"/>
  <c r="G18" i="22"/>
  <c r="F18" i="22"/>
  <c r="W17" i="22"/>
  <c r="E17" i="22" a="1"/>
  <c r="E17" i="22"/>
  <c r="G17" i="22"/>
  <c r="F17" i="22"/>
  <c r="E16" i="22" a="1"/>
  <c r="E16" i="22"/>
  <c r="G16" i="22"/>
  <c r="F16" i="22"/>
  <c r="E15" i="22" a="1"/>
  <c r="E15" i="22"/>
  <c r="G15" i="22"/>
  <c r="F15" i="22"/>
  <c r="E14" i="22" a="1"/>
  <c r="E14" i="22"/>
  <c r="G14" i="22"/>
  <c r="F14" i="22"/>
  <c r="E7" i="22" a="1"/>
  <c r="E7" i="22"/>
  <c r="G7" i="22"/>
  <c r="F7" i="22"/>
  <c r="G6" i="22"/>
  <c r="F6" i="22"/>
  <c r="E6" i="22"/>
  <c r="AX10" i="6"/>
  <c r="AM93" i="34"/>
  <c r="AL93" i="34"/>
  <c r="AM92" i="34"/>
  <c r="AL92" i="34"/>
  <c r="AM91" i="34"/>
  <c r="AL91" i="34"/>
  <c r="AM90" i="34"/>
  <c r="AL90" i="34"/>
  <c r="AM89" i="34"/>
  <c r="AL89" i="34"/>
  <c r="AM88" i="34"/>
  <c r="AL88" i="34"/>
  <c r="AM87" i="34"/>
  <c r="AL87" i="34"/>
  <c r="AM86" i="34"/>
  <c r="AL86" i="34"/>
  <c r="AM85" i="34"/>
  <c r="AL85" i="34"/>
  <c r="AM84" i="34"/>
  <c r="AL84" i="34"/>
  <c r="AM83" i="34"/>
  <c r="AL83" i="34"/>
  <c r="AM82" i="34"/>
  <c r="AL82" i="34"/>
  <c r="AM81" i="34"/>
  <c r="AL81" i="34"/>
  <c r="AM80" i="34"/>
  <c r="AL80" i="34"/>
  <c r="AM79" i="34"/>
  <c r="AL79" i="34"/>
  <c r="AM78" i="34"/>
  <c r="AL78" i="34"/>
  <c r="AM77" i="34"/>
  <c r="AL77" i="34"/>
  <c r="AM76" i="34"/>
  <c r="AL76" i="34"/>
  <c r="AM75" i="34"/>
  <c r="AL75" i="34"/>
  <c r="AM74" i="34"/>
  <c r="AL74" i="34"/>
  <c r="AM73" i="34"/>
  <c r="AL73" i="34"/>
  <c r="AM72" i="34"/>
  <c r="AL72" i="34"/>
  <c r="AM71" i="34"/>
  <c r="AL71" i="34"/>
  <c r="AM70" i="34"/>
  <c r="AL70" i="34"/>
  <c r="AM69" i="34"/>
  <c r="AL69" i="34"/>
  <c r="AM68" i="34"/>
  <c r="AL68" i="34"/>
  <c r="AM67" i="34"/>
  <c r="AL67" i="34"/>
  <c r="AM66" i="34"/>
  <c r="AL66" i="34"/>
  <c r="AM65" i="34"/>
  <c r="AL65" i="34"/>
  <c r="AM64" i="34"/>
  <c r="AL64" i="34"/>
  <c r="Q69" i="34"/>
  <c r="Q68" i="34"/>
  <c r="Q67" i="34"/>
  <c r="Q66" i="34"/>
  <c r="Q65" i="34"/>
  <c r="Q64" i="34"/>
  <c r="AB207" i="34"/>
  <c r="Z207" i="34"/>
  <c r="AB206" i="34"/>
  <c r="Z206" i="34"/>
  <c r="AB205" i="34"/>
  <c r="Z205" i="34"/>
  <c r="AB204" i="34"/>
  <c r="Z204" i="34"/>
  <c r="AB203" i="34"/>
  <c r="Z203" i="34"/>
  <c r="AB202" i="34"/>
  <c r="Z202" i="34"/>
  <c r="AB201" i="34"/>
  <c r="Z201" i="34"/>
  <c r="AB200" i="34"/>
  <c r="Z200" i="34"/>
  <c r="AB199" i="34"/>
  <c r="Z199" i="34"/>
  <c r="AB198" i="34"/>
  <c r="Z198" i="34"/>
  <c r="AB197" i="34"/>
  <c r="Z197" i="34"/>
  <c r="AB196" i="34"/>
  <c r="Z196" i="34"/>
  <c r="AC195" i="34"/>
  <c r="AB195" i="34"/>
  <c r="Z195" i="34"/>
  <c r="AC194" i="34"/>
  <c r="AB194" i="34"/>
  <c r="Z194" i="34"/>
  <c r="AC193" i="34"/>
  <c r="AB193" i="34"/>
  <c r="Z193" i="34"/>
  <c r="AC192" i="34"/>
  <c r="AB192" i="34"/>
  <c r="Z192" i="34"/>
  <c r="AC191" i="34"/>
  <c r="AB191" i="34"/>
  <c r="Z191" i="34"/>
  <c r="AC190" i="34"/>
  <c r="AB190" i="34"/>
  <c r="Z190" i="34"/>
  <c r="AC189" i="34"/>
  <c r="AB189" i="34"/>
  <c r="Z189" i="34"/>
  <c r="AC188" i="34"/>
  <c r="AB188" i="34"/>
  <c r="Z188" i="34"/>
  <c r="AC187" i="34"/>
  <c r="AB187" i="34"/>
  <c r="Z187" i="34"/>
  <c r="AC186" i="34"/>
  <c r="AB186" i="34"/>
  <c r="Z186" i="34"/>
  <c r="AC185" i="34"/>
  <c r="AB185" i="34"/>
  <c r="Z185" i="34"/>
  <c r="AC184" i="34"/>
  <c r="AB184" i="34"/>
  <c r="Z184" i="34"/>
  <c r="AC183" i="34"/>
  <c r="AB183" i="34"/>
  <c r="Z183" i="34"/>
  <c r="AC182" i="34"/>
  <c r="AB182" i="34"/>
  <c r="Z182" i="34"/>
  <c r="AC181" i="34"/>
  <c r="AB181" i="34"/>
  <c r="Z181" i="34"/>
  <c r="AM135" i="34"/>
  <c r="AL135" i="34"/>
  <c r="AI135" i="34"/>
  <c r="AH135" i="34"/>
  <c r="AG135" i="34"/>
  <c r="AF135" i="34"/>
  <c r="AE135" i="34"/>
  <c r="AD135" i="34"/>
  <c r="AB135" i="34"/>
  <c r="Z135" i="34"/>
  <c r="Y135" i="34"/>
  <c r="X135" i="34"/>
  <c r="W135" i="34"/>
  <c r="V135" i="34"/>
  <c r="AM134" i="34"/>
  <c r="AL134" i="34"/>
  <c r="AI134" i="34"/>
  <c r="AH134" i="34"/>
  <c r="AG134" i="34"/>
  <c r="AF134" i="34"/>
  <c r="AE134" i="34"/>
  <c r="AD134" i="34"/>
  <c r="AB134" i="34"/>
  <c r="Z134" i="34"/>
  <c r="Y134" i="34"/>
  <c r="X134" i="34"/>
  <c r="W134" i="34"/>
  <c r="V134" i="34"/>
  <c r="AM133" i="34"/>
  <c r="AL133" i="34"/>
  <c r="AI133" i="34"/>
  <c r="AH133" i="34"/>
  <c r="AG133" i="34"/>
  <c r="AF133" i="34"/>
  <c r="AE133" i="34"/>
  <c r="AD133" i="34"/>
  <c r="AB133" i="34"/>
  <c r="Z133" i="34"/>
  <c r="Y133" i="34"/>
  <c r="X133" i="34"/>
  <c r="W133" i="34"/>
  <c r="V133" i="34"/>
  <c r="AM132" i="34"/>
  <c r="AL132" i="34"/>
  <c r="AI132" i="34"/>
  <c r="AH132" i="34"/>
  <c r="AG132" i="34"/>
  <c r="AF132" i="34"/>
  <c r="AE132" i="34"/>
  <c r="AD132" i="34"/>
  <c r="AB132" i="34"/>
  <c r="Z132" i="34"/>
  <c r="Y132" i="34"/>
  <c r="X132" i="34"/>
  <c r="W132" i="34"/>
  <c r="V132" i="34"/>
  <c r="AM131" i="34"/>
  <c r="AL131" i="34"/>
  <c r="AI131" i="34"/>
  <c r="AH131" i="34"/>
  <c r="AG131" i="34"/>
  <c r="AF131" i="34"/>
  <c r="AE131" i="34"/>
  <c r="AD131" i="34"/>
  <c r="AB131" i="34"/>
  <c r="Z131" i="34"/>
  <c r="Y131" i="34"/>
  <c r="X131" i="34"/>
  <c r="W131" i="34"/>
  <c r="V131" i="34"/>
  <c r="AM130" i="34"/>
  <c r="AL130" i="34"/>
  <c r="AI130" i="34"/>
  <c r="AH130" i="34"/>
  <c r="AG130" i="34"/>
  <c r="AF130" i="34"/>
  <c r="AE130" i="34"/>
  <c r="AD130" i="34"/>
  <c r="AB130" i="34"/>
  <c r="Z130" i="34"/>
  <c r="Y130" i="34"/>
  <c r="X130" i="34"/>
  <c r="W130" i="34"/>
  <c r="V130" i="34"/>
  <c r="AM129" i="34"/>
  <c r="AL129" i="34"/>
  <c r="AI129" i="34"/>
  <c r="AH129" i="34"/>
  <c r="AG129" i="34"/>
  <c r="AF129" i="34"/>
  <c r="AE129" i="34"/>
  <c r="AD129" i="34"/>
  <c r="AB129" i="34"/>
  <c r="Z129" i="34"/>
  <c r="Y129" i="34"/>
  <c r="X129" i="34"/>
  <c r="W129" i="34"/>
  <c r="V129" i="34"/>
  <c r="AM128" i="34"/>
  <c r="AL128" i="34"/>
  <c r="AI128" i="34"/>
  <c r="AH128" i="34"/>
  <c r="AG128" i="34"/>
  <c r="AF128" i="34"/>
  <c r="AE128" i="34"/>
  <c r="AD128" i="34"/>
  <c r="AB128" i="34"/>
  <c r="Z128" i="34"/>
  <c r="Y128" i="34"/>
  <c r="X128" i="34"/>
  <c r="W128" i="34"/>
  <c r="V128" i="34"/>
  <c r="AM127" i="34"/>
  <c r="AL127" i="34"/>
  <c r="AI127" i="34"/>
  <c r="AH127" i="34"/>
  <c r="AG127" i="34"/>
  <c r="AF127" i="34"/>
  <c r="AE127" i="34"/>
  <c r="AD127" i="34"/>
  <c r="AB127" i="34"/>
  <c r="Z127" i="34"/>
  <c r="Y127" i="34"/>
  <c r="X127" i="34"/>
  <c r="W127" i="34"/>
  <c r="V127" i="34"/>
  <c r="AM126" i="34"/>
  <c r="AL126" i="34"/>
  <c r="AI126" i="34"/>
  <c r="AH126" i="34"/>
  <c r="AG126" i="34"/>
  <c r="AF126" i="34"/>
  <c r="AE126" i="34"/>
  <c r="AD126" i="34"/>
  <c r="AB126" i="34"/>
  <c r="Z126" i="34"/>
  <c r="Y126" i="34"/>
  <c r="X126" i="34"/>
  <c r="W126" i="34"/>
  <c r="V126" i="34"/>
  <c r="AM125" i="34"/>
  <c r="AL125" i="34"/>
  <c r="AI125" i="34"/>
  <c r="AH125" i="34"/>
  <c r="AG125" i="34"/>
  <c r="AF125" i="34"/>
  <c r="AE125" i="34"/>
  <c r="AD125" i="34"/>
  <c r="AB125" i="34"/>
  <c r="Z125" i="34"/>
  <c r="Y125" i="34"/>
  <c r="X125" i="34"/>
  <c r="W125" i="34"/>
  <c r="V125" i="34"/>
  <c r="AM124" i="34"/>
  <c r="AL124" i="34"/>
  <c r="AI124" i="34"/>
  <c r="AH124" i="34"/>
  <c r="AG124" i="34"/>
  <c r="AF124" i="34"/>
  <c r="AE124" i="34"/>
  <c r="AD124" i="34"/>
  <c r="AB124" i="34"/>
  <c r="Z124" i="34"/>
  <c r="Y124" i="34"/>
  <c r="X124" i="34"/>
  <c r="W124" i="34"/>
  <c r="V124" i="34"/>
  <c r="AM123" i="34"/>
  <c r="AL123" i="34"/>
  <c r="AI123" i="34"/>
  <c r="AH123" i="34"/>
  <c r="AG123" i="34"/>
  <c r="AF123" i="34"/>
  <c r="AE123" i="34"/>
  <c r="AD123" i="34"/>
  <c r="AB123" i="34"/>
  <c r="Z123" i="34"/>
  <c r="Y123" i="34"/>
  <c r="X123" i="34"/>
  <c r="W123" i="34"/>
  <c r="V123" i="34"/>
  <c r="AM122" i="34"/>
  <c r="AL122" i="34"/>
  <c r="AI122" i="34"/>
  <c r="AH122" i="34"/>
  <c r="AG122" i="34"/>
  <c r="AF122" i="34"/>
  <c r="AE122" i="34"/>
  <c r="AD122" i="34"/>
  <c r="AB122" i="34"/>
  <c r="Z122" i="34"/>
  <c r="Y122" i="34"/>
  <c r="X122" i="34"/>
  <c r="W122" i="34"/>
  <c r="V122" i="34"/>
  <c r="AM121" i="34"/>
  <c r="AL121" i="34"/>
  <c r="AI121" i="34"/>
  <c r="AH121" i="34"/>
  <c r="AG121" i="34"/>
  <c r="AF121" i="34"/>
  <c r="AE121" i="34"/>
  <c r="AD121" i="34"/>
  <c r="AB121" i="34"/>
  <c r="Z121" i="34"/>
  <c r="Y121" i="34"/>
  <c r="X121" i="34"/>
  <c r="W121" i="34"/>
  <c r="V121" i="34"/>
  <c r="AM120" i="34"/>
  <c r="AL120" i="34"/>
  <c r="AI120" i="34"/>
  <c r="AH120" i="34"/>
  <c r="AG120" i="34"/>
  <c r="AF120" i="34"/>
  <c r="AE120" i="34"/>
  <c r="AD120" i="34"/>
  <c r="AB120" i="34"/>
  <c r="Z120" i="34"/>
  <c r="Y120" i="34"/>
  <c r="X120" i="34"/>
  <c r="W120" i="34"/>
  <c r="V120" i="34"/>
  <c r="AM119" i="34"/>
  <c r="AL119" i="34"/>
  <c r="AI119" i="34"/>
  <c r="AH119" i="34"/>
  <c r="AG119" i="34"/>
  <c r="AF119" i="34"/>
  <c r="AE119" i="34"/>
  <c r="AD119" i="34"/>
  <c r="AB119" i="34"/>
  <c r="Z119" i="34"/>
  <c r="Y119" i="34"/>
  <c r="X119" i="34"/>
  <c r="W119" i="34"/>
  <c r="V119" i="34"/>
  <c r="AM118" i="34"/>
  <c r="AL118" i="34"/>
  <c r="AI118" i="34"/>
  <c r="AH118" i="34"/>
  <c r="AG118" i="34"/>
  <c r="AF118" i="34"/>
  <c r="AE118" i="34"/>
  <c r="AD118" i="34"/>
  <c r="AB118" i="34"/>
  <c r="Z118" i="34"/>
  <c r="Y118" i="34"/>
  <c r="X118" i="34"/>
  <c r="W118" i="34"/>
  <c r="V118" i="34"/>
  <c r="AM117" i="34"/>
  <c r="AL117" i="34"/>
  <c r="AI117" i="34"/>
  <c r="AH117" i="34"/>
  <c r="AG117" i="34"/>
  <c r="AF117" i="34"/>
  <c r="AE117" i="34"/>
  <c r="AD117" i="34"/>
  <c r="AB117" i="34"/>
  <c r="Z117" i="34"/>
  <c r="Y117" i="34"/>
  <c r="X117" i="34"/>
  <c r="W117" i="34"/>
  <c r="V117" i="34"/>
  <c r="AM116" i="34"/>
  <c r="AL116" i="34"/>
  <c r="AI116" i="34"/>
  <c r="AH116" i="34"/>
  <c r="AG116" i="34"/>
  <c r="AF116" i="34"/>
  <c r="AE116" i="34"/>
  <c r="AD116" i="34"/>
  <c r="AB116" i="34"/>
  <c r="Z116" i="34"/>
  <c r="Y116" i="34"/>
  <c r="X116" i="34"/>
  <c r="W116" i="34"/>
  <c r="V116" i="34"/>
  <c r="AM115" i="34"/>
  <c r="AL115" i="34"/>
  <c r="AI115" i="34"/>
  <c r="AH115" i="34"/>
  <c r="AG115" i="34"/>
  <c r="AF115" i="34"/>
  <c r="AE115" i="34"/>
  <c r="AD115" i="34"/>
  <c r="AB115" i="34"/>
  <c r="Z115" i="34"/>
  <c r="Y115" i="34"/>
  <c r="X115" i="34"/>
  <c r="W115" i="34"/>
  <c r="V115" i="34"/>
  <c r="AM114" i="34"/>
  <c r="AL114" i="34"/>
  <c r="AI114" i="34"/>
  <c r="AH114" i="34"/>
  <c r="AG114" i="34"/>
  <c r="AF114" i="34"/>
  <c r="AE114" i="34"/>
  <c r="AD114" i="34"/>
  <c r="AB114" i="34"/>
  <c r="Z114" i="34"/>
  <c r="Y114" i="34"/>
  <c r="X114" i="34"/>
  <c r="W114" i="34"/>
  <c r="V114" i="34"/>
  <c r="AM113" i="34"/>
  <c r="AL113" i="34"/>
  <c r="AI113" i="34"/>
  <c r="AH113" i="34"/>
  <c r="AG113" i="34"/>
  <c r="AF113" i="34"/>
  <c r="AE113" i="34"/>
  <c r="AD113" i="34"/>
  <c r="AB113" i="34"/>
  <c r="Z113" i="34"/>
  <c r="Y113" i="34"/>
  <c r="X113" i="34"/>
  <c r="W113" i="34"/>
  <c r="V113" i="34"/>
  <c r="AM112" i="34"/>
  <c r="AL112" i="34"/>
  <c r="AI112" i="34"/>
  <c r="AH112" i="34"/>
  <c r="AG112" i="34"/>
  <c r="AF112" i="34"/>
  <c r="AE112" i="34"/>
  <c r="AD112" i="34"/>
  <c r="AB112" i="34"/>
  <c r="Z112" i="34"/>
  <c r="Y112" i="34"/>
  <c r="X112" i="34"/>
  <c r="W112" i="34"/>
  <c r="V112" i="34"/>
  <c r="AM111" i="34"/>
  <c r="AL111" i="34"/>
  <c r="AI111" i="34"/>
  <c r="AH111" i="34"/>
  <c r="AG111" i="34"/>
  <c r="AF111" i="34"/>
  <c r="AE111" i="34"/>
  <c r="AD111" i="34"/>
  <c r="AB111" i="34"/>
  <c r="Z111" i="34"/>
  <c r="Y111" i="34"/>
  <c r="X111" i="34"/>
  <c r="W111" i="34"/>
  <c r="V111" i="34"/>
  <c r="AM110" i="34"/>
  <c r="AL110" i="34"/>
  <c r="AI110" i="34"/>
  <c r="AH110" i="34"/>
  <c r="AG110" i="34"/>
  <c r="AF110" i="34"/>
  <c r="AE110" i="34"/>
  <c r="AD110" i="34"/>
  <c r="AB110" i="34"/>
  <c r="Z110" i="34"/>
  <c r="Y110" i="34"/>
  <c r="X110" i="34"/>
  <c r="W110" i="34"/>
  <c r="V110" i="34"/>
  <c r="AM109" i="34"/>
  <c r="AL109" i="34"/>
  <c r="AI109" i="34"/>
  <c r="AH109" i="34"/>
  <c r="AG109" i="34"/>
  <c r="AF109" i="34"/>
  <c r="AE109" i="34"/>
  <c r="AD109" i="34"/>
  <c r="AB109" i="34"/>
  <c r="Z109" i="34"/>
  <c r="Y109" i="34"/>
  <c r="X109" i="34"/>
  <c r="W109" i="34"/>
  <c r="V109" i="34"/>
  <c r="Q72" i="34"/>
  <c r="Q71" i="34"/>
  <c r="Q70" i="34"/>
  <c r="F12" i="34"/>
  <c r="BR60" i="34"/>
  <c r="F11" i="34"/>
  <c r="BZ51" i="34"/>
  <c r="F10" i="34"/>
  <c r="BY51" i="34"/>
  <c r="F9" i="34"/>
  <c r="BX51" i="34"/>
  <c r="F8" i="34"/>
  <c r="BW51" i="34"/>
  <c r="F7" i="34"/>
  <c r="BV51" i="34"/>
  <c r="F6" i="34"/>
  <c r="BU51" i="34"/>
  <c r="F5" i="34"/>
  <c r="BT51" i="34"/>
  <c r="F4" i="34"/>
  <c r="BS51" i="34"/>
  <c r="C25" i="34"/>
  <c r="BR59" i="34"/>
  <c r="CA51" i="34"/>
  <c r="C24" i="34"/>
  <c r="BR58" i="34"/>
  <c r="C23" i="34"/>
  <c r="BR57" i="34"/>
  <c r="C22" i="34"/>
  <c r="BR56" i="34"/>
  <c r="C21" i="34"/>
  <c r="BR55" i="34"/>
  <c r="C20" i="34"/>
  <c r="BR54" i="34"/>
  <c r="C19" i="34"/>
  <c r="BR53" i="34"/>
  <c r="C18" i="34"/>
  <c r="BR52" i="34"/>
  <c r="C17" i="34"/>
  <c r="BP52" i="34" a="1"/>
  <c r="BP52" i="34"/>
  <c r="BO52" i="34" a="1"/>
  <c r="BO52" i="34"/>
  <c r="BN52" i="34" a="1"/>
  <c r="BN52" i="34"/>
  <c r="BM52" i="34" a="1"/>
  <c r="BM52" i="34"/>
  <c r="BL52" i="34" a="1"/>
  <c r="BL52" i="34"/>
  <c r="BK52" i="34" a="1"/>
  <c r="BK52" i="34"/>
  <c r="BJ52" i="34" a="1"/>
  <c r="BJ52" i="34"/>
  <c r="BI52" i="34" a="1"/>
  <c r="BI52" i="34"/>
  <c r="BH52" i="34" a="1"/>
  <c r="BH52" i="34"/>
  <c r="BG52" i="34" a="1"/>
  <c r="BG52" i="34"/>
  <c r="BF52" i="34" a="1"/>
  <c r="BF52" i="34"/>
  <c r="BE52" i="34" a="1"/>
  <c r="BE52" i="34"/>
  <c r="BD52" i="34" a="1"/>
  <c r="BD52" i="34"/>
  <c r="BC52" i="34" a="1"/>
  <c r="BC52" i="34"/>
  <c r="BB52" i="34" a="1"/>
  <c r="BB52" i="34"/>
  <c r="BA52" i="34" a="1"/>
  <c r="BA52" i="34"/>
  <c r="AZ52" i="34" a="1"/>
  <c r="AZ52" i="34"/>
  <c r="AY52" i="34" a="1"/>
  <c r="AY52" i="34"/>
  <c r="AX52" i="34" a="1"/>
  <c r="AX52" i="34"/>
  <c r="AW52" i="34" a="1"/>
  <c r="AW52" i="34"/>
  <c r="AV52" i="34" a="1"/>
  <c r="AV52" i="34"/>
  <c r="AU52" i="34" a="1"/>
  <c r="AU52" i="34"/>
  <c r="AT52" i="34" a="1"/>
  <c r="AT52" i="34"/>
  <c r="AS52" i="34" a="1"/>
  <c r="AS52" i="34"/>
  <c r="AR52" i="34" a="1"/>
  <c r="AR52" i="34"/>
  <c r="AQ52" i="34" a="1"/>
  <c r="AQ52" i="34"/>
  <c r="AP52" i="34" a="1"/>
  <c r="AP52" i="34"/>
  <c r="AO52" i="34" a="1"/>
  <c r="AO52" i="34"/>
  <c r="AN52" i="34" a="1"/>
  <c r="AN52" i="34"/>
  <c r="AM52" i="34" a="1"/>
  <c r="AM52" i="34"/>
  <c r="AL52" i="34" a="1"/>
  <c r="AL52" i="34"/>
  <c r="AK52" i="34" a="1"/>
  <c r="AK52" i="34"/>
  <c r="AJ52" i="34" a="1"/>
  <c r="AJ52" i="34"/>
  <c r="AI52" i="34" a="1"/>
  <c r="AI52" i="34"/>
  <c r="AH52" i="34" a="1"/>
  <c r="AH52" i="34"/>
  <c r="AG52" i="34" a="1"/>
  <c r="AG52" i="34"/>
  <c r="AF52" i="34" a="1"/>
  <c r="AF52" i="34"/>
  <c r="AE52" i="34" a="1"/>
  <c r="AE52" i="34"/>
  <c r="AD52" i="34" a="1"/>
  <c r="AD52" i="34"/>
  <c r="AC52" i="34" a="1"/>
  <c r="AC52" i="34"/>
  <c r="AB52" i="34" a="1"/>
  <c r="AB52" i="34"/>
  <c r="AA52" i="34" a="1"/>
  <c r="AA52" i="34"/>
  <c r="Z52" i="34" a="1"/>
  <c r="Z52" i="34"/>
  <c r="Y52" i="34" a="1"/>
  <c r="Y52" i="34"/>
  <c r="X52" i="34" a="1"/>
  <c r="X52" i="34"/>
  <c r="W52" i="34" a="1"/>
  <c r="W52" i="34"/>
  <c r="V52" i="34" a="1"/>
  <c r="V52" i="34"/>
  <c r="U52" i="34" a="1"/>
  <c r="U52" i="34"/>
  <c r="T52" i="34" a="1"/>
  <c r="T52" i="34"/>
  <c r="S52" i="34" a="1"/>
  <c r="S52" i="34"/>
  <c r="R52" i="34" a="1"/>
  <c r="R52" i="34"/>
  <c r="Q52" i="34" a="1"/>
  <c r="Q52" i="34"/>
  <c r="P52" i="34" a="1"/>
  <c r="P52" i="34"/>
  <c r="O52" i="34" a="1"/>
  <c r="O52" i="34"/>
  <c r="N52" i="34" a="1"/>
  <c r="N52" i="34"/>
  <c r="M52" i="34" a="1"/>
  <c r="M52" i="34"/>
  <c r="L52" i="34" a="1"/>
  <c r="L52" i="34"/>
  <c r="K52" i="34" a="1"/>
  <c r="K52" i="34"/>
  <c r="J52" i="34" a="1"/>
  <c r="J52" i="34"/>
  <c r="I52" i="34" a="1"/>
  <c r="I52" i="34"/>
  <c r="H52" i="34" a="1"/>
  <c r="H52" i="34"/>
  <c r="G52" i="34" a="1"/>
  <c r="G52" i="34"/>
  <c r="F52" i="34" a="1"/>
  <c r="F52" i="34"/>
  <c r="E52" i="34" a="1"/>
  <c r="E52" i="34"/>
  <c r="BR49" i="34"/>
  <c r="BR48" i="34"/>
  <c r="BR47" i="34"/>
  <c r="BR46" i="34"/>
  <c r="BR45" i="34"/>
  <c r="BR44" i="34"/>
  <c r="BR43" i="34"/>
  <c r="BR42" i="34"/>
  <c r="BR41" i="34"/>
  <c r="CA40" i="34"/>
  <c r="BZ40" i="34"/>
  <c r="BY40" i="34"/>
  <c r="BX40" i="34"/>
  <c r="BW40" i="34"/>
  <c r="BV40" i="34"/>
  <c r="BU40" i="34"/>
  <c r="BT40" i="34"/>
  <c r="BS40" i="34"/>
  <c r="C38" i="34"/>
  <c r="C37" i="34"/>
  <c r="C36" i="34"/>
  <c r="C35" i="34"/>
  <c r="C34" i="34"/>
  <c r="C33" i="34"/>
  <c r="C32" i="34"/>
  <c r="C31" i="34"/>
  <c r="C30" i="34"/>
  <c r="J25" i="34"/>
  <c r="I25" i="34"/>
  <c r="H25" i="34"/>
  <c r="G25" i="34"/>
  <c r="F25" i="34"/>
  <c r="E25" i="34"/>
  <c r="D25" i="34"/>
  <c r="J24" i="34"/>
  <c r="I24" i="34"/>
  <c r="H24" i="34"/>
  <c r="G24" i="34"/>
  <c r="F24" i="34"/>
  <c r="E24" i="34"/>
  <c r="D24" i="34"/>
  <c r="J23" i="34"/>
  <c r="I23" i="34"/>
  <c r="H23" i="34"/>
  <c r="G23" i="34"/>
  <c r="F23" i="34"/>
  <c r="E23" i="34"/>
  <c r="D23" i="34"/>
  <c r="J22" i="34"/>
  <c r="I22" i="34"/>
  <c r="H22" i="34"/>
  <c r="G22" i="34"/>
  <c r="F22" i="34"/>
  <c r="E22" i="34"/>
  <c r="D22" i="34"/>
  <c r="J21" i="34"/>
  <c r="I21" i="34"/>
  <c r="H21" i="34"/>
  <c r="G21" i="34"/>
  <c r="F21" i="34"/>
  <c r="E21" i="34"/>
  <c r="D21" i="34"/>
  <c r="J20" i="34"/>
  <c r="I20" i="34"/>
  <c r="H20" i="34"/>
  <c r="G20" i="34"/>
  <c r="F20" i="34"/>
  <c r="E20" i="34"/>
  <c r="D20" i="34"/>
  <c r="J19" i="34"/>
  <c r="I19" i="34"/>
  <c r="H19" i="34"/>
  <c r="G19" i="34"/>
  <c r="F19" i="34"/>
  <c r="E19" i="34"/>
  <c r="D19" i="34"/>
  <c r="J18" i="34"/>
  <c r="I18" i="34"/>
  <c r="H18" i="34"/>
  <c r="G18" i="34"/>
  <c r="F18" i="34"/>
  <c r="E18" i="34"/>
  <c r="D18" i="34"/>
  <c r="AC17" i="34"/>
  <c r="J17" i="34"/>
  <c r="I17" i="34"/>
  <c r="H17" i="34"/>
  <c r="G17" i="34"/>
  <c r="F17" i="34"/>
  <c r="E17" i="34"/>
  <c r="D17" i="34"/>
  <c r="F13" i="34"/>
  <c r="B13" i="34"/>
  <c r="E106" i="9"/>
  <c r="D33" i="33"/>
  <c r="E105" i="9"/>
  <c r="B33" i="33"/>
  <c r="M33" i="10"/>
  <c r="L33" i="10"/>
  <c r="K33" i="10"/>
  <c r="J33" i="10"/>
  <c r="I33" i="10"/>
  <c r="H33" i="10"/>
  <c r="M24" i="10"/>
  <c r="L24" i="10"/>
  <c r="K24" i="10"/>
  <c r="J24" i="10"/>
  <c r="I24" i="10"/>
  <c r="H24" i="10"/>
  <c r="M15" i="10"/>
  <c r="L15" i="10"/>
  <c r="K15" i="10"/>
  <c r="J15" i="10"/>
  <c r="I15" i="10"/>
  <c r="H15" i="10"/>
  <c r="M6" i="10"/>
  <c r="L6" i="10"/>
  <c r="K6" i="10"/>
  <c r="J6" i="10"/>
  <c r="I6" i="10"/>
  <c r="H6" i="10"/>
  <c r="AT26" i="27"/>
  <c r="AT28" i="27"/>
  <c r="E85" i="9"/>
  <c r="B18" i="33"/>
  <c r="E84" i="9"/>
  <c r="B17" i="33"/>
  <c r="E77" i="9"/>
  <c r="B12" i="33"/>
  <c r="E81" i="9"/>
  <c r="B7" i="33"/>
  <c r="E52" i="9"/>
  <c r="B4" i="33"/>
  <c r="E51" i="9"/>
  <c r="B1" i="33"/>
  <c r="BE13" i="6"/>
  <c r="BF13" i="6"/>
  <c r="BG13" i="6"/>
  <c r="BE14" i="6"/>
  <c r="BF14" i="6"/>
  <c r="BG14" i="6"/>
  <c r="BE15" i="6"/>
  <c r="BF15" i="6"/>
  <c r="BG15" i="6"/>
  <c r="BE16" i="6"/>
  <c r="BF16" i="6"/>
  <c r="BG16" i="6"/>
  <c r="BE17" i="6"/>
  <c r="BF17" i="6"/>
  <c r="BG17" i="6"/>
  <c r="BE18" i="6"/>
  <c r="BF18" i="6"/>
  <c r="BG18" i="6"/>
  <c r="BE19" i="6"/>
  <c r="BF19" i="6"/>
  <c r="BG19" i="6"/>
  <c r="BE20" i="6"/>
  <c r="BF20" i="6"/>
  <c r="BG20" i="6"/>
  <c r="BE21" i="6"/>
  <c r="BF21" i="6"/>
  <c r="BG21" i="6"/>
  <c r="BE22" i="6"/>
  <c r="BF22" i="6"/>
  <c r="BG22" i="6"/>
  <c r="BE23" i="6"/>
  <c r="BF23" i="6"/>
  <c r="BG23" i="6"/>
  <c r="BE24" i="6"/>
  <c r="BF24" i="6"/>
  <c r="BG24" i="6"/>
  <c r="BE25" i="6"/>
  <c r="BF25" i="6"/>
  <c r="BG25" i="6"/>
  <c r="BE26" i="6"/>
  <c r="BF26" i="6"/>
  <c r="BG26" i="6"/>
  <c r="BE27" i="6"/>
  <c r="BF27" i="6"/>
  <c r="BG27" i="6"/>
  <c r="BE28" i="6"/>
  <c r="BF28" i="6"/>
  <c r="BG28" i="6"/>
  <c r="BE29" i="6"/>
  <c r="BF29" i="6"/>
  <c r="BG29" i="6"/>
  <c r="BE30" i="6"/>
  <c r="BF30" i="6"/>
  <c r="BG30" i="6"/>
  <c r="BE31" i="6"/>
  <c r="BF31" i="6"/>
  <c r="BG31" i="6"/>
  <c r="BE32" i="6"/>
  <c r="BF32" i="6"/>
  <c r="BG32" i="6"/>
  <c r="BE33" i="6"/>
  <c r="BF33" i="6"/>
  <c r="BG33" i="6"/>
  <c r="BE34" i="6"/>
  <c r="BF34" i="6"/>
  <c r="BG34" i="6"/>
  <c r="BE35" i="6"/>
  <c r="BF35" i="6"/>
  <c r="BG35" i="6"/>
  <c r="BE36" i="6"/>
  <c r="BF36" i="6"/>
  <c r="BG36" i="6"/>
  <c r="BE37" i="6"/>
  <c r="BF37" i="6"/>
  <c r="BG37" i="6"/>
  <c r="BE38" i="6"/>
  <c r="BF38" i="6"/>
  <c r="BG38" i="6"/>
  <c r="BE39" i="6"/>
  <c r="BF39" i="6"/>
  <c r="BG39" i="6"/>
  <c r="BE40" i="6"/>
  <c r="BF40" i="6"/>
  <c r="BG40" i="6"/>
  <c r="BE41" i="6"/>
  <c r="BF41" i="6"/>
  <c r="BG41" i="6"/>
  <c r="BG12" i="6"/>
  <c r="BF12" i="6"/>
  <c r="BE12" i="6"/>
  <c r="S1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R11" i="6"/>
  <c r="O11" i="6"/>
  <c r="E70" i="9"/>
  <c r="E74" i="9"/>
  <c r="E76" i="9"/>
  <c r="E83" i="9"/>
  <c r="E86" i="9"/>
  <c r="E87" i="9"/>
  <c r="X11" i="27"/>
  <c r="S11" i="24"/>
  <c r="S11" i="21"/>
  <c r="U41" i="6"/>
  <c r="U40" i="6"/>
  <c r="U39" i="6"/>
  <c r="U38" i="6"/>
  <c r="U37" i="6"/>
  <c r="U36" i="6"/>
  <c r="U35" i="6"/>
  <c r="U34" i="6"/>
  <c r="U33" i="6"/>
  <c r="U32" i="6"/>
  <c r="U31" i="6"/>
  <c r="U30" i="6"/>
  <c r="U29" i="6"/>
  <c r="U28" i="6"/>
  <c r="U27" i="6"/>
  <c r="U26" i="6"/>
  <c r="U25" i="6"/>
  <c r="U24" i="6"/>
  <c r="U23" i="6"/>
  <c r="U22" i="6"/>
  <c r="U21" i="6"/>
  <c r="U20" i="6"/>
  <c r="U19" i="6"/>
  <c r="U18" i="6"/>
  <c r="U17" i="6"/>
  <c r="U16" i="6"/>
  <c r="U15" i="6"/>
  <c r="U14" i="6"/>
  <c r="U13" i="6"/>
  <c r="U12" i="6"/>
  <c r="O5" i="22"/>
  <c r="U11" i="6"/>
  <c r="E89" i="9"/>
  <c r="E46" i="9"/>
  <c r="H59" i="32"/>
  <c r="G59" i="32"/>
  <c r="F59" i="32"/>
  <c r="E59" i="32"/>
  <c r="C59" i="32"/>
  <c r="H54" i="32"/>
  <c r="G54" i="32"/>
  <c r="F54" i="32"/>
  <c r="E54" i="32"/>
  <c r="C54" i="32"/>
  <c r="H49" i="32"/>
  <c r="G49" i="32"/>
  <c r="F49" i="32"/>
  <c r="E49" i="32"/>
  <c r="C49" i="32"/>
  <c r="H44" i="32"/>
  <c r="G44" i="32"/>
  <c r="F44" i="32"/>
  <c r="E44" i="32"/>
  <c r="C44" i="32"/>
  <c r="H39" i="32"/>
  <c r="G39" i="32"/>
  <c r="F39" i="32"/>
  <c r="E39" i="32"/>
  <c r="C39" i="32"/>
  <c r="H34" i="32"/>
  <c r="G34" i="32"/>
  <c r="F34" i="32"/>
  <c r="E34" i="32"/>
  <c r="C34" i="32"/>
  <c r="BS29" i="32"/>
  <c r="BR29" i="32"/>
  <c r="BQ29" i="32"/>
  <c r="E103" i="9"/>
  <c r="AV12" i="6"/>
  <c r="AV13" i="6"/>
  <c r="AV14" i="6"/>
  <c r="AV15" i="6"/>
  <c r="AV16" i="6"/>
  <c r="AV17" i="6"/>
  <c r="AV22" i="6"/>
  <c r="AV23" i="6"/>
  <c r="AV24" i="6"/>
  <c r="AV25" i="6"/>
  <c r="AV26" i="6"/>
  <c r="AV27" i="6"/>
  <c r="C12" i="27" a="1"/>
  <c r="C12" i="27"/>
  <c r="D12" i="27"/>
  <c r="C29" i="32"/>
  <c r="AO29" i="32"/>
  <c r="AN29" i="32"/>
  <c r="AM29" i="32"/>
  <c r="C24" i="32"/>
  <c r="C19" i="32"/>
  <c r="C14" i="32"/>
  <c r="C9" i="32"/>
  <c r="C4" i="32"/>
  <c r="H29" i="32"/>
  <c r="G29" i="32"/>
  <c r="F29" i="32"/>
  <c r="E29" i="32"/>
  <c r="BS28" i="32"/>
  <c r="BR28" i="32"/>
  <c r="BQ28" i="32"/>
  <c r="AO28" i="32"/>
  <c r="AN28" i="32"/>
  <c r="AM28" i="32"/>
  <c r="BS27" i="32"/>
  <c r="BR27" i="32"/>
  <c r="BQ27" i="32"/>
  <c r="AO27" i="32"/>
  <c r="AN27" i="32"/>
  <c r="AM27" i="32"/>
  <c r="BS26" i="32"/>
  <c r="BR26" i="32"/>
  <c r="BQ26" i="32"/>
  <c r="AO26" i="32"/>
  <c r="AN26" i="32"/>
  <c r="AM26" i="32"/>
  <c r="BS25" i="32"/>
  <c r="BR25" i="32"/>
  <c r="BQ25" i="32"/>
  <c r="AO25" i="32"/>
  <c r="AN25" i="32"/>
  <c r="AM25" i="32"/>
  <c r="BS24" i="32"/>
  <c r="BR24" i="32"/>
  <c r="BQ24" i="32"/>
  <c r="AO24" i="32"/>
  <c r="AN24" i="32"/>
  <c r="AM24" i="32"/>
  <c r="H24" i="32"/>
  <c r="G24" i="32"/>
  <c r="F24" i="32"/>
  <c r="E24" i="32"/>
  <c r="BS23" i="32"/>
  <c r="BR23" i="32"/>
  <c r="BQ23" i="32"/>
  <c r="AO23" i="32"/>
  <c r="AN23" i="32"/>
  <c r="AM23" i="32"/>
  <c r="BS22" i="32"/>
  <c r="BR22" i="32"/>
  <c r="BQ22" i="32"/>
  <c r="AO22" i="32"/>
  <c r="AN22" i="32"/>
  <c r="AM22" i="32"/>
  <c r="BS21" i="32"/>
  <c r="BR21" i="32"/>
  <c r="BQ21" i="32"/>
  <c r="AO21" i="32"/>
  <c r="AN21" i="32"/>
  <c r="AM21" i="32"/>
  <c r="BS20" i="32"/>
  <c r="BR20" i="32"/>
  <c r="BQ20" i="32"/>
  <c r="BN20" i="32"/>
  <c r="BM20" i="32"/>
  <c r="BL20" i="32"/>
  <c r="BI20" i="32"/>
  <c r="BH20" i="32"/>
  <c r="BG20" i="32"/>
  <c r="BD20" i="32"/>
  <c r="BC20" i="32"/>
  <c r="BB20" i="32"/>
  <c r="AY20" i="32"/>
  <c r="AX20" i="32"/>
  <c r="AW20" i="32"/>
  <c r="AT20" i="32"/>
  <c r="AS20" i="32"/>
  <c r="AR20" i="32"/>
  <c r="AO20" i="32"/>
  <c r="AN20" i="32"/>
  <c r="AM20" i="32"/>
  <c r="AJ20" i="32"/>
  <c r="C20" i="27" a="1"/>
  <c r="C20" i="27"/>
  <c r="E20" i="27"/>
  <c r="AI20" i="32"/>
  <c r="D20" i="27" a="1"/>
  <c r="D20" i="27"/>
  <c r="AH20" i="32"/>
  <c r="AE20" i="32"/>
  <c r="Z20" i="32"/>
  <c r="U20" i="32"/>
  <c r="T20" i="32"/>
  <c r="S20" i="32"/>
  <c r="P20" i="32"/>
  <c r="O20" i="32"/>
  <c r="N20" i="32"/>
  <c r="BS19" i="32"/>
  <c r="BR19" i="32"/>
  <c r="BQ19" i="32"/>
  <c r="BN19" i="32"/>
  <c r="BM19" i="32"/>
  <c r="BL19" i="32"/>
  <c r="BI19" i="32"/>
  <c r="BH19" i="32"/>
  <c r="BG19" i="32"/>
  <c r="BD19" i="32"/>
  <c r="BC19" i="32"/>
  <c r="BB19" i="32"/>
  <c r="AY19" i="32"/>
  <c r="AX19" i="32"/>
  <c r="AW19" i="32"/>
  <c r="AT19" i="32"/>
  <c r="AS19" i="32"/>
  <c r="AR19" i="32"/>
  <c r="AO19" i="32"/>
  <c r="AN19" i="32"/>
  <c r="AM19" i="32"/>
  <c r="AJ19" i="32"/>
  <c r="AE19" i="32"/>
  <c r="AD19" i="32"/>
  <c r="AC19" i="32"/>
  <c r="Z19" i="32"/>
  <c r="C19" i="27" a="1"/>
  <c r="C19" i="27"/>
  <c r="E19" i="27"/>
  <c r="Y19" i="32"/>
  <c r="D19" i="27" a="1"/>
  <c r="D19" i="27"/>
  <c r="X19" i="32"/>
  <c r="U19" i="32"/>
  <c r="P19" i="32"/>
  <c r="H19" i="32"/>
  <c r="G19" i="32"/>
  <c r="F19" i="32"/>
  <c r="E19" i="32"/>
  <c r="BS18" i="32"/>
  <c r="BR18" i="32"/>
  <c r="BQ18" i="32"/>
  <c r="BN18" i="32"/>
  <c r="BM18" i="32"/>
  <c r="BL18" i="32"/>
  <c r="BI18" i="32"/>
  <c r="BH18" i="32"/>
  <c r="BG18" i="32"/>
  <c r="BD18" i="32"/>
  <c r="BC18" i="32"/>
  <c r="BB18" i="32"/>
  <c r="AY18" i="32"/>
  <c r="AX18" i="32"/>
  <c r="AW18" i="32"/>
  <c r="AT18" i="32"/>
  <c r="AS18" i="32"/>
  <c r="AR18" i="32"/>
  <c r="AO18" i="32"/>
  <c r="AN18" i="32"/>
  <c r="AM18" i="32"/>
  <c r="AJ18" i="32"/>
  <c r="AI18" i="32"/>
  <c r="AH18" i="32"/>
  <c r="AE18" i="32"/>
  <c r="AD18" i="32"/>
  <c r="AC18" i="32"/>
  <c r="Z18" i="32"/>
  <c r="Y18" i="32"/>
  <c r="X18" i="32"/>
  <c r="U18" i="32"/>
  <c r="T18" i="32"/>
  <c r="S18" i="32"/>
  <c r="P18" i="32"/>
  <c r="O18" i="32"/>
  <c r="N18" i="32"/>
  <c r="BS17" i="32"/>
  <c r="BR17" i="32"/>
  <c r="BQ17" i="32"/>
  <c r="AO17" i="32"/>
  <c r="AN17" i="32"/>
  <c r="AM17" i="32"/>
  <c r="BS16" i="32"/>
  <c r="BR16" i="32"/>
  <c r="BQ16" i="32"/>
  <c r="AO16" i="32"/>
  <c r="AN16" i="32"/>
  <c r="AM16" i="32"/>
  <c r="BS15" i="32"/>
  <c r="BR15" i="32"/>
  <c r="BQ15" i="32"/>
  <c r="AO15" i="32"/>
  <c r="AN15" i="32"/>
  <c r="AM15" i="32"/>
  <c r="BS14" i="32"/>
  <c r="BR14" i="32"/>
  <c r="BQ14" i="32"/>
  <c r="AO14" i="32"/>
  <c r="AN14" i="32"/>
  <c r="AM14" i="32"/>
  <c r="H14" i="32"/>
  <c r="G14" i="32"/>
  <c r="F14" i="32"/>
  <c r="E14" i="32"/>
  <c r="BS13" i="32"/>
  <c r="BR13" i="32"/>
  <c r="BQ13" i="32"/>
  <c r="AO13" i="32"/>
  <c r="AN13" i="32"/>
  <c r="AM13" i="32"/>
  <c r="BS12" i="32"/>
  <c r="BR12" i="32"/>
  <c r="BQ12" i="32"/>
  <c r="AO12" i="32"/>
  <c r="AN12" i="32"/>
  <c r="AM12" i="32"/>
  <c r="L12" i="32"/>
  <c r="L11" i="32"/>
  <c r="H9" i="32"/>
  <c r="G9" i="32"/>
  <c r="F9" i="32"/>
  <c r="E9" i="32"/>
  <c r="H4" i="32"/>
  <c r="G4" i="32"/>
  <c r="F4" i="32"/>
  <c r="E4" i="32"/>
  <c r="E115" i="9"/>
  <c r="B1" i="32"/>
  <c r="BP12" i="32"/>
  <c r="BP13" i="32"/>
  <c r="BP14" i="32"/>
  <c r="BP15" i="32"/>
  <c r="BP16" i="32"/>
  <c r="BP17" i="32"/>
  <c r="BP18" i="32"/>
  <c r="BP19" i="32"/>
  <c r="BP20" i="32"/>
  <c r="BP21" i="32"/>
  <c r="BP22" i="32"/>
  <c r="BP23" i="32"/>
  <c r="BP24" i="32"/>
  <c r="BP25" i="32"/>
  <c r="BP26" i="32"/>
  <c r="BP27" i="32"/>
  <c r="BP28" i="32"/>
  <c r="BP29" i="32"/>
  <c r="BT14" i="32"/>
  <c r="F62" i="32"/>
  <c r="BT13" i="32"/>
  <c r="F61" i="32"/>
  <c r="J62" i="32"/>
  <c r="K62" i="32"/>
  <c r="H62" i="32"/>
  <c r="G62" i="32"/>
  <c r="E62" i="32"/>
  <c r="BT12" i="32"/>
  <c r="F60" i="32"/>
  <c r="J61" i="32"/>
  <c r="K61" i="32"/>
  <c r="H61" i="32"/>
  <c r="G61" i="32"/>
  <c r="E61" i="32"/>
  <c r="J60" i="32"/>
  <c r="K60" i="32"/>
  <c r="H60" i="32"/>
  <c r="G60" i="32"/>
  <c r="E60" i="32"/>
  <c r="J59" i="32"/>
  <c r="BK18" i="32"/>
  <c r="BK19" i="32"/>
  <c r="BK20" i="32"/>
  <c r="BF18" i="32"/>
  <c r="BF19" i="32"/>
  <c r="BF20" i="32"/>
  <c r="BA18" i="32"/>
  <c r="BA19" i="32"/>
  <c r="BA20" i="32"/>
  <c r="AV18" i="32"/>
  <c r="AV19" i="32"/>
  <c r="AV20" i="32"/>
  <c r="AQ18" i="32"/>
  <c r="AQ19" i="32"/>
  <c r="AQ20" i="32"/>
  <c r="AL12" i="32"/>
  <c r="AL13" i="32"/>
  <c r="AL14" i="32"/>
  <c r="AL15" i="32"/>
  <c r="AL16" i="32"/>
  <c r="AL17" i="32"/>
  <c r="AL18" i="32"/>
  <c r="AL19" i="32"/>
  <c r="AL20" i="32"/>
  <c r="AL21" i="32"/>
  <c r="AL22" i="32"/>
  <c r="AL23" i="32"/>
  <c r="AL24" i="32"/>
  <c r="AL25" i="32"/>
  <c r="AL26" i="32"/>
  <c r="AL27" i="32"/>
  <c r="AL28" i="32"/>
  <c r="AL29" i="32"/>
  <c r="AP14" i="32"/>
  <c r="F32" i="32"/>
  <c r="J33" i="32"/>
  <c r="AP13" i="32"/>
  <c r="F31" i="32"/>
  <c r="J32" i="32"/>
  <c r="K32" i="32"/>
  <c r="H32" i="32"/>
  <c r="G32" i="32"/>
  <c r="E32" i="32"/>
  <c r="AP12" i="32"/>
  <c r="F30" i="32"/>
  <c r="J31" i="32"/>
  <c r="K31" i="32"/>
  <c r="H31" i="32"/>
  <c r="G31" i="32"/>
  <c r="E31" i="32"/>
  <c r="J30" i="32"/>
  <c r="K30" i="32"/>
  <c r="H30" i="32"/>
  <c r="G30" i="32"/>
  <c r="E30" i="32"/>
  <c r="BT29" i="32"/>
  <c r="AP29" i="32"/>
  <c r="AG18" i="32"/>
  <c r="AG20" i="32"/>
  <c r="AB18" i="32"/>
  <c r="AB19" i="32"/>
  <c r="W18" i="32"/>
  <c r="W19" i="32"/>
  <c r="R18" i="32"/>
  <c r="R20" i="32"/>
  <c r="M18" i="32"/>
  <c r="M20" i="32"/>
  <c r="J29" i="32"/>
  <c r="BT28" i="32"/>
  <c r="AP28" i="32"/>
  <c r="BT27" i="32"/>
  <c r="AP27" i="32"/>
  <c r="BT26" i="32"/>
  <c r="AP26" i="32"/>
  <c r="BT25" i="32"/>
  <c r="AP25" i="32"/>
  <c r="BT24" i="32"/>
  <c r="AP24" i="32"/>
  <c r="BT23" i="32"/>
  <c r="AP23" i="32"/>
  <c r="BT22" i="32"/>
  <c r="AP22" i="32"/>
  <c r="BT21" i="32"/>
  <c r="AP21" i="32"/>
  <c r="BT20" i="32"/>
  <c r="AP20" i="32"/>
  <c r="BT19" i="32"/>
  <c r="AP19" i="32"/>
  <c r="BT18" i="32"/>
  <c r="AP18" i="32"/>
  <c r="BT17" i="32"/>
  <c r="AP17" i="32"/>
  <c r="BT16" i="32"/>
  <c r="AP16" i="32"/>
  <c r="BT15" i="32"/>
  <c r="AP15" i="32"/>
  <c r="BS11" i="32"/>
  <c r="BN11" i="32"/>
  <c r="BI11" i="32"/>
  <c r="BD11" i="32"/>
  <c r="AY11" i="32"/>
  <c r="AT11" i="32"/>
  <c r="AO11" i="32"/>
  <c r="AJ11" i="32"/>
  <c r="AE11" i="32"/>
  <c r="Z11" i="32"/>
  <c r="U11" i="32"/>
  <c r="P11" i="32"/>
  <c r="AC11" i="6"/>
  <c r="AD27" i="6"/>
  <c r="AD26" i="6"/>
  <c r="AD25" i="6"/>
  <c r="AD24" i="6"/>
  <c r="AD23" i="6"/>
  <c r="AD22" i="6"/>
  <c r="AD17" i="6"/>
  <c r="AD16" i="6"/>
  <c r="AD15" i="6"/>
  <c r="AD14" i="6"/>
  <c r="AD13" i="6"/>
  <c r="AD12" i="6"/>
  <c r="E123" i="9"/>
  <c r="E122" i="9"/>
  <c r="E124" i="9"/>
  <c r="F34" i="10"/>
  <c r="F25" i="10"/>
  <c r="F16" i="10"/>
  <c r="F7" i="10"/>
  <c r="Q21" i="24"/>
  <c r="N21" i="24"/>
  <c r="K21" i="24"/>
  <c r="Q20" i="24"/>
  <c r="N20" i="24"/>
  <c r="K20" i="24"/>
  <c r="N18" i="24"/>
  <c r="K18" i="24"/>
  <c r="N17" i="24"/>
  <c r="K17" i="24"/>
  <c r="J11" i="24"/>
  <c r="M11" i="24"/>
  <c r="P11" i="24"/>
  <c r="Q18" i="24"/>
  <c r="Q17" i="24"/>
  <c r="Q15" i="24"/>
  <c r="Q14" i="24"/>
  <c r="Q13" i="24"/>
  <c r="Q12" i="24"/>
  <c r="J11" i="21"/>
  <c r="M11" i="21"/>
  <c r="P11" i="21"/>
  <c r="Q17" i="21"/>
  <c r="Q16" i="21"/>
  <c r="Q15" i="21"/>
  <c r="Q14" i="21"/>
  <c r="Q13" i="21"/>
  <c r="Q12" i="21"/>
  <c r="P29" i="27"/>
  <c r="P28" i="27"/>
  <c r="P27" i="27"/>
  <c r="P26" i="27"/>
  <c r="P25" i="27"/>
  <c r="P24" i="27"/>
  <c r="P23" i="27"/>
  <c r="P22" i="27"/>
  <c r="P21" i="27"/>
  <c r="P20" i="27"/>
  <c r="P19" i="27"/>
  <c r="P18" i="27"/>
  <c r="P17" i="27"/>
  <c r="P16" i="27"/>
  <c r="P15" i="27"/>
  <c r="P14" i="27"/>
  <c r="P13" i="27"/>
  <c r="P12" i="27"/>
  <c r="O11" i="27"/>
  <c r="L11" i="27"/>
  <c r="X13" i="31"/>
  <c r="Y13" i="31"/>
  <c r="Z13" i="31"/>
  <c r="AA13" i="31"/>
  <c r="W24" i="31"/>
  <c r="W11" i="31"/>
  <c r="E121" i="9"/>
  <c r="U24" i="31"/>
  <c r="U11" i="31"/>
  <c r="E65" i="9"/>
  <c r="F24" i="31"/>
  <c r="E66" i="9"/>
  <c r="F10" i="31"/>
  <c r="F11" i="31"/>
  <c r="R24" i="31"/>
  <c r="O24" i="31"/>
  <c r="L24" i="31"/>
  <c r="E64" i="9"/>
  <c r="H20" i="31"/>
  <c r="R11" i="31"/>
  <c r="O11" i="31"/>
  <c r="L11" i="31"/>
  <c r="S30" i="31"/>
  <c r="P30" i="31"/>
  <c r="M30" i="31"/>
  <c r="S29" i="31"/>
  <c r="P29" i="31"/>
  <c r="M29" i="31"/>
  <c r="S28" i="31"/>
  <c r="P28" i="31"/>
  <c r="M28" i="31"/>
  <c r="S27" i="31"/>
  <c r="P27" i="31"/>
  <c r="M27" i="31"/>
  <c r="S26" i="31"/>
  <c r="P26" i="31"/>
  <c r="M26" i="31"/>
  <c r="S25" i="31"/>
  <c r="P25" i="31"/>
  <c r="M25" i="31"/>
  <c r="S17" i="31"/>
  <c r="P17" i="31"/>
  <c r="M17" i="31"/>
  <c r="S16" i="31"/>
  <c r="P16" i="31"/>
  <c r="M16" i="31"/>
  <c r="S15" i="31"/>
  <c r="P15" i="31"/>
  <c r="M15" i="31"/>
  <c r="S14" i="31"/>
  <c r="P14" i="31"/>
  <c r="M14" i="31"/>
  <c r="S13" i="31"/>
  <c r="P13" i="31"/>
  <c r="M13" i="31"/>
  <c r="S12" i="31"/>
  <c r="P12" i="31"/>
  <c r="M12" i="31"/>
  <c r="I24" i="31"/>
  <c r="E24" i="31"/>
  <c r="D24" i="31"/>
  <c r="E33" i="9"/>
  <c r="C24" i="31"/>
  <c r="I11" i="31"/>
  <c r="E11" i="31"/>
  <c r="D11" i="31"/>
  <c r="C11" i="31"/>
  <c r="E6" i="9"/>
  <c r="H7" i="31"/>
  <c r="AE30" i="31"/>
  <c r="X30" i="31"/>
  <c r="Y30" i="31"/>
  <c r="AA30" i="31"/>
  <c r="Z30" i="31"/>
  <c r="W30" i="31"/>
  <c r="AE29" i="31"/>
  <c r="X29" i="31"/>
  <c r="Y29" i="31"/>
  <c r="AA29" i="31"/>
  <c r="Z29" i="31"/>
  <c r="W29" i="31"/>
  <c r="AE28" i="31"/>
  <c r="X28" i="31"/>
  <c r="Y28" i="31"/>
  <c r="AA28" i="31"/>
  <c r="Z28" i="31"/>
  <c r="W28" i="31"/>
  <c r="AE27" i="31"/>
  <c r="X27" i="31"/>
  <c r="Y27" i="31"/>
  <c r="AA27" i="31"/>
  <c r="Z27" i="31"/>
  <c r="W27" i="31"/>
  <c r="AE26" i="31"/>
  <c r="X26" i="31"/>
  <c r="Y26" i="31"/>
  <c r="AA26" i="31"/>
  <c r="Z26" i="31"/>
  <c r="W26" i="31"/>
  <c r="AE25" i="31"/>
  <c r="W25" i="31"/>
  <c r="AE17" i="31"/>
  <c r="X17" i="31"/>
  <c r="Y17" i="31"/>
  <c r="AA17" i="31"/>
  <c r="Z17" i="31"/>
  <c r="W17" i="31"/>
  <c r="AE16" i="31"/>
  <c r="X16" i="31"/>
  <c r="Y16" i="31"/>
  <c r="AA16" i="31"/>
  <c r="Z16" i="31"/>
  <c r="W16" i="31"/>
  <c r="AE15" i="31"/>
  <c r="X15" i="31"/>
  <c r="Y15" i="31"/>
  <c r="AA15" i="31"/>
  <c r="Z15" i="31"/>
  <c r="W15" i="31"/>
  <c r="AE14" i="31"/>
  <c r="X14" i="31"/>
  <c r="Y14" i="31"/>
  <c r="AA14" i="31"/>
  <c r="Z14" i="31"/>
  <c r="W14" i="31"/>
  <c r="AE13" i="31"/>
  <c r="W13" i="31"/>
  <c r="AG11" i="6"/>
  <c r="L11" i="6"/>
  <c r="I11"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R18" i="22"/>
  <c r="E116" i="9"/>
  <c r="E104" i="9"/>
  <c r="AL29" i="27"/>
  <c r="AL28" i="27"/>
  <c r="AL27" i="27"/>
  <c r="AL26" i="27"/>
  <c r="AT25" i="27"/>
  <c r="AS25" i="27"/>
  <c r="E24" i="9"/>
  <c r="AF25" i="27"/>
  <c r="E23" i="9"/>
  <c r="AE25" i="27"/>
  <c r="E22" i="9"/>
  <c r="AD25" i="27"/>
  <c r="E21" i="9"/>
  <c r="AC25" i="27"/>
  <c r="AL22" i="27"/>
  <c r="AL21" i="27"/>
  <c r="AL20" i="27"/>
  <c r="AL19" i="27"/>
  <c r="AT18" i="27"/>
  <c r="AS18" i="27"/>
  <c r="AF18" i="27"/>
  <c r="AE18" i="27"/>
  <c r="AD18" i="27"/>
  <c r="AC18" i="27"/>
  <c r="M17" i="27"/>
  <c r="M18" i="27"/>
  <c r="M19" i="27"/>
  <c r="M20" i="27"/>
  <c r="M21" i="27"/>
  <c r="M22" i="27"/>
  <c r="M23" i="27"/>
  <c r="M24" i="27"/>
  <c r="M25" i="27"/>
  <c r="M26" i="27"/>
  <c r="M27" i="27"/>
  <c r="M28" i="27"/>
  <c r="M29" i="27"/>
  <c r="H33" i="27"/>
  <c r="E57" i="9"/>
  <c r="AA10" i="27"/>
  <c r="AR10" i="27"/>
  <c r="AL13" i="27"/>
  <c r="AL14" i="27"/>
  <c r="AL15" i="27"/>
  <c r="AL12" i="27"/>
  <c r="AT11" i="27"/>
  <c r="AS11" i="27"/>
  <c r="AF11" i="27"/>
  <c r="AE11" i="27"/>
  <c r="AD11" i="27"/>
  <c r="AC11" i="27"/>
  <c r="I33" i="27"/>
  <c r="I31" i="27"/>
  <c r="M16" i="27"/>
  <c r="M15" i="27"/>
  <c r="M14" i="27"/>
  <c r="M13" i="27"/>
  <c r="M12" i="27"/>
  <c r="E12" i="27"/>
  <c r="E15" i="9"/>
  <c r="I11" i="27"/>
  <c r="E11" i="27"/>
  <c r="D11" i="27"/>
  <c r="C11" i="27"/>
  <c r="Y10" i="27"/>
  <c r="E21" i="24"/>
  <c r="E20" i="24"/>
  <c r="E114" i="9"/>
  <c r="R17" i="22"/>
  <c r="C3" i="25"/>
  <c r="C4" i="25"/>
  <c r="C14" i="25"/>
  <c r="C19" i="25"/>
  <c r="C23" i="25"/>
  <c r="C24" i="25"/>
  <c r="C25" i="25"/>
  <c r="C26" i="25"/>
  <c r="C27" i="25"/>
  <c r="C28" i="25"/>
  <c r="C29" i="25"/>
  <c r="C30" i="25"/>
  <c r="C31" i="25"/>
  <c r="C32" i="25"/>
  <c r="C33" i="25"/>
  <c r="C34" i="25"/>
  <c r="C44" i="25"/>
  <c r="C49" i="25"/>
  <c r="C53" i="25"/>
  <c r="C54" i="25"/>
  <c r="C55" i="25"/>
  <c r="C56" i="25"/>
  <c r="C57" i="25"/>
  <c r="C58" i="25"/>
  <c r="C59" i="25"/>
  <c r="C60" i="25"/>
  <c r="C61" i="25"/>
  <c r="C62" i="25"/>
  <c r="H7" i="22"/>
  <c r="H8" i="22"/>
  <c r="H9" i="22"/>
  <c r="H10" i="22"/>
  <c r="H11" i="22"/>
  <c r="H12" i="22"/>
  <c r="H13" i="22"/>
  <c r="H14" i="22"/>
  <c r="H15" i="22"/>
  <c r="H16" i="22"/>
  <c r="H17" i="22"/>
  <c r="H18" i="22"/>
  <c r="H19" i="22"/>
  <c r="H20" i="22"/>
  <c r="H21" i="22"/>
  <c r="H22" i="22"/>
  <c r="H23" i="22"/>
  <c r="H24" i="22"/>
  <c r="H25" i="22"/>
  <c r="H26" i="22"/>
  <c r="H27" i="22"/>
  <c r="H28" i="22"/>
  <c r="H29" i="22"/>
  <c r="H30" i="22"/>
  <c r="H31" i="22"/>
  <c r="H32" i="22"/>
  <c r="H33" i="22"/>
  <c r="H34" i="22"/>
  <c r="H35" i="22"/>
  <c r="H6" i="22"/>
  <c r="X17" i="22"/>
  <c r="AV21" i="6"/>
  <c r="E12" i="24"/>
  <c r="E12" i="21"/>
  <c r="B13" i="6"/>
  <c r="B12" i="6"/>
  <c r="E117" i="9"/>
  <c r="E118" i="9"/>
  <c r="E119" i="9"/>
  <c r="E120" i="9"/>
  <c r="T11" i="22"/>
  <c r="AU21" i="6"/>
  <c r="AU11" i="6"/>
  <c r="AV11" i="6"/>
  <c r="E16" i="9"/>
  <c r="AU20" i="6"/>
  <c r="AU10" i="6"/>
  <c r="E113" i="9"/>
  <c r="R16" i="22"/>
  <c r="E112" i="9"/>
  <c r="R15" i="22"/>
  <c r="E110" i="9"/>
  <c r="E111" i="9"/>
  <c r="R22" i="22"/>
  <c r="C11" i="24"/>
  <c r="C11" i="21"/>
  <c r="B3" i="10"/>
  <c r="E40" i="9"/>
  <c r="W30" i="6"/>
  <c r="G26" i="24"/>
  <c r="F26" i="24"/>
  <c r="G23" i="24"/>
  <c r="F21" i="24"/>
  <c r="F20" i="24"/>
  <c r="C19" i="24"/>
  <c r="C16" i="24"/>
  <c r="N15" i="24"/>
  <c r="K15" i="24"/>
  <c r="N14" i="24"/>
  <c r="K14" i="24"/>
  <c r="N13" i="24"/>
  <c r="K13" i="24"/>
  <c r="N12" i="24"/>
  <c r="K12" i="24"/>
  <c r="G11" i="24"/>
  <c r="E11" i="24"/>
  <c r="D11" i="24"/>
  <c r="T9" i="24"/>
  <c r="G7" i="24"/>
  <c r="E41" i="9"/>
  <c r="R4" i="22"/>
  <c r="E41" i="6"/>
  <c r="E40" i="6"/>
  <c r="E39" i="6"/>
  <c r="E38" i="6"/>
  <c r="E37" i="6"/>
  <c r="E36" i="6"/>
  <c r="E35" i="6"/>
  <c r="E34" i="6"/>
  <c r="E33" i="6"/>
  <c r="E32" i="6"/>
  <c r="E31" i="6"/>
  <c r="E30" i="6"/>
  <c r="E29" i="6"/>
  <c r="E28" i="6"/>
  <c r="E27" i="6"/>
  <c r="E26" i="6"/>
  <c r="E25" i="6"/>
  <c r="E24" i="6"/>
  <c r="E23" i="6"/>
  <c r="E22" i="6"/>
  <c r="E21" i="6"/>
  <c r="E20" i="6"/>
  <c r="E19" i="6"/>
  <c r="E18" i="6"/>
  <c r="E17" i="6"/>
  <c r="E16" i="6"/>
  <c r="E15" i="6"/>
  <c r="E14" i="6"/>
  <c r="E13" i="6"/>
  <c r="D13" i="6"/>
  <c r="C13" i="6"/>
  <c r="E12" i="6"/>
  <c r="D12" i="6"/>
  <c r="C12" i="6"/>
  <c r="C22" i="22"/>
  <c r="C20" i="22"/>
  <c r="R13" i="22"/>
  <c r="E44" i="9"/>
  <c r="R11" i="22"/>
  <c r="E43" i="9"/>
  <c r="R9" i="22"/>
  <c r="E42" i="9"/>
  <c r="R7" i="22"/>
  <c r="E45" i="9"/>
  <c r="T5" i="22"/>
  <c r="R5" i="22"/>
  <c r="E31" i="9"/>
  <c r="L5" i="22"/>
  <c r="E34" i="9"/>
  <c r="I5" i="22"/>
  <c r="E17" i="9"/>
  <c r="H5" i="22"/>
  <c r="G5" i="22"/>
  <c r="F5" i="22"/>
  <c r="E5" i="22"/>
  <c r="C5" i="22"/>
  <c r="P4" i="22"/>
  <c r="E32" i="9"/>
  <c r="E4" i="22"/>
  <c r="C4" i="22"/>
  <c r="E30" i="9"/>
  <c r="E2" i="22"/>
  <c r="G22" i="21"/>
  <c r="F22" i="21"/>
  <c r="G7" i="21"/>
  <c r="G19" i="21"/>
  <c r="N17" i="21"/>
  <c r="N16" i="21"/>
  <c r="N15" i="21"/>
  <c r="N14" i="21"/>
  <c r="N13" i="21"/>
  <c r="N12" i="21"/>
  <c r="T9" i="21"/>
  <c r="K13" i="21"/>
  <c r="K14" i="21"/>
  <c r="K15" i="21"/>
  <c r="K16" i="21"/>
  <c r="K17" i="21"/>
  <c r="G11" i="21"/>
  <c r="D11" i="21"/>
  <c r="E11" i="21"/>
  <c r="K12" i="21"/>
  <c r="E28" i="9"/>
  <c r="E11" i="6"/>
  <c r="AH23" i="6"/>
  <c r="AH24" i="6"/>
  <c r="AH25" i="6"/>
  <c r="AH26" i="6"/>
  <c r="AH27" i="6"/>
  <c r="W22" i="6"/>
  <c r="W20" i="6"/>
  <c r="AH22" i="6"/>
  <c r="AB21" i="6"/>
  <c r="AA21" i="6"/>
  <c r="Z21" i="6"/>
  <c r="Y21" i="6"/>
  <c r="W10" i="6"/>
  <c r="E13" i="9"/>
  <c r="E93" i="9"/>
  <c r="E94" i="9"/>
  <c r="E12" i="9"/>
  <c r="E11" i="9"/>
  <c r="E8" i="9"/>
  <c r="E38" i="9"/>
  <c r="E96" i="9"/>
  <c r="E92" i="9"/>
  <c r="E98" i="9"/>
  <c r="E101" i="9"/>
  <c r="E100" i="9"/>
  <c r="E102" i="9"/>
  <c r="E130" i="9"/>
  <c r="E50" i="9"/>
  <c r="A1" i="13"/>
  <c r="D11" i="6"/>
  <c r="C11" i="6"/>
  <c r="E47" i="9"/>
  <c r="B4" i="10"/>
  <c r="G34" i="10"/>
  <c r="G16" i="10"/>
  <c r="G25" i="10"/>
  <c r="G7" i="10"/>
  <c r="B2" i="10"/>
  <c r="C34" i="10"/>
  <c r="C25" i="10"/>
  <c r="C16" i="10"/>
  <c r="C7" i="10"/>
  <c r="E95" i="9"/>
  <c r="L1" i="9"/>
  <c r="E35" i="9"/>
  <c r="E36" i="9"/>
  <c r="E37" i="9"/>
  <c r="F90" i="9"/>
  <c r="C5" i="9"/>
  <c r="F1" i="9"/>
  <c r="F5" i="9"/>
  <c r="AH13" i="6"/>
  <c r="AH14" i="6"/>
  <c r="AH15" i="6"/>
  <c r="AH16" i="6"/>
  <c r="AH17" i="6"/>
  <c r="AH12" i="6"/>
  <c r="J13" i="6"/>
  <c r="J14" i="6"/>
  <c r="J15" i="6"/>
  <c r="J16" i="6"/>
  <c r="J17" i="6"/>
  <c r="J18" i="6"/>
  <c r="J19" i="6"/>
  <c r="J20" i="6"/>
  <c r="J21" i="6"/>
  <c r="J22" i="6"/>
  <c r="J23" i="6"/>
  <c r="J24" i="6"/>
  <c r="J25" i="6"/>
  <c r="J26" i="6"/>
  <c r="J27" i="6"/>
  <c r="J28" i="6"/>
  <c r="J29" i="6"/>
  <c r="J30" i="6"/>
  <c r="J31" i="6"/>
  <c r="J32" i="6"/>
  <c r="J33" i="6"/>
  <c r="J34" i="6"/>
  <c r="J35" i="6"/>
  <c r="J36" i="6"/>
  <c r="J37" i="6"/>
  <c r="J38" i="6"/>
  <c r="J39" i="6"/>
  <c r="J40" i="6"/>
  <c r="J41" i="6"/>
  <c r="J12" i="6"/>
  <c r="AB11" i="6"/>
  <c r="AA11" i="6"/>
  <c r="Z11" i="6"/>
  <c r="Y11" i="6"/>
  <c r="F11" i="6"/>
  <c r="B11" i="6"/>
  <c r="B10" i="6"/>
  <c r="K1" i="9"/>
  <c r="C40" i="6"/>
  <c r="C39" i="6"/>
  <c r="C38" i="6"/>
  <c r="C37" i="6"/>
  <c r="C36" i="6"/>
  <c r="C35" i="6"/>
  <c r="C34" i="6"/>
  <c r="C32" i="6"/>
  <c r="D40" i="6"/>
  <c r="D39" i="6"/>
  <c r="D38" i="6"/>
  <c r="D37" i="6"/>
  <c r="D36" i="6"/>
  <c r="D35" i="6"/>
  <c r="D34" i="6"/>
  <c r="D33" i="6"/>
  <c r="D32" i="6"/>
  <c r="C33" i="6"/>
  <c r="B40" i="6"/>
  <c r="B39" i="6"/>
  <c r="B38" i="6"/>
  <c r="B37" i="6"/>
  <c r="B36" i="6"/>
  <c r="B35" i="6"/>
  <c r="B34" i="6"/>
  <c r="B33" i="6"/>
  <c r="B32" i="6"/>
  <c r="C41" i="6"/>
  <c r="D41" i="6"/>
  <c r="B41" i="6"/>
  <c r="C12" i="24" a="1"/>
  <c r="C12" i="24"/>
  <c r="C12" i="21" a="1"/>
  <c r="C12" i="21"/>
  <c r="C11" i="25"/>
  <c r="C12" i="25"/>
  <c r="C13" i="25"/>
  <c r="C41" i="25"/>
  <c r="C42" i="25"/>
  <c r="C43" i="25"/>
  <c r="C20" i="6"/>
  <c r="D20" i="6"/>
  <c r="B20" i="6"/>
  <c r="C23" i="6"/>
  <c r="C22" i="6"/>
  <c r="C21" i="6"/>
  <c r="D23" i="6"/>
  <c r="D22" i="6"/>
  <c r="D21" i="6"/>
  <c r="B23" i="6"/>
  <c r="B22" i="6"/>
  <c r="B21" i="6"/>
  <c r="C15" i="25"/>
  <c r="C16" i="25"/>
  <c r="C17" i="25"/>
  <c r="C18" i="25"/>
  <c r="C20" i="25"/>
  <c r="C21" i="25"/>
  <c r="C22" i="25"/>
  <c r="C45" i="25"/>
  <c r="C46" i="25"/>
  <c r="C47" i="25"/>
  <c r="C48" i="25"/>
  <c r="C50" i="25"/>
  <c r="C51" i="25"/>
  <c r="C52" i="25"/>
  <c r="B24" i="6"/>
  <c r="B25" i="6"/>
  <c r="B26" i="6"/>
  <c r="B27" i="6"/>
  <c r="B28" i="6"/>
  <c r="B29" i="6"/>
  <c r="B30" i="6"/>
  <c r="B31" i="6"/>
  <c r="D24" i="6"/>
  <c r="D25" i="6"/>
  <c r="D26" i="6"/>
  <c r="D27" i="6"/>
  <c r="D28" i="6"/>
  <c r="D29" i="6"/>
  <c r="D30" i="6"/>
  <c r="D31" i="6"/>
  <c r="C24" i="6"/>
  <c r="C25" i="6"/>
  <c r="C26" i="6"/>
  <c r="C27" i="6"/>
  <c r="C28" i="6"/>
  <c r="C29" i="6"/>
  <c r="C30" i="6"/>
  <c r="C31" i="6"/>
  <c r="S17" i="22"/>
  <c r="D12" i="24"/>
  <c r="D12" i="21"/>
  <c r="AK30" i="6"/>
  <c r="AR13" i="6"/>
  <c r="AR14" i="6"/>
  <c r="AR15" i="6"/>
  <c r="AR16" i="6"/>
  <c r="AR17" i="6"/>
  <c r="AR12" i="6"/>
  <c r="N8" i="10"/>
  <c r="N13" i="10"/>
  <c r="N12" i="10"/>
  <c r="N11" i="10"/>
  <c r="N10" i="10"/>
  <c r="N9" i="10"/>
  <c r="N17" i="10"/>
  <c r="N18" i="10"/>
  <c r="N19" i="10"/>
  <c r="N20" i="10"/>
  <c r="N21" i="10"/>
  <c r="N22" i="10"/>
  <c r="N26" i="10"/>
  <c r="N27" i="10"/>
  <c r="N28" i="10"/>
  <c r="N29" i="10"/>
  <c r="N30" i="10"/>
  <c r="N31" i="10"/>
  <c r="N35" i="10"/>
  <c r="N36" i="10"/>
  <c r="N37" i="10"/>
  <c r="N38" i="10"/>
  <c r="N39" i="10"/>
  <c r="N40" i="10"/>
  <c r="S19" i="32"/>
  <c r="R19" i="32"/>
  <c r="T19" i="32"/>
  <c r="Z17" i="34"/>
  <c r="Z22" i="34"/>
  <c r="E57" i="34" a="1"/>
  <c r="E57" i="34"/>
  <c r="F57" i="34" a="1"/>
  <c r="F57" i="34"/>
  <c r="G57" i="34" a="1"/>
  <c r="H57" i="34" a="1"/>
  <c r="I57" i="34" a="1"/>
  <c r="J57" i="34" a="1"/>
  <c r="K57" i="34" a="1"/>
  <c r="L57" i="34" a="1"/>
  <c r="M57" i="34" a="1"/>
  <c r="N57" i="34" a="1"/>
  <c r="O57" i="34" a="1"/>
  <c r="P57" i="34" a="1"/>
  <c r="Q57" i="34" a="1"/>
  <c r="R57" i="34" a="1"/>
  <c r="S57" i="34" a="1"/>
  <c r="T57" i="34" a="1"/>
  <c r="U57" i="34" a="1"/>
  <c r="V57" i="34" a="1"/>
  <c r="W57" i="34" a="1"/>
  <c r="X57" i="34" a="1"/>
  <c r="Y57" i="34" a="1"/>
  <c r="Z57" i="34" a="1"/>
  <c r="AA57" i="34" a="1"/>
  <c r="AB57" i="34" a="1"/>
  <c r="AC57" i="34" a="1"/>
  <c r="AD57" i="34" a="1"/>
  <c r="AE57" i="34" a="1"/>
  <c r="AF57" i="34" a="1"/>
  <c r="AG57" i="34" a="1"/>
  <c r="AH57" i="34" a="1"/>
  <c r="AI57" i="34" a="1"/>
  <c r="AJ57" i="34" a="1"/>
  <c r="AK57" i="34" a="1"/>
  <c r="AL57" i="34" a="1"/>
  <c r="AM57" i="34" a="1"/>
  <c r="AN57" i="34" a="1"/>
  <c r="AO57" i="34" a="1"/>
  <c r="AP57" i="34" a="1"/>
  <c r="AQ57" i="34" a="1"/>
  <c r="AR57" i="34" a="1"/>
  <c r="AS57" i="34" a="1"/>
  <c r="AT57" i="34" a="1"/>
  <c r="AU57" i="34" a="1"/>
  <c r="AV57" i="34" a="1"/>
  <c r="AW57" i="34" a="1"/>
  <c r="AX57" i="34" a="1"/>
  <c r="AY57" i="34" a="1"/>
  <c r="AZ57" i="34" a="1"/>
  <c r="BA57" i="34" a="1"/>
  <c r="BB57" i="34" a="1"/>
  <c r="BC57" i="34" a="1"/>
  <c r="BD57" i="34" a="1"/>
  <c r="BE57" i="34" a="1"/>
  <c r="BF57" i="34" a="1"/>
  <c r="BG57" i="34" a="1"/>
  <c r="BH57" i="34" a="1"/>
  <c r="BI57" i="34" a="1"/>
  <c r="BJ57" i="34" a="1"/>
  <c r="BK57" i="34" a="1"/>
  <c r="BL57" i="34" a="1"/>
  <c r="BM57" i="34" a="1"/>
  <c r="BN57" i="34" a="1"/>
  <c r="BO57" i="34" a="1"/>
  <c r="BP57" i="34" a="1"/>
  <c r="G57" i="34"/>
  <c r="H57" i="34"/>
  <c r="I57" i="34"/>
  <c r="J57" i="34"/>
  <c r="K57" i="34"/>
  <c r="L57" i="34"/>
  <c r="M57" i="34"/>
  <c r="N57" i="34"/>
  <c r="O57" i="34"/>
  <c r="P57" i="34"/>
  <c r="Q57" i="34"/>
  <c r="R57" i="34"/>
  <c r="S57" i="34"/>
  <c r="T57" i="34"/>
  <c r="U57" i="34"/>
  <c r="V57" i="34"/>
  <c r="W57" i="34"/>
  <c r="X57" i="34"/>
  <c r="Y57" i="34"/>
  <c r="Z57" i="34"/>
  <c r="AA57" i="34"/>
  <c r="AB57" i="34"/>
  <c r="AC57" i="34"/>
  <c r="AD57" i="34"/>
  <c r="AE57" i="34"/>
  <c r="AF57" i="34"/>
  <c r="AG57" i="34"/>
  <c r="AH57" i="34"/>
  <c r="AI57" i="34"/>
  <c r="AJ57" i="34"/>
  <c r="AK57" i="34"/>
  <c r="AL57" i="34"/>
  <c r="AM57" i="34"/>
  <c r="AN57" i="34"/>
  <c r="AO57" i="34"/>
  <c r="AP57" i="34"/>
  <c r="AQ57" i="34"/>
  <c r="AR57" i="34"/>
  <c r="AS57" i="34"/>
  <c r="AT57" i="34"/>
  <c r="AU57" i="34"/>
  <c r="AV57" i="34"/>
  <c r="AW57" i="34"/>
  <c r="AX57" i="34"/>
  <c r="AY57" i="34"/>
  <c r="AZ57" i="34"/>
  <c r="BA57" i="34"/>
  <c r="BB57" i="34"/>
  <c r="BC57" i="34"/>
  <c r="BD57" i="34"/>
  <c r="BE57" i="34"/>
  <c r="BF57" i="34"/>
  <c r="BG57" i="34"/>
  <c r="BH57" i="34"/>
  <c r="BI57" i="34"/>
  <c r="BJ57" i="34"/>
  <c r="BK57" i="34"/>
  <c r="BL57" i="34"/>
  <c r="BM57" i="34"/>
  <c r="BN57" i="34"/>
  <c r="BO57" i="34"/>
  <c r="BP57" i="34"/>
  <c r="AC22" i="34"/>
  <c r="Z23" i="34"/>
  <c r="E58" i="34" a="1"/>
  <c r="E58" i="34"/>
  <c r="F58" i="34" a="1"/>
  <c r="F58" i="34"/>
  <c r="G58" i="34" a="1"/>
  <c r="H58" i="34" a="1"/>
  <c r="I58" i="34" a="1"/>
  <c r="J58" i="34" a="1"/>
  <c r="K58" i="34" a="1"/>
  <c r="L58" i="34" a="1"/>
  <c r="M58" i="34" a="1"/>
  <c r="N58" i="34" a="1"/>
  <c r="O58" i="34" a="1"/>
  <c r="P58" i="34" a="1"/>
  <c r="Q58" i="34" a="1"/>
  <c r="R58" i="34" a="1"/>
  <c r="S58" i="34" a="1"/>
  <c r="T58" i="34" a="1"/>
  <c r="U58" i="34" a="1"/>
  <c r="V58" i="34" a="1"/>
  <c r="W58" i="34" a="1"/>
  <c r="X58" i="34" a="1"/>
  <c r="Y58" i="34" a="1"/>
  <c r="Z58" i="34" a="1"/>
  <c r="AA58" i="34" a="1"/>
  <c r="AB58" i="34" a="1"/>
  <c r="AC58" i="34" a="1"/>
  <c r="AD58" i="34" a="1"/>
  <c r="AE58" i="34" a="1"/>
  <c r="AF58" i="34" a="1"/>
  <c r="AG58" i="34" a="1"/>
  <c r="AH58" i="34" a="1"/>
  <c r="AI58" i="34" a="1"/>
  <c r="AJ58" i="34" a="1"/>
  <c r="AK58" i="34" a="1"/>
  <c r="AL58" i="34" a="1"/>
  <c r="AM58" i="34" a="1"/>
  <c r="AN58" i="34" a="1"/>
  <c r="AO58" i="34" a="1"/>
  <c r="AP58" i="34" a="1"/>
  <c r="AQ58" i="34" a="1"/>
  <c r="AR58" i="34" a="1"/>
  <c r="AS58" i="34" a="1"/>
  <c r="AT58" i="34" a="1"/>
  <c r="AU58" i="34" a="1"/>
  <c r="AV58" i="34" a="1"/>
  <c r="AW58" i="34" a="1"/>
  <c r="AX58" i="34" a="1"/>
  <c r="AY58" i="34" a="1"/>
  <c r="AZ58" i="34" a="1"/>
  <c r="BA58" i="34" a="1"/>
  <c r="BB58" i="34" a="1"/>
  <c r="BC58" i="34" a="1"/>
  <c r="BD58" i="34" a="1"/>
  <c r="BE58" i="34" a="1"/>
  <c r="BF58" i="34" a="1"/>
  <c r="BG58" i="34" a="1"/>
  <c r="BH58" i="34" a="1"/>
  <c r="BI58" i="34" a="1"/>
  <c r="BJ58" i="34" a="1"/>
  <c r="BK58" i="34" a="1"/>
  <c r="BL58" i="34" a="1"/>
  <c r="BM58" i="34" a="1"/>
  <c r="BN58" i="34" a="1"/>
  <c r="BO58" i="34" a="1"/>
  <c r="BP58" i="34" a="1"/>
  <c r="G58" i="34"/>
  <c r="H58" i="34"/>
  <c r="I58" i="34"/>
  <c r="J58" i="34"/>
  <c r="K58" i="34"/>
  <c r="L58" i="34"/>
  <c r="M58" i="34"/>
  <c r="N58" i="34"/>
  <c r="O58" i="34"/>
  <c r="P58" i="34"/>
  <c r="Q58" i="34"/>
  <c r="R58" i="34"/>
  <c r="S58" i="34"/>
  <c r="T58" i="34"/>
  <c r="U58" i="34"/>
  <c r="V58" i="34"/>
  <c r="W58" i="34"/>
  <c r="X58" i="34"/>
  <c r="Y58" i="34"/>
  <c r="Z58" i="34"/>
  <c r="AA58" i="34"/>
  <c r="AB58" i="34"/>
  <c r="AC58" i="34"/>
  <c r="AD58" i="34"/>
  <c r="AE58" i="34"/>
  <c r="AF58" i="34"/>
  <c r="AG58" i="34"/>
  <c r="AH58" i="34"/>
  <c r="AI58" i="34"/>
  <c r="AJ58" i="34"/>
  <c r="AK58" i="34"/>
  <c r="AL58" i="34"/>
  <c r="AM58" i="34"/>
  <c r="AN58" i="34"/>
  <c r="AO58" i="34"/>
  <c r="AP58" i="34"/>
  <c r="AQ58" i="34"/>
  <c r="AR58" i="34"/>
  <c r="AS58" i="34"/>
  <c r="AT58" i="34"/>
  <c r="AU58" i="34"/>
  <c r="AV58" i="34"/>
  <c r="AW58" i="34"/>
  <c r="AX58" i="34"/>
  <c r="AY58" i="34"/>
  <c r="AZ58" i="34"/>
  <c r="BA58" i="34"/>
  <c r="BB58" i="34"/>
  <c r="BC58" i="34"/>
  <c r="BD58" i="34"/>
  <c r="BE58" i="34"/>
  <c r="BF58" i="34"/>
  <c r="BG58" i="34"/>
  <c r="BH58" i="34"/>
  <c r="BI58" i="34"/>
  <c r="BJ58" i="34"/>
  <c r="BK58" i="34"/>
  <c r="BL58" i="34"/>
  <c r="BM58" i="34"/>
  <c r="BN58" i="34"/>
  <c r="BO58" i="34"/>
  <c r="BP58" i="34"/>
  <c r="AC23" i="34"/>
  <c r="Z24" i="34"/>
  <c r="E59" i="34" a="1"/>
  <c r="E59" i="34"/>
  <c r="F59" i="34" a="1"/>
  <c r="F59" i="34"/>
  <c r="G59" i="34" a="1"/>
  <c r="H59" i="34" a="1"/>
  <c r="I59" i="34" a="1"/>
  <c r="J59" i="34" a="1"/>
  <c r="K59" i="34" a="1"/>
  <c r="L59" i="34" a="1"/>
  <c r="M59" i="34" a="1"/>
  <c r="N59" i="34" a="1"/>
  <c r="O59" i="34" a="1"/>
  <c r="P59" i="34" a="1"/>
  <c r="Q59" i="34" a="1"/>
  <c r="R59" i="34" a="1"/>
  <c r="S59" i="34" a="1"/>
  <c r="T59" i="34" a="1"/>
  <c r="U59" i="34" a="1"/>
  <c r="V59" i="34" a="1"/>
  <c r="W59" i="34" a="1"/>
  <c r="X59" i="34" a="1"/>
  <c r="Y59" i="34" a="1"/>
  <c r="Z59" i="34" a="1"/>
  <c r="AA59" i="34" a="1"/>
  <c r="AB59" i="34" a="1"/>
  <c r="AC59" i="34" a="1"/>
  <c r="AD59" i="34" a="1"/>
  <c r="AE59" i="34" a="1"/>
  <c r="AF59" i="34" a="1"/>
  <c r="AG59" i="34" a="1"/>
  <c r="AH59" i="34" a="1"/>
  <c r="AI59" i="34" a="1"/>
  <c r="AJ59" i="34" a="1"/>
  <c r="AK59" i="34" a="1"/>
  <c r="AL59" i="34" a="1"/>
  <c r="AM59" i="34" a="1"/>
  <c r="AN59" i="34" a="1"/>
  <c r="AO59" i="34" a="1"/>
  <c r="AP59" i="34" a="1"/>
  <c r="AQ59" i="34" a="1"/>
  <c r="AR59" i="34" a="1"/>
  <c r="AS59" i="34" a="1"/>
  <c r="AT59" i="34" a="1"/>
  <c r="AU59" i="34" a="1"/>
  <c r="AV59" i="34" a="1"/>
  <c r="AW59" i="34" a="1"/>
  <c r="AX59" i="34" a="1"/>
  <c r="AY59" i="34" a="1"/>
  <c r="AZ59" i="34" a="1"/>
  <c r="BA59" i="34" a="1"/>
  <c r="BB59" i="34" a="1"/>
  <c r="BC59" i="34" a="1"/>
  <c r="BD59" i="34" a="1"/>
  <c r="BE59" i="34" a="1"/>
  <c r="BF59" i="34" a="1"/>
  <c r="BG59" i="34" a="1"/>
  <c r="BH59" i="34" a="1"/>
  <c r="BI59" i="34" a="1"/>
  <c r="BJ59" i="34" a="1"/>
  <c r="BK59" i="34" a="1"/>
  <c r="BL59" i="34" a="1"/>
  <c r="BM59" i="34" a="1"/>
  <c r="BN59" i="34" a="1"/>
  <c r="BO59" i="34" a="1"/>
  <c r="BP59" i="34" a="1"/>
  <c r="G59" i="34"/>
  <c r="H59" i="34"/>
  <c r="I59" i="34"/>
  <c r="J59" i="34"/>
  <c r="K59" i="34"/>
  <c r="L59" i="34"/>
  <c r="M59" i="34"/>
  <c r="N59" i="34"/>
  <c r="O59" i="34"/>
  <c r="P59" i="34"/>
  <c r="Q59" i="34"/>
  <c r="R59" i="34"/>
  <c r="S59" i="34"/>
  <c r="T59" i="34"/>
  <c r="U59" i="34"/>
  <c r="V59" i="34"/>
  <c r="W59" i="34"/>
  <c r="X59" i="34"/>
  <c r="Y59" i="34"/>
  <c r="Z59" i="34"/>
  <c r="AA59" i="34"/>
  <c r="AB59" i="34"/>
  <c r="AC59" i="34"/>
  <c r="AD59" i="34"/>
  <c r="AE59" i="34"/>
  <c r="AF59" i="34"/>
  <c r="AG59" i="34"/>
  <c r="AH59" i="34"/>
  <c r="AI59" i="34"/>
  <c r="AJ59" i="34"/>
  <c r="AK59" i="34"/>
  <c r="AL59" i="34"/>
  <c r="AM59" i="34"/>
  <c r="AN59" i="34"/>
  <c r="AO59" i="34"/>
  <c r="AP59" i="34"/>
  <c r="AQ59" i="34"/>
  <c r="AR59" i="34"/>
  <c r="AS59" i="34"/>
  <c r="AT59" i="34"/>
  <c r="AU59" i="34"/>
  <c r="AV59" i="34"/>
  <c r="AW59" i="34"/>
  <c r="AX59" i="34"/>
  <c r="AY59" i="34"/>
  <c r="AZ59" i="34"/>
  <c r="BA59" i="34"/>
  <c r="BB59" i="34"/>
  <c r="BC59" i="34"/>
  <c r="BD59" i="34"/>
  <c r="BE59" i="34"/>
  <c r="BF59" i="34"/>
  <c r="BG59" i="34"/>
  <c r="BH59" i="34"/>
  <c r="BI59" i="34"/>
  <c r="BJ59" i="34"/>
  <c r="BK59" i="34"/>
  <c r="BL59" i="34"/>
  <c r="BM59" i="34"/>
  <c r="BN59" i="34"/>
  <c r="BO59" i="34"/>
  <c r="BP59" i="34"/>
  <c r="AC24" i="34"/>
  <c r="Z25" i="34"/>
  <c r="E60" i="34" a="1"/>
  <c r="E60" i="34"/>
  <c r="F60" i="34" a="1"/>
  <c r="F60" i="34"/>
  <c r="G60" i="34" a="1"/>
  <c r="H60" i="34" a="1"/>
  <c r="I60" i="34" a="1"/>
  <c r="J60" i="34" a="1"/>
  <c r="K60" i="34" a="1"/>
  <c r="L60" i="34" a="1"/>
  <c r="M60" i="34" a="1"/>
  <c r="N60" i="34" a="1"/>
  <c r="O60" i="34" a="1"/>
  <c r="P60" i="34" a="1"/>
  <c r="Q60" i="34" a="1"/>
  <c r="R60" i="34" a="1"/>
  <c r="S60" i="34" a="1"/>
  <c r="T60" i="34" a="1"/>
  <c r="U60" i="34" a="1"/>
  <c r="V60" i="34" a="1"/>
  <c r="W60" i="34" a="1"/>
  <c r="X60" i="34" a="1"/>
  <c r="Y60" i="34" a="1"/>
  <c r="Z60" i="34" a="1"/>
  <c r="AA60" i="34" a="1"/>
  <c r="AB60" i="34" a="1"/>
  <c r="AC60" i="34" a="1"/>
  <c r="AD60" i="34" a="1"/>
  <c r="AE60" i="34" a="1"/>
  <c r="AF60" i="34" a="1"/>
  <c r="AG60" i="34" a="1"/>
  <c r="AH60" i="34" a="1"/>
  <c r="AI60" i="34" a="1"/>
  <c r="AJ60" i="34" a="1"/>
  <c r="AK60" i="34" a="1"/>
  <c r="AL60" i="34" a="1"/>
  <c r="AM60" i="34" a="1"/>
  <c r="AN60" i="34" a="1"/>
  <c r="AO60" i="34" a="1"/>
  <c r="AP60" i="34" a="1"/>
  <c r="AQ60" i="34" a="1"/>
  <c r="AR60" i="34" a="1"/>
  <c r="AS60" i="34" a="1"/>
  <c r="AT60" i="34" a="1"/>
  <c r="AU60" i="34" a="1"/>
  <c r="AV60" i="34" a="1"/>
  <c r="AW60" i="34" a="1"/>
  <c r="AX60" i="34" a="1"/>
  <c r="AY60" i="34" a="1"/>
  <c r="AZ60" i="34" a="1"/>
  <c r="BA60" i="34" a="1"/>
  <c r="BB60" i="34" a="1"/>
  <c r="BC60" i="34" a="1"/>
  <c r="BD60" i="34" a="1"/>
  <c r="BE60" i="34" a="1"/>
  <c r="BF60" i="34" a="1"/>
  <c r="BG60" i="34" a="1"/>
  <c r="BH60" i="34" a="1"/>
  <c r="BI60" i="34" a="1"/>
  <c r="BJ60" i="34" a="1"/>
  <c r="BK60" i="34" a="1"/>
  <c r="BL60" i="34" a="1"/>
  <c r="BM60" i="34" a="1"/>
  <c r="BN60" i="34" a="1"/>
  <c r="BO60" i="34" a="1"/>
  <c r="BP60" i="34" a="1"/>
  <c r="G60" i="34"/>
  <c r="H60" i="34"/>
  <c r="I60" i="34"/>
  <c r="J60" i="34"/>
  <c r="K60" i="34"/>
  <c r="L60" i="34"/>
  <c r="M60" i="34"/>
  <c r="N60" i="34"/>
  <c r="O60" i="34"/>
  <c r="P60" i="34"/>
  <c r="Q60" i="34"/>
  <c r="R60" i="34"/>
  <c r="S60" i="34"/>
  <c r="T60" i="34"/>
  <c r="U60" i="34"/>
  <c r="V60" i="34"/>
  <c r="W60" i="34"/>
  <c r="X60" i="34"/>
  <c r="Y60" i="34"/>
  <c r="Z60" i="34"/>
  <c r="AA60" i="34"/>
  <c r="AB60" i="34"/>
  <c r="AC60" i="34"/>
  <c r="AD60" i="34"/>
  <c r="AE60" i="34"/>
  <c r="AF60" i="34"/>
  <c r="AG60" i="34"/>
  <c r="AH60" i="34"/>
  <c r="AI60" i="34"/>
  <c r="AJ60" i="34"/>
  <c r="AK60" i="34"/>
  <c r="AL60" i="34"/>
  <c r="AM60" i="34"/>
  <c r="AN60" i="34"/>
  <c r="AO60" i="34"/>
  <c r="AP60" i="34"/>
  <c r="AQ60" i="34"/>
  <c r="AR60" i="34"/>
  <c r="AS60" i="34"/>
  <c r="AT60" i="34"/>
  <c r="AU60" i="34"/>
  <c r="AV60" i="34"/>
  <c r="AW60" i="34"/>
  <c r="AX60" i="34"/>
  <c r="AY60" i="34"/>
  <c r="AZ60" i="34"/>
  <c r="BA60" i="34"/>
  <c r="BB60" i="34"/>
  <c r="BC60" i="34"/>
  <c r="BD60" i="34"/>
  <c r="BE60" i="34"/>
  <c r="BF60" i="34"/>
  <c r="BG60" i="34"/>
  <c r="BH60" i="34"/>
  <c r="BI60" i="34"/>
  <c r="BJ60" i="34"/>
  <c r="BK60" i="34"/>
  <c r="BL60" i="34"/>
  <c r="BM60" i="34"/>
  <c r="BN60" i="34"/>
  <c r="BO60" i="34"/>
  <c r="BP60" i="34"/>
  <c r="AC25" i="34"/>
  <c r="E8" i="22" a="1"/>
  <c r="E8" i="22"/>
  <c r="F8" i="22"/>
  <c r="C5" i="25"/>
  <c r="E9" i="22" a="1"/>
  <c r="E9" i="22"/>
  <c r="F9" i="22"/>
  <c r="C6" i="25"/>
  <c r="E10" i="22" a="1"/>
  <c r="E10" i="22"/>
  <c r="F10" i="22"/>
  <c r="C7" i="25"/>
  <c r="E11" i="22" a="1"/>
  <c r="E11" i="22"/>
  <c r="F11" i="22"/>
  <c r="C8" i="25"/>
  <c r="E12" i="22" a="1"/>
  <c r="E12" i="22"/>
  <c r="F12" i="22"/>
  <c r="C9" i="25"/>
  <c r="E13" i="22" a="1"/>
  <c r="E13" i="22"/>
  <c r="F13" i="22"/>
  <c r="C10" i="25"/>
  <c r="C35" i="25"/>
  <c r="C36" i="25"/>
  <c r="C37" i="25"/>
  <c r="C38" i="25"/>
  <c r="C39" i="25"/>
  <c r="C40" i="25"/>
  <c r="E2" i="25"/>
  <c r="D3" i="25" a="1"/>
  <c r="D3" i="25"/>
  <c r="D4" i="25"/>
  <c r="D5" i="25"/>
  <c r="D6" i="25"/>
  <c r="D7" i="25"/>
  <c r="D8" i="25"/>
  <c r="D9" i="25"/>
  <c r="D10" i="25"/>
  <c r="D11" i="25"/>
  <c r="D12" i="25"/>
  <c r="D13" i="25"/>
  <c r="D14" i="25"/>
  <c r="D15" i="25"/>
  <c r="D16" i="25"/>
  <c r="D17" i="25"/>
  <c r="D18" i="25"/>
  <c r="D19" i="25"/>
  <c r="D20" i="25"/>
  <c r="D21" i="25"/>
  <c r="D22" i="25"/>
  <c r="D23" i="25"/>
  <c r="D24" i="25"/>
  <c r="D25" i="25"/>
  <c r="D26" i="25"/>
  <c r="D27" i="25"/>
  <c r="D28" i="25"/>
  <c r="D29" i="25"/>
  <c r="D30" i="25"/>
  <c r="D31" i="25"/>
  <c r="D32" i="25"/>
  <c r="D33" i="25"/>
  <c r="D34" i="25"/>
  <c r="D35" i="25"/>
  <c r="D36" i="25"/>
  <c r="D37" i="25"/>
  <c r="D38" i="25"/>
  <c r="D39" i="25"/>
  <c r="D40" i="25"/>
  <c r="D41" i="25"/>
  <c r="D42" i="25"/>
  <c r="D43" i="25"/>
  <c r="D44" i="25"/>
  <c r="D45" i="25"/>
  <c r="D46" i="25"/>
  <c r="D47" i="25"/>
  <c r="D48" i="25"/>
  <c r="D49" i="25"/>
  <c r="D50" i="25"/>
  <c r="D51" i="25"/>
  <c r="D52" i="25"/>
  <c r="D53" i="25"/>
  <c r="D54" i="25"/>
  <c r="D55" i="25"/>
  <c r="D56" i="25"/>
  <c r="D57" i="25"/>
  <c r="D58" i="25"/>
  <c r="D59" i="25"/>
  <c r="D60" i="25"/>
  <c r="D61" i="25"/>
  <c r="D62" i="25"/>
  <c r="E7" i="25"/>
  <c r="E8" i="25" a="1"/>
  <c r="E8" i="25"/>
  <c r="E5" i="25" a="1"/>
  <c r="E5" i="25"/>
  <c r="E9" i="25" a="1"/>
  <c r="E9" i="25"/>
  <c r="F9" i="25"/>
  <c r="E4" i="25"/>
  <c r="T24" i="22" a="1"/>
  <c r="T24" i="22"/>
  <c r="F8" i="25"/>
  <c r="E3" i="25"/>
  <c r="S24" i="22" a="1"/>
  <c r="S24" i="22"/>
  <c r="E6" i="25"/>
  <c r="B14" i="6"/>
  <c r="B15" i="6"/>
  <c r="B16" i="6"/>
  <c r="B17" i="6"/>
  <c r="B18" i="6"/>
  <c r="B19" i="6"/>
  <c r="G12" i="22"/>
  <c r="D18" i="6"/>
  <c r="G13" i="22"/>
  <c r="D19" i="6"/>
  <c r="G8" i="22"/>
  <c r="D14" i="6"/>
  <c r="G9" i="22"/>
  <c r="D15" i="6"/>
  <c r="G10" i="22"/>
  <c r="D16" i="6"/>
  <c r="G11" i="22"/>
  <c r="D17" i="6"/>
  <c r="C17" i="6"/>
  <c r="C16" i="6"/>
  <c r="C15" i="6"/>
  <c r="C14" i="6"/>
  <c r="C18" i="6"/>
  <c r="C19" i="6"/>
  <c r="F2" i="25" a="1"/>
  <c r="F2" i="25"/>
  <c r="G2" i="25"/>
  <c r="R26" i="22"/>
  <c r="R25" i="22"/>
  <c r="AS30" i="27" a="1"/>
  <c r="AS30" i="27"/>
  <c r="AT27" i="27"/>
  <c r="AT29" i="27"/>
  <c r="P12" i="32"/>
  <c r="N12" i="32"/>
  <c r="M12" i="32"/>
  <c r="P13" i="32"/>
  <c r="C13" i="27" a="1"/>
  <c r="C13" i="27"/>
  <c r="D13" i="27" a="1"/>
  <c r="D13" i="27"/>
  <c r="N13" i="32"/>
  <c r="M13" i="32"/>
  <c r="P14" i="32"/>
  <c r="N14" i="32"/>
  <c r="M14" i="32"/>
  <c r="P15" i="32"/>
  <c r="N15" i="32"/>
  <c r="M15" i="32"/>
  <c r="P16" i="32"/>
  <c r="C16" i="27" a="1"/>
  <c r="C16" i="27"/>
  <c r="D16" i="27" a="1"/>
  <c r="D16" i="27"/>
  <c r="N16" i="32"/>
  <c r="M16" i="32"/>
  <c r="P17" i="32"/>
  <c r="C17" i="27" a="1"/>
  <c r="C17" i="27"/>
  <c r="D17" i="27" a="1"/>
  <c r="D17" i="27"/>
  <c r="N17" i="32"/>
  <c r="M17" i="32"/>
  <c r="N19" i="32"/>
  <c r="M19" i="32"/>
  <c r="P21" i="32"/>
  <c r="N21" i="32"/>
  <c r="M21" i="32"/>
  <c r="P22" i="32"/>
  <c r="C22" i="27" a="1"/>
  <c r="C22" i="27"/>
  <c r="D22" i="27" a="1"/>
  <c r="D22" i="27"/>
  <c r="N22" i="32"/>
  <c r="M22" i="32"/>
  <c r="P23" i="32"/>
  <c r="N23" i="32"/>
  <c r="M23" i="32"/>
  <c r="P24" i="32"/>
  <c r="N24" i="32"/>
  <c r="M24" i="32"/>
  <c r="P25" i="32"/>
  <c r="C25" i="27" a="1"/>
  <c r="C25" i="27"/>
  <c r="D25" i="27" a="1"/>
  <c r="D25" i="27"/>
  <c r="N25" i="32"/>
  <c r="M25" i="32"/>
  <c r="P26" i="32"/>
  <c r="C26" i="27" a="1"/>
  <c r="C26" i="27"/>
  <c r="D26" i="27" a="1"/>
  <c r="D26" i="27"/>
  <c r="N26" i="32"/>
  <c r="M26" i="32"/>
  <c r="P27" i="32"/>
  <c r="N27" i="32"/>
  <c r="M27" i="32"/>
  <c r="P28" i="32"/>
  <c r="C28" i="27" a="1"/>
  <c r="C28" i="27"/>
  <c r="D28" i="27" a="1"/>
  <c r="D28" i="27"/>
  <c r="N28" i="32"/>
  <c r="M28" i="32"/>
  <c r="P29" i="32"/>
  <c r="N29" i="32"/>
  <c r="M29" i="32"/>
  <c r="Q12" i="32"/>
  <c r="L13" i="32"/>
  <c r="L16" i="32"/>
  <c r="L17" i="32"/>
  <c r="E5" i="32"/>
  <c r="E13" i="27"/>
  <c r="O13" i="32"/>
  <c r="E16" i="27"/>
  <c r="O16" i="32"/>
  <c r="E17" i="27"/>
  <c r="O17" i="32"/>
  <c r="G5" i="32"/>
  <c r="H5" i="32"/>
  <c r="F5" i="32"/>
  <c r="Q13" i="32"/>
  <c r="F6" i="32"/>
  <c r="J5" i="32"/>
  <c r="K5" i="32"/>
  <c r="L19" i="32"/>
  <c r="L20" i="32"/>
  <c r="E6" i="32"/>
  <c r="O19" i="32"/>
  <c r="G6" i="32"/>
  <c r="H6" i="32"/>
  <c r="Q14" i="32"/>
  <c r="F7" i="32"/>
  <c r="J6" i="32"/>
  <c r="K6" i="32"/>
  <c r="L28" i="32"/>
  <c r="L25" i="32"/>
  <c r="L26" i="32"/>
  <c r="E7" i="32"/>
  <c r="E28" i="27"/>
  <c r="O28" i="32"/>
  <c r="E25" i="27"/>
  <c r="O25" i="32"/>
  <c r="E26" i="27"/>
  <c r="O26" i="32"/>
  <c r="G7" i="32"/>
  <c r="H7" i="32"/>
  <c r="J7" i="32"/>
  <c r="K7" i="32"/>
  <c r="J8" i="32"/>
  <c r="U12" i="32"/>
  <c r="S12" i="32"/>
  <c r="R12" i="32"/>
  <c r="U13" i="32"/>
  <c r="S13" i="32"/>
  <c r="R13" i="32"/>
  <c r="U14" i="32"/>
  <c r="S14" i="32"/>
  <c r="R14" i="32"/>
  <c r="U15" i="32"/>
  <c r="S15" i="32"/>
  <c r="R15" i="32"/>
  <c r="U16" i="32"/>
  <c r="S16" i="32"/>
  <c r="R16" i="32"/>
  <c r="U17" i="32"/>
  <c r="S17" i="32"/>
  <c r="R17" i="32"/>
  <c r="U21" i="32"/>
  <c r="S21" i="32"/>
  <c r="R21" i="32"/>
  <c r="U22" i="32"/>
  <c r="S22" i="32"/>
  <c r="R22" i="32"/>
  <c r="U23" i="32"/>
  <c r="S23" i="32"/>
  <c r="R23" i="32"/>
  <c r="U24" i="32"/>
  <c r="S24" i="32"/>
  <c r="R24" i="32"/>
  <c r="U25" i="32"/>
  <c r="S25" i="32"/>
  <c r="R25" i="32"/>
  <c r="U26" i="32"/>
  <c r="S26" i="32"/>
  <c r="R26" i="32"/>
  <c r="U27" i="32"/>
  <c r="C27" i="27" a="1"/>
  <c r="C27" i="27"/>
  <c r="D27" i="27" a="1"/>
  <c r="D27" i="27"/>
  <c r="S27" i="32"/>
  <c r="R27" i="32"/>
  <c r="U28" i="32"/>
  <c r="S28" i="32"/>
  <c r="R28" i="32"/>
  <c r="U29" i="32"/>
  <c r="S29" i="32"/>
  <c r="R29" i="32"/>
  <c r="V12" i="32"/>
  <c r="F10" i="32"/>
  <c r="J9" i="32"/>
  <c r="L27" i="32"/>
  <c r="E10" i="32"/>
  <c r="E27" i="27"/>
  <c r="T27" i="32"/>
  <c r="T16" i="32"/>
  <c r="G10" i="32"/>
  <c r="H10" i="32"/>
  <c r="V13" i="32"/>
  <c r="F11" i="32"/>
  <c r="J10" i="32"/>
  <c r="K10" i="32"/>
  <c r="E11" i="32"/>
  <c r="G11" i="32"/>
  <c r="H11" i="32"/>
  <c r="V14" i="32"/>
  <c r="F12" i="32"/>
  <c r="J11" i="32"/>
  <c r="K11" i="32"/>
  <c r="E12" i="32"/>
  <c r="T25" i="32"/>
  <c r="G12" i="32"/>
  <c r="H12" i="32"/>
  <c r="J12" i="32"/>
  <c r="K12" i="32"/>
  <c r="J13" i="32"/>
  <c r="Q15" i="32"/>
  <c r="V15" i="32"/>
  <c r="AJ12" i="32"/>
  <c r="AH12" i="32"/>
  <c r="AG12" i="32"/>
  <c r="AJ13" i="32"/>
  <c r="AH13" i="32"/>
  <c r="AG13" i="32"/>
  <c r="AJ14" i="32"/>
  <c r="C14" i="27" a="1"/>
  <c r="C14" i="27"/>
  <c r="D14" i="27" a="1"/>
  <c r="D14" i="27"/>
  <c r="AH14" i="32"/>
  <c r="AG14" i="32"/>
  <c r="AJ15" i="32"/>
  <c r="AH15" i="32"/>
  <c r="AG15" i="32"/>
  <c r="AJ16" i="32"/>
  <c r="AH16" i="32"/>
  <c r="AG16" i="32"/>
  <c r="AJ17" i="32"/>
  <c r="AH17" i="32"/>
  <c r="AG17" i="32"/>
  <c r="AH19" i="32"/>
  <c r="AG19" i="32"/>
  <c r="AJ21" i="32"/>
  <c r="AH21" i="32"/>
  <c r="AG21" i="32"/>
  <c r="AJ22" i="32"/>
  <c r="AH22" i="32"/>
  <c r="AG22" i="32"/>
  <c r="AJ23" i="32"/>
  <c r="AH23" i="32"/>
  <c r="AG23" i="32"/>
  <c r="AJ24" i="32"/>
  <c r="AH24" i="32"/>
  <c r="AG24" i="32"/>
  <c r="AJ25" i="32"/>
  <c r="AH25" i="32"/>
  <c r="AG25" i="32"/>
  <c r="AJ26" i="32"/>
  <c r="AH26" i="32"/>
  <c r="AG26" i="32"/>
  <c r="AJ27" i="32"/>
  <c r="AH27" i="32"/>
  <c r="AG27" i="32"/>
  <c r="AJ28" i="32"/>
  <c r="AH28" i="32"/>
  <c r="AG28" i="32"/>
  <c r="AJ29" i="32"/>
  <c r="C29" i="27" a="1"/>
  <c r="C29" i="27"/>
  <c r="D29" i="27" a="1"/>
  <c r="D29" i="27"/>
  <c r="AH29" i="32"/>
  <c r="AG29" i="32"/>
  <c r="AK15" i="32"/>
  <c r="AY12" i="32"/>
  <c r="AW12" i="32"/>
  <c r="AV12" i="32"/>
  <c r="AY13" i="32"/>
  <c r="AW13" i="32"/>
  <c r="AV13" i="32"/>
  <c r="AY14" i="32"/>
  <c r="AW14" i="32"/>
  <c r="AV14" i="32"/>
  <c r="AY15" i="32"/>
  <c r="AW15" i="32"/>
  <c r="AV15" i="32"/>
  <c r="AY16" i="32"/>
  <c r="AW16" i="32"/>
  <c r="AV16" i="32"/>
  <c r="AY17" i="32"/>
  <c r="AW17" i="32"/>
  <c r="AV17" i="32"/>
  <c r="AY21" i="32"/>
  <c r="AW21" i="32"/>
  <c r="AV21" i="32"/>
  <c r="AY22" i="32"/>
  <c r="AW22" i="32"/>
  <c r="AV22" i="32"/>
  <c r="AY23" i="32"/>
  <c r="C23" i="27" a="1"/>
  <c r="C23" i="27"/>
  <c r="D23" i="27" a="1"/>
  <c r="D23" i="27"/>
  <c r="AW23" i="32"/>
  <c r="AV23" i="32"/>
  <c r="AY24" i="32"/>
  <c r="AW24" i="32"/>
  <c r="AV24" i="32"/>
  <c r="AY25" i="32"/>
  <c r="AW25" i="32"/>
  <c r="AV25" i="32"/>
  <c r="AY26" i="32"/>
  <c r="AW26" i="32"/>
  <c r="AV26" i="32"/>
  <c r="AY27" i="32"/>
  <c r="AW27" i="32"/>
  <c r="AV27" i="32"/>
  <c r="AY28" i="32"/>
  <c r="AW28" i="32"/>
  <c r="AV28" i="32"/>
  <c r="AY29" i="32"/>
  <c r="AW29" i="32"/>
  <c r="AV29" i="32"/>
  <c r="AZ15" i="32"/>
  <c r="BD12" i="32"/>
  <c r="BB12" i="32"/>
  <c r="BA12" i="32"/>
  <c r="BD13" i="32"/>
  <c r="BB13" i="32"/>
  <c r="BA13" i="32"/>
  <c r="BD14" i="32"/>
  <c r="BB14" i="32"/>
  <c r="BA14" i="32"/>
  <c r="BD15" i="32"/>
  <c r="BB15" i="32"/>
  <c r="BA15" i="32"/>
  <c r="BD16" i="32"/>
  <c r="BB16" i="32"/>
  <c r="BA16" i="32"/>
  <c r="BD17" i="32"/>
  <c r="BB17" i="32"/>
  <c r="BA17" i="32"/>
  <c r="BD21" i="32"/>
  <c r="BB21" i="32"/>
  <c r="BA21" i="32"/>
  <c r="BD22" i="32"/>
  <c r="BB22" i="32"/>
  <c r="BA22" i="32"/>
  <c r="BD23" i="32"/>
  <c r="BB23" i="32"/>
  <c r="BA23" i="32"/>
  <c r="BD24" i="32"/>
  <c r="BB24" i="32"/>
  <c r="BA24" i="32"/>
  <c r="BD25" i="32"/>
  <c r="BB25" i="32"/>
  <c r="BA25" i="32"/>
  <c r="BD26" i="32"/>
  <c r="BB26" i="32"/>
  <c r="BA26" i="32"/>
  <c r="BD27" i="32"/>
  <c r="BB27" i="32"/>
  <c r="BA27" i="32"/>
  <c r="BD28" i="32"/>
  <c r="BB28" i="32"/>
  <c r="BA28" i="32"/>
  <c r="BD29" i="32"/>
  <c r="BB29" i="32"/>
  <c r="BA29" i="32"/>
  <c r="BE15" i="32"/>
  <c r="BN12" i="32"/>
  <c r="BL12" i="32"/>
  <c r="BK12" i="32"/>
  <c r="BN13" i="32"/>
  <c r="BL13" i="32"/>
  <c r="BK13" i="32"/>
  <c r="BN14" i="32"/>
  <c r="BL14" i="32"/>
  <c r="BK14" i="32"/>
  <c r="BN15" i="32"/>
  <c r="BL15" i="32"/>
  <c r="BK15" i="32"/>
  <c r="BN16" i="32"/>
  <c r="BL16" i="32"/>
  <c r="BK16" i="32"/>
  <c r="BN17" i="32"/>
  <c r="BL17" i="32"/>
  <c r="BK17" i="32"/>
  <c r="BN21" i="32"/>
  <c r="BL21" i="32"/>
  <c r="BK21" i="32"/>
  <c r="BN22" i="32"/>
  <c r="BL22" i="32"/>
  <c r="BK22" i="32"/>
  <c r="BN23" i="32"/>
  <c r="BL23" i="32"/>
  <c r="BK23" i="32"/>
  <c r="BN24" i="32"/>
  <c r="BL24" i="32"/>
  <c r="BK24" i="32"/>
  <c r="BN25" i="32"/>
  <c r="BL25" i="32"/>
  <c r="BK25" i="32"/>
  <c r="BN26" i="32"/>
  <c r="BL26" i="32"/>
  <c r="BK26" i="32"/>
  <c r="BN27" i="32"/>
  <c r="BL27" i="32"/>
  <c r="BK27" i="32"/>
  <c r="BN28" i="32"/>
  <c r="BL28" i="32"/>
  <c r="BK28" i="32"/>
  <c r="BN29" i="32"/>
  <c r="BL29" i="32"/>
  <c r="BK29" i="32"/>
  <c r="BO15" i="32"/>
  <c r="Q16" i="32"/>
  <c r="V16" i="32"/>
  <c r="AK16" i="32"/>
  <c r="AZ16" i="32"/>
  <c r="BE16" i="32"/>
  <c r="BO16" i="32"/>
  <c r="Q17" i="32"/>
  <c r="V17" i="32"/>
  <c r="AK17" i="32"/>
  <c r="AZ17" i="32"/>
  <c r="BE17" i="32"/>
  <c r="BO17" i="32"/>
  <c r="Q18" i="32"/>
  <c r="V18" i="32"/>
  <c r="AK18" i="32"/>
  <c r="AZ18" i="32"/>
  <c r="BE18" i="32"/>
  <c r="BO18" i="32"/>
  <c r="Q19" i="32"/>
  <c r="V19" i="32"/>
  <c r="AK19" i="32"/>
  <c r="AZ19" i="32"/>
  <c r="BE19" i="32"/>
  <c r="BO19" i="32"/>
  <c r="Q20" i="32"/>
  <c r="V20" i="32"/>
  <c r="AK20" i="32"/>
  <c r="AZ20" i="32"/>
  <c r="BE20" i="32"/>
  <c r="BO20" i="32"/>
  <c r="Q21" i="32"/>
  <c r="V21" i="32"/>
  <c r="AK21" i="32"/>
  <c r="AZ21" i="32"/>
  <c r="BE21" i="32"/>
  <c r="BO21" i="32"/>
  <c r="Q22" i="32"/>
  <c r="V22" i="32"/>
  <c r="AK22" i="32"/>
  <c r="AZ22" i="32"/>
  <c r="BE22" i="32"/>
  <c r="BO22" i="32"/>
  <c r="Q23" i="32"/>
  <c r="V23" i="32"/>
  <c r="AK23" i="32"/>
  <c r="AZ23" i="32"/>
  <c r="BE23" i="32"/>
  <c r="BO23" i="32"/>
  <c r="AK12" i="32"/>
  <c r="F25" i="32"/>
  <c r="J24" i="32"/>
  <c r="Q24" i="32"/>
  <c r="V24" i="32"/>
  <c r="AK24" i="32"/>
  <c r="AZ24" i="32"/>
  <c r="BE24" i="32"/>
  <c r="BO24" i="32"/>
  <c r="L14" i="32"/>
  <c r="E25" i="32"/>
  <c r="AI13" i="32"/>
  <c r="AI16" i="32"/>
  <c r="AI27" i="32"/>
  <c r="E14" i="27"/>
  <c r="AI14" i="32"/>
  <c r="AI17" i="32"/>
  <c r="G25" i="32"/>
  <c r="H25" i="32"/>
  <c r="AK13" i="32"/>
  <c r="F26" i="32"/>
  <c r="J25" i="32"/>
  <c r="K25" i="32"/>
  <c r="Q25" i="32"/>
  <c r="V25" i="32"/>
  <c r="AK25" i="32"/>
  <c r="AZ25" i="32"/>
  <c r="BE25" i="32"/>
  <c r="BO25" i="32"/>
  <c r="E26" i="32"/>
  <c r="AI19" i="32"/>
  <c r="G26" i="32"/>
  <c r="H26" i="32"/>
  <c r="AK14" i="32"/>
  <c r="F27" i="32"/>
  <c r="J26" i="32"/>
  <c r="K26" i="32"/>
  <c r="Q26" i="32"/>
  <c r="V26" i="32"/>
  <c r="AK26" i="32"/>
  <c r="AZ26" i="32"/>
  <c r="BE26" i="32"/>
  <c r="BO26" i="32"/>
  <c r="L29" i="32"/>
  <c r="E27" i="32"/>
  <c r="AI25" i="32"/>
  <c r="AI28" i="32"/>
  <c r="E29" i="27"/>
  <c r="AI29" i="32"/>
  <c r="AI26" i="32"/>
  <c r="G27" i="32"/>
  <c r="H27" i="32"/>
  <c r="J27" i="32"/>
  <c r="K27" i="32"/>
  <c r="Q27" i="32"/>
  <c r="V27" i="32"/>
  <c r="AK27" i="32"/>
  <c r="AZ27" i="32"/>
  <c r="BE27" i="32"/>
  <c r="BO27" i="32"/>
  <c r="J28" i="32"/>
  <c r="Q28" i="32"/>
  <c r="V28" i="32"/>
  <c r="AK28" i="32"/>
  <c r="AZ28" i="32"/>
  <c r="BE28" i="32"/>
  <c r="BO28" i="32"/>
  <c r="Q29" i="32"/>
  <c r="V29" i="32"/>
  <c r="AK29" i="32"/>
  <c r="AZ29" i="32"/>
  <c r="BE29" i="32"/>
  <c r="BO29" i="32"/>
  <c r="AZ12" i="32"/>
  <c r="F40" i="32"/>
  <c r="J39" i="32"/>
  <c r="E40" i="32"/>
  <c r="AX27" i="32"/>
  <c r="AX13" i="32"/>
  <c r="AX14" i="32"/>
  <c r="AX17" i="32"/>
  <c r="AX16" i="32"/>
  <c r="G40" i="32"/>
  <c r="H40" i="32"/>
  <c r="AZ13" i="32"/>
  <c r="F41" i="32"/>
  <c r="J40" i="32"/>
  <c r="K40" i="32"/>
  <c r="L22" i="32"/>
  <c r="L23" i="32"/>
  <c r="E41" i="32"/>
  <c r="E22" i="27"/>
  <c r="AX22" i="32"/>
  <c r="E23" i="27"/>
  <c r="AX23" i="32"/>
  <c r="G41" i="32"/>
  <c r="H41" i="32"/>
  <c r="AZ14" i="32"/>
  <c r="F42" i="32"/>
  <c r="J41" i="32"/>
  <c r="K41" i="32"/>
  <c r="E42" i="32"/>
  <c r="AX25" i="32"/>
  <c r="AX26" i="32"/>
  <c r="AX29" i="32"/>
  <c r="AX28" i="32"/>
  <c r="G42" i="32"/>
  <c r="H42" i="32"/>
  <c r="J42" i="32"/>
  <c r="K42" i="32"/>
  <c r="J43" i="32"/>
  <c r="BE12" i="32"/>
  <c r="F45" i="32"/>
  <c r="J44" i="32"/>
  <c r="E45" i="32"/>
  <c r="BC13" i="32"/>
  <c r="BC16" i="32"/>
  <c r="BC14" i="32"/>
  <c r="BC27" i="32"/>
  <c r="G45" i="32"/>
  <c r="H45" i="32"/>
  <c r="BE13" i="32"/>
  <c r="F46" i="32"/>
  <c r="J45" i="32"/>
  <c r="K45" i="32"/>
  <c r="E46" i="32"/>
  <c r="BC22" i="32"/>
  <c r="BC23" i="32"/>
  <c r="G46" i="32"/>
  <c r="H46" i="32"/>
  <c r="BE14" i="32"/>
  <c r="F47" i="32"/>
  <c r="J46" i="32"/>
  <c r="K46" i="32"/>
  <c r="E47" i="32"/>
  <c r="BC25" i="32"/>
  <c r="BC28" i="32"/>
  <c r="BC26" i="32"/>
  <c r="G47" i="32"/>
  <c r="H47" i="32"/>
  <c r="J47" i="32"/>
  <c r="K47" i="32"/>
  <c r="J48" i="32"/>
  <c r="BO12" i="32"/>
  <c r="F55" i="32"/>
  <c r="J54" i="32"/>
  <c r="E55" i="32"/>
  <c r="BM16" i="32"/>
  <c r="BM27" i="32"/>
  <c r="BM13" i="32"/>
  <c r="BM14" i="32"/>
  <c r="G55" i="32"/>
  <c r="H55" i="32"/>
  <c r="BO13" i="32"/>
  <c r="F56" i="32"/>
  <c r="J55" i="32"/>
  <c r="K55" i="32"/>
  <c r="E56" i="32"/>
  <c r="BM22" i="32"/>
  <c r="BM23" i="32"/>
  <c r="G56" i="32"/>
  <c r="H56" i="32"/>
  <c r="BO14" i="32"/>
  <c r="F57" i="32"/>
  <c r="J56" i="32"/>
  <c r="K56" i="32"/>
  <c r="E57" i="32"/>
  <c r="BM28" i="32"/>
  <c r="BM25" i="32"/>
  <c r="BM26" i="32"/>
  <c r="G57" i="32"/>
  <c r="H57" i="32"/>
  <c r="J57" i="32"/>
  <c r="K57" i="32"/>
  <c r="J58" i="32"/>
  <c r="C24" i="27" a="1"/>
  <c r="C24" i="27"/>
  <c r="L24" i="32"/>
  <c r="C21" i="27" a="1"/>
  <c r="C21" i="27"/>
  <c r="L21" i="32"/>
  <c r="C18" i="27" a="1"/>
  <c r="C18" i="27"/>
  <c r="L18" i="32"/>
  <c r="C15" i="27" a="1"/>
  <c r="C15" i="27"/>
  <c r="L15" i="32"/>
  <c r="BI12" i="32"/>
  <c r="BG12" i="32"/>
  <c r="BF12" i="32"/>
  <c r="BI13" i="32"/>
  <c r="BG13" i="32"/>
  <c r="BF13" i="32"/>
  <c r="BI14" i="32"/>
  <c r="BG14" i="32"/>
  <c r="BF14" i="32"/>
  <c r="BI15" i="32"/>
  <c r="BG15" i="32"/>
  <c r="BF15" i="32"/>
  <c r="BI16" i="32"/>
  <c r="BG16" i="32"/>
  <c r="BF16" i="32"/>
  <c r="BI17" i="32"/>
  <c r="BG17" i="32"/>
  <c r="BF17" i="32"/>
  <c r="BI21" i="32"/>
  <c r="BG21" i="32"/>
  <c r="BF21" i="32"/>
  <c r="BI22" i="32"/>
  <c r="BG22" i="32"/>
  <c r="BF22" i="32"/>
  <c r="BI23" i="32"/>
  <c r="BG23" i="32"/>
  <c r="BF23" i="32"/>
  <c r="BI24" i="32"/>
  <c r="BG24" i="32"/>
  <c r="BF24" i="32"/>
  <c r="BI25" i="32"/>
  <c r="BG25" i="32"/>
  <c r="BF25" i="32"/>
  <c r="BI26" i="32"/>
  <c r="BG26" i="32"/>
  <c r="BF26" i="32"/>
  <c r="BI27" i="32"/>
  <c r="BG27" i="32"/>
  <c r="BF27" i="32"/>
  <c r="BI28" i="32"/>
  <c r="BG28" i="32"/>
  <c r="BF28" i="32"/>
  <c r="BI29" i="32"/>
  <c r="BG29" i="32"/>
  <c r="BF29" i="32"/>
  <c r="BJ14" i="32"/>
  <c r="F52" i="32"/>
  <c r="J53" i="32"/>
  <c r="BJ13" i="32"/>
  <c r="F51" i="32"/>
  <c r="J52" i="32"/>
  <c r="K52" i="32"/>
  <c r="H52" i="32"/>
  <c r="BH26" i="32"/>
  <c r="BH29" i="32"/>
  <c r="G52" i="32"/>
  <c r="E52" i="32"/>
  <c r="BJ12" i="32"/>
  <c r="F50" i="32"/>
  <c r="J51" i="32"/>
  <c r="K51" i="32"/>
  <c r="H51" i="32"/>
  <c r="BH23" i="32"/>
  <c r="G51" i="32"/>
  <c r="E51" i="32"/>
  <c r="J50" i="32"/>
  <c r="K50" i="32"/>
  <c r="H50" i="32"/>
  <c r="BH14" i="32"/>
  <c r="BH17" i="32"/>
  <c r="G50" i="32"/>
  <c r="E50" i="32"/>
  <c r="J49" i="32"/>
  <c r="AT12" i="32"/>
  <c r="AR12" i="32"/>
  <c r="AQ12" i="32"/>
  <c r="AT13" i="32"/>
  <c r="AR13" i="32"/>
  <c r="AQ13" i="32"/>
  <c r="AT14" i="32"/>
  <c r="AR14" i="32"/>
  <c r="AQ14" i="32"/>
  <c r="AT15" i="32"/>
  <c r="AR15" i="32"/>
  <c r="AQ15" i="32"/>
  <c r="AT16" i="32"/>
  <c r="AR16" i="32"/>
  <c r="AQ16" i="32"/>
  <c r="AT17" i="32"/>
  <c r="AR17" i="32"/>
  <c r="AQ17" i="32"/>
  <c r="AT21" i="32"/>
  <c r="AR21" i="32"/>
  <c r="AQ21" i="32"/>
  <c r="AT22" i="32"/>
  <c r="AR22" i="32"/>
  <c r="AQ22" i="32"/>
  <c r="AT23" i="32"/>
  <c r="AR23" i="32"/>
  <c r="AQ23" i="32"/>
  <c r="AT24" i="32"/>
  <c r="AR24" i="32"/>
  <c r="AQ24" i="32"/>
  <c r="AT25" i="32"/>
  <c r="AR25" i="32"/>
  <c r="AQ25" i="32"/>
  <c r="AT26" i="32"/>
  <c r="AR26" i="32"/>
  <c r="AQ26" i="32"/>
  <c r="AT27" i="32"/>
  <c r="AR27" i="32"/>
  <c r="AQ27" i="32"/>
  <c r="AT28" i="32"/>
  <c r="AR28" i="32"/>
  <c r="AQ28" i="32"/>
  <c r="AT29" i="32"/>
  <c r="AR29" i="32"/>
  <c r="AQ29" i="32"/>
  <c r="AU14" i="32"/>
  <c r="F37" i="32"/>
  <c r="J38" i="32"/>
  <c r="AU13" i="32"/>
  <c r="F36" i="32"/>
  <c r="J37" i="32"/>
  <c r="K37" i="32"/>
  <c r="H37" i="32"/>
  <c r="AS29" i="32"/>
  <c r="AS25" i="32"/>
  <c r="AS28" i="32"/>
  <c r="AS26" i="32"/>
  <c r="G37" i="32"/>
  <c r="E37" i="32"/>
  <c r="AU12" i="32"/>
  <c r="F35" i="32"/>
  <c r="J36" i="32"/>
  <c r="K36" i="32"/>
  <c r="H36" i="32"/>
  <c r="AS23" i="32"/>
  <c r="AS22" i="32"/>
  <c r="G36" i="32"/>
  <c r="E36" i="32"/>
  <c r="J35" i="32"/>
  <c r="K35" i="32"/>
  <c r="H35" i="32"/>
  <c r="AS17" i="32"/>
  <c r="AS13" i="32"/>
  <c r="AS16" i="32"/>
  <c r="AS14" i="32"/>
  <c r="AS27" i="32"/>
  <c r="G35" i="32"/>
  <c r="E35" i="32"/>
  <c r="J34" i="32"/>
  <c r="BJ29" i="32"/>
  <c r="AU29" i="32"/>
  <c r="AE12" i="32"/>
  <c r="AC12" i="32"/>
  <c r="AB12" i="32"/>
  <c r="AE13" i="32"/>
  <c r="AC13" i="32"/>
  <c r="AB13" i="32"/>
  <c r="AE14" i="32"/>
  <c r="AC14" i="32"/>
  <c r="AB14" i="32"/>
  <c r="AE15" i="32"/>
  <c r="AC15" i="32"/>
  <c r="AB15" i="32"/>
  <c r="AE16" i="32"/>
  <c r="AC16" i="32"/>
  <c r="AB16" i="32"/>
  <c r="AE17" i="32"/>
  <c r="AC17" i="32"/>
  <c r="AB17" i="32"/>
  <c r="AC20" i="32"/>
  <c r="AB20" i="32"/>
  <c r="AE21" i="32"/>
  <c r="AC21" i="32"/>
  <c r="AB21" i="32"/>
  <c r="AE22" i="32"/>
  <c r="AC22" i="32"/>
  <c r="AB22" i="32"/>
  <c r="AE23" i="32"/>
  <c r="AC23" i="32"/>
  <c r="AB23" i="32"/>
  <c r="AE24" i="32"/>
  <c r="AC24" i="32"/>
  <c r="AB24" i="32"/>
  <c r="AE25" i="32"/>
  <c r="AC25" i="32"/>
  <c r="AB25" i="32"/>
  <c r="AE26" i="32"/>
  <c r="AC26" i="32"/>
  <c r="AB26" i="32"/>
  <c r="AE27" i="32"/>
  <c r="AC27" i="32"/>
  <c r="AB27" i="32"/>
  <c r="AE28" i="32"/>
  <c r="AC28" i="32"/>
  <c r="AB28" i="32"/>
  <c r="AE29" i="32"/>
  <c r="AC29" i="32"/>
  <c r="AB29" i="32"/>
  <c r="AF29" i="32"/>
  <c r="Z12" i="32"/>
  <c r="X12" i="32"/>
  <c r="W12" i="32"/>
  <c r="Z13" i="32"/>
  <c r="X13" i="32"/>
  <c r="W13" i="32"/>
  <c r="Z14" i="32"/>
  <c r="X14" i="32"/>
  <c r="W14" i="32"/>
  <c r="Z15" i="32"/>
  <c r="X15" i="32"/>
  <c r="W15" i="32"/>
  <c r="Z16" i="32"/>
  <c r="X16" i="32"/>
  <c r="W16" i="32"/>
  <c r="Z17" i="32"/>
  <c r="X17" i="32"/>
  <c r="W17" i="32"/>
  <c r="X20" i="32"/>
  <c r="W20" i="32"/>
  <c r="Z21" i="32"/>
  <c r="X21" i="32"/>
  <c r="W21" i="32"/>
  <c r="Z22" i="32"/>
  <c r="X22" i="32"/>
  <c r="W22" i="32"/>
  <c r="Z23" i="32"/>
  <c r="X23" i="32"/>
  <c r="W23" i="32"/>
  <c r="Z24" i="32"/>
  <c r="X24" i="32"/>
  <c r="W24" i="32"/>
  <c r="Z25" i="32"/>
  <c r="X25" i="32"/>
  <c r="W25" i="32"/>
  <c r="Z26" i="32"/>
  <c r="X26" i="32"/>
  <c r="W26" i="32"/>
  <c r="Z27" i="32"/>
  <c r="X27" i="32"/>
  <c r="W27" i="32"/>
  <c r="Z28" i="32"/>
  <c r="X28" i="32"/>
  <c r="W28" i="32"/>
  <c r="Z29" i="32"/>
  <c r="X29" i="32"/>
  <c r="W29" i="32"/>
  <c r="AA29" i="32"/>
  <c r="BJ28" i="32"/>
  <c r="AU28" i="32"/>
  <c r="AF28" i="32"/>
  <c r="AA28" i="32"/>
  <c r="BJ27" i="32"/>
  <c r="AU27" i="32"/>
  <c r="AF27" i="32"/>
  <c r="AA27" i="32"/>
  <c r="BJ26" i="32"/>
  <c r="AU26" i="32"/>
  <c r="AF26" i="32"/>
  <c r="AA26" i="32"/>
  <c r="BJ25" i="32"/>
  <c r="AU25" i="32"/>
  <c r="AF25" i="32"/>
  <c r="AA25" i="32"/>
  <c r="BJ24" i="32"/>
  <c r="AU24" i="32"/>
  <c r="AF24" i="32"/>
  <c r="AA24" i="32"/>
  <c r="BJ23" i="32"/>
  <c r="AU23" i="32"/>
  <c r="AF23" i="32"/>
  <c r="AA23" i="32"/>
  <c r="AF14" i="32"/>
  <c r="F22" i="32"/>
  <c r="J23" i="32"/>
  <c r="BJ22" i="32"/>
  <c r="AU22" i="32"/>
  <c r="AF22" i="32"/>
  <c r="AA22" i="32"/>
  <c r="AF13" i="32"/>
  <c r="F21" i="32"/>
  <c r="J22" i="32"/>
  <c r="K22" i="32"/>
  <c r="H22" i="32"/>
  <c r="AD20" i="32"/>
  <c r="AD29" i="32"/>
  <c r="AD26" i="32"/>
  <c r="G22" i="32"/>
  <c r="E22" i="32"/>
  <c r="BJ21" i="32"/>
  <c r="AU21" i="32"/>
  <c r="AF21" i="32"/>
  <c r="AA21" i="32"/>
  <c r="AF12" i="32"/>
  <c r="F20" i="32"/>
  <c r="E21" i="32"/>
  <c r="J21" i="32"/>
  <c r="K21" i="32"/>
  <c r="H21" i="32"/>
  <c r="AD17" i="32"/>
  <c r="G21" i="32"/>
  <c r="BJ20" i="32"/>
  <c r="AU20" i="32"/>
  <c r="AF20" i="32"/>
  <c r="AA20" i="32"/>
  <c r="E20" i="32"/>
  <c r="J20" i="32"/>
  <c r="K20" i="32"/>
  <c r="H20" i="32"/>
  <c r="AD14" i="32"/>
  <c r="G20" i="32"/>
  <c r="BJ19" i="32"/>
  <c r="AU19" i="32"/>
  <c r="AF19" i="32"/>
  <c r="AA19" i="32"/>
  <c r="J19" i="32"/>
  <c r="BJ18" i="32"/>
  <c r="AU18" i="32"/>
  <c r="AF18" i="32"/>
  <c r="AA18" i="32"/>
  <c r="AA14" i="32"/>
  <c r="F17" i="32"/>
  <c r="J18" i="32"/>
  <c r="BJ17" i="32"/>
  <c r="AU17" i="32"/>
  <c r="AF17" i="32"/>
  <c r="AA17" i="32"/>
  <c r="AA13" i="32"/>
  <c r="F16" i="32"/>
  <c r="J17" i="32"/>
  <c r="K17" i="32"/>
  <c r="H17" i="32"/>
  <c r="Y20" i="32"/>
  <c r="Y26" i="32"/>
  <c r="Y29" i="32"/>
  <c r="Y28" i="32"/>
  <c r="Y25" i="32"/>
  <c r="G17" i="32"/>
  <c r="E17" i="32"/>
  <c r="BJ16" i="32"/>
  <c r="AU16" i="32"/>
  <c r="AF16" i="32"/>
  <c r="AA16" i="32"/>
  <c r="AA12" i="32"/>
  <c r="F15" i="32"/>
  <c r="E16" i="32"/>
  <c r="J16" i="32"/>
  <c r="K16" i="32"/>
  <c r="H16" i="32"/>
  <c r="Y17" i="32"/>
  <c r="G16" i="32"/>
  <c r="BJ15" i="32"/>
  <c r="AU15" i="32"/>
  <c r="AF15" i="32"/>
  <c r="AA15" i="32"/>
  <c r="E15" i="32"/>
  <c r="J15" i="32"/>
  <c r="K15" i="32"/>
  <c r="H15" i="32"/>
  <c r="Y14" i="32"/>
  <c r="Y13" i="32"/>
  <c r="Y16" i="32"/>
  <c r="G15" i="32"/>
  <c r="J14" i="32"/>
  <c r="D15" i="27" a="1"/>
  <c r="D15" i="27"/>
  <c r="D24" i="27" a="1"/>
  <c r="D24" i="27"/>
  <c r="D21" i="27" a="1"/>
  <c r="D21" i="27"/>
  <c r="D18" i="27" a="1"/>
  <c r="D18" i="27"/>
  <c r="K31" i="27"/>
  <c r="S18" i="22"/>
  <c r="E18" i="27"/>
  <c r="E21" i="27"/>
  <c r="E24" i="27"/>
  <c r="E15" i="27"/>
  <c r="AA26" i="27"/>
  <c r="AT20" i="27"/>
  <c r="AT22" i="27"/>
  <c r="AS23" i="27" a="1"/>
  <c r="AS23" i="27"/>
  <c r="AA19" i="27"/>
  <c r="AT13" i="27"/>
  <c r="AT15" i="27"/>
  <c r="AA12" i="27"/>
  <c r="AI27" i="6"/>
  <c r="AG27" i="6"/>
  <c r="AB27" i="6"/>
  <c r="AA27" i="6"/>
  <c r="Z27" i="6"/>
  <c r="Y27" i="6"/>
  <c r="AI26" i="6"/>
  <c r="AG26" i="6"/>
  <c r="AB26" i="6"/>
  <c r="AA26" i="6"/>
  <c r="Z26" i="6"/>
  <c r="Y26" i="6"/>
  <c r="AI25" i="6"/>
  <c r="AG25" i="6"/>
  <c r="AB25" i="6"/>
  <c r="AA25" i="6"/>
  <c r="Z25" i="6"/>
  <c r="Y25" i="6"/>
  <c r="AI24" i="6"/>
  <c r="AG24" i="6"/>
  <c r="AB24" i="6"/>
  <c r="AA24" i="6"/>
  <c r="Z24" i="6"/>
  <c r="Y24" i="6"/>
  <c r="AI23" i="6"/>
  <c r="AG23" i="6"/>
  <c r="AB23" i="6"/>
  <c r="AA23" i="6"/>
  <c r="Z23" i="6"/>
  <c r="Y23" i="6"/>
  <c r="AI22" i="6"/>
  <c r="AG22" i="6"/>
  <c r="AB22" i="6"/>
  <c r="AA22" i="6"/>
  <c r="Z22" i="6"/>
  <c r="Y22" i="6"/>
  <c r="W23" i="6"/>
  <c r="W24" i="6"/>
  <c r="W25" i="6"/>
  <c r="W26" i="6"/>
  <c r="W27" i="6"/>
  <c r="AR27" i="6"/>
  <c r="AR26" i="6"/>
  <c r="AR25" i="6"/>
  <c r="AR24" i="6"/>
  <c r="AR23" i="6"/>
  <c r="AR22" i="6"/>
  <c r="C13" i="21" a="1"/>
  <c r="C13" i="21"/>
  <c r="E13" i="21"/>
  <c r="C16" i="21" a="1"/>
  <c r="C16" i="21"/>
  <c r="E16" i="21"/>
  <c r="C15" i="21" a="1"/>
  <c r="C15" i="21"/>
  <c r="E15" i="21"/>
  <c r="C14" i="21" a="1"/>
  <c r="C14" i="21"/>
  <c r="E14" i="21"/>
  <c r="C17" i="21" a="1"/>
  <c r="C17" i="21"/>
  <c r="E17" i="21"/>
  <c r="C13" i="24" a="1"/>
  <c r="C13" i="24"/>
  <c r="E13" i="24"/>
  <c r="C14" i="24" a="1"/>
  <c r="C14" i="24"/>
  <c r="E14" i="24"/>
  <c r="C15" i="24" a="1"/>
  <c r="C15" i="24"/>
  <c r="E15" i="24"/>
  <c r="C17" i="24" a="1"/>
  <c r="C17" i="24"/>
  <c r="C18" i="24"/>
  <c r="E18" i="24"/>
  <c r="E17" i="24"/>
  <c r="C20" i="24"/>
  <c r="C21" i="24"/>
  <c r="D17" i="24" a="1"/>
  <c r="D17" i="24"/>
  <c r="D18" i="24" a="1"/>
  <c r="D18" i="24"/>
  <c r="D20" i="24"/>
  <c r="D21" i="24"/>
  <c r="I23" i="24"/>
  <c r="S16" i="22"/>
  <c r="D15" i="24" a="1"/>
  <c r="D15" i="24"/>
  <c r="D14" i="24" a="1"/>
  <c r="D14" i="24"/>
  <c r="D13" i="24" a="1"/>
  <c r="D13" i="24"/>
  <c r="D17" i="21" a="1"/>
  <c r="D17" i="21"/>
  <c r="I19" i="21"/>
  <c r="S15" i="22"/>
  <c r="D14" i="21" a="1"/>
  <c r="D14" i="21"/>
  <c r="D15" i="21" a="1"/>
  <c r="D15" i="21"/>
  <c r="D16" i="21" a="1"/>
  <c r="D16" i="21"/>
  <c r="D13" i="21" a="1"/>
  <c r="D13" i="21"/>
  <c r="G23" i="21"/>
  <c r="G24" i="21"/>
  <c r="G25" i="21"/>
  <c r="G26" i="21"/>
  <c r="G27" i="21"/>
  <c r="G28" i="21"/>
  <c r="G29" i="21"/>
  <c r="G30" i="21"/>
  <c r="G31" i="21"/>
  <c r="G32" i="21"/>
  <c r="G33" i="21"/>
  <c r="G34" i="21"/>
  <c r="G27" i="24"/>
  <c r="G28" i="24"/>
  <c r="G29" i="24"/>
  <c r="G30" i="24"/>
  <c r="G31" i="24"/>
  <c r="G32" i="24"/>
  <c r="G33" i="24"/>
  <c r="G34" i="24"/>
  <c r="G35" i="24"/>
  <c r="G36" i="24"/>
  <c r="G37" i="24"/>
  <c r="G38" i="24"/>
  <c r="O12" i="32"/>
  <c r="T12" i="32"/>
  <c r="Y12" i="32"/>
  <c r="AD12" i="32"/>
  <c r="AI12" i="32"/>
  <c r="AS12" i="32"/>
  <c r="AX12" i="32"/>
  <c r="BC12" i="32"/>
  <c r="BH12" i="32"/>
  <c r="BM12" i="32"/>
  <c r="T13" i="32"/>
  <c r="AD13" i="32"/>
  <c r="BH13" i="32"/>
  <c r="O14" i="32"/>
  <c r="T14" i="32"/>
  <c r="O15" i="32"/>
  <c r="T15" i="32"/>
  <c r="Y15" i="32"/>
  <c r="AD15" i="32"/>
  <c r="AI15" i="32"/>
  <c r="AS15" i="32"/>
  <c r="AX15" i="32"/>
  <c r="BC15" i="32"/>
  <c r="BH15" i="32"/>
  <c r="BM15" i="32"/>
  <c r="AD16" i="32"/>
  <c r="BH16" i="32"/>
  <c r="T17" i="32"/>
  <c r="BC17" i="32"/>
  <c r="BM17" i="32"/>
  <c r="O21" i="32"/>
  <c r="T21" i="32"/>
  <c r="Y21" i="32"/>
  <c r="AD21" i="32"/>
  <c r="AI21" i="32"/>
  <c r="AS21" i="32"/>
  <c r="AX21" i="32"/>
  <c r="BC21" i="32"/>
  <c r="BH21" i="32"/>
  <c r="BM21" i="32"/>
  <c r="O22" i="32"/>
  <c r="T22" i="32"/>
  <c r="Y22" i="32"/>
  <c r="AD22" i="32"/>
  <c r="AI22" i="32"/>
  <c r="BH22" i="32"/>
  <c r="O23" i="32"/>
  <c r="T23" i="32"/>
  <c r="Y23" i="32"/>
  <c r="AD23" i="32"/>
  <c r="AI23" i="32"/>
  <c r="O24" i="32"/>
  <c r="T24" i="32"/>
  <c r="Y24" i="32"/>
  <c r="AD24" i="32"/>
  <c r="AI24" i="32"/>
  <c r="AS24" i="32"/>
  <c r="AX24" i="32"/>
  <c r="BC24" i="32"/>
  <c r="BH24" i="32"/>
  <c r="BM24" i="32"/>
  <c r="AD25" i="32"/>
  <c r="BH25" i="32"/>
  <c r="T26" i="32"/>
  <c r="O27" i="32"/>
  <c r="Y27" i="32"/>
  <c r="AD27" i="32"/>
  <c r="BH27" i="32"/>
  <c r="T28" i="32"/>
  <c r="AD28" i="32"/>
  <c r="BH28" i="32"/>
  <c r="O29" i="32"/>
  <c r="T29" i="32"/>
  <c r="BC29" i="32"/>
  <c r="BM29" i="32"/>
  <c r="AL20" i="6"/>
  <c r="AM20" i="6"/>
  <c r="AN20" i="6"/>
  <c r="AO20" i="6"/>
  <c r="AP20" i="6"/>
  <c r="AQ20" i="6"/>
  <c r="Z19" i="17"/>
  <c r="Z20" i="17"/>
  <c r="Z21" i="17"/>
  <c r="Z22" i="17"/>
  <c r="E57" i="17" a="1"/>
  <c r="E57" i="17"/>
  <c r="F57" i="17" a="1"/>
  <c r="F57" i="17"/>
  <c r="G57" i="17" a="1"/>
  <c r="H57" i="17" a="1"/>
  <c r="I57" i="17" a="1"/>
  <c r="J57" i="17" a="1"/>
  <c r="K57" i="17" a="1"/>
  <c r="L57" i="17" a="1"/>
  <c r="M57" i="17" a="1"/>
  <c r="N57" i="17" a="1"/>
  <c r="O57" i="17" a="1"/>
  <c r="P57" i="17" a="1"/>
  <c r="Q57" i="17" a="1"/>
  <c r="R57" i="17" a="1"/>
  <c r="S57" i="17" a="1"/>
  <c r="T57" i="17" a="1"/>
  <c r="U57" i="17" a="1"/>
  <c r="V57" i="17" a="1"/>
  <c r="W57" i="17" a="1"/>
  <c r="X57" i="17" a="1"/>
  <c r="Y57" i="17" a="1"/>
  <c r="Z57" i="17" a="1"/>
  <c r="AA57" i="17" a="1"/>
  <c r="AB57" i="17" a="1"/>
  <c r="AC57" i="17" a="1"/>
  <c r="AD57" i="17" a="1"/>
  <c r="AE57" i="17" a="1"/>
  <c r="AF57" i="17" a="1"/>
  <c r="AG57" i="17" a="1"/>
  <c r="AH57" i="17" a="1"/>
  <c r="AI57" i="17" a="1"/>
  <c r="AJ57" i="17" a="1"/>
  <c r="AK57" i="17" a="1"/>
  <c r="AL57" i="17" a="1"/>
  <c r="AM57" i="17" a="1"/>
  <c r="AN57" i="17" a="1"/>
  <c r="AO57" i="17" a="1"/>
  <c r="AP57" i="17" a="1"/>
  <c r="AQ57" i="17" a="1"/>
  <c r="AR57" i="17" a="1"/>
  <c r="AS57" i="17" a="1"/>
  <c r="AT57" i="17" a="1"/>
  <c r="AU57" i="17" a="1"/>
  <c r="AV57" i="17" a="1"/>
  <c r="AW57" i="17" a="1"/>
  <c r="AX57" i="17" a="1"/>
  <c r="AY57" i="17" a="1"/>
  <c r="AZ57" i="17" a="1"/>
  <c r="BA57" i="17" a="1"/>
  <c r="BB57" i="17" a="1"/>
  <c r="BC57" i="17" a="1"/>
  <c r="BD57" i="17" a="1"/>
  <c r="BE57" i="17" a="1"/>
  <c r="BF57" i="17" a="1"/>
  <c r="BG57" i="17" a="1"/>
  <c r="BH57" i="17" a="1"/>
  <c r="BI57" i="17" a="1"/>
  <c r="BJ57" i="17" a="1"/>
  <c r="BK57" i="17" a="1"/>
  <c r="BL57" i="17" a="1"/>
  <c r="BM57" i="17" a="1"/>
  <c r="BN57" i="17" a="1"/>
  <c r="BO57" i="17" a="1"/>
  <c r="BP57" i="17" a="1"/>
  <c r="G57" i="17"/>
  <c r="H57" i="17"/>
  <c r="I57" i="17"/>
  <c r="J57" i="17"/>
  <c r="K57" i="17"/>
  <c r="L57" i="17"/>
  <c r="M57" i="17"/>
  <c r="N57" i="17"/>
  <c r="O57" i="17"/>
  <c r="P57" i="17"/>
  <c r="Q57" i="17"/>
  <c r="R57" i="17"/>
  <c r="S57" i="17"/>
  <c r="T57" i="17"/>
  <c r="U57" i="17"/>
  <c r="V57" i="17"/>
  <c r="W57" i="17"/>
  <c r="X57" i="17"/>
  <c r="Y57" i="17"/>
  <c r="Z57" i="17"/>
  <c r="AA57" i="17"/>
  <c r="AB57" i="17"/>
  <c r="AC57" i="17"/>
  <c r="AD57" i="17"/>
  <c r="AE57" i="17"/>
  <c r="AF57" i="17"/>
  <c r="AG57" i="17"/>
  <c r="AH57" i="17"/>
  <c r="AI57" i="17"/>
  <c r="AJ57" i="17"/>
  <c r="AK57" i="17"/>
  <c r="AL57" i="17"/>
  <c r="AM57" i="17"/>
  <c r="AN57" i="17"/>
  <c r="AO57" i="17"/>
  <c r="AP57" i="17"/>
  <c r="AQ57" i="17"/>
  <c r="AR57" i="17"/>
  <c r="AS57" i="17"/>
  <c r="AT57" i="17"/>
  <c r="AU57" i="17"/>
  <c r="AV57" i="17"/>
  <c r="AW57" i="17"/>
  <c r="AX57" i="17"/>
  <c r="AY57" i="17"/>
  <c r="AZ57" i="17"/>
  <c r="BA57" i="17"/>
  <c r="BB57" i="17"/>
  <c r="BC57" i="17"/>
  <c r="BD57" i="17"/>
  <c r="BE57" i="17"/>
  <c r="BF57" i="17"/>
  <c r="BG57" i="17"/>
  <c r="BH57" i="17"/>
  <c r="BI57" i="17"/>
  <c r="BJ57" i="17"/>
  <c r="BK57" i="17"/>
  <c r="BL57" i="17"/>
  <c r="BM57" i="17"/>
  <c r="BN57" i="17"/>
  <c r="BO57" i="17"/>
  <c r="BP57" i="17"/>
  <c r="AC22" i="17"/>
  <c r="Z23" i="17"/>
  <c r="E58" i="17" a="1"/>
  <c r="E58" i="17"/>
  <c r="F58" i="17" a="1"/>
  <c r="F58" i="17"/>
  <c r="G58" i="17" a="1"/>
  <c r="H58" i="17" a="1"/>
  <c r="I58" i="17" a="1"/>
  <c r="J58" i="17" a="1"/>
  <c r="K58" i="17" a="1"/>
  <c r="L58" i="17" a="1"/>
  <c r="M58" i="17" a="1"/>
  <c r="N58" i="17" a="1"/>
  <c r="O58" i="17" a="1"/>
  <c r="P58" i="17" a="1"/>
  <c r="Q58" i="17" a="1"/>
  <c r="R58" i="17" a="1"/>
  <c r="S58" i="17" a="1"/>
  <c r="T58" i="17" a="1"/>
  <c r="U58" i="17" a="1"/>
  <c r="V58" i="17" a="1"/>
  <c r="W58" i="17" a="1"/>
  <c r="X58" i="17" a="1"/>
  <c r="Y58" i="17" a="1"/>
  <c r="Z58" i="17" a="1"/>
  <c r="AA58" i="17" a="1"/>
  <c r="AB58" i="17" a="1"/>
  <c r="AC58" i="17" a="1"/>
  <c r="AD58" i="17" a="1"/>
  <c r="AE58" i="17" a="1"/>
  <c r="AF58" i="17" a="1"/>
  <c r="AG58" i="17" a="1"/>
  <c r="AH58" i="17" a="1"/>
  <c r="AI58" i="17" a="1"/>
  <c r="AJ58" i="17" a="1"/>
  <c r="AK58" i="17" a="1"/>
  <c r="AL58" i="17" a="1"/>
  <c r="AM58" i="17" a="1"/>
  <c r="AN58" i="17" a="1"/>
  <c r="AO58" i="17" a="1"/>
  <c r="AP58" i="17" a="1"/>
  <c r="AQ58" i="17" a="1"/>
  <c r="AR58" i="17" a="1"/>
  <c r="AS58" i="17" a="1"/>
  <c r="AT58" i="17" a="1"/>
  <c r="AU58" i="17" a="1"/>
  <c r="AV58" i="17" a="1"/>
  <c r="AW58" i="17" a="1"/>
  <c r="AX58" i="17" a="1"/>
  <c r="AY58" i="17" a="1"/>
  <c r="AZ58" i="17" a="1"/>
  <c r="BA58" i="17" a="1"/>
  <c r="BB58" i="17" a="1"/>
  <c r="BC58" i="17" a="1"/>
  <c r="BD58" i="17" a="1"/>
  <c r="BE58" i="17" a="1"/>
  <c r="BF58" i="17" a="1"/>
  <c r="BG58" i="17" a="1"/>
  <c r="BH58" i="17" a="1"/>
  <c r="BI58" i="17" a="1"/>
  <c r="BJ58" i="17" a="1"/>
  <c r="BK58" i="17" a="1"/>
  <c r="BL58" i="17" a="1"/>
  <c r="BM58" i="17" a="1"/>
  <c r="BN58" i="17" a="1"/>
  <c r="BO58" i="17" a="1"/>
  <c r="BP58" i="17" a="1"/>
  <c r="G58" i="17"/>
  <c r="H58" i="17"/>
  <c r="I58" i="17"/>
  <c r="J58" i="17"/>
  <c r="K58" i="17"/>
  <c r="L58" i="17"/>
  <c r="M58" i="17"/>
  <c r="N58" i="17"/>
  <c r="O58" i="17"/>
  <c r="P58" i="17"/>
  <c r="Q58" i="17"/>
  <c r="R58" i="17"/>
  <c r="S58" i="17"/>
  <c r="T58" i="17"/>
  <c r="U58" i="17"/>
  <c r="V58" i="17"/>
  <c r="W58" i="17"/>
  <c r="X58" i="17"/>
  <c r="Y58" i="17"/>
  <c r="Z58" i="17"/>
  <c r="AA58" i="17"/>
  <c r="AB58" i="17"/>
  <c r="AC58" i="17"/>
  <c r="AD58" i="17"/>
  <c r="AE58" i="17"/>
  <c r="AF58" i="17"/>
  <c r="AG58" i="17"/>
  <c r="AH58" i="17"/>
  <c r="AI58" i="17"/>
  <c r="AJ58" i="17"/>
  <c r="AK58" i="17"/>
  <c r="AL58" i="17"/>
  <c r="AM58" i="17"/>
  <c r="AN58" i="17"/>
  <c r="AO58" i="17"/>
  <c r="AP58" i="17"/>
  <c r="AQ58" i="17"/>
  <c r="AR58" i="17"/>
  <c r="AS58" i="17"/>
  <c r="AT58" i="17"/>
  <c r="AU58" i="17"/>
  <c r="AV58" i="17"/>
  <c r="AW58" i="17"/>
  <c r="AX58" i="17"/>
  <c r="AY58" i="17"/>
  <c r="AZ58" i="17"/>
  <c r="BA58" i="17"/>
  <c r="BB58" i="17"/>
  <c r="BC58" i="17"/>
  <c r="BD58" i="17"/>
  <c r="BE58" i="17"/>
  <c r="BF58" i="17"/>
  <c r="BG58" i="17"/>
  <c r="BH58" i="17"/>
  <c r="BI58" i="17"/>
  <c r="BJ58" i="17"/>
  <c r="BK58" i="17"/>
  <c r="BL58" i="17"/>
  <c r="BM58" i="17"/>
  <c r="BN58" i="17"/>
  <c r="BO58" i="17"/>
  <c r="BP58" i="17"/>
  <c r="AC23" i="17"/>
  <c r="Z24" i="17"/>
  <c r="E59" i="17" a="1"/>
  <c r="E59" i="17"/>
  <c r="F59" i="17" a="1"/>
  <c r="F59" i="17"/>
  <c r="G59" i="17" a="1"/>
  <c r="H59" i="17" a="1"/>
  <c r="I59" i="17" a="1"/>
  <c r="J59" i="17" a="1"/>
  <c r="K59" i="17" a="1"/>
  <c r="L59" i="17" a="1"/>
  <c r="M59" i="17" a="1"/>
  <c r="N59" i="17" a="1"/>
  <c r="O59" i="17" a="1"/>
  <c r="P59" i="17" a="1"/>
  <c r="Q59" i="17" a="1"/>
  <c r="R59" i="17" a="1"/>
  <c r="S59" i="17" a="1"/>
  <c r="T59" i="17" a="1"/>
  <c r="U59" i="17" a="1"/>
  <c r="V59" i="17" a="1"/>
  <c r="W59" i="17" a="1"/>
  <c r="X59" i="17" a="1"/>
  <c r="Y59" i="17" a="1"/>
  <c r="Z59" i="17" a="1"/>
  <c r="AA59" i="17" a="1"/>
  <c r="AB59" i="17" a="1"/>
  <c r="AC59" i="17" a="1"/>
  <c r="AD59" i="17" a="1"/>
  <c r="AE59" i="17" a="1"/>
  <c r="AF59" i="17" a="1"/>
  <c r="AG59" i="17" a="1"/>
  <c r="AH59" i="17" a="1"/>
  <c r="AI59" i="17" a="1"/>
  <c r="AJ59" i="17" a="1"/>
  <c r="AK59" i="17" a="1"/>
  <c r="AL59" i="17" a="1"/>
  <c r="AM59" i="17" a="1"/>
  <c r="AN59" i="17" a="1"/>
  <c r="AO59" i="17" a="1"/>
  <c r="AP59" i="17" a="1"/>
  <c r="AQ59" i="17" a="1"/>
  <c r="AR59" i="17" a="1"/>
  <c r="AS59" i="17" a="1"/>
  <c r="AT59" i="17" a="1"/>
  <c r="AU59" i="17" a="1"/>
  <c r="AV59" i="17" a="1"/>
  <c r="AW59" i="17" a="1"/>
  <c r="AX59" i="17" a="1"/>
  <c r="AY59" i="17" a="1"/>
  <c r="AZ59" i="17" a="1"/>
  <c r="BA59" i="17" a="1"/>
  <c r="BB59" i="17" a="1"/>
  <c r="BC59" i="17" a="1"/>
  <c r="BD59" i="17" a="1"/>
  <c r="BE59" i="17" a="1"/>
  <c r="BF59" i="17" a="1"/>
  <c r="BG59" i="17" a="1"/>
  <c r="BH59" i="17" a="1"/>
  <c r="BI59" i="17" a="1"/>
  <c r="BJ59" i="17" a="1"/>
  <c r="BK59" i="17" a="1"/>
  <c r="BL59" i="17" a="1"/>
  <c r="BM59" i="17" a="1"/>
  <c r="BN59" i="17" a="1"/>
  <c r="BO59" i="17" a="1"/>
  <c r="BP59" i="17" a="1"/>
  <c r="G59" i="17"/>
  <c r="H59" i="17"/>
  <c r="I59" i="17"/>
  <c r="J59" i="17"/>
  <c r="K59" i="17"/>
  <c r="L59" i="17"/>
  <c r="M59" i="17"/>
  <c r="N59" i="17"/>
  <c r="O59" i="17"/>
  <c r="P59" i="17"/>
  <c r="Q59" i="17"/>
  <c r="R59" i="17"/>
  <c r="S59" i="17"/>
  <c r="T59" i="17"/>
  <c r="U59" i="17"/>
  <c r="V59" i="17"/>
  <c r="W59" i="17"/>
  <c r="X59" i="17"/>
  <c r="Y59" i="17"/>
  <c r="Z59" i="17"/>
  <c r="AA59" i="17"/>
  <c r="AB59" i="17"/>
  <c r="AC59" i="17"/>
  <c r="AD59" i="17"/>
  <c r="AE59" i="17"/>
  <c r="AF59" i="17"/>
  <c r="AG59" i="17"/>
  <c r="AH59" i="17"/>
  <c r="AI59" i="17"/>
  <c r="AJ59" i="17"/>
  <c r="AK59" i="17"/>
  <c r="AL59" i="17"/>
  <c r="AM59" i="17"/>
  <c r="AN59" i="17"/>
  <c r="AO59" i="17"/>
  <c r="AP59" i="17"/>
  <c r="AQ59" i="17"/>
  <c r="AR59" i="17"/>
  <c r="AS59" i="17"/>
  <c r="AT59" i="17"/>
  <c r="AU59" i="17"/>
  <c r="AV59" i="17"/>
  <c r="AW59" i="17"/>
  <c r="AX59" i="17"/>
  <c r="AY59" i="17"/>
  <c r="AZ59" i="17"/>
  <c r="BA59" i="17"/>
  <c r="BB59" i="17"/>
  <c r="BC59" i="17"/>
  <c r="BD59" i="17"/>
  <c r="BE59" i="17"/>
  <c r="BF59" i="17"/>
  <c r="BG59" i="17"/>
  <c r="BH59" i="17"/>
  <c r="BI59" i="17"/>
  <c r="BJ59" i="17"/>
  <c r="BK59" i="17"/>
  <c r="BL59" i="17"/>
  <c r="BM59" i="17"/>
  <c r="BN59" i="17"/>
  <c r="BO59" i="17"/>
  <c r="BP59" i="17"/>
  <c r="AC24" i="17"/>
  <c r="Z25" i="17"/>
  <c r="E60" i="17" a="1"/>
  <c r="E60" i="17"/>
  <c r="F60" i="17" a="1"/>
  <c r="F60" i="17"/>
  <c r="G60" i="17" a="1"/>
  <c r="H60" i="17" a="1"/>
  <c r="I60" i="17" a="1"/>
  <c r="J60" i="17" a="1"/>
  <c r="K60" i="17" a="1"/>
  <c r="L60" i="17" a="1"/>
  <c r="M60" i="17" a="1"/>
  <c r="N60" i="17" a="1"/>
  <c r="O60" i="17" a="1"/>
  <c r="P60" i="17" a="1"/>
  <c r="Q60" i="17" a="1"/>
  <c r="R60" i="17" a="1"/>
  <c r="S60" i="17" a="1"/>
  <c r="T60" i="17" a="1"/>
  <c r="U60" i="17" a="1"/>
  <c r="V60" i="17" a="1"/>
  <c r="W60" i="17" a="1"/>
  <c r="X60" i="17" a="1"/>
  <c r="Y60" i="17" a="1"/>
  <c r="Z60" i="17" a="1"/>
  <c r="AA60" i="17" a="1"/>
  <c r="AB60" i="17" a="1"/>
  <c r="AC60" i="17" a="1"/>
  <c r="AD60" i="17" a="1"/>
  <c r="AE60" i="17" a="1"/>
  <c r="AF60" i="17" a="1"/>
  <c r="AG60" i="17" a="1"/>
  <c r="AH60" i="17" a="1"/>
  <c r="AI60" i="17" a="1"/>
  <c r="AJ60" i="17" a="1"/>
  <c r="AK60" i="17" a="1"/>
  <c r="AL60" i="17" a="1"/>
  <c r="AM60" i="17" a="1"/>
  <c r="AN60" i="17" a="1"/>
  <c r="AO60" i="17" a="1"/>
  <c r="AP60" i="17" a="1"/>
  <c r="AQ60" i="17" a="1"/>
  <c r="AR60" i="17" a="1"/>
  <c r="AS60" i="17" a="1"/>
  <c r="AT60" i="17" a="1"/>
  <c r="AU60" i="17" a="1"/>
  <c r="AV60" i="17" a="1"/>
  <c r="AW60" i="17" a="1"/>
  <c r="AX60" i="17" a="1"/>
  <c r="AY60" i="17" a="1"/>
  <c r="AZ60" i="17" a="1"/>
  <c r="BA60" i="17" a="1"/>
  <c r="BB60" i="17" a="1"/>
  <c r="BC60" i="17" a="1"/>
  <c r="BD60" i="17" a="1"/>
  <c r="BE60" i="17" a="1"/>
  <c r="BF60" i="17" a="1"/>
  <c r="BG60" i="17" a="1"/>
  <c r="BH60" i="17" a="1"/>
  <c r="BI60" i="17" a="1"/>
  <c r="BJ60" i="17" a="1"/>
  <c r="BK60" i="17" a="1"/>
  <c r="BL60" i="17" a="1"/>
  <c r="BM60" i="17" a="1"/>
  <c r="BN60" i="17" a="1"/>
  <c r="BO60" i="17" a="1"/>
  <c r="BP60" i="17" a="1"/>
  <c r="G60" i="17"/>
  <c r="H60" i="17"/>
  <c r="I60" i="17"/>
  <c r="J60" i="17"/>
  <c r="K60" i="17"/>
  <c r="L60" i="17"/>
  <c r="M60" i="17"/>
  <c r="N60" i="17"/>
  <c r="O60" i="17"/>
  <c r="P60" i="17"/>
  <c r="Q60" i="17"/>
  <c r="R60" i="17"/>
  <c r="S60" i="17"/>
  <c r="T60" i="17"/>
  <c r="U60" i="17"/>
  <c r="V60" i="17"/>
  <c r="W60" i="17"/>
  <c r="X60" i="17"/>
  <c r="Y60" i="17"/>
  <c r="Z60" i="17"/>
  <c r="AA60" i="17"/>
  <c r="AB60" i="17"/>
  <c r="AC60" i="17"/>
  <c r="AD60" i="17"/>
  <c r="AE60" i="17"/>
  <c r="AF60" i="17"/>
  <c r="AG60" i="17"/>
  <c r="AH60" i="17"/>
  <c r="AI60" i="17"/>
  <c r="AJ60" i="17"/>
  <c r="AK60" i="17"/>
  <c r="AL60" i="17"/>
  <c r="AM60" i="17"/>
  <c r="AN60" i="17"/>
  <c r="AO60" i="17"/>
  <c r="AP60" i="17"/>
  <c r="AQ60" i="17"/>
  <c r="AR60" i="17"/>
  <c r="AS60" i="17"/>
  <c r="AT60" i="17"/>
  <c r="AU60" i="17"/>
  <c r="AV60" i="17"/>
  <c r="AW60" i="17"/>
  <c r="AX60" i="17"/>
  <c r="AY60" i="17"/>
  <c r="AZ60" i="17"/>
  <c r="BA60" i="17"/>
  <c r="BB60" i="17"/>
  <c r="BC60" i="17"/>
  <c r="BD60" i="17"/>
  <c r="BE60" i="17"/>
  <c r="BF60" i="17"/>
  <c r="BG60" i="17"/>
  <c r="BH60" i="17"/>
  <c r="BI60" i="17"/>
  <c r="BJ60" i="17"/>
  <c r="BK60" i="17"/>
  <c r="BL60" i="17"/>
  <c r="BM60" i="17"/>
  <c r="BN60" i="17"/>
  <c r="BO60" i="17"/>
  <c r="BP60" i="17"/>
  <c r="AC25" i="17"/>
  <c r="AB15" i="27"/>
  <c r="I37" i="27"/>
  <c r="AB14" i="27"/>
  <c r="I36" i="27"/>
  <c r="AB13" i="27"/>
  <c r="I35" i="27"/>
  <c r="AB12" i="27"/>
  <c r="I34" i="27"/>
  <c r="AA13" i="27"/>
  <c r="AA14" i="27"/>
  <c r="AA15" i="27"/>
  <c r="AM15" i="27"/>
  <c r="AM14" i="27"/>
  <c r="AM13" i="27"/>
  <c r="AM12" i="27"/>
  <c r="AK15" i="27"/>
  <c r="AK14" i="27"/>
  <c r="AK13" i="27"/>
  <c r="AK12" i="27"/>
  <c r="AF13" i="27"/>
  <c r="AF12" i="27"/>
  <c r="AF15" i="27"/>
  <c r="AF14" i="27"/>
  <c r="AE15" i="27"/>
  <c r="AE14" i="27"/>
  <c r="AE13" i="27"/>
  <c r="AE12" i="27"/>
  <c r="AD15" i="27"/>
  <c r="AD14" i="27"/>
  <c r="AD13" i="27"/>
  <c r="AD12" i="27"/>
  <c r="AC15" i="27"/>
  <c r="AC14" i="27"/>
  <c r="AC13" i="27"/>
  <c r="AC12" i="27"/>
  <c r="Z18" i="28"/>
  <c r="Z19" i="28"/>
  <c r="Z20" i="28"/>
  <c r="Z21" i="28"/>
  <c r="Z22" i="28"/>
  <c r="E57" i="28" a="1"/>
  <c r="E57" i="28"/>
  <c r="F57" i="28" a="1"/>
  <c r="F57" i="28"/>
  <c r="G57" i="28" a="1"/>
  <c r="H57" i="28" a="1"/>
  <c r="I57" i="28" a="1"/>
  <c r="J57" i="28" a="1"/>
  <c r="K57" i="28" a="1"/>
  <c r="L57" i="28" a="1"/>
  <c r="M57" i="28" a="1"/>
  <c r="N57" i="28" a="1"/>
  <c r="O57" i="28" a="1"/>
  <c r="P57" i="28" a="1"/>
  <c r="Q57" i="28" a="1"/>
  <c r="R57" i="28" a="1"/>
  <c r="S57" i="28" a="1"/>
  <c r="T57" i="28" a="1"/>
  <c r="U57" i="28" a="1"/>
  <c r="V57" i="28" a="1"/>
  <c r="W57" i="28" a="1"/>
  <c r="X57" i="28" a="1"/>
  <c r="Y57" i="28" a="1"/>
  <c r="Z57" i="28" a="1"/>
  <c r="AA57" i="28" a="1"/>
  <c r="AB57" i="28" a="1"/>
  <c r="AC57" i="28" a="1"/>
  <c r="AD57" i="28" a="1"/>
  <c r="AE57" i="28" a="1"/>
  <c r="AF57" i="28" a="1"/>
  <c r="AG57" i="28" a="1"/>
  <c r="AH57" i="28" a="1"/>
  <c r="AI57" i="28" a="1"/>
  <c r="AJ57" i="28" a="1"/>
  <c r="AK57" i="28" a="1"/>
  <c r="AL57" i="28" a="1"/>
  <c r="AM57" i="28" a="1"/>
  <c r="AN57" i="28" a="1"/>
  <c r="AO57" i="28" a="1"/>
  <c r="AP57" i="28" a="1"/>
  <c r="AQ57" i="28" a="1"/>
  <c r="AR57" i="28" a="1"/>
  <c r="AS57" i="28" a="1"/>
  <c r="AT57" i="28" a="1"/>
  <c r="AU57" i="28" a="1"/>
  <c r="AV57" i="28" a="1"/>
  <c r="AW57" i="28" a="1"/>
  <c r="AX57" i="28" a="1"/>
  <c r="AY57" i="28" a="1"/>
  <c r="AZ57" i="28" a="1"/>
  <c r="BA57" i="28" a="1"/>
  <c r="BB57" i="28" a="1"/>
  <c r="BC57" i="28" a="1"/>
  <c r="BD57" i="28" a="1"/>
  <c r="BE57" i="28" a="1"/>
  <c r="BF57" i="28" a="1"/>
  <c r="BG57" i="28" a="1"/>
  <c r="BH57" i="28" a="1"/>
  <c r="BI57" i="28" a="1"/>
  <c r="BJ57" i="28" a="1"/>
  <c r="BK57" i="28" a="1"/>
  <c r="BL57" i="28" a="1"/>
  <c r="BM57" i="28" a="1"/>
  <c r="BN57" i="28" a="1"/>
  <c r="BO57" i="28" a="1"/>
  <c r="BP57" i="28" a="1"/>
  <c r="G57" i="28"/>
  <c r="H57" i="28"/>
  <c r="I57" i="28"/>
  <c r="J57" i="28"/>
  <c r="K57" i="28"/>
  <c r="L57" i="28"/>
  <c r="M57" i="28"/>
  <c r="N57" i="28"/>
  <c r="O57" i="28"/>
  <c r="P57" i="28"/>
  <c r="Q57" i="28"/>
  <c r="R57" i="28"/>
  <c r="S57" i="28"/>
  <c r="T57" i="28"/>
  <c r="U57" i="28"/>
  <c r="V57" i="28"/>
  <c r="W57" i="28"/>
  <c r="X57" i="28"/>
  <c r="Y57" i="28"/>
  <c r="Z57" i="28"/>
  <c r="AA57" i="28"/>
  <c r="AB57" i="28"/>
  <c r="AC57" i="28"/>
  <c r="AD57" i="28"/>
  <c r="AE57" i="28"/>
  <c r="AF57" i="28"/>
  <c r="AG57" i="28"/>
  <c r="AH57" i="28"/>
  <c r="AI57" i="28"/>
  <c r="AJ57" i="28"/>
  <c r="AK57" i="28"/>
  <c r="AL57" i="28"/>
  <c r="AM57" i="28"/>
  <c r="AN57" i="28"/>
  <c r="AO57" i="28"/>
  <c r="AP57" i="28"/>
  <c r="AQ57" i="28"/>
  <c r="AR57" i="28"/>
  <c r="AS57" i="28"/>
  <c r="AT57" i="28"/>
  <c r="AU57" i="28"/>
  <c r="AV57" i="28"/>
  <c r="AW57" i="28"/>
  <c r="AX57" i="28"/>
  <c r="AY57" i="28"/>
  <c r="AZ57" i="28"/>
  <c r="BA57" i="28"/>
  <c r="BB57" i="28"/>
  <c r="BC57" i="28"/>
  <c r="BD57" i="28"/>
  <c r="BE57" i="28"/>
  <c r="BF57" i="28"/>
  <c r="BG57" i="28"/>
  <c r="BH57" i="28"/>
  <c r="BI57" i="28"/>
  <c r="BJ57" i="28"/>
  <c r="BK57" i="28"/>
  <c r="BL57" i="28"/>
  <c r="BM57" i="28"/>
  <c r="BN57" i="28"/>
  <c r="BO57" i="28"/>
  <c r="BP57" i="28"/>
  <c r="AC22" i="28"/>
  <c r="Z23" i="28"/>
  <c r="E58" i="28" a="1"/>
  <c r="E58" i="28"/>
  <c r="F58" i="28" a="1"/>
  <c r="F58" i="28"/>
  <c r="G58" i="28" a="1"/>
  <c r="H58" i="28" a="1"/>
  <c r="I58" i="28" a="1"/>
  <c r="J58" i="28" a="1"/>
  <c r="K58" i="28" a="1"/>
  <c r="L58" i="28" a="1"/>
  <c r="M58" i="28" a="1"/>
  <c r="N58" i="28" a="1"/>
  <c r="O58" i="28" a="1"/>
  <c r="P58" i="28" a="1"/>
  <c r="Q58" i="28" a="1"/>
  <c r="R58" i="28" a="1"/>
  <c r="S58" i="28" a="1"/>
  <c r="T58" i="28" a="1"/>
  <c r="U58" i="28" a="1"/>
  <c r="V58" i="28" a="1"/>
  <c r="W58" i="28" a="1"/>
  <c r="X58" i="28" a="1"/>
  <c r="Y58" i="28" a="1"/>
  <c r="Z58" i="28" a="1"/>
  <c r="AA58" i="28" a="1"/>
  <c r="AB58" i="28" a="1"/>
  <c r="AC58" i="28" a="1"/>
  <c r="AD58" i="28" a="1"/>
  <c r="AE58" i="28" a="1"/>
  <c r="AF58" i="28" a="1"/>
  <c r="AG58" i="28" a="1"/>
  <c r="AH58" i="28" a="1"/>
  <c r="AI58" i="28" a="1"/>
  <c r="AJ58" i="28" a="1"/>
  <c r="AK58" i="28" a="1"/>
  <c r="AL58" i="28" a="1"/>
  <c r="AM58" i="28" a="1"/>
  <c r="AN58" i="28" a="1"/>
  <c r="AO58" i="28" a="1"/>
  <c r="AP58" i="28" a="1"/>
  <c r="AQ58" i="28" a="1"/>
  <c r="AR58" i="28" a="1"/>
  <c r="AS58" i="28" a="1"/>
  <c r="AT58" i="28" a="1"/>
  <c r="AU58" i="28" a="1"/>
  <c r="AV58" i="28" a="1"/>
  <c r="AW58" i="28" a="1"/>
  <c r="AX58" i="28" a="1"/>
  <c r="AY58" i="28" a="1"/>
  <c r="AZ58" i="28" a="1"/>
  <c r="BA58" i="28" a="1"/>
  <c r="BB58" i="28" a="1"/>
  <c r="BC58" i="28" a="1"/>
  <c r="BD58" i="28" a="1"/>
  <c r="BE58" i="28" a="1"/>
  <c r="BF58" i="28" a="1"/>
  <c r="BG58" i="28" a="1"/>
  <c r="BH58" i="28" a="1"/>
  <c r="BI58" i="28" a="1"/>
  <c r="BJ58" i="28" a="1"/>
  <c r="BK58" i="28" a="1"/>
  <c r="BL58" i="28" a="1"/>
  <c r="BM58" i="28" a="1"/>
  <c r="BN58" i="28" a="1"/>
  <c r="BO58" i="28" a="1"/>
  <c r="BP58" i="28" a="1"/>
  <c r="G58" i="28"/>
  <c r="H58" i="28"/>
  <c r="I58" i="28"/>
  <c r="J58" i="28"/>
  <c r="K58" i="28"/>
  <c r="L58" i="28"/>
  <c r="M58" i="28"/>
  <c r="N58" i="28"/>
  <c r="O58" i="28"/>
  <c r="P58" i="28"/>
  <c r="Q58" i="28"/>
  <c r="R58" i="28"/>
  <c r="S58" i="28"/>
  <c r="T58" i="28"/>
  <c r="U58" i="28"/>
  <c r="V58" i="28"/>
  <c r="W58" i="28"/>
  <c r="X58" i="28"/>
  <c r="Y58" i="28"/>
  <c r="Z58" i="28"/>
  <c r="AA58" i="28"/>
  <c r="AB58" i="28"/>
  <c r="AC58" i="28"/>
  <c r="AD58" i="28"/>
  <c r="AE58" i="28"/>
  <c r="AF58" i="28"/>
  <c r="AG58" i="28"/>
  <c r="AH58" i="28"/>
  <c r="AI58" i="28"/>
  <c r="AJ58" i="28"/>
  <c r="AK58" i="28"/>
  <c r="AL58" i="28"/>
  <c r="AM58" i="28"/>
  <c r="AN58" i="28"/>
  <c r="AO58" i="28"/>
  <c r="AP58" i="28"/>
  <c r="AQ58" i="28"/>
  <c r="AR58" i="28"/>
  <c r="AS58" i="28"/>
  <c r="AT58" i="28"/>
  <c r="AU58" i="28"/>
  <c r="AV58" i="28"/>
  <c r="AW58" i="28"/>
  <c r="AX58" i="28"/>
  <c r="AY58" i="28"/>
  <c r="AZ58" i="28"/>
  <c r="BA58" i="28"/>
  <c r="BB58" i="28"/>
  <c r="BC58" i="28"/>
  <c r="BD58" i="28"/>
  <c r="BE58" i="28"/>
  <c r="BF58" i="28"/>
  <c r="BG58" i="28"/>
  <c r="BH58" i="28"/>
  <c r="BI58" i="28"/>
  <c r="BJ58" i="28"/>
  <c r="BK58" i="28"/>
  <c r="BL58" i="28"/>
  <c r="BM58" i="28"/>
  <c r="BN58" i="28"/>
  <c r="BO58" i="28"/>
  <c r="BP58" i="28"/>
  <c r="AC23" i="28"/>
  <c r="Z24" i="28"/>
  <c r="E59" i="28" a="1"/>
  <c r="E59" i="28"/>
  <c r="F59" i="28" a="1"/>
  <c r="F59" i="28"/>
  <c r="G59" i="28" a="1"/>
  <c r="H59" i="28" a="1"/>
  <c r="I59" i="28" a="1"/>
  <c r="J59" i="28" a="1"/>
  <c r="K59" i="28" a="1"/>
  <c r="L59" i="28" a="1"/>
  <c r="M59" i="28" a="1"/>
  <c r="N59" i="28" a="1"/>
  <c r="O59" i="28" a="1"/>
  <c r="P59" i="28" a="1"/>
  <c r="Q59" i="28" a="1"/>
  <c r="R59" i="28" a="1"/>
  <c r="S59" i="28" a="1"/>
  <c r="T59" i="28" a="1"/>
  <c r="U59" i="28" a="1"/>
  <c r="V59" i="28" a="1"/>
  <c r="W59" i="28" a="1"/>
  <c r="X59" i="28" a="1"/>
  <c r="Y59" i="28" a="1"/>
  <c r="Z59" i="28" a="1"/>
  <c r="AA59" i="28" a="1"/>
  <c r="AB59" i="28" a="1"/>
  <c r="AC59" i="28" a="1"/>
  <c r="AD59" i="28" a="1"/>
  <c r="AE59" i="28" a="1"/>
  <c r="AF59" i="28" a="1"/>
  <c r="AG59" i="28" a="1"/>
  <c r="AH59" i="28" a="1"/>
  <c r="AI59" i="28" a="1"/>
  <c r="AJ59" i="28" a="1"/>
  <c r="AK59" i="28" a="1"/>
  <c r="AL59" i="28" a="1"/>
  <c r="AM59" i="28" a="1"/>
  <c r="AN59" i="28" a="1"/>
  <c r="AO59" i="28" a="1"/>
  <c r="AP59" i="28" a="1"/>
  <c r="AQ59" i="28" a="1"/>
  <c r="AR59" i="28" a="1"/>
  <c r="AS59" i="28" a="1"/>
  <c r="AT59" i="28" a="1"/>
  <c r="AU59" i="28" a="1"/>
  <c r="AV59" i="28" a="1"/>
  <c r="AW59" i="28" a="1"/>
  <c r="AX59" i="28" a="1"/>
  <c r="AY59" i="28" a="1"/>
  <c r="AZ59" i="28" a="1"/>
  <c r="BA59" i="28" a="1"/>
  <c r="BB59" i="28" a="1"/>
  <c r="BC59" i="28" a="1"/>
  <c r="BD59" i="28" a="1"/>
  <c r="BE59" i="28" a="1"/>
  <c r="BF59" i="28" a="1"/>
  <c r="BG59" i="28" a="1"/>
  <c r="BH59" i="28" a="1"/>
  <c r="BI59" i="28" a="1"/>
  <c r="BJ59" i="28" a="1"/>
  <c r="BK59" i="28" a="1"/>
  <c r="BL59" i="28" a="1"/>
  <c r="BM59" i="28" a="1"/>
  <c r="BN59" i="28" a="1"/>
  <c r="BO59" i="28" a="1"/>
  <c r="BP59" i="28" a="1"/>
  <c r="G59" i="28"/>
  <c r="H59" i="28"/>
  <c r="I59" i="28"/>
  <c r="J59" i="28"/>
  <c r="K59" i="28"/>
  <c r="L59" i="28"/>
  <c r="M59" i="28"/>
  <c r="N59" i="28"/>
  <c r="O59" i="28"/>
  <c r="P59" i="28"/>
  <c r="Q59" i="28"/>
  <c r="R59" i="28"/>
  <c r="S59" i="28"/>
  <c r="T59" i="28"/>
  <c r="U59" i="28"/>
  <c r="V59" i="28"/>
  <c r="W59" i="28"/>
  <c r="X59" i="28"/>
  <c r="Y59" i="28"/>
  <c r="Z59" i="28"/>
  <c r="AA59" i="28"/>
  <c r="AB59" i="28"/>
  <c r="AC59" i="28"/>
  <c r="AD59" i="28"/>
  <c r="AE59" i="28"/>
  <c r="AF59" i="28"/>
  <c r="AG59" i="28"/>
  <c r="AH59" i="28"/>
  <c r="AI59" i="28"/>
  <c r="AJ59" i="28"/>
  <c r="AK59" i="28"/>
  <c r="AL59" i="28"/>
  <c r="AM59" i="28"/>
  <c r="AN59" i="28"/>
  <c r="AO59" i="28"/>
  <c r="AP59" i="28"/>
  <c r="AQ59" i="28"/>
  <c r="AR59" i="28"/>
  <c r="AS59" i="28"/>
  <c r="AT59" i="28"/>
  <c r="AU59" i="28"/>
  <c r="AV59" i="28"/>
  <c r="AW59" i="28"/>
  <c r="AX59" i="28"/>
  <c r="AY59" i="28"/>
  <c r="AZ59" i="28"/>
  <c r="BA59" i="28"/>
  <c r="BB59" i="28"/>
  <c r="BC59" i="28"/>
  <c r="BD59" i="28"/>
  <c r="BE59" i="28"/>
  <c r="BF59" i="28"/>
  <c r="BG59" i="28"/>
  <c r="BH59" i="28"/>
  <c r="BI59" i="28"/>
  <c r="BJ59" i="28"/>
  <c r="BK59" i="28"/>
  <c r="BL59" i="28"/>
  <c r="BM59" i="28"/>
  <c r="BN59" i="28"/>
  <c r="BO59" i="28"/>
  <c r="BP59" i="28"/>
  <c r="AC24" i="28"/>
  <c r="Z25" i="28"/>
  <c r="E60" i="28" a="1"/>
  <c r="E60" i="28"/>
  <c r="F60" i="28" a="1"/>
  <c r="F60" i="28"/>
  <c r="G60" i="28" a="1"/>
  <c r="H60" i="28" a="1"/>
  <c r="I60" i="28" a="1"/>
  <c r="J60" i="28" a="1"/>
  <c r="K60" i="28" a="1"/>
  <c r="L60" i="28" a="1"/>
  <c r="M60" i="28" a="1"/>
  <c r="N60" i="28" a="1"/>
  <c r="O60" i="28" a="1"/>
  <c r="P60" i="28" a="1"/>
  <c r="Q60" i="28" a="1"/>
  <c r="R60" i="28" a="1"/>
  <c r="S60" i="28" a="1"/>
  <c r="T60" i="28" a="1"/>
  <c r="U60" i="28" a="1"/>
  <c r="V60" i="28" a="1"/>
  <c r="W60" i="28" a="1"/>
  <c r="X60" i="28" a="1"/>
  <c r="Y60" i="28" a="1"/>
  <c r="Z60" i="28" a="1"/>
  <c r="AA60" i="28" a="1"/>
  <c r="AB60" i="28" a="1"/>
  <c r="AC60" i="28" a="1"/>
  <c r="AD60" i="28" a="1"/>
  <c r="AE60" i="28" a="1"/>
  <c r="AF60" i="28" a="1"/>
  <c r="AG60" i="28" a="1"/>
  <c r="AH60" i="28" a="1"/>
  <c r="AI60" i="28" a="1"/>
  <c r="AJ60" i="28" a="1"/>
  <c r="AK60" i="28" a="1"/>
  <c r="AL60" i="28" a="1"/>
  <c r="AM60" i="28" a="1"/>
  <c r="AN60" i="28" a="1"/>
  <c r="AO60" i="28" a="1"/>
  <c r="AP60" i="28" a="1"/>
  <c r="AQ60" i="28" a="1"/>
  <c r="AR60" i="28" a="1"/>
  <c r="AS60" i="28" a="1"/>
  <c r="AT60" i="28" a="1"/>
  <c r="AU60" i="28" a="1"/>
  <c r="AV60" i="28" a="1"/>
  <c r="AW60" i="28" a="1"/>
  <c r="AX60" i="28" a="1"/>
  <c r="AY60" i="28" a="1"/>
  <c r="AZ60" i="28" a="1"/>
  <c r="BA60" i="28" a="1"/>
  <c r="BB60" i="28" a="1"/>
  <c r="BC60" i="28" a="1"/>
  <c r="BD60" i="28" a="1"/>
  <c r="BE60" i="28" a="1"/>
  <c r="BF60" i="28" a="1"/>
  <c r="BG60" i="28" a="1"/>
  <c r="BH60" i="28" a="1"/>
  <c r="BI60" i="28" a="1"/>
  <c r="BJ60" i="28" a="1"/>
  <c r="BK60" i="28" a="1"/>
  <c r="BL60" i="28" a="1"/>
  <c r="BM60" i="28" a="1"/>
  <c r="BN60" i="28" a="1"/>
  <c r="BO60" i="28" a="1"/>
  <c r="BP60" i="28" a="1"/>
  <c r="G60" i="28"/>
  <c r="H60" i="28"/>
  <c r="I60" i="28"/>
  <c r="J60" i="28"/>
  <c r="K60" i="28"/>
  <c r="L60" i="28"/>
  <c r="M60" i="28"/>
  <c r="N60" i="28"/>
  <c r="O60" i="28"/>
  <c r="P60" i="28"/>
  <c r="Q60" i="28"/>
  <c r="R60" i="28"/>
  <c r="S60" i="28"/>
  <c r="T60" i="28"/>
  <c r="U60" i="28"/>
  <c r="V60" i="28"/>
  <c r="W60" i="28"/>
  <c r="X60" i="28"/>
  <c r="Y60" i="28"/>
  <c r="Z60" i="28"/>
  <c r="AA60" i="28"/>
  <c r="AB60" i="28"/>
  <c r="AC60" i="28"/>
  <c r="AD60" i="28"/>
  <c r="AE60" i="28"/>
  <c r="AF60" i="28"/>
  <c r="AG60" i="28"/>
  <c r="AH60" i="28"/>
  <c r="AI60" i="28"/>
  <c r="AJ60" i="28"/>
  <c r="AK60" i="28"/>
  <c r="AL60" i="28"/>
  <c r="AM60" i="28"/>
  <c r="AN60" i="28"/>
  <c r="AO60" i="28"/>
  <c r="AP60" i="28"/>
  <c r="AQ60" i="28"/>
  <c r="AR60" i="28"/>
  <c r="AS60" i="28"/>
  <c r="AT60" i="28"/>
  <c r="AU60" i="28"/>
  <c r="AV60" i="28"/>
  <c r="AW60" i="28"/>
  <c r="AX60" i="28"/>
  <c r="AY60" i="28"/>
  <c r="AZ60" i="28"/>
  <c r="BA60" i="28"/>
  <c r="BB60" i="28"/>
  <c r="BC60" i="28"/>
  <c r="BD60" i="28"/>
  <c r="BE60" i="28"/>
  <c r="BF60" i="28"/>
  <c r="BG60" i="28"/>
  <c r="BH60" i="28"/>
  <c r="BI60" i="28"/>
  <c r="BJ60" i="28"/>
  <c r="BK60" i="28"/>
  <c r="BL60" i="28"/>
  <c r="BM60" i="28"/>
  <c r="BN60" i="28"/>
  <c r="BO60" i="28"/>
  <c r="BP60" i="28"/>
  <c r="AC25" i="28"/>
  <c r="AA20" i="27"/>
  <c r="AA21" i="27"/>
  <c r="AA22" i="27"/>
  <c r="AC19" i="27"/>
  <c r="AD19" i="27"/>
  <c r="AE19" i="27"/>
  <c r="AF19" i="27"/>
  <c r="AK19" i="27"/>
  <c r="AM19" i="27"/>
  <c r="AC20" i="27"/>
  <c r="AD20" i="27"/>
  <c r="AE20" i="27"/>
  <c r="AF20" i="27"/>
  <c r="AK20" i="27"/>
  <c r="AM20" i="27"/>
  <c r="AC21" i="27"/>
  <c r="AD21" i="27"/>
  <c r="AE21" i="27"/>
  <c r="AF21" i="27"/>
  <c r="AK21" i="27"/>
  <c r="AM21" i="27"/>
  <c r="AC22" i="27"/>
  <c r="AD22" i="27"/>
  <c r="AE22" i="27"/>
  <c r="AF22" i="27"/>
  <c r="AK22" i="27"/>
  <c r="AM22" i="27"/>
  <c r="AB20" i="27"/>
  <c r="I39" i="27"/>
  <c r="AB21" i="27"/>
  <c r="I40" i="27"/>
  <c r="AB22" i="27"/>
  <c r="I41" i="27"/>
  <c r="AB19" i="27"/>
  <c r="I38" i="27"/>
  <c r="AA27" i="27"/>
  <c r="AA28" i="27"/>
  <c r="AA29" i="27"/>
  <c r="AC26" i="27"/>
  <c r="AD26" i="27"/>
  <c r="AE26" i="27"/>
  <c r="AF26" i="27"/>
  <c r="AK26" i="27"/>
  <c r="AM26" i="27"/>
  <c r="AC27" i="27"/>
  <c r="AD27" i="27"/>
  <c r="AE27" i="27"/>
  <c r="AF27" i="27"/>
  <c r="AK27" i="27"/>
  <c r="AM27" i="27"/>
  <c r="AC28" i="27"/>
  <c r="AD28" i="27"/>
  <c r="AE28" i="27"/>
  <c r="AF28" i="27"/>
  <c r="AK28" i="27"/>
  <c r="AM28" i="27"/>
  <c r="AC29" i="27"/>
  <c r="AD29" i="27"/>
  <c r="AE29" i="27"/>
  <c r="AF29" i="27"/>
  <c r="AK29" i="27"/>
  <c r="AM29" i="27"/>
  <c r="AB26" i="27"/>
  <c r="I42" i="27"/>
  <c r="AB29" i="27"/>
  <c r="I45" i="27"/>
  <c r="AB28" i="27"/>
  <c r="I44" i="27"/>
  <c r="AB27" i="27"/>
  <c r="I43" i="27"/>
</calcChain>
</file>

<file path=xl/sharedStrings.xml><?xml version="1.0" encoding="utf-8"?>
<sst xmlns="http://schemas.openxmlformats.org/spreadsheetml/2006/main" count="1840" uniqueCount="432">
  <si>
    <t>Nr.</t>
  </si>
  <si>
    <t>Spielpaarung</t>
  </si>
  <si>
    <t>Ergebnis</t>
  </si>
  <si>
    <t>Diff.</t>
  </si>
  <si>
    <t>-</t>
  </si>
  <si>
    <t>Sort</t>
  </si>
  <si>
    <t>1.</t>
  </si>
  <si>
    <t>2.</t>
  </si>
  <si>
    <t>3.</t>
  </si>
  <si>
    <t>4.</t>
  </si>
  <si>
    <t>5.</t>
  </si>
  <si>
    <t>6.</t>
  </si>
  <si>
    <t>Direkte Vergleiche</t>
  </si>
  <si>
    <t>Tabelle</t>
  </si>
  <si>
    <t>Pos.</t>
  </si>
  <si>
    <t>valid</t>
  </si>
  <si>
    <t>7.</t>
  </si>
  <si>
    <t>8.</t>
  </si>
  <si>
    <t>9.</t>
  </si>
  <si>
    <t>Teilnehmer und Ablaufplan</t>
  </si>
  <si>
    <t>Teilnehmer</t>
  </si>
  <si>
    <t>Teilnehmer bzw. Mannschaft</t>
  </si>
  <si>
    <t>Ergebnisse</t>
  </si>
  <si>
    <t>Ablaufplan</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</si>
  <si>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</si>
  <si>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</si>
  <si>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</si>
  <si>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</si>
  <si>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</si>
  <si>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</si>
  <si>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</si>
  <si>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</si>
  <si>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</si>
  <si>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</si>
  <si>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</si>
  <si>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</si>
  <si>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</si>
  <si>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</si>
  <si>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</si>
  <si>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</si>
  <si>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</si>
  <si>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</si>
  <si>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</si>
  <si>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</si>
  <si>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</si>
  <si>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</si>
  <si>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</si>
  <si>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</si>
  <si>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</si>
  <si>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</si>
  <si>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</si>
  <si>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Spiel-Nr.</t>
  </si>
  <si>
    <t>Tabelle (Kopie)</t>
  </si>
  <si>
    <t>Paarungen</t>
  </si>
  <si>
    <t>Doppelte Namen führen zu
falschen Tabellenwerten</t>
  </si>
  <si>
    <t>Doppelte Spielpaarungen und Spiele gegen sich selbst
führen in der Gesamttabelle zu falschen Werten!</t>
  </si>
  <si>
    <t>mail@hermann-baum.de</t>
  </si>
  <si>
    <t>Bei Unstimmigkeiten bin ich für eine entsprechende Benachrichtigung sehr dankbar!</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</si>
  <si>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</si>
  <si>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</si>
  <si>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</si>
  <si>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</si>
  <si>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</si>
  <si>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</si>
  <si>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</si>
  <si>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</si>
  <si>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</si>
  <si>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</si>
  <si>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</si>
  <si>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</si>
  <si>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</si>
  <si>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</si>
  <si>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</si>
  <si>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</si>
  <si>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</si>
  <si>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</si>
  <si>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</si>
  <si>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</si>
  <si>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</si>
  <si>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</si>
  <si>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</si>
  <si>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</si>
  <si>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</si>
  <si>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</si>
  <si>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</si>
  <si>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</si>
  <si>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</si>
  <si>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</si>
  <si>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</si>
  <si>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</si>
  <si>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</si>
  <si>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</si>
  <si>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</si>
  <si>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</si>
  <si>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Goals</t>
  </si>
  <si>
    <t>Count</t>
  </si>
  <si>
    <t>Team</t>
  </si>
  <si>
    <t>Dir. Comparisons</t>
  </si>
  <si>
    <t>Direct Comparisons</t>
  </si>
  <si>
    <t>Goal difference</t>
  </si>
  <si>
    <t>Difference</t>
  </si>
  <si>
    <t>Pld</t>
  </si>
  <si>
    <t>W</t>
  </si>
  <si>
    <t>D</t>
  </si>
  <si>
    <t>L</t>
  </si>
  <si>
    <t>GF</t>
  </si>
  <si>
    <t>GA</t>
  </si>
  <si>
    <t>GD</t>
  </si>
  <si>
    <t>Pts</t>
  </si>
  <si>
    <t>Choose language</t>
  </si>
  <si>
    <t>my language</t>
  </si>
  <si>
    <t>english</t>
  </si>
  <si>
    <t>Direct comparisons</t>
  </si>
  <si>
    <t>Captions</t>
  </si>
  <si>
    <t>No.</t>
  </si>
  <si>
    <t>Participant or team</t>
  </si>
  <si>
    <t>Results</t>
  </si>
  <si>
    <t>Total table</t>
  </si>
  <si>
    <t>Total table (copy)</t>
  </si>
  <si>
    <t>Änderung der Spielpaarungen nur auf dem Blatt 'Planung'!   Hier nur die Ergebnisse eintragen!</t>
  </si>
  <si>
    <t>Change of the fixtures only on the sheet 'Planning'! Just enter the results here!</t>
  </si>
  <si>
    <t>Match pairing</t>
  </si>
  <si>
    <t>Result</t>
  </si>
  <si>
    <t>SP</t>
  </si>
  <si>
    <t>G</t>
  </si>
  <si>
    <t>U</t>
  </si>
  <si>
    <t>V</t>
  </si>
  <si>
    <t>Pkt</t>
  </si>
  <si>
    <t>Participants and schedule</t>
  </si>
  <si>
    <t>Participants</t>
  </si>
  <si>
    <t>Schedule</t>
  </si>
  <si>
    <t>Game no.</t>
  </si>
  <si>
    <t>Pairings</t>
  </si>
  <si>
    <t>If there are any discrepancies, I am very grateful for notification!</t>
  </si>
  <si>
    <t>Überschriften</t>
  </si>
  <si>
    <t>Messages</t>
  </si>
  <si>
    <t>Meldungen</t>
  </si>
  <si>
    <t>Sprache wählen</t>
  </si>
  <si>
    <t>Dein Datum</t>
  </si>
  <si>
    <t>Your date</t>
  </si>
  <si>
    <t>Kann gelöscht werden   →</t>
  </si>
  <si>
    <t>Deine Überschriften</t>
  </si>
  <si>
    <t>Your captions</t>
  </si>
  <si>
    <t>Hint may be deleted   →</t>
  </si>
  <si>
    <t>deutsch</t>
  </si>
  <si>
    <t>Hier klicken und Sprache wählen</t>
  </si>
  <si>
    <t>Click here and choose language</t>
  </si>
  <si>
    <t>Display direct comparisons</t>
  </si>
  <si>
    <t>erz. Tore</t>
  </si>
  <si>
    <t>Double match pairings and matches against oneself
lead to incorrect values in the overall table!</t>
  </si>
  <si>
    <t>pairing first</t>
  </si>
  <si>
    <t>Duplicate names lead to
incorrect table values</t>
  </si>
  <si>
    <t>min</t>
  </si>
  <si>
    <t>Uhr</t>
  </si>
  <si>
    <t xml:space="preserve"> </t>
  </si>
  <si>
    <t>Zeitkonflikt</t>
  </si>
  <si>
    <t>Time conflict</t>
  </si>
  <si>
    <t>Spiel gegen</t>
  </si>
  <si>
    <t>Match against</t>
  </si>
  <si>
    <t>Note</t>
  </si>
  <si>
    <t>Anmerkung</t>
  </si>
  <si>
    <t>Spielzeiten</t>
  </si>
  <si>
    <t>Playing times</t>
  </si>
  <si>
    <t>final</t>
  </si>
  <si>
    <t>Factors</t>
  </si>
  <si>
    <t>n = 4</t>
  </si>
  <si>
    <t>n = 5</t>
  </si>
  <si>
    <t>n = 6</t>
  </si>
  <si>
    <t>Matchups</t>
  </si>
  <si>
    <t>Spielpaarungen</t>
  </si>
  <si>
    <t>Einstellungen</t>
  </si>
  <si>
    <t>Settings</t>
  </si>
  <si>
    <t>Anzahl der Punkte für einen Sieg:</t>
  </si>
  <si>
    <t>Number of points for a win:</t>
  </si>
  <si>
    <t>n = 3</t>
  </si>
  <si>
    <t>Direkte Vergleiche bei Gleichstand in Punkten, Tordifferenz und erzielten Toren (FIFA-Modus)</t>
  </si>
  <si>
    <t>Direct comparisons in case of a tie in points (UEFA mode)</t>
  </si>
  <si>
    <t>Direkte Vergleiche bei Gleichstand in Punkten (UEFA-Modus)</t>
  </si>
  <si>
    <t>Direct comparisons in case of a tie in points, goal difference and goals scored (FIFA mode)</t>
  </si>
  <si>
    <t>Buchstaben</t>
  </si>
  <si>
    <t>letters</t>
  </si>
  <si>
    <t>Gruppe</t>
  </si>
  <si>
    <t>Group</t>
  </si>
  <si>
    <t>Grp</t>
  </si>
  <si>
    <t>A3</t>
  </si>
  <si>
    <t>B3</t>
  </si>
  <si>
    <t>A1</t>
  </si>
  <si>
    <t>B1</t>
  </si>
  <si>
    <t>A2</t>
  </si>
  <si>
    <t>B2</t>
  </si>
  <si>
    <t>A4</t>
  </si>
  <si>
    <t>B4</t>
  </si>
  <si>
    <t>A5</t>
  </si>
  <si>
    <t>B5</t>
  </si>
  <si>
    <t>A6</t>
  </si>
  <si>
    <t>B6</t>
  </si>
  <si>
    <t>Vorrunde</t>
  </si>
  <si>
    <t>Endrunde</t>
  </si>
  <si>
    <t>Preliminary round</t>
  </si>
  <si>
    <t>Final round</t>
  </si>
  <si>
    <t>Tie Break Vorrunde</t>
  </si>
  <si>
    <t>Tie break preliminary round</t>
  </si>
  <si>
    <t>6A - 6B</t>
  </si>
  <si>
    <t>5A - 5B</t>
  </si>
  <si>
    <t>4A - 4B</t>
  </si>
  <si>
    <t>3A - 3B</t>
  </si>
  <si>
    <t>2A - 2B</t>
  </si>
  <si>
    <t>1A - 1B</t>
  </si>
  <si>
    <t>Zusätzl. Pause (min)</t>
  </si>
  <si>
    <t>Addit. Pause (min)</t>
  </si>
  <si>
    <t>Turnierende:</t>
  </si>
  <si>
    <t>Tournament end:</t>
  </si>
  <si>
    <t>End of preliminary round:</t>
  </si>
  <si>
    <t>Ende der Vorrunde:</t>
  </si>
  <si>
    <t>Playing time per match:</t>
  </si>
  <si>
    <t>Spielzeit pro Spiel:</t>
  </si>
  <si>
    <t>Change time:</t>
  </si>
  <si>
    <t>Wechselzeit:</t>
  </si>
  <si>
    <t>Field</t>
  </si>
  <si>
    <t>Rang</t>
  </si>
  <si>
    <t>Rank</t>
  </si>
  <si>
    <t>1A - 2B</t>
  </si>
  <si>
    <t>1B - 2A</t>
  </si>
  <si>
    <t>3. Platz</t>
  </si>
  <si>
    <t>Finale</t>
  </si>
  <si>
    <t>Final</t>
  </si>
  <si>
    <t>3rd place</t>
  </si>
  <si>
    <t>Halbfinale</t>
  </si>
  <si>
    <t>Endspiele</t>
  </si>
  <si>
    <t>Finals</t>
  </si>
  <si>
    <t>Semi-finals</t>
  </si>
  <si>
    <t xml:space="preserve">Spiele um die Plätze </t>
  </si>
  <si>
    <t xml:space="preserve">Games for places </t>
  </si>
  <si>
    <t>Vorrunde Gruppe</t>
  </si>
  <si>
    <t>Preliminary round group</t>
  </si>
  <si>
    <t>1. FC Riedwald</t>
  </si>
  <si>
    <t>FC Barcelona</t>
  </si>
  <si>
    <t>Eintracht Frankfurt</t>
  </si>
  <si>
    <t>Maibach 1822 eV</t>
  </si>
  <si>
    <t>Mainz 05</t>
  </si>
  <si>
    <t>Inter Mailand</t>
  </si>
  <si>
    <t>Manchester City</t>
  </si>
  <si>
    <t>SSV Wildbach</t>
  </si>
  <si>
    <t>FC Grönlingen</t>
  </si>
  <si>
    <t>dummy</t>
  </si>
  <si>
    <t>Spielplätze:</t>
  </si>
  <si>
    <t>Anzahl der</t>
  </si>
  <si>
    <t>Maximale</t>
  </si>
  <si>
    <t>Zeiten und Spielplatz</t>
  </si>
  <si>
    <t>ausblenden:</t>
  </si>
  <si>
    <t xml:space="preserve">Due to time conflicts, you can only play on a maximum of </t>
  </si>
  <si>
    <t xml:space="preserve">Wegen zeitlicher Konflikte kann nur auf maximal </t>
  </si>
  <si>
    <t xml:space="preserve"> Spielplätzen gleichzeitig gespielt werden.</t>
  </si>
  <si>
    <t>Abbreviations of the team names:</t>
  </si>
  <si>
    <t>Abkürzungen der Mannschaftsnamen:</t>
  </si>
  <si>
    <t>End of tournament (final round 1):</t>
  </si>
  <si>
    <t>Turnierende (Endrunde 1):</t>
  </si>
  <si>
    <t>End of tournament (final round 2):</t>
  </si>
  <si>
    <t>Turnierende (Endrunde 2):</t>
  </si>
  <si>
    <t>TIME CONFLICT
Too many pitches!</t>
  </si>
  <si>
    <t>ZEITKONFLIKT
Zu viele Spielplätze!</t>
  </si>
  <si>
    <t xml:space="preserve"> pitches at the same time.</t>
  </si>
  <si>
    <t>(eff. Anz.)</t>
  </si>
  <si>
    <t>Erste Position des doppelten Elements</t>
  </si>
  <si>
    <t>Zweite Position des doppelten Elements</t>
  </si>
  <si>
    <t>Doppeltes Element finden</t>
  </si>
  <si>
    <t xml:space="preserve">TIME CONFLICT for team </t>
  </si>
  <si>
    <t xml:space="preserve">ZEITKONFLIKT für Team </t>
  </si>
  <si>
    <t xml:space="preserve">in matches </t>
  </si>
  <si>
    <t xml:space="preserve">in den Spielen </t>
  </si>
  <si>
    <t xml:space="preserve"> and </t>
  </si>
  <si>
    <t xml:space="preserve"> und </t>
  </si>
  <si>
    <t>*</t>
  </si>
  <si>
    <t>wegen</t>
  </si>
  <si>
    <t>bei drei</t>
  </si>
  <si>
    <t>Spielplätzen</t>
  </si>
  <si>
    <t>due to time</t>
  </si>
  <si>
    <t>conflict at</t>
  </si>
  <si>
    <t>three fields</t>
  </si>
  <si>
    <t>* vertauscht</t>
  </si>
  <si>
    <t>* swapped</t>
  </si>
  <si>
    <t>Anzahl der Spielfelder:</t>
  </si>
  <si>
    <t>Number of fields:</t>
  </si>
  <si>
    <t>Feld</t>
  </si>
  <si>
    <t>Start</t>
  </si>
  <si>
    <t>Beginn</t>
  </si>
  <si>
    <t>End of tournament (final round 3):</t>
  </si>
  <si>
    <t>Turnierende (Endrunde 3):</t>
  </si>
  <si>
    <t>3A</t>
  </si>
  <si>
    <t>1B</t>
  </si>
  <si>
    <t>First and second in the group</t>
  </si>
  <si>
    <t>Gruppenerste und -zweite</t>
  </si>
  <si>
    <t>Third and fourth in the group</t>
  </si>
  <si>
    <t>Gruppendritte und -vierte</t>
  </si>
  <si>
    <t>Fifth and sixth in the group</t>
  </si>
  <si>
    <t>Gruppenfünfte und -sechste</t>
  </si>
  <si>
    <t>1A</t>
  </si>
  <si>
    <t>2A</t>
  </si>
  <si>
    <t>2B</t>
  </si>
  <si>
    <t>3B</t>
  </si>
  <si>
    <t>4A</t>
  </si>
  <si>
    <t>4B</t>
  </si>
  <si>
    <t>5A</t>
  </si>
  <si>
    <t>5B</t>
  </si>
  <si>
    <t>6A</t>
  </si>
  <si>
    <t>6B</t>
  </si>
  <si>
    <t>End of tournament (final round 4):</t>
  </si>
  <si>
    <t>Turnierende (Endrunde 4):</t>
  </si>
  <si>
    <t>VFB Essenheim</t>
  </si>
  <si>
    <t>1st set</t>
  </si>
  <si>
    <t>1. Satz</t>
  </si>
  <si>
    <t>2nd set</t>
  </si>
  <si>
    <t>2. Satz</t>
  </si>
  <si>
    <t>balls</t>
  </si>
  <si>
    <t>Bälle</t>
  </si>
  <si>
    <t>3rd set</t>
  </si>
  <si>
    <t>3. Satz</t>
  </si>
  <si>
    <t>Sets won</t>
  </si>
  <si>
    <t>result</t>
  </si>
  <si>
    <t>Pts+ GD</t>
  </si>
  <si>
    <t>Tie-Break</t>
  </si>
  <si>
    <t>Tie break</t>
  </si>
  <si>
    <t>invalid 1</t>
  </si>
  <si>
    <t>invalid 2</t>
  </si>
  <si>
    <t>invalid 3</t>
  </si>
  <si>
    <t>Tie break final round 4</t>
  </si>
  <si>
    <t>Tie Break Endrunde 4</t>
  </si>
  <si>
    <t>Team IDs</t>
  </si>
  <si>
    <t>Team-Kürzel</t>
  </si>
  <si>
    <t>e.g.  A2 - A4</t>
  </si>
  <si>
    <t>z.B.  A2 - A4</t>
  </si>
  <si>
    <t>Winner</t>
  </si>
  <si>
    <t>Sieger</t>
  </si>
  <si>
    <t>Red font means that the ranking is not clear even with the direct comparison. A playoff match or drawing of lots must decide here.</t>
  </si>
  <si>
    <t>Rote Schrift bedeutet, dass die Rangfolge auch mit dem direkten Vergleich nicht geklärt ist. Ein Entscheidungsspiel oder Los muss hier entscheiden.</t>
  </si>
  <si>
    <t>Ball difference or ball quotient</t>
  </si>
  <si>
    <t>Balldifferenz oder Ballquotient</t>
  </si>
  <si>
    <t>Ball difference</t>
  </si>
  <si>
    <t>Balldifferenz</t>
  </si>
  <si>
    <t>Ball quotient</t>
  </si>
  <si>
    <t>Ballquotient</t>
  </si>
  <si>
    <t>Diff./Quot.</t>
  </si>
  <si>
    <t>max quot.</t>
  </si>
  <si>
    <t>Quot.</t>
  </si>
  <si>
    <t>Nr of dec places</t>
  </si>
  <si>
    <t>Display in the crosstabs of the preliminary round:</t>
  </si>
  <si>
    <t>Anzeige in den Kreuztabellen der Vorrunde:</t>
  </si>
  <si>
    <t>Ball points</t>
  </si>
  <si>
    <t>Ballpunkte</t>
  </si>
  <si>
    <t>Set points</t>
  </si>
  <si>
    <t>Satzpunkte</t>
  </si>
  <si>
    <t>Ball/Set points</t>
  </si>
  <si>
    <t>3rd set?</t>
  </si>
  <si>
    <t>winner</t>
  </si>
  <si>
    <t>looser</t>
  </si>
  <si>
    <t>valid 3</t>
  </si>
  <si>
    <t>valid 1 + 2</t>
  </si>
  <si>
    <t>Diff/Quot</t>
  </si>
  <si>
    <t>Sets lost</t>
  </si>
  <si>
    <t>sets</t>
  </si>
  <si>
    <t>Sätze</t>
  </si>
  <si>
    <t>Schiedsrichter</t>
  </si>
  <si>
    <t>Referee</t>
  </si>
  <si>
    <t>bonus</t>
  </si>
  <si>
    <t>Bonus</t>
  </si>
  <si>
    <t>Set difference as the second criterion?</t>
  </si>
  <si>
    <t>Satzdifferenz als zweites Kriterium?</t>
  </si>
  <si>
    <t>Yes</t>
  </si>
  <si>
    <t>Ja</t>
  </si>
  <si>
    <t>No</t>
  </si>
  <si>
    <t>Nein</t>
  </si>
  <si>
    <t>Setpts.</t>
  </si>
  <si>
    <t>Satzpkt.</t>
  </si>
  <si>
    <t>First criterion for the ranking:</t>
  </si>
  <si>
    <t>Erstes Kriterium für die Rangliste:</t>
  </si>
  <si>
    <t>Number of (victory) points</t>
  </si>
  <si>
    <t>Anzahl der (Sieg-)Punkte</t>
  </si>
  <si>
    <t>Number of sets won</t>
  </si>
  <si>
    <t>Anzahl der gewonnenen Sätze</t>
  </si>
  <si>
    <t>Sets won as the third criterion?</t>
  </si>
  <si>
    <t>Anzahl der gewonnenen Sätze als drittes Kriterium?</t>
  </si>
  <si>
    <t>Only makes sense if the number of (victory) points is the first criterion</t>
  </si>
  <si>
    <t>Nur sinnvoll, wenn die Anzahl der (Sieg-)Punkte 1. Kriterium ist</t>
  </si>
  <si>
    <t>Team numbers</t>
  </si>
  <si>
    <t>Teamnummern</t>
  </si>
  <si>
    <t>Sind zwei oder mehr Mannschaften nicht unterscheidbar und wird eine Entscheidung z.B. durch Los getroffen, genügt es, für die bevorzugte Mannschaft einen Bonuspunkt einzutragen.</t>
  </si>
  <si>
    <t>If two or more teams cannot be distinguished and a decision is made, for example, through drawing lots, it is sufficient to enter a bonus point for the preferred team.</t>
  </si>
  <si>
    <t>Rounded</t>
  </si>
  <si>
    <t>GD/Quot</t>
  </si>
  <si>
    <t>Sets diff</t>
  </si>
  <si>
    <t>rank</t>
  </si>
  <si>
    <t>&lt;-- max(A;B;C;D) --&gt;</t>
  </si>
  <si>
    <t>Pts/Sets won</t>
  </si>
  <si>
    <t>TieBr+PO</t>
  </si>
  <si>
    <t>DirC + TieBr/PO</t>
  </si>
  <si>
    <t>playoffs</t>
  </si>
  <si>
    <t>Sets</t>
  </si>
  <si>
    <t>Balls</t>
  </si>
  <si>
    <t>pts/sets</t>
  </si>
  <si>
    <t>Diff</t>
  </si>
  <si>
    <t>Dzero</t>
  </si>
  <si>
    <t>sets won</t>
  </si>
  <si>
    <t>goals</t>
  </si>
  <si>
    <t xml:space="preserve"> - </t>
  </si>
  <si>
    <t xml:space="preserve"> : </t>
  </si>
  <si>
    <t>Balldifferenz oder Ballquotient:</t>
  </si>
  <si>
    <t>Ball difference or ball quotient:</t>
  </si>
  <si>
    <t>z.B.  1A - 2B</t>
  </si>
  <si>
    <t>e.g.  1A - 2B</t>
  </si>
  <si>
    <t>&lt;-- max(A;B) --&gt;</t>
  </si>
  <si>
    <t>Keine unentschiedenen Sätze:</t>
  </si>
  <si>
    <t>Bei Unentschieden bekommt jedes Team 0,5 Satzpunkte.</t>
  </si>
  <si>
    <t>A draw results in 0.5 set points per team.</t>
  </si>
  <si>
    <t>format 1 + 2</t>
  </si>
  <si>
    <t>format 3</t>
  </si>
  <si>
    <t>Unentschieden bei einzelnen Sätzen in der Vorrunde möglich?</t>
  </si>
  <si>
    <t>Is a draw possible in individual sets during the preliminary round?</t>
  </si>
  <si>
    <t>Unentschieden bei einzelnen Sätzen in der Endrunde möglich?</t>
  </si>
  <si>
    <t>Is a draw possible in individual sets during the final round?</t>
  </si>
  <si>
    <t>valid 1</t>
  </si>
  <si>
    <t>valid 2</t>
  </si>
  <si>
    <t>final result</t>
  </si>
  <si>
    <t>No draws in a set</t>
  </si>
  <si>
    <t>No draws in a set:</t>
  </si>
  <si>
    <t>A draw in a set is possible</t>
  </si>
  <si>
    <t>Conditional formatting</t>
  </si>
  <si>
    <t>o</t>
  </si>
  <si>
    <t>Version  2.1
27.01.2026</t>
  </si>
  <si>
    <t>Organizer:  1. FC Riedwald</t>
  </si>
  <si>
    <t>Sports hall Wiesengrund, Wendiger Str. 51, 65432 Riedwald</t>
  </si>
  <si>
    <t>Start:  9:00 a.m.</t>
  </si>
  <si>
    <t>International tournament U10 on Jan. 27th,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</si>
</sst>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quot;.&quot;"/>
    <numFmt numFmtId="165" formatCode=";;;"/>
    <numFmt numFmtId="166" formatCode="0.0"/>
    <numFmt numFmtId="167" formatCode="h:mm;@"/>
    <numFmt numFmtId="168" formatCode="0.000000"/>
  </numFmts>
  <fonts count="82" x14ac:knownFonts="1">
    <font>
      <sz val="10"/>
      <name val="Arial"/>
    </font>
    <font>
      <sz val="14"/>
      <color theme="1"/>
      <name val="Calibri"/>
      <family val="2"/>
      <scheme val="minor"/>
    </font>
    <font>
      <sz val="14"/>
      <color theme="1"/>
      <name val="Calibri"/>
      <family val="2"/>
      <scheme val="minor"/>
    </font>
    <font>
      <sz val="8"/>
      <name val="Arial"/>
      <family val="2"/>
    </font>
    <font>
      <sz val="10"/>
      <name val="Arial"/>
      <family val="2"/>
    </font>
    <font>
      <sz val="10"/>
      <name val="Calibri"/>
      <family val="2"/>
    </font>
    <font>
      <sz val="14"/>
      <name val="Calibri"/>
      <family val="2"/>
    </font>
    <font>
      <sz val="9"/>
      <color indexed="8"/>
      <name val="Arial"/>
      <family val="2"/>
    </font>
    <font>
      <b/>
      <sz val="9"/>
      <color indexed="8"/>
      <name val="Arial"/>
      <family val="2"/>
    </font>
    <font>
      <b/>
      <sz val="11"/>
      <color rgb="FFFA7D00"/>
      <name val="Calibri"/>
      <family val="2"/>
      <scheme val="minor"/>
    </font>
    <font>
      <b/>
      <sz val="9"/>
      <color rgb="FFC00000"/>
      <name val="Arial"/>
      <family val="2"/>
    </font>
    <font>
      <b/>
      <sz val="9"/>
      <color rgb="FF0070C0"/>
      <name val="Arial"/>
      <family val="2"/>
    </font>
    <font>
      <b/>
      <sz val="8"/>
      <color indexed="8"/>
      <name val="Arial"/>
      <family val="2"/>
    </font>
    <font>
      <sz val="12"/>
      <name val="Calibri"/>
      <family val="2"/>
    </font>
    <font>
      <b/>
      <sz val="12"/>
      <name val="Calibri"/>
      <family val="2"/>
    </font>
    <font>
      <b/>
      <sz val="14"/>
      <color rgb="FF0070C0"/>
      <name val="Calibri"/>
      <family val="2"/>
    </font>
    <font>
      <b/>
      <sz val="14"/>
      <name val="Calibri"/>
      <family val="2"/>
    </font>
    <font>
      <b/>
      <sz val="28"/>
      <name val="Calibri"/>
      <family val="2"/>
    </font>
    <font>
      <sz val="10"/>
      <name val="Calibri"/>
      <family val="2"/>
      <scheme val="minor"/>
    </font>
    <font>
      <b/>
      <sz val="11"/>
      <name val="Calibri"/>
      <family val="2"/>
      <scheme val="minor"/>
    </font>
    <font>
      <sz val="14"/>
      <name val="Calibri"/>
      <family val="2"/>
      <scheme val="minor"/>
    </font>
    <font>
      <sz val="12"/>
      <name val="Calibri"/>
      <family val="2"/>
      <scheme val="minor"/>
    </font>
    <font>
      <sz val="13"/>
      <name val="Calibri"/>
      <family val="2"/>
      <scheme val="minor"/>
    </font>
    <font>
      <sz val="12"/>
      <color theme="1" tint="0.249977111117893"/>
      <name val="Calibri"/>
      <family val="2"/>
      <scheme val="minor"/>
    </font>
    <font>
      <b/>
      <sz val="14"/>
      <color rgb="FF0070C0"/>
      <name val="Calibri"/>
      <family val="2"/>
      <scheme val="minor"/>
    </font>
    <font>
      <b/>
      <sz val="26"/>
      <name val="Calibri"/>
      <family val="2"/>
      <scheme val="minor"/>
    </font>
    <font>
      <sz val="18"/>
      <name val="Calibri"/>
      <family val="2"/>
    </font>
    <font>
      <sz val="10"/>
      <color theme="2" tint="-0.249977111117893"/>
      <name val="Calibri"/>
      <family val="2"/>
      <scheme val="minor"/>
    </font>
    <font>
      <sz val="13"/>
      <name val="Calibri"/>
      <family val="2"/>
    </font>
    <font>
      <sz val="11"/>
      <color rgb="FFDA0000"/>
      <name val="Calibri"/>
      <family val="2"/>
      <scheme val="minor"/>
    </font>
    <font>
      <u/>
      <sz val="10"/>
      <color theme="10"/>
      <name val="Arial"/>
      <family val="2"/>
    </font>
    <font>
      <b/>
      <sz val="12"/>
      <name val="Calibri"/>
      <family val="2"/>
      <scheme val="minor"/>
    </font>
    <font>
      <sz val="11"/>
      <color rgb="FF8C1737"/>
      <name val="Calibri"/>
      <family val="2"/>
      <scheme val="minor"/>
    </font>
    <font>
      <sz val="22"/>
      <color theme="1"/>
      <name val="Calibri"/>
      <family val="2"/>
      <scheme val="minor"/>
    </font>
    <font>
      <sz val="11"/>
      <color rgb="FFC00000"/>
      <name val="Calibri"/>
      <family val="2"/>
      <scheme val="minor"/>
    </font>
    <font>
      <b/>
      <sz val="11"/>
      <color theme="1"/>
      <name val="Calibri"/>
      <family val="2"/>
      <scheme val="minor"/>
    </font>
    <font>
      <b/>
      <sz val="22"/>
      <color theme="1"/>
      <name val="Calibri"/>
      <family val="2"/>
      <scheme val="minor"/>
    </font>
    <font>
      <sz val="11"/>
      <color rgb="FFFF0000"/>
      <name val="Calibri"/>
      <family val="2"/>
      <scheme val="minor"/>
    </font>
    <font>
      <sz val="8"/>
      <color theme="2" tint="-0.249977111117893"/>
      <name val="Calibri"/>
      <family val="2"/>
    </font>
    <font>
      <b/>
      <sz val="10"/>
      <name val="Arial"/>
      <family val="2"/>
    </font>
    <font>
      <b/>
      <sz val="14"/>
      <name val="Calibri"/>
      <family val="2"/>
      <scheme val="minor"/>
    </font>
    <font>
      <sz val="20"/>
      <color theme="0" tint="-0.14999847407452621"/>
      <name val="Calibri"/>
      <family val="2"/>
    </font>
    <font>
      <sz val="8"/>
      <color indexed="8"/>
      <name val="Arial"/>
      <family val="2"/>
    </font>
    <font>
      <b/>
      <sz val="12"/>
      <color rgb="FFFF0000"/>
      <name val="Calibri"/>
      <family val="2"/>
      <scheme val="minor"/>
    </font>
    <font>
      <sz val="10"/>
      <color rgb="FFFF0000"/>
      <name val="Calibri"/>
      <family val="2"/>
      <scheme val="minor"/>
    </font>
    <font>
      <sz val="11"/>
      <color rgb="FF0070C0"/>
      <name val="Calibri"/>
      <family val="2"/>
    </font>
    <font>
      <sz val="12"/>
      <color rgb="FF0070C0"/>
      <name val="Calibri"/>
      <family val="2"/>
      <scheme val="minor"/>
    </font>
    <font>
      <sz val="11"/>
      <color rgb="FF0070C0"/>
      <name val="Calibri"/>
      <family val="2"/>
      <scheme val="minor"/>
    </font>
    <font>
      <b/>
      <sz val="16"/>
      <color rgb="FF0070C0"/>
      <name val="Calibri"/>
      <family val="2"/>
      <scheme val="minor"/>
    </font>
    <font>
      <sz val="12"/>
      <color theme="2" tint="-0.499984740745262"/>
      <name val="Calibri"/>
      <family val="2"/>
    </font>
    <font>
      <sz val="8"/>
      <color theme="5"/>
      <name val="Arial"/>
      <family val="2"/>
    </font>
    <font>
      <b/>
      <sz val="24"/>
      <color theme="4"/>
      <name val="Arial"/>
      <family val="2"/>
    </font>
    <font>
      <b/>
      <sz val="20"/>
      <name val="Arial"/>
      <family val="2"/>
    </font>
    <font>
      <sz val="11"/>
      <name val="Calibri"/>
      <family val="2"/>
      <scheme val="minor"/>
    </font>
    <font>
      <sz val="12"/>
      <name val="Arial"/>
      <family val="2"/>
    </font>
    <font>
      <sz val="11"/>
      <name val="Calibri"/>
      <family val="2"/>
    </font>
    <font>
      <b/>
      <sz val="20"/>
      <color rgb="FF0070C0"/>
      <name val="Calibri"/>
      <family val="2"/>
    </font>
    <font>
      <b/>
      <sz val="48"/>
      <color theme="7" tint="0.79998168889431442"/>
      <name val="Calibri"/>
      <family val="2"/>
    </font>
    <font>
      <b/>
      <sz val="11"/>
      <name val="Calibri"/>
      <family val="2"/>
    </font>
    <font>
      <sz val="10"/>
      <color theme="0" tint="-0.34998626667073579"/>
      <name val="Calibri"/>
      <family val="2"/>
    </font>
    <font>
      <b/>
      <sz val="28"/>
      <name val="Calibri"/>
      <family val="2"/>
      <scheme val="minor"/>
    </font>
    <font>
      <sz val="12"/>
      <color theme="1" tint="0.499984740745262"/>
      <name val="Calibri"/>
      <family val="2"/>
      <scheme val="minor"/>
    </font>
    <font>
      <sz val="18"/>
      <name val="Calibri"/>
      <family val="2"/>
      <scheme val="minor"/>
    </font>
    <font>
      <b/>
      <sz val="48"/>
      <color theme="7" tint="0.79998168889431442"/>
      <name val="Calibri"/>
      <family val="2"/>
      <scheme val="minor"/>
    </font>
    <font>
      <sz val="26"/>
      <name val="Calibri"/>
      <family val="2"/>
      <scheme val="minor"/>
    </font>
    <font>
      <sz val="12"/>
      <color theme="2" tint="-0.499984740745262"/>
      <name val="Calibri"/>
      <family val="2"/>
      <scheme val="minor"/>
    </font>
    <font>
      <sz val="12"/>
      <color rgb="FFDA0000"/>
      <name val="Calibri"/>
      <family val="2"/>
      <scheme val="minor"/>
    </font>
    <font>
      <b/>
      <sz val="14"/>
      <color rgb="FFDA0000"/>
      <name val="Calibri"/>
      <family val="2"/>
      <scheme val="minor"/>
    </font>
    <font>
      <sz val="10"/>
      <color rgb="FFDA0000"/>
      <name val="Arial"/>
      <family val="2"/>
    </font>
    <font>
      <sz val="11"/>
      <color theme="8" tint="-0.249977111117893"/>
      <name val="Calibri"/>
      <family val="2"/>
      <scheme val="minor"/>
    </font>
    <font>
      <b/>
      <sz val="10"/>
      <color rgb="FF0070C0"/>
      <name val="Calibri"/>
      <family val="2"/>
      <scheme val="minor"/>
    </font>
    <font>
      <sz val="11"/>
      <color theme="5" tint="-0.249977111117893"/>
      <name val="Calibri"/>
      <family val="2"/>
      <scheme val="minor"/>
    </font>
    <font>
      <b/>
      <sz val="10"/>
      <name val="Calibri"/>
      <family val="2"/>
      <scheme val="minor"/>
    </font>
    <font>
      <sz val="9"/>
      <color theme="5"/>
      <name val="Calibri"/>
      <family val="2"/>
      <scheme val="minor"/>
    </font>
    <font>
      <b/>
      <sz val="20"/>
      <color rgb="FF0070C0"/>
      <name val="Arial"/>
      <family val="2"/>
    </font>
    <font>
      <b/>
      <sz val="8"/>
      <name val="Arial"/>
      <family val="2"/>
    </font>
    <font>
      <b/>
      <sz val="9"/>
      <name val="Arial"/>
      <family val="2"/>
    </font>
    <font>
      <sz val="9"/>
      <name val="Arial"/>
      <family val="2"/>
    </font>
    <font>
      <sz val="9"/>
      <color theme="5"/>
      <name val="Arial"/>
      <family val="2"/>
    </font>
    <font>
      <b/>
      <sz val="16"/>
      <color rgb="FF0070C0"/>
      <name val="Calibri"/>
      <family val="2"/>
    </font>
    <font>
      <sz val="11"/>
      <color theme="8" tint="-0.499984740745262"/>
      <name val="Calibri"/>
      <family val="2"/>
    </font>
    <font>
      <sz val="10"/>
      <color theme="5"/>
      <name val="Calibri"/>
      <family val="2"/>
    </font>
  </fonts>
  <fills count="2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27"/>
        <bgColor indexed="64"/>
      </patternFill>
    </fill>
    <fill>
      <patternFill patternType="solid">
        <fgColor rgb="FFF2F2F2"/>
      </patternFill>
    </fill>
    <fill>
      <patternFill patternType="solid">
        <fgColor rgb="FFFEFBC2"/>
        <bgColor indexed="64"/>
      </patternFill>
    </fill>
    <fill>
      <patternFill patternType="solid">
        <fgColor theme="2"/>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8F8F8"/>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rgb="FFFDECE3"/>
        <bgColor indexed="64"/>
      </patternFill>
    </fill>
    <fill>
      <patternFill patternType="solid">
        <fgColor theme="9" tint="-0.249977111117893"/>
        <bgColor indexed="64"/>
      </patternFill>
    </fill>
    <fill>
      <patternFill patternType="solid">
        <fgColor rgb="FFFFFFE0"/>
        <bgColor indexed="64"/>
      </patternFill>
    </fill>
    <fill>
      <patternFill patternType="solid">
        <fgColor theme="7" tint="0.39997558519241921"/>
        <bgColor indexed="64"/>
      </patternFill>
    </fill>
    <fill>
      <patternFill patternType="solid">
        <fgColor rgb="FFFFF2C9"/>
        <bgColor indexed="64"/>
      </patternFill>
    </fill>
    <fill>
      <patternFill patternType="solid">
        <fgColor theme="0"/>
        <bgColor indexed="64"/>
      </patternFill>
    </fill>
  </fills>
  <borders count="30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ck">
        <color rgb="FF0070C0"/>
      </left>
      <right/>
      <top style="thick">
        <color rgb="FF0070C0"/>
      </top>
      <bottom/>
      <diagonal/>
    </border>
    <border>
      <left/>
      <right/>
      <top style="thick">
        <color rgb="FF0070C0"/>
      </top>
      <bottom/>
      <diagonal/>
    </border>
    <border>
      <left/>
      <right style="thin">
        <color indexed="64"/>
      </right>
      <top style="thick">
        <color rgb="FF0070C0"/>
      </top>
      <bottom/>
      <diagonal/>
    </border>
    <border>
      <left style="thin">
        <color indexed="64"/>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style="thick">
        <color rgb="FF0070C0"/>
      </left>
      <right/>
      <top/>
      <bottom style="thick">
        <color rgb="FF0070C0"/>
      </bottom>
      <diagonal/>
    </border>
    <border>
      <left/>
      <right/>
      <top/>
      <bottom style="thick">
        <color rgb="FF0070C0"/>
      </bottom>
      <diagonal/>
    </border>
    <border>
      <left style="thin">
        <color indexed="64"/>
      </left>
      <right/>
      <top/>
      <bottom style="thick">
        <color rgb="FF0070C0"/>
      </bottom>
      <diagonal/>
    </border>
    <border>
      <left/>
      <right style="thick">
        <color rgb="FF0070C0"/>
      </right>
      <top/>
      <bottom style="thick">
        <color rgb="FF0070C0"/>
      </bottom>
      <diagonal/>
    </border>
    <border>
      <left style="thick">
        <color rgb="FF9ACA02"/>
      </left>
      <right style="thick">
        <color rgb="FF9ACA02"/>
      </right>
      <top style="thick">
        <color rgb="FF9ACA02"/>
      </top>
      <bottom/>
      <diagonal/>
    </border>
    <border>
      <left style="thick">
        <color rgb="FF9ACA02"/>
      </left>
      <right style="thick">
        <color rgb="FF9ACA02"/>
      </right>
      <top/>
      <bottom/>
      <diagonal/>
    </border>
    <border>
      <left style="thick">
        <color rgb="FF9ACA02"/>
      </left>
      <right style="thick">
        <color rgb="FF9ACA02"/>
      </right>
      <top/>
      <bottom style="thick">
        <color rgb="FF9ACA02"/>
      </bottom>
      <diagonal/>
    </border>
    <border>
      <left/>
      <right/>
      <top/>
      <bottom style="medium">
        <color theme="1" tint="0.499984740745262"/>
      </bottom>
      <diagonal/>
    </border>
    <border>
      <left style="thick">
        <color theme="0" tint="-0.499984740745262"/>
      </left>
      <right/>
      <top style="thick">
        <color theme="0" tint="-0.499984740745262"/>
      </top>
      <bottom/>
      <diagonal/>
    </border>
    <border>
      <left/>
      <right/>
      <top style="thick">
        <color theme="0" tint="-0.499984740745262"/>
      </top>
      <bottom/>
      <diagonal/>
    </border>
    <border>
      <left/>
      <right style="thick">
        <color theme="0" tint="-0.499984740745262"/>
      </right>
      <top style="thick">
        <color theme="0" tint="-0.499984740745262"/>
      </top>
      <bottom/>
      <diagonal/>
    </border>
    <border>
      <left style="thick">
        <color theme="0" tint="-0.499984740745262"/>
      </left>
      <right/>
      <top/>
      <bottom/>
      <diagonal/>
    </border>
    <border>
      <left/>
      <right style="thick">
        <color theme="0" tint="-0.499984740745262"/>
      </right>
      <top/>
      <bottom/>
      <diagonal/>
    </border>
    <border>
      <left style="thick">
        <color theme="0" tint="-0.499984740745262"/>
      </left>
      <right/>
      <top/>
      <bottom style="thick">
        <color theme="0" tint="-0.499984740745262"/>
      </bottom>
      <diagonal/>
    </border>
    <border>
      <left/>
      <right/>
      <top/>
      <bottom style="thick">
        <color theme="0" tint="-0.499984740745262"/>
      </bottom>
      <diagonal/>
    </border>
    <border>
      <left/>
      <right style="thick">
        <color theme="0" tint="-0.499984740745262"/>
      </right>
      <top/>
      <bottom style="thick">
        <color theme="0" tint="-0.499984740745262"/>
      </bottom>
      <diagonal/>
    </border>
    <border>
      <left style="thin">
        <color rgb="FFA50021"/>
      </left>
      <right style="thin">
        <color rgb="FFA50021"/>
      </right>
      <top style="thick">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rgb="FFA50021"/>
      </left>
      <right/>
      <top style="thick">
        <color theme="2" tint="-0.499984740745262"/>
      </top>
      <bottom style="thin">
        <color theme="2" tint="-0.499984740745262"/>
      </bottom>
      <diagonal/>
    </border>
    <border>
      <left style="thin">
        <color theme="2" tint="-0.499984740745262"/>
      </left>
      <right style="thin">
        <color rgb="FFA50021"/>
      </right>
      <top style="thick">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style="thin">
        <color rgb="FFA50021"/>
      </right>
      <top style="thick">
        <color theme="2" tint="-0.499984740745262"/>
      </top>
      <bottom style="thin">
        <color theme="2" tint="-0.499984740745262"/>
      </bottom>
      <diagonal/>
    </border>
    <border>
      <left style="thick">
        <color theme="2" tint="-0.499984740745262"/>
      </left>
      <right style="thin">
        <color theme="2" tint="-0.499984740745262"/>
      </right>
      <top style="thick">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n">
        <color theme="2" tint="-0.499984740745262"/>
      </bottom>
      <diagonal/>
    </border>
    <border>
      <left style="thick">
        <color theme="2" tint="-0.499984740745262"/>
      </left>
      <right style="thin">
        <color theme="2" tint="-0.499984740745262"/>
      </right>
      <top style="thin">
        <color theme="2" tint="-0.499984740745262"/>
      </top>
      <bottom style="thick">
        <color theme="2" tint="-0.499984740745262"/>
      </bottom>
      <diagonal/>
    </border>
    <border>
      <left style="thick">
        <color theme="2" tint="-0.499984740745262"/>
      </left>
      <right/>
      <top style="thick">
        <color theme="2" tint="-0.499984740745262"/>
      </top>
      <bottom/>
      <diagonal/>
    </border>
    <border>
      <left/>
      <right/>
      <top style="thick">
        <color theme="2" tint="-0.499984740745262"/>
      </top>
      <bottom/>
      <diagonal/>
    </border>
    <border>
      <left/>
      <right style="thick">
        <color theme="2" tint="-0.499984740745262"/>
      </right>
      <top style="thick">
        <color theme="2" tint="-0.499984740745262"/>
      </top>
      <bottom/>
      <diagonal/>
    </border>
    <border>
      <left style="thick">
        <color theme="2" tint="-0.499984740745262"/>
      </left>
      <right/>
      <top/>
      <bottom/>
      <diagonal/>
    </border>
    <border>
      <left/>
      <right style="thick">
        <color theme="2" tint="-0.499984740745262"/>
      </right>
      <top/>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2" tint="-0.499984740745262"/>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2" tint="-0.499984740745262"/>
      </right>
      <top style="thin">
        <color theme="2" tint="-0.24994659260841701"/>
      </top>
      <bottom style="thin">
        <color theme="2" tint="-0.24994659260841701"/>
      </bottom>
      <diagonal/>
    </border>
    <border>
      <left style="thick">
        <color theme="2" tint="-0.499984740745262"/>
      </left>
      <right style="thin">
        <color theme="2" tint="-0.24994659260841701"/>
      </right>
      <top style="thin">
        <color theme="2" tint="-0.24994659260841701"/>
      </top>
      <bottom style="thick">
        <color theme="2" tint="-0.499984740745262"/>
      </bottom>
      <diagonal/>
    </border>
    <border>
      <left style="thin">
        <color theme="2" tint="-0.24994659260841701"/>
      </left>
      <right style="thin">
        <color theme="2" tint="-0.24994659260841701"/>
      </right>
      <top style="thin">
        <color theme="2" tint="-0.24994659260841701"/>
      </top>
      <bottom style="thick">
        <color theme="2" tint="-0.499984740745262"/>
      </bottom>
      <diagonal/>
    </border>
    <border>
      <left style="thin">
        <color theme="2" tint="-0.24994659260841701"/>
      </left>
      <right style="thick">
        <color theme="2" tint="-0.499984740745262"/>
      </right>
      <top style="thin">
        <color theme="2" tint="-0.24994659260841701"/>
      </top>
      <bottom style="thick">
        <color theme="2" tint="-0.499984740745262"/>
      </bottom>
      <diagonal/>
    </border>
    <border>
      <left/>
      <right style="thin">
        <color theme="2" tint="-0.24994659260841701"/>
      </right>
      <top style="thin">
        <color theme="2" tint="-0.24994659260841701"/>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2" tint="-0.499984740745262"/>
      </bottom>
      <diagonal/>
    </border>
    <border>
      <left style="thin">
        <color theme="2" tint="-0.24994659260841701"/>
      </left>
      <right/>
      <top style="thin">
        <color theme="2" tint="-0.24994659260841701"/>
      </top>
      <bottom style="thick">
        <color theme="2" tint="-0.499984740745262"/>
      </bottom>
      <diagonal/>
    </border>
    <border>
      <left style="thin">
        <color theme="2" tint="-0.24994659260841701"/>
      </left>
      <right/>
      <top style="thick">
        <color theme="2" tint="-0.499984740745262"/>
      </top>
      <bottom/>
      <diagonal/>
    </border>
    <border>
      <left/>
      <right style="thin">
        <color theme="2" tint="-0.24994659260841701"/>
      </right>
      <top style="thick">
        <color theme="2" tint="-0.499984740745262"/>
      </top>
      <bottom/>
      <diagonal/>
    </border>
    <border>
      <left/>
      <right/>
      <top style="thin">
        <color theme="2" tint="-0.24994659260841701"/>
      </top>
      <bottom style="thin">
        <color theme="2" tint="-0.24994659260841701"/>
      </bottom>
      <diagonal/>
    </border>
    <border>
      <left/>
      <right/>
      <top style="thin">
        <color theme="2" tint="-0.24994659260841701"/>
      </top>
      <bottom style="thick">
        <color theme="2" tint="-0.499984740745262"/>
      </bottom>
      <diagonal/>
    </border>
    <border>
      <left style="thick">
        <color theme="2" tint="-0.499984740745262"/>
      </left>
      <right style="thin">
        <color theme="2" tint="-0.24994659260841701"/>
      </right>
      <top/>
      <bottom style="thin">
        <color theme="2" tint="-0.24994659260841701"/>
      </bottom>
      <diagonal/>
    </border>
    <border>
      <left style="thin">
        <color theme="2" tint="-0.24994659260841701"/>
      </left>
      <right style="thick">
        <color theme="2" tint="-0.499984740745262"/>
      </right>
      <top/>
      <bottom style="thin">
        <color theme="2" tint="-0.24994659260841701"/>
      </bottom>
      <diagonal/>
    </border>
    <border>
      <left style="thick">
        <color theme="2" tint="-0.499984740745262"/>
      </left>
      <right style="thin">
        <color theme="2" tint="-0.24994659260841701"/>
      </right>
      <top style="thin">
        <color theme="2" tint="-0.24994659260841701"/>
      </top>
      <bottom/>
      <diagonal/>
    </border>
    <border>
      <left style="thick">
        <color theme="2" tint="-0.499984740745262"/>
      </left>
      <right style="thin">
        <color theme="2" tint="-0.24994659260841701"/>
      </right>
      <top style="thin">
        <color theme="2" tint="-0.749961851863155"/>
      </top>
      <bottom/>
      <diagonal/>
    </border>
    <border>
      <left style="thick">
        <color theme="2" tint="-0.499984740745262"/>
      </left>
      <right style="thin">
        <color theme="2" tint="-0.24994659260841701"/>
      </right>
      <top style="thick">
        <color theme="2" tint="-0.499984740745262"/>
      </top>
      <bottom/>
      <diagonal/>
    </border>
    <border>
      <left style="thick">
        <color theme="2" tint="-0.499984740745262"/>
      </left>
      <right style="thin">
        <color theme="2" tint="-0.24994659260841701"/>
      </right>
      <top/>
      <bottom style="thin">
        <color theme="2" tint="-0.749961851863155"/>
      </bottom>
      <diagonal/>
    </border>
    <border>
      <left style="thin">
        <color theme="2" tint="-0.24994659260841701"/>
      </left>
      <right style="thick">
        <color theme="2" tint="-0.499984740745262"/>
      </right>
      <top style="thin">
        <color theme="2" tint="-0.24994659260841701"/>
      </top>
      <bottom/>
      <diagonal/>
    </border>
    <border>
      <left style="thin">
        <color theme="2" tint="-0.24994659260841701"/>
      </left>
      <right style="thick">
        <color theme="2" tint="-0.499984740745262"/>
      </right>
      <top style="thin">
        <color theme="2" tint="-0.749961851863155"/>
      </top>
      <bottom/>
      <diagonal/>
    </border>
    <border>
      <left style="thin">
        <color theme="2" tint="-0.24994659260841701"/>
      </left>
      <right style="thick">
        <color theme="2" tint="-0.499984740745262"/>
      </right>
      <top style="thick">
        <color theme="2" tint="-0.499984740745262"/>
      </top>
      <bottom/>
      <diagonal/>
    </border>
    <border>
      <left style="thin">
        <color theme="2" tint="-0.24994659260841701"/>
      </left>
      <right style="thick">
        <color theme="2" tint="-0.499984740745262"/>
      </right>
      <top/>
      <bottom style="thin">
        <color theme="2" tint="-0.749961851863155"/>
      </bottom>
      <diagonal/>
    </border>
    <border>
      <left style="thick">
        <color theme="2" tint="-0.499984740745262"/>
      </left>
      <right style="thin">
        <color theme="2" tint="-0.24994659260841701"/>
      </right>
      <top/>
      <bottom style="thick">
        <color theme="2" tint="-0.499984740745262"/>
      </bottom>
      <diagonal/>
    </border>
    <border>
      <left style="thin">
        <color theme="2" tint="-0.24994659260841701"/>
      </left>
      <right style="thick">
        <color theme="2" tint="-0.499984740745262"/>
      </right>
      <top/>
      <bottom style="thick">
        <color theme="2" tint="-0.499984740745262"/>
      </bottom>
      <diagonal/>
    </border>
    <border>
      <left/>
      <right style="thick">
        <color theme="2" tint="-0.499984740745262"/>
      </right>
      <top style="thin">
        <color theme="2" tint="-0.24994659260841701"/>
      </top>
      <bottom style="thin">
        <color theme="2" tint="-0.24994659260841701"/>
      </bottom>
      <diagonal/>
    </border>
    <border>
      <left style="thin">
        <color theme="2" tint="-0.24994659260841701"/>
      </left>
      <right style="thin">
        <color theme="2" tint="-0.24994659260841701"/>
      </right>
      <top style="thick">
        <color theme="2" tint="-0.499984740745262"/>
      </top>
      <bottom/>
      <diagonal/>
    </border>
    <border>
      <left/>
      <right/>
      <top/>
      <bottom style="thick">
        <color theme="2"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theme="2" tint="-0.24994659260841701"/>
      </top>
      <bottom/>
      <diagonal/>
    </border>
    <border>
      <left/>
      <right style="thick">
        <color theme="2" tint="-0.499984740745262"/>
      </right>
      <top style="thin">
        <color theme="2" tint="-0.24994659260841701"/>
      </top>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bottom/>
      <diagonal/>
    </border>
    <border>
      <left style="thick">
        <color theme="0" tint="-0.499984740745262"/>
      </left>
      <right style="thick">
        <color theme="0" tint="-0.499984740745262"/>
      </right>
      <top/>
      <bottom style="thick">
        <color theme="0" tint="-0.499984740745262"/>
      </bottom>
      <diagonal/>
    </border>
    <border>
      <left style="thin">
        <color theme="2" tint="-0.499984740745262"/>
      </left>
      <right/>
      <top style="thin">
        <color theme="2" tint="-0.499984740745262"/>
      </top>
      <bottom/>
      <diagonal/>
    </border>
    <border>
      <left/>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right/>
      <top/>
      <bottom style="thick">
        <color theme="4"/>
      </bottom>
      <diagonal/>
    </border>
    <border>
      <left style="medium">
        <color theme="4"/>
      </left>
      <right style="medium">
        <color theme="4"/>
      </right>
      <top style="medium">
        <color theme="4"/>
      </top>
      <bottom style="medium">
        <color theme="4"/>
      </bottom>
      <diagonal/>
    </border>
    <border>
      <left/>
      <right style="thick">
        <color theme="4"/>
      </right>
      <top/>
      <bottom/>
      <diagonal/>
    </border>
    <border>
      <left style="thick">
        <color theme="4"/>
      </left>
      <right/>
      <top style="thick">
        <color theme="4"/>
      </top>
      <bottom/>
      <diagonal/>
    </border>
    <border>
      <left/>
      <right/>
      <top style="thick">
        <color theme="4"/>
      </top>
      <bottom/>
      <diagonal/>
    </border>
    <border>
      <left style="medium">
        <color theme="0" tint="-0.14996795556505021"/>
      </left>
      <right style="thick">
        <color theme="4"/>
      </right>
      <top style="thick">
        <color theme="4"/>
      </top>
      <bottom/>
      <diagonal/>
    </border>
    <border>
      <left style="thick">
        <color theme="4"/>
      </left>
      <right/>
      <top/>
      <bottom/>
      <diagonal/>
    </border>
    <border>
      <left style="medium">
        <color theme="0" tint="-0.14996795556505021"/>
      </left>
      <right style="thick">
        <color theme="4"/>
      </right>
      <top/>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6795556505021"/>
      </bottom>
      <diagonal/>
    </border>
    <border>
      <left style="thick">
        <color theme="4"/>
      </left>
      <right/>
      <top style="thin">
        <color theme="0" tint="-0.14996795556505021"/>
      </top>
      <bottom style="thin">
        <color theme="0" tint="-0.14996795556505021"/>
      </bottom>
      <diagonal/>
    </border>
    <border>
      <left/>
      <right style="thick">
        <color theme="4"/>
      </right>
      <top style="thick">
        <color theme="4"/>
      </top>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3743705557422"/>
      </left>
      <right style="medium">
        <color theme="0" tint="-0.1499374370555742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style="medium">
        <color theme="2" tint="-0.499984740745262"/>
      </left>
      <right/>
      <top/>
      <bottom/>
      <diagonal/>
    </border>
    <border>
      <left/>
      <right style="medium">
        <color theme="2" tint="-0.499984740745262"/>
      </right>
      <top/>
      <bottom/>
      <diagonal/>
    </border>
    <border>
      <left style="medium">
        <color theme="2" tint="-0.499984740745262"/>
      </left>
      <right/>
      <top/>
      <bottom style="medium">
        <color theme="2" tint="-0.499984740745262"/>
      </bottom>
      <diagonal/>
    </border>
    <border>
      <left/>
      <right/>
      <top/>
      <bottom style="medium">
        <color theme="2" tint="-0.499984740745262"/>
      </bottom>
      <diagonal/>
    </border>
    <border>
      <left/>
      <right style="medium">
        <color theme="2" tint="-0.499984740745262"/>
      </right>
      <top/>
      <bottom style="medium">
        <color theme="2" tint="-0.499984740745262"/>
      </bottom>
      <diagonal/>
    </border>
    <border>
      <left style="thin">
        <color theme="2" tint="-0.24994659260841701"/>
      </left>
      <right style="thin">
        <color theme="2" tint="-0.24994659260841701"/>
      </right>
      <top style="thin">
        <color theme="2" tint="-0.499984740745262"/>
      </top>
      <bottom style="thin">
        <color theme="2" tint="-0.24994659260841701"/>
      </bottom>
      <diagonal/>
    </border>
    <border>
      <left style="thin">
        <color theme="2" tint="-0.24994659260841701"/>
      </left>
      <right style="thin">
        <color theme="2" tint="-0.24994659260841701"/>
      </right>
      <top style="thick">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right style="thin">
        <color theme="2" tint="-0.24994659260841701"/>
      </right>
      <top style="thick">
        <color theme="2" tint="-0.499984740745262"/>
      </top>
      <bottom style="thin">
        <color theme="2" tint="-0.499984740745262"/>
      </bottom>
      <diagonal/>
    </border>
    <border>
      <left/>
      <right style="thin">
        <color theme="2" tint="-0.24994659260841701"/>
      </right>
      <top style="thin">
        <color theme="2" tint="-0.499984740745262"/>
      </top>
      <bottom style="thin">
        <color theme="2" tint="-0.24994659260841701"/>
      </bottom>
      <diagonal/>
    </border>
    <border>
      <left style="thin">
        <color theme="2" tint="-0.499984740745262"/>
      </left>
      <right style="medium">
        <color theme="2" tint="-0.499984740745262"/>
      </right>
      <top style="thick">
        <color theme="2" tint="-0.499984740745262"/>
      </top>
      <bottom style="thin">
        <color theme="2" tint="-0.499984740745262"/>
      </bottom>
      <diagonal/>
    </border>
    <border>
      <left style="thin">
        <color theme="2" tint="-0.499984740745262"/>
      </left>
      <right style="medium">
        <color theme="2" tint="-0.499984740745262"/>
      </right>
      <top/>
      <bottom style="thin">
        <color theme="2" tint="-0.24994659260841701"/>
      </bottom>
      <diagonal/>
    </border>
    <border>
      <left style="thin">
        <color theme="2" tint="-0.499984740745262"/>
      </left>
      <right style="medium">
        <color theme="2" tint="-0.499984740745262"/>
      </right>
      <top style="thin">
        <color theme="2" tint="-0.24994659260841701"/>
      </top>
      <bottom style="thin">
        <color theme="2" tint="-0.24994659260841701"/>
      </bottom>
      <diagonal/>
    </border>
    <border>
      <left style="thin">
        <color theme="2" tint="-0.499984740745262"/>
      </left>
      <right style="medium">
        <color theme="2" tint="-0.499984740745262"/>
      </right>
      <top style="thin">
        <color theme="2" tint="-0.24994659260841701"/>
      </top>
      <bottom style="thick">
        <color theme="2" tint="-0.499984740745262"/>
      </bottom>
      <diagonal/>
    </border>
    <border>
      <left style="medium">
        <color theme="2" tint="-0.499984740745262"/>
      </left>
      <right style="thin">
        <color theme="2" tint="-0.24994659260841701"/>
      </right>
      <top style="thick">
        <color theme="2" tint="-0.499984740745262"/>
      </top>
      <bottom style="thin">
        <color theme="2" tint="-0.499984740745262"/>
      </bottom>
      <diagonal/>
    </border>
    <border>
      <left/>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499984740745262"/>
      </top>
      <bottom style="thin">
        <color theme="2" tint="-0.24994659260841701"/>
      </bottom>
      <diagonal/>
    </border>
    <border>
      <left style="medium">
        <color theme="2" tint="-0.499984740745262"/>
      </left>
      <right style="thin">
        <color theme="2" tint="-0.24994659260841701"/>
      </right>
      <top style="thin">
        <color theme="2" tint="-0.24994659260841701"/>
      </top>
      <bottom style="thin">
        <color theme="2" tint="-0.24994659260841701"/>
      </bottom>
      <diagonal/>
    </border>
    <border>
      <left/>
      <right style="medium">
        <color theme="2" tint="-0.499984740745262"/>
      </right>
      <top style="thin">
        <color theme="2" tint="-0.24994659260841701"/>
      </top>
      <bottom style="thin">
        <color theme="2" tint="-0.24994659260841701"/>
      </bottom>
      <diagonal/>
    </border>
    <border>
      <left style="medium">
        <color theme="2" tint="-0.499984740745262"/>
      </left>
      <right style="thin">
        <color theme="2" tint="-0.24994659260841701"/>
      </right>
      <top style="thin">
        <color theme="2" tint="-0.24994659260841701"/>
      </top>
      <bottom style="thick">
        <color theme="2" tint="-0.499984740745262"/>
      </bottom>
      <diagonal/>
    </border>
    <border>
      <left style="medium">
        <color theme="2" tint="-0.499984740745262"/>
      </left>
      <right style="thin">
        <color theme="2" tint="-0.24994659260841701"/>
      </right>
      <top style="medium">
        <color theme="2" tint="-0.499984740745262"/>
      </top>
      <bottom style="thick">
        <color theme="2" tint="-0.499984740745262"/>
      </bottom>
      <diagonal/>
    </border>
    <border>
      <left style="thin">
        <color theme="2" tint="-0.24994659260841701"/>
      </left>
      <right style="thin">
        <color theme="2" tint="-0.24994659260841701"/>
      </right>
      <top style="medium">
        <color theme="2" tint="-0.499984740745262"/>
      </top>
      <bottom style="thick">
        <color theme="2" tint="-0.499984740745262"/>
      </bottom>
      <diagonal/>
    </border>
    <border>
      <left style="thin">
        <color theme="2" tint="-0.24994659260841701"/>
      </left>
      <right style="medium">
        <color theme="2" tint="-0.499984740745262"/>
      </right>
      <top style="medium">
        <color theme="2" tint="-0.499984740745262"/>
      </top>
      <bottom style="thick">
        <color theme="2" tint="-0.499984740745262"/>
      </bottom>
      <diagonal/>
    </border>
    <border>
      <left style="thick">
        <color theme="2" tint="-0.499984740745262"/>
      </left>
      <right style="medium">
        <color theme="2" tint="-0.499984740745262"/>
      </right>
      <top style="medium">
        <color theme="2" tint="-0.499984740745262"/>
      </top>
      <bottom style="thin">
        <color theme="2" tint="-0.24994659260841701"/>
      </bottom>
      <diagonal/>
    </border>
    <border>
      <left style="thick">
        <color theme="2" tint="-0.499984740745262"/>
      </left>
      <right style="medium">
        <color theme="2" tint="-0.499984740745262"/>
      </right>
      <top style="thin">
        <color theme="2" tint="-0.24994659260841701"/>
      </top>
      <bottom style="thin">
        <color theme="2" tint="-0.24994659260841701"/>
      </bottom>
      <diagonal/>
    </border>
    <border>
      <left/>
      <right/>
      <top style="thick">
        <color theme="2" tint="-0.499984740745262"/>
      </top>
      <bottom style="thin">
        <color theme="2" tint="-0.499984740745262"/>
      </bottom>
      <diagonal/>
    </border>
    <border>
      <left/>
      <right style="medium">
        <color theme="2" tint="-0.499984740745262"/>
      </right>
      <top style="medium">
        <color theme="2" tint="-0.499984740745262"/>
      </top>
      <bottom style="thin">
        <color theme="2" tint="-0.24994659260841701"/>
      </bottom>
      <diagonal/>
    </border>
    <border>
      <left/>
      <right style="medium">
        <color theme="2" tint="-0.499984740745262"/>
      </right>
      <top style="thin">
        <color theme="2" tint="-0.24994659260841701"/>
      </top>
      <bottom style="medium">
        <color theme="2" tint="-0.499984740745262"/>
      </bottom>
      <diagonal/>
    </border>
    <border>
      <left style="thin">
        <color theme="2" tint="-0.24994659260841701"/>
      </left>
      <right style="thick">
        <color theme="2" tint="-0.499984740745262"/>
      </right>
      <top style="thick">
        <color theme="2" tint="-0.499984740745262"/>
      </top>
      <bottom style="thin">
        <color theme="2" tint="-0.499984740745262"/>
      </bottom>
      <diagonal/>
    </border>
    <border>
      <left style="thin">
        <color theme="2" tint="-0.24994659260841701"/>
      </left>
      <right style="thick">
        <color theme="2" tint="-0.499984740745262"/>
      </right>
      <top style="thin">
        <color theme="2" tint="-0.499984740745262"/>
      </top>
      <bottom style="thin">
        <color theme="2" tint="-0.24994659260841701"/>
      </bottom>
      <diagonal/>
    </border>
    <border>
      <left/>
      <right style="thin">
        <color theme="2" tint="-0.24994659260841701"/>
      </right>
      <top style="medium">
        <color theme="2" tint="-0.499984740745262"/>
      </top>
      <bottom style="thin">
        <color theme="2" tint="-0.24994659260841701"/>
      </bottom>
      <diagonal/>
    </border>
    <border>
      <left style="thin">
        <color theme="2" tint="-0.24994659260841701"/>
      </left>
      <right style="thin">
        <color theme="2" tint="-0.24994659260841701"/>
      </right>
      <top style="medium">
        <color theme="2" tint="-0.499984740745262"/>
      </top>
      <bottom style="thin">
        <color theme="2" tint="-0.24994659260841701"/>
      </bottom>
      <diagonal/>
    </border>
    <border>
      <left style="thin">
        <color theme="2" tint="-0.24994659260841701"/>
      </left>
      <right/>
      <top style="medium">
        <color theme="2" tint="-0.499984740745262"/>
      </top>
      <bottom style="thin">
        <color theme="2" tint="-0.24994659260841701"/>
      </bottom>
      <diagonal/>
    </border>
    <border>
      <left/>
      <right/>
      <top style="medium">
        <color theme="2" tint="-0.499984740745262"/>
      </top>
      <bottom style="thin">
        <color theme="2" tint="-0.24994659260841701"/>
      </bottom>
      <diagonal/>
    </border>
    <border>
      <left style="thin">
        <color theme="2" tint="-0.24994659260841701"/>
      </left>
      <right style="thick">
        <color theme="2" tint="-0.499984740745262"/>
      </right>
      <top style="medium">
        <color theme="2" tint="-0.499984740745262"/>
      </top>
      <bottom style="thin">
        <color theme="2" tint="-0.24994659260841701"/>
      </bottom>
      <diagonal/>
    </border>
    <border>
      <left style="thick">
        <color theme="2" tint="-0.499984740745262"/>
      </left>
      <right style="thin">
        <color theme="2" tint="-0.24994659260841701"/>
      </right>
      <top style="medium">
        <color theme="2" tint="-0.499984740745262"/>
      </top>
      <bottom style="thin">
        <color theme="2" tint="-0.24994659260841701"/>
      </bottom>
      <diagonal/>
    </border>
    <border>
      <left style="thick">
        <color theme="2" tint="-0.499984740745262"/>
      </left>
      <right/>
      <top style="thick">
        <color theme="2" tint="-0.499984740745262"/>
      </top>
      <bottom style="thin">
        <color theme="2" tint="-0.24994659260841701"/>
      </bottom>
      <diagonal/>
    </border>
    <border>
      <left/>
      <right/>
      <top style="thick">
        <color theme="2" tint="-0.499984740745262"/>
      </top>
      <bottom style="thin">
        <color theme="2" tint="-0.24994659260841701"/>
      </bottom>
      <diagonal/>
    </border>
    <border>
      <left/>
      <right style="thick">
        <color theme="2" tint="-0.499984740745262"/>
      </right>
      <top style="thick">
        <color theme="2" tint="-0.499984740745262"/>
      </top>
      <bottom style="thin">
        <color theme="2" tint="-0.24994659260841701"/>
      </bottom>
      <diagonal/>
    </border>
    <border>
      <left style="thick">
        <color theme="2" tint="-0.499984740745262"/>
      </left>
      <right/>
      <top style="thin">
        <color theme="2" tint="-0.24994659260841701"/>
      </top>
      <bottom style="thin">
        <color theme="2" tint="-0.24994659260841701"/>
      </bottom>
      <diagonal/>
    </border>
    <border>
      <left style="thick">
        <color theme="2" tint="-0.499984740745262"/>
      </left>
      <right/>
      <top style="thin">
        <color theme="2" tint="-0.24994659260841701"/>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right style="thick">
        <color theme="2" tint="-0.499984740745262"/>
      </right>
      <top/>
      <bottom style="thin">
        <color theme="2" tint="-0.24994659260841701"/>
      </bottom>
      <diagonal/>
    </border>
    <border>
      <left style="thick">
        <color theme="2" tint="-0.499984740745262"/>
      </left>
      <right style="thin">
        <color theme="2" tint="-0.24994659260841701"/>
      </right>
      <top style="thick">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style="medium">
        <color theme="2" tint="-0.499984740745262"/>
      </left>
      <right/>
      <top style="medium">
        <color theme="2" tint="-0.499984740745262"/>
      </top>
      <bottom/>
      <diagonal/>
    </border>
    <border>
      <left/>
      <right style="medium">
        <color theme="2" tint="-0.499984740745262"/>
      </right>
      <top style="medium">
        <color theme="2" tint="-0.499984740745262"/>
      </top>
      <bottom/>
      <diagonal/>
    </border>
    <border>
      <left/>
      <right style="medium">
        <color theme="2" tint="-0.499984740745262"/>
      </right>
      <top style="medium">
        <color theme="2" tint="-0.499984740745262"/>
      </top>
      <bottom style="medium">
        <color theme="2" tint="-0.499984740745262"/>
      </bottom>
      <diagonal/>
    </border>
    <border>
      <left style="medium">
        <color theme="0" tint="-0.14996795556505021"/>
      </left>
      <right style="medium">
        <color theme="0" tint="-0.14996795556505021"/>
      </right>
      <top style="thick">
        <color theme="4"/>
      </top>
      <bottom/>
      <diagonal/>
    </border>
    <border>
      <left style="medium">
        <color theme="0" tint="-0.14996795556505021"/>
      </left>
      <right style="medium">
        <color theme="0" tint="-0.14996795556505021"/>
      </right>
      <top/>
      <bottom style="thick">
        <color theme="4"/>
      </bottom>
      <diagonal/>
    </border>
    <border>
      <left style="thin">
        <color theme="5"/>
      </left>
      <right style="thin">
        <color theme="5"/>
      </right>
      <top style="thin">
        <color theme="5"/>
      </top>
      <bottom style="thin">
        <color theme="5"/>
      </bottom>
      <diagonal/>
    </border>
    <border>
      <left style="thin">
        <color theme="2" tint="-0.24994659260841701"/>
      </left>
      <right/>
      <top/>
      <bottom style="thick">
        <color theme="2" tint="-0.49998474074526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ck">
        <color theme="4"/>
      </left>
      <right/>
      <top style="thin">
        <color theme="0" tint="-0.14996795556505021"/>
      </top>
      <bottom style="thin">
        <color theme="0" tint="-0.14993743705557422"/>
      </bottom>
      <diagonal/>
    </border>
    <border>
      <left style="medium">
        <color theme="0" tint="-0.14993743705557422"/>
      </left>
      <right style="medium">
        <color theme="0" tint="-0.14993743705557422"/>
      </right>
      <top style="thin">
        <color theme="0" tint="-0.14996795556505021"/>
      </top>
      <bottom style="thin">
        <color theme="0" tint="-0.14993743705557422"/>
      </bottom>
      <diagonal/>
    </border>
    <border>
      <left style="thick">
        <color theme="4"/>
      </left>
      <right/>
      <top style="thin">
        <color theme="0" tint="-0.14993743705557422"/>
      </top>
      <bottom style="thin">
        <color theme="0" tint="-0.14993743705557422"/>
      </bottom>
      <diagonal/>
    </border>
    <border>
      <left style="medium">
        <color theme="0" tint="-0.14993743705557422"/>
      </left>
      <right/>
      <top style="thin">
        <color theme="0" tint="-0.14993743705557422"/>
      </top>
      <bottom style="thin">
        <color theme="0" tint="-0.14993743705557422"/>
      </bottom>
      <diagonal/>
    </border>
    <border>
      <left style="medium">
        <color theme="0" tint="-0.14996795556505021"/>
      </left>
      <right style="thick">
        <color theme="4"/>
      </right>
      <top style="thin">
        <color theme="0" tint="-0.14993743705557422"/>
      </top>
      <bottom style="thin">
        <color theme="0" tint="-0.14993743705557422"/>
      </bottom>
      <diagonal/>
    </border>
    <border>
      <left style="medium">
        <color theme="0" tint="-0.14993743705557422"/>
      </left>
      <right style="medium">
        <color theme="0" tint="-0.14996795556505021"/>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top style="thin">
        <color theme="0" tint="-0.14993743705557422"/>
      </top>
      <bottom style="thick">
        <color theme="4"/>
      </bottom>
      <diagonal/>
    </border>
    <border>
      <left/>
      <right style="thick">
        <color theme="4"/>
      </right>
      <top style="thin">
        <color theme="0" tint="-0.14993743705557422"/>
      </top>
      <bottom style="thin">
        <color theme="0" tint="-0.14993743705557422"/>
      </bottom>
      <diagonal/>
    </border>
    <border>
      <left style="thick">
        <color theme="4"/>
      </left>
      <right/>
      <top style="thin">
        <color theme="0" tint="-0.14993743705557422"/>
      </top>
      <bottom style="thick">
        <color theme="4"/>
      </bottom>
      <diagonal/>
    </border>
    <border>
      <left/>
      <right style="thick">
        <color theme="4"/>
      </right>
      <top style="thin">
        <color theme="0" tint="-0.14993743705557422"/>
      </top>
      <bottom style="thick">
        <color theme="4"/>
      </bottom>
      <diagonal/>
    </border>
    <border>
      <left style="thick">
        <color theme="4"/>
      </left>
      <right/>
      <top style="thin">
        <color theme="0" tint="-0.14993743705557422"/>
      </top>
      <bottom/>
      <diagonal/>
    </border>
    <border>
      <left/>
      <right/>
      <top style="thin">
        <color theme="0" tint="-0.14993743705557422"/>
      </top>
      <bottom/>
      <diagonal/>
    </border>
    <border>
      <left/>
      <right style="thick">
        <color theme="4"/>
      </right>
      <top style="thin">
        <color theme="0" tint="-0.14993743705557422"/>
      </top>
      <bottom/>
      <diagonal/>
    </border>
    <border>
      <left style="thick">
        <color theme="0" tint="-0.499984740745262"/>
      </left>
      <right style="thick">
        <color theme="0" tint="-0.499984740745262"/>
      </right>
      <top style="thick">
        <color rgb="FFFF0000"/>
      </top>
      <bottom/>
      <diagonal/>
    </border>
    <border>
      <left style="thick">
        <color theme="0" tint="-0.499984740745262"/>
      </left>
      <right/>
      <top style="thick">
        <color rgb="FFFF0000"/>
      </top>
      <bottom/>
      <diagonal/>
    </border>
    <border>
      <left/>
      <right/>
      <top style="thick">
        <color rgb="FFFF0000"/>
      </top>
      <bottom/>
      <diagonal/>
    </border>
    <border>
      <left/>
      <right style="thick">
        <color theme="0" tint="-0.499984740745262"/>
      </right>
      <top style="thick">
        <color rgb="FFFF0000"/>
      </top>
      <bottom/>
      <diagonal/>
    </border>
    <border>
      <left/>
      <right style="thick">
        <color theme="2" tint="-0.499984740745262"/>
      </right>
      <top style="thick">
        <color rgb="FFFF0000"/>
      </top>
      <bottom/>
      <diagonal/>
    </border>
    <border>
      <left style="thick">
        <color theme="2" tint="-0.499984740745262"/>
      </left>
      <right/>
      <top style="thick">
        <color rgb="FFFF0000"/>
      </top>
      <bottom/>
      <diagonal/>
    </border>
    <border>
      <left style="thick">
        <color theme="2" tint="-0.499984740745262"/>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thin">
        <color theme="2" tint="-0.24994659260841701"/>
      </top>
      <bottom/>
      <diagonal/>
    </border>
    <border>
      <left style="thick">
        <color theme="2" tint="-0.499984740745262"/>
      </left>
      <right/>
      <top style="thin">
        <color theme="2" tint="-0.24994659260841701"/>
      </top>
      <bottom style="thick">
        <color theme="2" tint="-0.499984740745262"/>
      </bottom>
      <diagonal/>
    </border>
    <border>
      <left/>
      <right style="thick">
        <color theme="2" tint="-0.499984740745262"/>
      </right>
      <top style="thin">
        <color theme="2" tint="-0.24994659260841701"/>
      </top>
      <bottom style="thick">
        <color theme="2" tint="-0.499984740745262"/>
      </bottom>
      <diagonal/>
    </border>
    <border>
      <left style="thin">
        <color theme="2" tint="-0.24994659260841701"/>
      </left>
      <right style="thin">
        <color theme="2" tint="-0.24994659260841701"/>
      </right>
      <top/>
      <bottom style="thin">
        <color theme="2" tint="-0.24994659260841701"/>
      </bottom>
      <diagonal/>
    </border>
    <border>
      <left style="thin">
        <color theme="2" tint="-0.24994659260841701"/>
      </left>
      <right style="thin">
        <color theme="2" tint="-0.24994659260841701"/>
      </right>
      <top/>
      <bottom style="thick">
        <color theme="2" tint="-0.499984740745262"/>
      </bottom>
      <diagonal/>
    </border>
    <border>
      <left style="thin">
        <color theme="2" tint="-0.499984740745262"/>
      </left>
      <right/>
      <top/>
      <bottom style="thin">
        <color theme="2" tint="-0.24994659260841701"/>
      </bottom>
      <diagonal/>
    </border>
    <border>
      <left style="thin">
        <color theme="2" tint="-0.499984740745262"/>
      </left>
      <right/>
      <top style="thin">
        <color theme="2" tint="-0.24994659260841701"/>
      </top>
      <bottom style="thin">
        <color theme="2" tint="-0.24994659260841701"/>
      </bottom>
      <diagonal/>
    </border>
    <border>
      <left style="thin">
        <color theme="2" tint="-0.499984740745262"/>
      </left>
      <right/>
      <top style="thin">
        <color theme="2" tint="-0.24994659260841701"/>
      </top>
      <bottom style="thick">
        <color theme="2" tint="-0.499984740745262"/>
      </bottom>
      <diagonal/>
    </border>
    <border>
      <left/>
      <right/>
      <top style="thin">
        <color theme="7"/>
      </top>
      <bottom style="thin">
        <color theme="7"/>
      </bottom>
      <diagonal/>
    </border>
    <border>
      <left style="thin">
        <color theme="2" tint="-0.499984740745262"/>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24994659260841701"/>
      </right>
      <top style="thin">
        <color theme="2" tint="-0.499984740745262"/>
      </top>
      <bottom style="thick">
        <color theme="2" tint="-0.499984740745262"/>
      </bottom>
      <diagonal/>
    </border>
    <border>
      <left style="thin">
        <color theme="2" tint="-0.24994659260841701"/>
      </left>
      <right style="thin">
        <color theme="2" tint="-0.499984740745262"/>
      </right>
      <top style="thin">
        <color theme="2" tint="-0.499984740745262"/>
      </top>
      <bottom style="thick">
        <color theme="2" tint="-0.499984740745262"/>
      </bottom>
      <diagonal/>
    </border>
    <border>
      <left style="thin">
        <color theme="2" tint="-0.24994659260841701"/>
      </left>
      <right style="thin">
        <color theme="2" tint="-0.24994659260841701"/>
      </right>
      <top style="thick">
        <color theme="2" tint="-0.499984740745262"/>
      </top>
      <bottom style="thin">
        <color theme="2" tint="-0.24994659260841701"/>
      </bottom>
      <diagonal/>
    </border>
    <border>
      <left style="thin">
        <color theme="2" tint="-0.24994659260841701"/>
      </left>
      <right/>
      <top style="thick">
        <color theme="2" tint="-0.499984740745262"/>
      </top>
      <bottom style="thin">
        <color theme="2" tint="-0.24994659260841701"/>
      </bottom>
      <diagonal/>
    </border>
    <border>
      <left/>
      <right style="thin">
        <color theme="2" tint="-0.24994659260841701"/>
      </right>
      <top style="thick">
        <color theme="2" tint="-0.499984740745262"/>
      </top>
      <bottom style="thin">
        <color theme="2" tint="-0.24994659260841701"/>
      </bottom>
      <diagonal/>
    </border>
    <border>
      <left style="thin">
        <color theme="2" tint="-0.24994659260841701"/>
      </left>
      <right/>
      <top style="thin">
        <color theme="2" tint="-0.499984740745262"/>
      </top>
      <bottom style="thin">
        <color theme="2" tint="-0.24994659260841701"/>
      </bottom>
      <diagonal/>
    </border>
    <border>
      <left/>
      <right style="thick">
        <color theme="2" tint="-0.499984740745262"/>
      </right>
      <top style="thin">
        <color theme="2" tint="-0.499984740745262"/>
      </top>
      <bottom style="thin">
        <color theme="2" tint="-0.24994659260841701"/>
      </bottom>
      <diagonal/>
    </border>
    <border>
      <left style="thick">
        <color theme="2" tint="-0.499984740745262"/>
      </left>
      <right/>
      <top style="thin">
        <color theme="2" tint="-0.499984740745262"/>
      </top>
      <bottom style="thin">
        <color theme="2" tint="-0.24994659260841701"/>
      </bottom>
      <diagonal/>
    </border>
    <border>
      <left style="medium">
        <color auto="1"/>
      </left>
      <right style="thin">
        <color theme="2" tint="-0.24994659260841701"/>
      </right>
      <top style="medium">
        <color auto="1"/>
      </top>
      <bottom style="thin">
        <color theme="2" tint="-0.24994659260841701"/>
      </bottom>
      <diagonal/>
    </border>
    <border>
      <left style="thin">
        <color theme="2" tint="-0.24994659260841701"/>
      </left>
      <right style="thin">
        <color theme="2" tint="-0.24994659260841701"/>
      </right>
      <top style="medium">
        <color auto="1"/>
      </top>
      <bottom style="thin">
        <color theme="2" tint="-0.24994659260841701"/>
      </bottom>
      <diagonal/>
    </border>
    <border>
      <left style="medium">
        <color auto="1"/>
      </left>
      <right style="thin">
        <color theme="2" tint="-0.24994659260841701"/>
      </right>
      <top style="thin">
        <color theme="2" tint="-0.24994659260841701"/>
      </top>
      <bottom style="thin">
        <color theme="2" tint="-0.24994659260841701"/>
      </bottom>
      <diagonal/>
    </border>
    <border>
      <left style="thick">
        <color theme="2" tint="-0.24994659260841701"/>
      </left>
      <right style="medium">
        <color auto="1"/>
      </right>
      <top style="thick">
        <color theme="2" tint="-0.24994659260841701"/>
      </top>
      <bottom style="medium">
        <color auto="1"/>
      </bottom>
      <diagonal/>
    </border>
    <border>
      <left/>
      <right/>
      <top style="thick">
        <color theme="2" tint="-0.24994659260841701"/>
      </top>
      <bottom style="medium">
        <color auto="1"/>
      </bottom>
      <diagonal/>
    </border>
    <border>
      <left/>
      <right style="thick">
        <color theme="2" tint="-0.24994659260841701"/>
      </right>
      <top style="thick">
        <color theme="2" tint="-0.24994659260841701"/>
      </top>
      <bottom style="medium">
        <color auto="1"/>
      </bottom>
      <diagonal/>
    </border>
    <border>
      <left style="thick">
        <color theme="2" tint="-0.24994659260841701"/>
      </left>
      <right style="medium">
        <color auto="1"/>
      </right>
      <top/>
      <bottom/>
      <diagonal/>
    </border>
    <border>
      <left style="thin">
        <color theme="2" tint="-0.24994659260841701"/>
      </left>
      <right style="thick">
        <color theme="2" tint="-0.24994659260841701"/>
      </right>
      <top style="medium">
        <color auto="1"/>
      </top>
      <bottom style="thin">
        <color theme="2" tint="-0.24994659260841701"/>
      </bottom>
      <diagonal/>
    </border>
    <border>
      <left style="thin">
        <color theme="2" tint="-0.24994659260841701"/>
      </left>
      <right style="thick">
        <color theme="2" tint="-0.24994659260841701"/>
      </right>
      <top style="thin">
        <color theme="2" tint="-0.24994659260841701"/>
      </top>
      <bottom style="thin">
        <color theme="2" tint="-0.24994659260841701"/>
      </bottom>
      <diagonal/>
    </border>
    <border>
      <left style="thick">
        <color theme="2" tint="-0.24994659260841701"/>
      </left>
      <right style="medium">
        <color auto="1"/>
      </right>
      <top/>
      <bottom style="thick">
        <color theme="2" tint="-0.24994659260841701"/>
      </bottom>
      <diagonal/>
    </border>
    <border>
      <left style="medium">
        <color auto="1"/>
      </left>
      <right style="thin">
        <color theme="2" tint="-0.24994659260841701"/>
      </right>
      <top style="thin">
        <color theme="2" tint="-0.24994659260841701"/>
      </top>
      <bottom style="thick">
        <color theme="2" tint="-0.24994659260841701"/>
      </bottom>
      <diagonal/>
    </border>
    <border>
      <left style="thin">
        <color theme="2" tint="-0.24994659260841701"/>
      </left>
      <right style="thin">
        <color theme="2" tint="-0.24994659260841701"/>
      </right>
      <top style="thin">
        <color theme="2" tint="-0.24994659260841701"/>
      </top>
      <bottom style="thick">
        <color theme="2" tint="-0.24994659260841701"/>
      </bottom>
      <diagonal/>
    </border>
    <border>
      <left style="thin">
        <color theme="2" tint="-0.24994659260841701"/>
      </left>
      <right style="thick">
        <color theme="2" tint="-0.24994659260841701"/>
      </right>
      <top style="thin">
        <color theme="2" tint="-0.24994659260841701"/>
      </top>
      <bottom style="thick">
        <color theme="2" tint="-0.24994659260841701"/>
      </bottom>
      <diagonal/>
    </border>
    <border>
      <left style="thick">
        <color theme="2" tint="-0.499984740745262"/>
      </left>
      <right/>
      <top style="medium">
        <color theme="2" tint="-0.499984740745262"/>
      </top>
      <bottom style="thin">
        <color theme="2" tint="-0.24994659260841701"/>
      </bottom>
      <diagonal/>
    </border>
    <border>
      <left/>
      <right style="thick">
        <color theme="2" tint="-0.499984740745262"/>
      </right>
      <top style="medium">
        <color theme="2" tint="-0.499984740745262"/>
      </top>
      <bottom style="thin">
        <color theme="2" tint="-0.24994659260841701"/>
      </bottom>
      <diagonal/>
    </border>
    <border>
      <left style="thick">
        <color theme="2" tint="-0.499984740745262"/>
      </left>
      <right/>
      <top style="thin">
        <color theme="2" tint="-0.24994659260841701"/>
      </top>
      <bottom style="medium">
        <color theme="2" tint="-0.499984740745262"/>
      </bottom>
      <diagonal/>
    </border>
    <border>
      <left/>
      <right style="thick">
        <color theme="2" tint="-0.499984740745262"/>
      </right>
      <top style="thin">
        <color theme="2" tint="-0.24994659260841701"/>
      </top>
      <bottom style="medium">
        <color theme="2" tint="-0.499984740745262"/>
      </bottom>
      <diagonal/>
    </border>
    <border>
      <left style="thick">
        <color theme="2" tint="-0.499984740745262"/>
      </left>
      <right/>
      <top/>
      <bottom style="thin">
        <color theme="2" tint="-0.24994659260841701"/>
      </bottom>
      <diagonal/>
    </border>
    <border>
      <left style="thick">
        <color theme="7"/>
      </left>
      <right style="thick">
        <color theme="7"/>
      </right>
      <top style="thick">
        <color theme="7"/>
      </top>
      <bottom style="thick">
        <color theme="7"/>
      </bottom>
      <diagonal/>
    </border>
    <border>
      <left style="thick">
        <color theme="2" tint="-0.499984740745262"/>
      </left>
      <right style="medium">
        <color theme="2" tint="-0.499984740745262"/>
      </right>
      <top style="thin">
        <color theme="2" tint="-0.24994659260841701"/>
      </top>
      <bottom style="thick">
        <color theme="2" tint="-0.499984740745262"/>
      </bottom>
      <diagonal/>
    </border>
    <border>
      <left style="thin">
        <color theme="2" tint="-0.24994659260841701"/>
      </left>
      <right style="medium">
        <color theme="2" tint="-0.499984740745262"/>
      </right>
      <top style="thin">
        <color theme="2" tint="-0.499984740745262"/>
      </top>
      <bottom style="thin">
        <color theme="2" tint="-0.24994659260841701"/>
      </bottom>
      <diagonal/>
    </border>
    <border>
      <left style="thin">
        <color theme="2" tint="-0.24994659260841701"/>
      </left>
      <right style="medium">
        <color theme="2" tint="-0.499984740745262"/>
      </right>
      <top style="thin">
        <color theme="2" tint="-0.24994659260841701"/>
      </top>
      <bottom style="thin">
        <color theme="2" tint="-0.24994659260841701"/>
      </bottom>
      <diagonal/>
    </border>
    <border>
      <left style="thin">
        <color theme="2" tint="-0.24994659260841701"/>
      </left>
      <right style="medium">
        <color theme="2" tint="-0.499984740745262"/>
      </right>
      <top style="thin">
        <color theme="2" tint="-0.24994659260841701"/>
      </top>
      <bottom style="thick">
        <color theme="2" tint="-0.499984740745262"/>
      </bottom>
      <diagonal/>
    </border>
    <border>
      <left style="thick">
        <color theme="7"/>
      </left>
      <right/>
      <top style="thick">
        <color theme="7"/>
      </top>
      <bottom style="thin">
        <color theme="7"/>
      </bottom>
      <diagonal/>
    </border>
    <border>
      <left/>
      <right/>
      <top style="thick">
        <color theme="7"/>
      </top>
      <bottom style="thin">
        <color theme="7"/>
      </bottom>
      <diagonal/>
    </border>
    <border>
      <left/>
      <right style="thick">
        <color theme="7"/>
      </right>
      <top style="thick">
        <color theme="7"/>
      </top>
      <bottom style="thin">
        <color theme="7"/>
      </bottom>
      <diagonal/>
    </border>
    <border>
      <left style="thick">
        <color theme="7"/>
      </left>
      <right/>
      <top style="thin">
        <color theme="7"/>
      </top>
      <bottom style="thin">
        <color theme="7"/>
      </bottom>
      <diagonal/>
    </border>
    <border>
      <left/>
      <right style="thick">
        <color theme="7"/>
      </right>
      <top style="thin">
        <color theme="7"/>
      </top>
      <bottom style="thin">
        <color theme="7"/>
      </bottom>
      <diagonal/>
    </border>
    <border>
      <left style="thick">
        <color theme="7"/>
      </left>
      <right/>
      <top style="thin">
        <color theme="7"/>
      </top>
      <bottom style="thick">
        <color theme="7"/>
      </bottom>
      <diagonal/>
    </border>
    <border>
      <left/>
      <right/>
      <top style="thin">
        <color theme="7"/>
      </top>
      <bottom style="thick">
        <color theme="7"/>
      </bottom>
      <diagonal/>
    </border>
    <border>
      <left/>
      <right style="thick">
        <color theme="7"/>
      </right>
      <top style="thin">
        <color theme="7"/>
      </top>
      <bottom style="thick">
        <color theme="7"/>
      </bottom>
      <diagonal/>
    </border>
    <border>
      <left/>
      <right/>
      <top style="thick">
        <color theme="2" tint="-0.499984740745262"/>
      </top>
      <bottom style="thick">
        <color theme="2" tint="-0.499984740745262"/>
      </bottom>
      <diagonal/>
    </border>
    <border>
      <left/>
      <right/>
      <top/>
      <bottom style="medium">
        <color auto="1"/>
      </bottom>
      <diagonal/>
    </border>
    <border>
      <left style="medium">
        <color theme="7"/>
      </left>
      <right style="medium">
        <color theme="7"/>
      </right>
      <top style="medium">
        <color theme="7"/>
      </top>
      <bottom style="medium">
        <color theme="7"/>
      </bottom>
      <diagonal/>
    </border>
    <border>
      <left style="thin">
        <color theme="2" tint="-0.24994659260841701"/>
      </left>
      <right/>
      <top style="thick">
        <color theme="2" tint="-0.499984740745262"/>
      </top>
      <bottom style="thin">
        <color theme="2" tint="-0.499984740745262"/>
      </bottom>
      <diagonal/>
    </border>
    <border>
      <left style="thick">
        <color theme="2" tint="-0.499984740745262"/>
      </left>
      <right/>
      <top style="thick">
        <color theme="2" tint="-0.499984740745262"/>
      </top>
      <bottom style="medium">
        <color theme="2" tint="-0.499984740745262"/>
      </bottom>
      <diagonal/>
    </border>
    <border>
      <left/>
      <right style="thick">
        <color theme="2" tint="-0.499984740745262"/>
      </right>
      <top style="thick">
        <color theme="2" tint="-0.499984740745262"/>
      </top>
      <bottom style="medium">
        <color theme="2" tint="-0.499984740745262"/>
      </bottom>
      <diagonal/>
    </border>
    <border>
      <left style="thin">
        <color theme="2" tint="-0.24994659260841701"/>
      </left>
      <right/>
      <top style="thick">
        <color theme="2" tint="-0.499984740745262"/>
      </top>
      <bottom style="medium">
        <color theme="2" tint="-0.499984740745262"/>
      </bottom>
      <diagonal/>
    </border>
    <border>
      <left/>
      <right/>
      <top style="thick">
        <color theme="2" tint="-0.499984740745262"/>
      </top>
      <bottom style="medium">
        <color theme="2" tint="-0.499984740745262"/>
      </bottom>
      <diagonal/>
    </border>
    <border>
      <left/>
      <right style="thin">
        <color theme="2" tint="-0.24994659260841701"/>
      </right>
      <top style="thick">
        <color theme="2" tint="-0.499984740745262"/>
      </top>
      <bottom style="medium">
        <color theme="2" tint="-0.499984740745262"/>
      </bottom>
      <diagonal/>
    </border>
    <border>
      <left/>
      <right style="thin">
        <color theme="2" tint="-0.24994659260841701"/>
      </right>
      <top/>
      <bottom/>
      <diagonal/>
    </border>
    <border>
      <left/>
      <right style="thin">
        <color theme="2" tint="-0.24994659260841701"/>
      </right>
      <top/>
      <bottom style="thick">
        <color theme="2" tint="-0.499984740745262"/>
      </bottom>
      <diagonal/>
    </border>
    <border>
      <left style="thin">
        <color theme="2" tint="-0.24994659260841701"/>
      </left>
      <right/>
      <top style="medium">
        <color theme="2" tint="-0.499984740745262"/>
      </top>
      <bottom style="thick">
        <color theme="2" tint="-0.499984740745262"/>
      </bottom>
      <diagonal/>
    </border>
    <border>
      <left/>
      <right/>
      <top style="medium">
        <color theme="2" tint="-0.499984740745262"/>
      </top>
      <bottom style="thick">
        <color theme="2" tint="-0.499984740745262"/>
      </bottom>
      <diagonal/>
    </border>
    <border>
      <left/>
      <right style="medium">
        <color theme="2" tint="-0.499984740745262"/>
      </right>
      <top style="medium">
        <color theme="2" tint="-0.499984740745262"/>
      </top>
      <bottom style="thick">
        <color theme="2" tint="-0.499984740745262"/>
      </bottom>
      <diagonal/>
    </border>
    <border>
      <left/>
      <right style="thick">
        <color theme="7"/>
      </right>
      <top/>
      <bottom/>
      <diagonal/>
    </border>
    <border>
      <left style="thick">
        <color theme="9" tint="0.39994506668294322"/>
      </left>
      <right/>
      <top style="thick">
        <color theme="9" tint="0.39991454817346722"/>
      </top>
      <bottom/>
      <diagonal/>
    </border>
    <border>
      <left/>
      <right/>
      <top style="thick">
        <color theme="9" tint="0.39991454817346722"/>
      </top>
      <bottom/>
      <diagonal/>
    </border>
    <border>
      <left/>
      <right style="thick">
        <color theme="9" tint="0.39991454817346722"/>
      </right>
      <top style="thick">
        <color theme="9" tint="0.39991454817346722"/>
      </top>
      <bottom/>
      <diagonal/>
    </border>
    <border>
      <left style="thick">
        <color theme="9" tint="0.39994506668294322"/>
      </left>
      <right/>
      <top/>
      <bottom style="thick">
        <color theme="9" tint="0.39991454817346722"/>
      </bottom>
      <diagonal/>
    </border>
    <border>
      <left/>
      <right/>
      <top/>
      <bottom style="thick">
        <color theme="9" tint="0.39991454817346722"/>
      </bottom>
      <diagonal/>
    </border>
    <border>
      <left/>
      <right style="thick">
        <color theme="9" tint="0.39991454817346722"/>
      </right>
      <top/>
      <bottom style="thick">
        <color theme="9" tint="0.39991454817346722"/>
      </bottom>
      <diagonal/>
    </border>
    <border>
      <left style="thin">
        <color theme="2" tint="-0.24994659260841701"/>
      </left>
      <right style="thick">
        <color theme="2" tint="-0.499984740745262"/>
      </right>
      <top style="thick">
        <color theme="2" tint="-0.499984740745262"/>
      </top>
      <bottom style="medium">
        <color theme="2" tint="-0.499984740745262"/>
      </bottom>
      <diagonal/>
    </border>
    <border>
      <left/>
      <right/>
      <top style="medium">
        <color theme="2" tint="-0.499984740745262"/>
      </top>
      <bottom/>
      <diagonal/>
    </border>
    <border>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style="thick">
        <color theme="2" tint="-0.499984740745262"/>
      </top>
      <bottom/>
      <diagonal/>
    </border>
    <border>
      <left style="thick">
        <color theme="2" tint="-0.499984740745262"/>
      </left>
      <right style="thick">
        <color theme="2" tint="-0.499984740745262"/>
      </right>
      <top/>
      <bottom/>
      <diagonal/>
    </border>
    <border>
      <left style="thick">
        <color theme="2" tint="-0.499984740745262"/>
      </left>
      <right style="thick">
        <color theme="2" tint="-0.499984740745262"/>
      </right>
      <top/>
      <bottom style="thick">
        <color theme="2" tint="-0.499984740745262"/>
      </bottom>
      <diagonal/>
    </border>
    <border>
      <left style="thin">
        <color theme="2" tint="-0.499984740745262"/>
      </left>
      <right style="thin">
        <color theme="2" tint="-0.499984740745262"/>
      </right>
      <top style="thin">
        <color theme="2" tint="-0.499984740745262"/>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24994659260841701"/>
      </bottom>
      <diagonal/>
    </border>
    <border>
      <left style="thin">
        <color theme="2" tint="-0.499984740745262"/>
      </left>
      <right style="thin">
        <color theme="2" tint="-0.499984740745262"/>
      </right>
      <top style="thin">
        <color theme="2" tint="-0.24994659260841701"/>
      </top>
      <bottom style="thin">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n">
        <color theme="2" tint="-0.24994659260841701"/>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499984740745262"/>
      </top>
      <bottom style="thin">
        <color theme="2" tint="-0.24994659260841701"/>
      </bottom>
      <diagonal/>
    </border>
    <border>
      <left style="thick">
        <color theme="2" tint="-0.499984740745262"/>
      </left>
      <right style="thick">
        <color theme="2" tint="-0.499984740745262"/>
      </right>
      <top style="thin">
        <color theme="2" tint="-0.24994659260841701"/>
      </top>
      <bottom style="thin">
        <color theme="2" tint="-0.24994659260841701"/>
      </bottom>
      <diagonal/>
    </border>
    <border>
      <left style="thick">
        <color theme="2" tint="-0.499984740745262"/>
      </left>
      <right style="thick">
        <color theme="2" tint="-0.499984740745262"/>
      </right>
      <top style="thin">
        <color theme="2" tint="-0.24994659260841701"/>
      </top>
      <bottom style="thick">
        <color theme="2" tint="-0.499984740745262"/>
      </bottom>
      <diagonal/>
    </border>
    <border>
      <left/>
      <right style="medium">
        <color theme="2" tint="-0.499984740745262"/>
      </right>
      <top style="thin">
        <color theme="2" tint="-0.24994659260841701"/>
      </top>
      <bottom/>
      <diagonal/>
    </border>
    <border>
      <left style="thin">
        <color theme="2" tint="-0.499984740745262"/>
      </left>
      <right style="thin">
        <color theme="2" tint="-0.24994659260841701"/>
      </right>
      <top style="thick">
        <color theme="2" tint="-0.499984740745262"/>
      </top>
      <bottom style="thin">
        <color theme="2" tint="-0.499984740745262"/>
      </bottom>
      <diagonal/>
    </border>
    <border>
      <left style="thin">
        <color theme="2" tint="-0.24994659260841701"/>
      </left>
      <right/>
      <top style="thin">
        <color theme="2" tint="-0.24994659260841701"/>
      </top>
      <bottom/>
      <diagonal/>
    </border>
    <border>
      <left style="medium">
        <color theme="2" tint="-0.499984740745262"/>
      </left>
      <right style="thin">
        <color theme="2" tint="-0.24994659260841701"/>
      </right>
      <top style="medium">
        <color theme="2" tint="-0.499984740745262"/>
      </top>
      <bottom style="thin">
        <color theme="2" tint="-0.499984740745262"/>
      </bottom>
      <diagonal/>
    </border>
    <border>
      <left style="thin">
        <color theme="2" tint="-0.24994659260841701"/>
      </left>
      <right style="thin">
        <color theme="2" tint="-0.24994659260841701"/>
      </right>
      <top style="medium">
        <color theme="2" tint="-0.499984740745262"/>
      </top>
      <bottom style="thin">
        <color theme="2" tint="-0.499984740745262"/>
      </bottom>
      <diagonal/>
    </border>
    <border>
      <left style="thin">
        <color theme="2" tint="-0.24994659260841701"/>
      </left>
      <right/>
      <top style="medium">
        <color theme="2" tint="-0.499984740745262"/>
      </top>
      <bottom style="thin">
        <color theme="2" tint="-0.499984740745262"/>
      </bottom>
      <diagonal/>
    </border>
    <border>
      <left style="thin">
        <color theme="2" tint="-0.24994659260841701"/>
      </left>
      <right style="medium">
        <color theme="2" tint="-0.499984740745262"/>
      </right>
      <top style="medium">
        <color theme="2" tint="-0.499984740745262"/>
      </top>
      <bottom style="thin">
        <color theme="2" tint="-0.499984740745262"/>
      </bottom>
      <diagonal/>
    </border>
    <border>
      <left style="medium">
        <color theme="2" tint="-0.499984740745262"/>
      </left>
      <right/>
      <top/>
      <bottom style="thin">
        <color theme="2" tint="-0.24994659260841701"/>
      </bottom>
      <diagonal/>
    </border>
    <border>
      <left style="thin">
        <color theme="2" tint="-0.24994659260841701"/>
      </left>
      <right style="medium">
        <color theme="2" tint="-0.499984740745262"/>
      </right>
      <top/>
      <bottom style="thin">
        <color theme="2" tint="-0.24994659260841701"/>
      </bottom>
      <diagonal/>
    </border>
    <border>
      <left style="thin">
        <color theme="2" tint="-0.24994659260841701"/>
      </left>
      <right style="thin">
        <color theme="2" tint="-0.24994659260841701"/>
      </right>
      <top style="thin">
        <color theme="2" tint="-0.24994659260841701"/>
      </top>
      <bottom style="medium">
        <color theme="2" tint="-0.499984740745262"/>
      </bottom>
      <diagonal/>
    </border>
    <border>
      <left style="thin">
        <color theme="2" tint="-0.24994659260841701"/>
      </left>
      <right/>
      <top style="thin">
        <color theme="2" tint="-0.24994659260841701"/>
      </top>
      <bottom style="medium">
        <color theme="2" tint="-0.499984740745262"/>
      </bottom>
      <diagonal/>
    </border>
    <border>
      <left style="thin">
        <color theme="2" tint="-0.24994659260841701"/>
      </left>
      <right style="medium">
        <color theme="2" tint="-0.499984740745262"/>
      </right>
      <top style="thin">
        <color theme="2" tint="-0.24994659260841701"/>
      </top>
      <bottom style="medium">
        <color theme="2" tint="-0.499984740745262"/>
      </bottom>
      <diagonal/>
    </border>
    <border>
      <left style="thick">
        <color theme="2" tint="-0.499984740745262"/>
      </left>
      <right style="medium">
        <color theme="2" tint="-0.499984740745262"/>
      </right>
      <top style="medium">
        <color theme="2" tint="-0.499984740745262"/>
      </top>
      <bottom style="thin">
        <color theme="2" tint="-0.499984740745262"/>
      </bottom>
      <diagonal/>
    </border>
    <border>
      <left style="thick">
        <color theme="2" tint="-0.499984740745262"/>
      </left>
      <right style="medium">
        <color theme="2" tint="-0.499984740745262"/>
      </right>
      <top/>
      <bottom style="thin">
        <color theme="2" tint="-0.24994659260841701"/>
      </bottom>
      <diagonal/>
    </border>
    <border>
      <left/>
      <right style="medium">
        <color theme="2" tint="-0.499984740745262"/>
      </right>
      <top style="thin">
        <color theme="2" tint="-0.24994659260841701"/>
      </top>
      <bottom style="thick">
        <color theme="2" tint="-0.499984740745262"/>
      </bottom>
      <diagonal/>
    </border>
    <border>
      <left style="thick">
        <color theme="2" tint="-0.499984740745262"/>
      </left>
      <right style="medium">
        <color theme="2" tint="-0.499984740745262"/>
      </right>
      <top style="thin">
        <color theme="2" tint="-0.499984740745262"/>
      </top>
      <bottom style="thin">
        <color theme="2" tint="-0.24994659260841701"/>
      </bottom>
      <diagonal/>
    </border>
    <border>
      <left style="thick">
        <color theme="7"/>
      </left>
      <right/>
      <top/>
      <bottom/>
      <diagonal/>
    </border>
    <border>
      <left style="thick">
        <color theme="9" tint="0.39991454817346722"/>
      </left>
      <right/>
      <top/>
      <bottom/>
      <diagonal/>
    </border>
    <border>
      <left style="medium">
        <color theme="2" tint="-0.499984740745262"/>
      </left>
      <right/>
      <top style="thin">
        <color theme="2" tint="-0.499984740745262"/>
      </top>
      <bottom style="thin">
        <color theme="2" tint="-0.24994659260841701"/>
      </bottom>
      <diagonal/>
    </border>
    <border>
      <left style="medium">
        <color theme="2" tint="-0.499984740745262"/>
      </left>
      <right/>
      <top style="thin">
        <color theme="2" tint="-0.24994659260841701"/>
      </top>
      <bottom style="thin">
        <color theme="2" tint="-0.24994659260841701"/>
      </bottom>
      <diagonal/>
    </border>
    <border>
      <left style="medium">
        <color theme="2" tint="-0.499984740745262"/>
      </left>
      <right/>
      <top style="thin">
        <color theme="2" tint="-0.24994659260841701"/>
      </top>
      <bottom style="thick">
        <color theme="2" tint="-0.499984740745262"/>
      </bottom>
      <diagonal/>
    </border>
    <border>
      <left/>
      <right/>
      <top style="medium">
        <color theme="2" tint="-0.499984740745262"/>
      </top>
      <bottom style="medium">
        <color theme="2" tint="-0.499984740745262"/>
      </bottom>
      <diagonal/>
    </border>
    <border>
      <left style="thick">
        <color theme="2" tint="-0.499984740745262"/>
      </left>
      <right style="thick">
        <color theme="2" tint="-0.499984740745262"/>
      </right>
      <top style="thick">
        <color rgb="FFFF0000"/>
      </top>
      <bottom/>
      <diagonal/>
    </border>
    <border>
      <left style="thick">
        <color theme="9" tint="0.39994506668294322"/>
      </left>
      <right/>
      <top/>
      <bottom/>
      <diagonal/>
    </border>
    <border>
      <left style="thin">
        <color theme="2" tint="-0.24994659260841701"/>
      </left>
      <right style="medium">
        <color theme="2" tint="-0.499984740745262"/>
      </right>
      <top style="thick">
        <color theme="2" tint="-0.499984740745262"/>
      </top>
      <bottom style="thin">
        <color theme="2" tint="-0.499984740745262"/>
      </bottom>
      <diagonal/>
    </border>
    <border>
      <left/>
      <right style="thin">
        <color theme="2" tint="-0.24994659260841701"/>
      </right>
      <top style="thin">
        <color theme="2" tint="-0.24994659260841701"/>
      </top>
      <bottom/>
      <diagonal/>
    </border>
    <border>
      <left/>
      <right style="medium">
        <color theme="2" tint="-0.499984740745262"/>
      </right>
      <top style="thin">
        <color theme="2" tint="-0.499984740745262"/>
      </top>
      <bottom style="thin">
        <color theme="2" tint="-0.24994659260841701"/>
      </bottom>
      <diagonal/>
    </border>
    <border>
      <left style="medium">
        <color theme="2" tint="-0.499984740745262"/>
      </left>
      <right/>
      <top style="thin">
        <color theme="2" tint="-0.24994659260841701"/>
      </top>
      <bottom/>
      <diagonal/>
    </border>
    <border>
      <left style="medium">
        <color theme="2" tint="-0.499984740745262"/>
      </left>
      <right/>
      <top/>
      <bottom style="thick">
        <color theme="2" tint="-0.499984740745262"/>
      </bottom>
      <diagonal/>
    </border>
    <border>
      <left/>
      <right style="thick">
        <color theme="9" tint="0.39994506668294322"/>
      </right>
      <top/>
      <bottom/>
      <diagonal/>
    </border>
    <border>
      <left style="thin">
        <color auto="1"/>
      </left>
      <right style="thin">
        <color auto="1"/>
      </right>
      <top style="thin">
        <color auto="1"/>
      </top>
      <bottom style="thin">
        <color theme="2" tint="-0.24994659260841701"/>
      </bottom>
      <diagonal/>
    </border>
    <border>
      <left style="thin">
        <color auto="1"/>
      </left>
      <right style="thin">
        <color auto="1"/>
      </right>
      <top style="thin">
        <color theme="2" tint="-0.24994659260841701"/>
      </top>
      <bottom style="thin">
        <color theme="2" tint="-0.24994659260841701"/>
      </bottom>
      <diagonal/>
    </border>
    <border>
      <left style="thin">
        <color auto="1"/>
      </left>
      <right style="thin">
        <color auto="1"/>
      </right>
      <top style="thin">
        <color theme="2" tint="-0.2499465926084170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4" fillId="2" borderId="0"/>
    <xf numFmtId="0" fontId="9" fillId="6" borderId="3" applyNumberFormat="0" applyAlignment="0" applyProtection="0"/>
    <xf numFmtId="0" fontId="30" fillId="0" borderId="0" applyNumberFormat="0" applyFill="0" applyBorder="0" applyAlignment="0" applyProtection="0"/>
    <xf numFmtId="0" fontId="4" fillId="0" borderId="0"/>
  </cellStyleXfs>
  <cellXfs count="1039">
    <xf numFmtId="0" fontId="0" fillId="0" borderId="0" xfId="0"/>
    <xf numFmtId="0" fontId="7" fillId="0" borderId="0" xfId="0" applyNumberFormat="1" applyFont="1" applyFill="1" applyAlignment="1" applyProtection="1">
      <alignment vertical="center"/>
      <protection hidden="1"/>
    </xf>
    <xf numFmtId="0" fontId="7" fillId="0" borderId="0" xfId="0" applyNumberFormat="1" applyFont="1"/>
    <xf numFmtId="0" fontId="9" fillId="6" borderId="3" xfId="2" applyNumberFormat="1" applyAlignment="1" applyProtection="1">
      <alignment horizontal="center" vertical="center" readingOrder="1"/>
    </xf>
    <xf numFmtId="0" fontId="7" fillId="0" borderId="20"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center" vertical="center"/>
      <protection hidden="1"/>
    </xf>
    <xf numFmtId="0" fontId="7" fillId="0" borderId="19" xfId="0" applyNumberFormat="1" applyFont="1" applyFill="1" applyBorder="1" applyAlignment="1" applyProtection="1">
      <alignment horizontal="center" vertical="center"/>
      <protection hidden="1"/>
    </xf>
    <xf numFmtId="0" fontId="5" fillId="0" borderId="0" xfId="0" applyFont="1"/>
    <xf numFmtId="0" fontId="15" fillId="0" borderId="0" xfId="0" applyFont="1"/>
    <xf numFmtId="0" fontId="18" fillId="0" borderId="0" xfId="0" applyFont="1"/>
    <xf numFmtId="0" fontId="21" fillId="0" borderId="55" xfId="0" applyFont="1" applyBorder="1" applyAlignment="1">
      <alignment horizontal="center" vertical="center"/>
    </xf>
    <xf numFmtId="0" fontId="21" fillId="0" borderId="69" xfId="0" applyFont="1" applyBorder="1" applyAlignment="1">
      <alignment horizontal="left" vertical="center"/>
    </xf>
    <xf numFmtId="0" fontId="21" fillId="0" borderId="50" xfId="0" applyFont="1" applyBorder="1" applyAlignment="1">
      <alignment horizontal="right" vertical="center"/>
    </xf>
    <xf numFmtId="0" fontId="18" fillId="0" borderId="0" xfId="0" applyNumberFormat="1" applyFont="1" applyAlignment="1">
      <alignment horizontal="center"/>
    </xf>
    <xf numFmtId="165" fontId="18" fillId="0" borderId="0" xfId="0" applyNumberFormat="1" applyFont="1" applyAlignment="1">
      <alignment horizontal="center" vertical="center"/>
    </xf>
    <xf numFmtId="0" fontId="0" fillId="0" borderId="0" xfId="0" applyProtection="1"/>
    <xf numFmtId="0" fontId="34" fillId="0" borderId="0" xfId="0" applyFont="1" applyAlignment="1">
      <alignment horizontal="center" vertical="center" wrapText="1"/>
    </xf>
    <xf numFmtId="0" fontId="2" fillId="0" borderId="0" xfId="0" applyFont="1" applyFill="1" applyBorder="1" applyAlignment="1" applyProtection="1">
      <alignment horizontal="center" vertical="center"/>
    </xf>
    <xf numFmtId="0" fontId="0" fillId="0" borderId="0" xfId="0" applyProtection="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0" fillId="12" borderId="96" xfId="0" applyFill="1" applyBorder="1" applyAlignment="1" applyProtection="1">
      <alignment horizontal="left" indent="1"/>
      <protection locked="0"/>
    </xf>
    <xf numFmtId="0" fontId="0" fillId="13" borderId="97" xfId="0" applyFill="1" applyBorder="1" applyAlignment="1" applyProtection="1">
      <alignment horizontal="left" indent="1"/>
      <protection locked="0"/>
    </xf>
    <xf numFmtId="0" fontId="0" fillId="14" borderId="98" xfId="0" applyFill="1" applyBorder="1" applyAlignment="1" applyProtection="1">
      <alignment horizontal="left" indent="1"/>
      <protection locked="0"/>
    </xf>
    <xf numFmtId="0" fontId="36" fillId="0" borderId="91" xfId="0" applyFont="1" applyFill="1" applyBorder="1" applyAlignment="1">
      <alignment horizontal="left" indent="1"/>
    </xf>
    <xf numFmtId="0" fontId="0" fillId="0" borderId="92" xfId="0" applyBorder="1" applyAlignment="1">
      <alignment horizontal="left" indent="1"/>
    </xf>
    <xf numFmtId="0" fontId="0" fillId="0" borderId="99" xfId="0" applyBorder="1" applyAlignment="1">
      <alignment horizontal="left" indent="1"/>
    </xf>
    <xf numFmtId="0" fontId="36" fillId="0" borderId="94" xfId="0" applyFont="1" applyFill="1" applyBorder="1" applyAlignment="1">
      <alignment horizontal="left" indent="1"/>
    </xf>
    <xf numFmtId="0" fontId="0" fillId="0" borderId="0" xfId="0" applyBorder="1" applyAlignment="1">
      <alignment horizontal="left" indent="1"/>
    </xf>
    <xf numFmtId="0" fontId="0" fillId="0" borderId="90" xfId="0" applyBorder="1" applyAlignment="1">
      <alignment horizontal="left" indent="1"/>
    </xf>
    <xf numFmtId="0" fontId="33" fillId="0" borderId="0" xfId="0" applyFont="1" applyFill="1" applyBorder="1"/>
    <xf numFmtId="0" fontId="37" fillId="0" borderId="0" xfId="0" applyFont="1" applyFill="1" applyBorder="1"/>
    <xf numFmtId="0" fontId="0" fillId="0" borderId="0" xfId="0" applyFill="1" applyAlignment="1">
      <alignment vertical="center"/>
    </xf>
    <xf numFmtId="0" fontId="0" fillId="14" borderId="98" xfId="0" applyFill="1" applyBorder="1" applyAlignment="1" applyProtection="1">
      <alignment horizontal="left" vertical="top" wrapText="1" indent="1"/>
      <protection locked="0"/>
    </xf>
    <xf numFmtId="0" fontId="0" fillId="12" borderId="96" xfId="0" applyFill="1" applyBorder="1" applyAlignment="1" applyProtection="1">
      <alignment horizontal="left" vertical="top" wrapText="1" indent="1"/>
      <protection locked="0"/>
    </xf>
    <xf numFmtId="0" fontId="0" fillId="13" borderId="97" xfId="0" applyFill="1" applyBorder="1" applyAlignment="1" applyProtection="1">
      <alignment horizontal="left" vertical="top" wrapText="1" indent="1"/>
      <protection locked="0"/>
    </xf>
    <xf numFmtId="0" fontId="0" fillId="13" borderId="101" xfId="0" applyFill="1" applyBorder="1" applyAlignment="1" applyProtection="1">
      <alignment horizontal="left" vertical="top" wrapText="1" indent="1"/>
      <protection locked="0"/>
    </xf>
    <xf numFmtId="0" fontId="0" fillId="13" borderId="95" xfId="0" applyFill="1" applyBorder="1" applyAlignment="1" applyProtection="1">
      <alignment horizontal="left" vertical="top" indent="1"/>
      <protection locked="0"/>
    </xf>
    <xf numFmtId="0" fontId="4" fillId="12" borderId="96" xfId="0" applyFont="1" applyFill="1" applyBorder="1" applyAlignment="1" applyProtection="1">
      <alignment horizontal="left" vertical="center" indent="1"/>
      <protection locked="0"/>
    </xf>
    <xf numFmtId="0" fontId="4" fillId="14" borderId="98" xfId="0" applyFont="1" applyFill="1" applyBorder="1" applyAlignment="1" applyProtection="1">
      <alignment horizontal="left" vertical="center" indent="1"/>
      <protection locked="0"/>
    </xf>
    <xf numFmtId="0" fontId="4" fillId="14" borderId="98" xfId="0" applyFont="1" applyFill="1" applyBorder="1" applyAlignment="1" applyProtection="1">
      <alignment horizontal="left" vertical="top" wrapText="1" indent="1"/>
      <protection locked="0"/>
    </xf>
    <xf numFmtId="0" fontId="4" fillId="12" borderId="96" xfId="0" applyFont="1" applyFill="1" applyBorder="1" applyAlignment="1" applyProtection="1">
      <alignment horizontal="left" indent="1"/>
      <protection locked="0"/>
    </xf>
    <xf numFmtId="0" fontId="4" fillId="14" borderId="98" xfId="0" applyFont="1" applyFill="1" applyBorder="1" applyAlignment="1" applyProtection="1">
      <alignment horizontal="left" indent="1"/>
      <protection locked="0"/>
    </xf>
    <xf numFmtId="0" fontId="4" fillId="14" borderId="98" xfId="0" applyFont="1" applyFill="1" applyBorder="1" applyAlignment="1">
      <alignment horizontal="left" indent="1"/>
    </xf>
    <xf numFmtId="0" fontId="4" fillId="13" borderId="97" xfId="0" applyFont="1" applyFill="1" applyBorder="1" applyAlignment="1" applyProtection="1">
      <alignment horizontal="left" indent="1"/>
      <protection locked="0"/>
    </xf>
    <xf numFmtId="0" fontId="4" fillId="12" borderId="100" xfId="0" applyFont="1" applyFill="1" applyBorder="1" applyAlignment="1" applyProtection="1">
      <alignment horizontal="left" vertical="top" indent="1"/>
      <protection locked="0"/>
    </xf>
    <xf numFmtId="0" fontId="4" fillId="14" borderId="98" xfId="0" applyFont="1" applyFill="1" applyBorder="1" applyAlignment="1" applyProtection="1">
      <alignment horizontal="left" vertical="top" indent="1"/>
      <protection locked="0"/>
    </xf>
    <xf numFmtId="0" fontId="4" fillId="0" borderId="0" xfId="0" applyFont="1"/>
    <xf numFmtId="0" fontId="32" fillId="0" borderId="0" xfId="0" applyFont="1" applyBorder="1" applyAlignment="1">
      <alignment horizontal="left" vertical="center" wrapText="1"/>
    </xf>
    <xf numFmtId="0" fontId="4" fillId="12" borderId="102" xfId="0" applyFont="1" applyFill="1" applyBorder="1" applyAlignment="1" applyProtection="1">
      <alignment horizontal="left" vertical="top" indent="1"/>
      <protection locked="0"/>
    </xf>
    <xf numFmtId="0" fontId="1" fillId="13" borderId="89" xfId="0" applyFont="1" applyFill="1" applyBorder="1" applyAlignment="1" applyProtection="1">
      <alignment horizontal="center" vertical="center"/>
      <protection locked="0"/>
    </xf>
    <xf numFmtId="0" fontId="4" fillId="14" borderId="94" xfId="0" applyFont="1" applyFill="1" applyBorder="1" applyAlignment="1" applyProtection="1">
      <alignment horizontal="left" vertical="top" indent="1"/>
      <protection locked="0"/>
    </xf>
    <xf numFmtId="0" fontId="20" fillId="0" borderId="110" xfId="0" applyFont="1" applyBorder="1" applyAlignment="1">
      <alignment horizontal="center" vertical="center"/>
    </xf>
    <xf numFmtId="0" fontId="20" fillId="0" borderId="44" xfId="0" applyFont="1" applyBorder="1" applyAlignment="1">
      <alignment horizontal="center" vertical="center"/>
    </xf>
    <xf numFmtId="0" fontId="20" fillId="0" borderId="47" xfId="0" applyFont="1" applyBorder="1" applyAlignment="1">
      <alignment horizontal="center" vertical="center"/>
    </xf>
    <xf numFmtId="0" fontId="31" fillId="13" borderId="111" xfId="0" applyFont="1" applyFill="1" applyBorder="1" applyAlignment="1">
      <alignment horizontal="center" vertical="center"/>
    </xf>
    <xf numFmtId="164" fontId="20" fillId="0" borderId="34" xfId="0" applyNumberFormat="1" applyFont="1" applyBorder="1" applyAlignment="1">
      <alignment horizontal="center" vertical="center"/>
    </xf>
    <xf numFmtId="164" fontId="20" fillId="0" borderId="35" xfId="0" applyNumberFormat="1" applyFont="1" applyBorder="1" applyAlignment="1">
      <alignment horizontal="center" vertical="center"/>
    </xf>
    <xf numFmtId="0" fontId="18" fillId="13" borderId="33" xfId="0" applyFont="1" applyFill="1" applyBorder="1"/>
    <xf numFmtId="0" fontId="21" fillId="0" borderId="0" xfId="0" applyFont="1" applyAlignment="1">
      <alignment horizontal="center" vertical="center"/>
    </xf>
    <xf numFmtId="0" fontId="21" fillId="0" borderId="0" xfId="0" applyFont="1" applyAlignment="1">
      <alignment horizontal="center" vertical="center"/>
    </xf>
    <xf numFmtId="0" fontId="20" fillId="0" borderId="0" xfId="0" applyFont="1" applyBorder="1" applyAlignment="1">
      <alignment horizontal="center" vertical="center"/>
    </xf>
    <xf numFmtId="0" fontId="20" fillId="8" borderId="44" xfId="0" applyFont="1" applyFill="1" applyBorder="1" applyAlignment="1">
      <alignment horizontal="center" vertical="center"/>
    </xf>
    <xf numFmtId="0" fontId="31" fillId="13" borderId="115" xfId="0" applyFont="1" applyFill="1" applyBorder="1" applyAlignment="1">
      <alignment horizontal="left" vertical="center" indent="1"/>
    </xf>
    <xf numFmtId="0" fontId="20" fillId="0" borderId="116" xfId="0" applyFont="1" applyBorder="1" applyAlignment="1">
      <alignment horizontal="left" vertical="center" indent="1"/>
    </xf>
    <xf numFmtId="0" fontId="20" fillId="0" borderId="117" xfId="0" applyFont="1" applyBorder="1" applyAlignment="1">
      <alignment horizontal="left" vertical="center" indent="1"/>
    </xf>
    <xf numFmtId="0" fontId="20" fillId="0" borderId="118" xfId="0" applyFont="1" applyBorder="1" applyAlignment="1">
      <alignment horizontal="left" vertical="center" indent="1"/>
    </xf>
    <xf numFmtId="0" fontId="31" fillId="13" borderId="113" xfId="0" applyFont="1" applyFill="1" applyBorder="1" applyAlignment="1">
      <alignment horizontal="center" vertical="center"/>
    </xf>
    <xf numFmtId="0" fontId="40" fillId="0" borderId="114" xfId="0" applyFont="1" applyBorder="1" applyAlignment="1">
      <alignment horizontal="center" vertical="center"/>
    </xf>
    <xf numFmtId="0" fontId="40" fillId="0" borderId="49" xfId="0" applyFont="1" applyBorder="1" applyAlignment="1">
      <alignment horizontal="center" vertical="center"/>
    </xf>
    <xf numFmtId="0" fontId="40" fillId="0" borderId="51" xfId="0" applyFont="1" applyBorder="1" applyAlignment="1">
      <alignment horizontal="center" vertical="center"/>
    </xf>
    <xf numFmtId="165" fontId="21" fillId="13" borderId="119" xfId="0" applyNumberFormat="1" applyFont="1" applyFill="1" applyBorder="1" applyAlignment="1">
      <alignment horizontal="center" vertical="center"/>
    </xf>
    <xf numFmtId="165" fontId="21" fillId="13" borderId="111" xfId="0" applyNumberFormat="1" applyFont="1" applyFill="1" applyBorder="1" applyAlignment="1">
      <alignment horizontal="center" vertical="center"/>
    </xf>
    <xf numFmtId="164"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40" fillId="0" borderId="0" xfId="0" applyFont="1" applyBorder="1" applyAlignment="1">
      <alignment horizontal="center" vertical="center"/>
    </xf>
    <xf numFmtId="0" fontId="20" fillId="8" borderId="121" xfId="0" applyFont="1" applyFill="1" applyBorder="1" applyAlignment="1">
      <alignment horizontal="center" vertical="center"/>
    </xf>
    <xf numFmtId="0" fontId="20" fillId="0" borderId="122" xfId="0" applyFont="1" applyBorder="1" applyAlignment="1">
      <alignment horizontal="center" vertical="center"/>
    </xf>
    <xf numFmtId="0" fontId="20" fillId="0" borderId="124" xfId="0" applyFont="1" applyBorder="1" applyAlignment="1">
      <alignment horizontal="center" vertical="center"/>
    </xf>
    <xf numFmtId="0" fontId="4" fillId="12" borderId="96" xfId="0" applyFont="1" applyFill="1" applyBorder="1" applyAlignment="1" applyProtection="1">
      <alignment horizontal="left" vertical="top" wrapText="1" indent="1"/>
      <protection locked="0"/>
    </xf>
    <xf numFmtId="0" fontId="7" fillId="0" borderId="37" xfId="0" applyNumberFormat="1" applyFont="1" applyFill="1" applyBorder="1" applyAlignment="1" applyProtection="1">
      <alignment horizontal="center" vertical="center"/>
      <protection hidden="1"/>
    </xf>
    <xf numFmtId="0" fontId="7" fillId="0" borderId="36" xfId="0" applyNumberFormat="1" applyFont="1" applyFill="1" applyBorder="1" applyAlignment="1" applyProtection="1">
      <alignment horizontal="center" vertical="center"/>
      <protection hidden="1"/>
    </xf>
    <xf numFmtId="0" fontId="18" fillId="0" borderId="125" xfId="0" applyFont="1" applyBorder="1" applyAlignment="1">
      <alignment horizontal="center" vertical="center"/>
    </xf>
    <xf numFmtId="0" fontId="18" fillId="0" borderId="126" xfId="0" applyFont="1" applyBorder="1" applyAlignment="1">
      <alignment horizontal="center" vertical="center"/>
    </xf>
    <xf numFmtId="0" fontId="18" fillId="0" borderId="127" xfId="0" applyFont="1" applyBorder="1" applyAlignment="1">
      <alignment horizontal="center" vertical="center"/>
    </xf>
    <xf numFmtId="0" fontId="31" fillId="13" borderId="130" xfId="0" applyFont="1" applyFill="1" applyBorder="1" applyAlignment="1">
      <alignment horizontal="center" vertical="center"/>
    </xf>
    <xf numFmtId="0" fontId="20" fillId="0" borderId="120" xfId="0" applyFont="1" applyBorder="1" applyAlignment="1">
      <alignment horizontal="center" vertical="center"/>
    </xf>
    <xf numFmtId="0" fontId="20" fillId="0" borderId="55" xfId="0" applyFont="1" applyBorder="1" applyAlignment="1">
      <alignment horizontal="center" vertical="center"/>
    </xf>
    <xf numFmtId="0" fontId="20" fillId="0" borderId="56" xfId="0" applyFont="1" applyBorder="1" applyAlignment="1">
      <alignment horizontal="center" vertical="center"/>
    </xf>
    <xf numFmtId="165" fontId="21" fillId="13" borderId="133" xfId="0" applyNumberFormat="1" applyFont="1" applyFill="1" applyBorder="1" applyAlignment="1">
      <alignment horizontal="center" vertical="center"/>
    </xf>
    <xf numFmtId="0" fontId="20" fillId="0" borderId="134" xfId="0" applyFont="1" applyBorder="1" applyAlignment="1">
      <alignment horizontal="center" vertical="center"/>
    </xf>
    <xf numFmtId="0" fontId="20" fillId="0" borderId="45" xfId="0" applyFont="1" applyBorder="1" applyAlignment="1">
      <alignment horizontal="center" vertical="center"/>
    </xf>
    <xf numFmtId="0" fontId="20" fillId="8" borderId="48" xfId="0" applyFont="1" applyFill="1" applyBorder="1" applyAlignment="1">
      <alignment horizontal="center" vertical="center"/>
    </xf>
    <xf numFmtId="14" fontId="27" fillId="0" borderId="0" xfId="0" applyNumberFormat="1" applyFont="1" applyAlignment="1">
      <alignment horizontal="left" vertical="top"/>
    </xf>
    <xf numFmtId="0" fontId="27" fillId="0" borderId="0" xfId="0" applyFont="1" applyAlignment="1">
      <alignment vertical="center"/>
    </xf>
    <xf numFmtId="0" fontId="4" fillId="12" borderId="102" xfId="0" applyFont="1" applyFill="1" applyBorder="1" applyAlignment="1" applyProtection="1">
      <alignment horizontal="left" vertical="top" wrapText="1" indent="1"/>
      <protection locked="0"/>
    </xf>
    <xf numFmtId="0" fontId="4" fillId="14" borderId="94" xfId="0" applyFont="1" applyFill="1" applyBorder="1" applyAlignment="1" applyProtection="1">
      <alignment horizontal="left" vertical="top" wrapText="1" indent="1"/>
      <protection locked="0"/>
    </xf>
    <xf numFmtId="0" fontId="0" fillId="0" borderId="0" xfId="0" applyAlignment="1">
      <alignment horizontal="center"/>
    </xf>
    <xf numFmtId="0" fontId="21" fillId="0" borderId="0" xfId="0" applyFont="1"/>
    <xf numFmtId="0" fontId="20" fillId="0" borderId="0" xfId="0" applyFont="1" applyBorder="1" applyAlignment="1">
      <alignment horizontal="left" vertical="center"/>
    </xf>
    <xf numFmtId="165" fontId="43" fillId="0" borderId="0" xfId="0" applyNumberFormat="1" applyFont="1" applyAlignment="1">
      <alignment horizontal="right" vertical="center" indent="1"/>
    </xf>
    <xf numFmtId="165" fontId="44" fillId="0" borderId="0" xfId="0" applyNumberFormat="1" applyFont="1"/>
    <xf numFmtId="0" fontId="18" fillId="0" borderId="0" xfId="0" applyFont="1" applyProtection="1"/>
    <xf numFmtId="0" fontId="21" fillId="0" borderId="0" xfId="0" applyFont="1" applyProtection="1"/>
    <xf numFmtId="0" fontId="47" fillId="0" borderId="0" xfId="0" applyFont="1" applyBorder="1" applyAlignment="1">
      <alignment horizontal="left" vertical="center" wrapText="1"/>
    </xf>
    <xf numFmtId="0" fontId="48" fillId="0" borderId="0" xfId="0" applyFont="1" applyAlignment="1">
      <alignment horizontal="right" indent="1"/>
    </xf>
    <xf numFmtId="167" fontId="23" fillId="0" borderId="44" xfId="0" applyNumberFormat="1" applyFont="1" applyBorder="1" applyAlignment="1">
      <alignment horizontal="center" vertical="center"/>
    </xf>
    <xf numFmtId="0" fontId="23" fillId="0" borderId="110" xfId="0" applyNumberFormat="1" applyFont="1" applyBorder="1" applyAlignment="1">
      <alignment horizontal="center" vertical="center"/>
    </xf>
    <xf numFmtId="0" fontId="23" fillId="0" borderId="44" xfId="0" applyNumberFormat="1" applyFont="1" applyBorder="1" applyAlignment="1">
      <alignment horizontal="center" vertical="center"/>
    </xf>
    <xf numFmtId="167" fontId="23" fillId="0" borderId="47" xfId="0" applyNumberFormat="1" applyFont="1" applyBorder="1" applyAlignment="1">
      <alignment horizontal="center" vertical="center"/>
    </xf>
    <xf numFmtId="0" fontId="23" fillId="0" borderId="47" xfId="0" applyNumberFormat="1" applyFont="1" applyBorder="1" applyAlignment="1">
      <alignment horizontal="center" vertical="center"/>
    </xf>
    <xf numFmtId="0" fontId="21" fillId="0" borderId="56" xfId="0" applyFont="1" applyBorder="1" applyAlignment="1">
      <alignment horizontal="center" vertical="center"/>
    </xf>
    <xf numFmtId="0" fontId="21" fillId="0" borderId="146" xfId="0" applyFont="1" applyBorder="1" applyAlignment="1">
      <alignment horizontal="right" vertical="center"/>
    </xf>
    <xf numFmtId="0" fontId="21" fillId="0" borderId="147" xfId="0" applyFont="1" applyBorder="1" applyAlignment="1">
      <alignment horizontal="center" vertical="center"/>
    </xf>
    <xf numFmtId="0" fontId="21" fillId="0" borderId="149" xfId="0" applyFont="1" applyBorder="1" applyAlignment="1">
      <alignment horizontal="left" vertical="center"/>
    </xf>
    <xf numFmtId="0" fontId="19" fillId="9" borderId="150" xfId="0" applyFont="1" applyFill="1" applyBorder="1" applyAlignment="1">
      <alignment horizontal="center"/>
    </xf>
    <xf numFmtId="0" fontId="19" fillId="9" borderId="113" xfId="0" applyFont="1" applyFill="1" applyBorder="1" applyAlignment="1">
      <alignment horizontal="center"/>
    </xf>
    <xf numFmtId="167" fontId="23" fillId="0" borderId="110" xfId="0" applyNumberFormat="1" applyFont="1" applyBorder="1" applyAlignment="1">
      <alignment horizontal="center" vertical="center"/>
    </xf>
    <xf numFmtId="0" fontId="20" fillId="0" borderId="131" xfId="0" applyFont="1" applyBorder="1" applyAlignment="1">
      <alignment horizontal="left" vertical="center"/>
    </xf>
    <xf numFmtId="0" fontId="20" fillId="0" borderId="123" xfId="0" applyFont="1" applyBorder="1" applyAlignment="1">
      <alignment horizontal="left" vertical="center"/>
    </xf>
    <xf numFmtId="0" fontId="20" fillId="0" borderId="132" xfId="0" applyFont="1" applyBorder="1" applyAlignment="1">
      <alignment horizontal="left" vertical="center"/>
    </xf>
    <xf numFmtId="0" fontId="6" fillId="0" borderId="44" xfId="0" applyFont="1" applyBorder="1" applyAlignment="1">
      <alignment horizontal="center" vertical="center" shrinkToFit="1"/>
    </xf>
    <xf numFmtId="0" fontId="6" fillId="0" borderId="0" xfId="0" applyFont="1" applyAlignment="1">
      <alignment vertical="center" shrinkToFit="1"/>
    </xf>
    <xf numFmtId="0" fontId="5" fillId="0" borderId="0" xfId="0" applyFont="1" applyAlignment="1">
      <alignment shrinkToFit="1"/>
    </xf>
    <xf numFmtId="0" fontId="14" fillId="9" borderId="61" xfId="0" applyFont="1" applyFill="1" applyBorder="1" applyAlignment="1">
      <alignment horizontal="center" vertical="center" shrinkToFit="1"/>
    </xf>
    <xf numFmtId="0" fontId="14" fillId="9" borderId="70"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14" fillId="9" borderId="65" xfId="0" applyFont="1" applyFill="1" applyBorder="1" applyAlignment="1">
      <alignment horizontal="center" vertical="center" shrinkToFit="1"/>
    </xf>
    <xf numFmtId="165" fontId="14" fillId="9" borderId="61" xfId="0" applyNumberFormat="1" applyFont="1" applyFill="1" applyBorder="1" applyAlignment="1">
      <alignment vertical="center" shrinkToFit="1"/>
    </xf>
    <xf numFmtId="165" fontId="14" fillId="9" borderId="70" xfId="0" applyNumberFormat="1" applyFont="1" applyFill="1" applyBorder="1" applyAlignment="1">
      <alignment vertical="center" shrinkToFit="1"/>
    </xf>
    <xf numFmtId="0" fontId="6" fillId="0" borderId="135" xfId="0" applyFont="1" applyBorder="1" applyAlignment="1">
      <alignment horizontal="center" vertical="center" shrinkToFit="1"/>
    </xf>
    <xf numFmtId="0" fontId="6" fillId="0" borderId="136" xfId="0" applyFont="1" applyBorder="1" applyAlignment="1">
      <alignment horizontal="center" vertical="center" shrinkToFit="1"/>
    </xf>
    <xf numFmtId="0" fontId="6" fillId="0" borderId="137" xfId="0" applyFont="1" applyBorder="1" applyAlignment="1">
      <alignment horizontal="center" vertical="center" shrinkToFit="1"/>
    </xf>
    <xf numFmtId="0" fontId="6" fillId="0" borderId="137" xfId="0" applyFont="1" applyBorder="1" applyAlignment="1">
      <alignment horizontal="right" vertical="center" shrinkToFit="1"/>
    </xf>
    <xf numFmtId="0" fontId="6" fillId="0" borderId="138" xfId="0" applyFont="1" applyBorder="1" applyAlignment="1">
      <alignment horizontal="center" vertical="center" shrinkToFit="1"/>
    </xf>
    <xf numFmtId="0" fontId="6" fillId="0" borderId="135" xfId="0" applyFont="1" applyBorder="1" applyAlignment="1">
      <alignment horizontal="left" vertical="center" shrinkToFit="1"/>
    </xf>
    <xf numFmtId="0" fontId="16" fillId="0" borderId="139" xfId="0" applyFont="1" applyBorder="1" applyAlignment="1">
      <alignment horizontal="center" vertical="center" shrinkToFit="1"/>
    </xf>
    <xf numFmtId="0" fontId="6" fillId="8" borderId="140" xfId="0" applyFont="1" applyFill="1" applyBorder="1" applyAlignment="1">
      <alignment horizontal="center" vertical="center" shrinkToFit="1"/>
    </xf>
    <xf numFmtId="0" fontId="6" fillId="0" borderId="139" xfId="0" applyFont="1" applyBorder="1" applyAlignment="1">
      <alignment horizontal="center" vertical="center" shrinkToFit="1"/>
    </xf>
    <xf numFmtId="0" fontId="6" fillId="0" borderId="128" xfId="0" applyFont="1" applyBorder="1" applyAlignment="1">
      <alignment horizontal="left" vertical="center" shrinkToFit="1"/>
    </xf>
    <xf numFmtId="0" fontId="6" fillId="0" borderId="49" xfId="0" applyFont="1" applyBorder="1" applyAlignment="1">
      <alignment horizontal="center" vertical="center" shrinkToFit="1"/>
    </xf>
    <xf numFmtId="0" fontId="6" fillId="0" borderId="50" xfId="0" applyFont="1" applyBorder="1" applyAlignment="1">
      <alignment horizontal="center" vertical="center" shrinkToFit="1"/>
    </xf>
    <xf numFmtId="0" fontId="6" fillId="0" borderId="50" xfId="0" applyFont="1" applyBorder="1" applyAlignment="1">
      <alignment horizontal="right" vertical="center" shrinkToFit="1"/>
    </xf>
    <xf numFmtId="0" fontId="6" fillId="0" borderId="55" xfId="0" applyFont="1" applyBorder="1" applyAlignment="1">
      <alignment horizontal="center" vertical="center" shrinkToFit="1"/>
    </xf>
    <xf numFmtId="0" fontId="6" fillId="0" borderId="49" xfId="0" applyFont="1" applyBorder="1" applyAlignment="1">
      <alignment horizontal="left" vertical="center" shrinkToFit="1"/>
    </xf>
    <xf numFmtId="0" fontId="16" fillId="0" borderId="45" xfId="0" applyFont="1" applyBorder="1" applyAlignment="1">
      <alignment horizontal="center" vertical="center" shrinkToFit="1"/>
    </xf>
    <xf numFmtId="0" fontId="6" fillId="0" borderId="43" xfId="0" applyFont="1" applyBorder="1" applyAlignment="1">
      <alignment horizontal="center" vertical="center" shrinkToFit="1"/>
    </xf>
    <xf numFmtId="0" fontId="6" fillId="8" borderId="44" xfId="0" applyFont="1" applyFill="1" applyBorder="1" applyAlignment="1">
      <alignment horizontal="center" vertical="center" shrinkToFit="1"/>
    </xf>
    <xf numFmtId="0" fontId="6" fillId="0" borderId="45" xfId="0" applyFont="1" applyBorder="1" applyAlignment="1">
      <alignment horizontal="center" vertical="center" shrinkToFit="1"/>
    </xf>
    <xf numFmtId="0" fontId="6" fillId="0" borderId="129" xfId="0" applyFont="1" applyBorder="1" applyAlignment="1">
      <alignment horizontal="left" vertical="center" shrinkToFit="1"/>
    </xf>
    <xf numFmtId="0" fontId="6" fillId="0" borderId="51" xfId="0" applyFont="1" applyBorder="1" applyAlignment="1">
      <alignment horizontal="center" vertical="center" shrinkToFit="1"/>
    </xf>
    <xf numFmtId="0" fontId="6" fillId="0" borderId="47" xfId="0" applyFont="1" applyBorder="1" applyAlignment="1">
      <alignment horizontal="center" vertical="center" shrinkToFit="1"/>
    </xf>
    <xf numFmtId="0" fontId="6" fillId="0" borderId="52" xfId="0" applyFont="1" applyBorder="1" applyAlignment="1">
      <alignment horizontal="center" vertical="center" shrinkToFit="1"/>
    </xf>
    <xf numFmtId="0" fontId="6" fillId="0" borderId="52" xfId="0" applyFont="1" applyBorder="1" applyAlignment="1">
      <alignment horizontal="right" vertical="center" shrinkToFit="1"/>
    </xf>
    <xf numFmtId="0" fontId="6" fillId="0" borderId="56" xfId="0" applyFont="1" applyBorder="1" applyAlignment="1">
      <alignment horizontal="center" vertical="center" shrinkToFit="1"/>
    </xf>
    <xf numFmtId="0" fontId="6" fillId="0" borderId="51" xfId="0" applyFont="1" applyBorder="1" applyAlignment="1">
      <alignment horizontal="left" vertical="center" shrinkToFit="1"/>
    </xf>
    <xf numFmtId="0" fontId="16" fillId="0" borderId="48" xfId="0" applyFont="1" applyBorder="1" applyAlignment="1">
      <alignment horizontal="center" vertical="center" shrinkToFit="1"/>
    </xf>
    <xf numFmtId="0" fontId="6" fillId="0" borderId="46" xfId="0" applyFont="1" applyBorder="1" applyAlignment="1">
      <alignment horizontal="center" vertical="center" shrinkToFit="1"/>
    </xf>
    <xf numFmtId="0" fontId="6" fillId="8" borderId="48" xfId="0" applyFont="1" applyFill="1" applyBorder="1" applyAlignment="1">
      <alignment horizontal="center" vertical="center" shrinkToFit="1"/>
    </xf>
    <xf numFmtId="0" fontId="25" fillId="0" borderId="0" xfId="0" applyFont="1" applyAlignment="1"/>
    <xf numFmtId="0" fontId="39" fillId="14" borderId="0" xfId="0" applyFont="1" applyFill="1" applyAlignment="1">
      <alignment horizontal="center"/>
    </xf>
    <xf numFmtId="0" fontId="0" fillId="13" borderId="90" xfId="0" applyFill="1" applyBorder="1" applyAlignment="1" applyProtection="1">
      <alignment horizontal="left" indent="1"/>
      <protection locked="0"/>
    </xf>
    <xf numFmtId="0" fontId="21" fillId="0" borderId="159" xfId="0" applyFont="1" applyBorder="1" applyAlignment="1">
      <alignment horizontal="right" vertical="center"/>
    </xf>
    <xf numFmtId="0" fontId="21" fillId="0" borderId="42" xfId="0" applyFont="1" applyBorder="1" applyAlignment="1">
      <alignment horizontal="left" vertical="center"/>
    </xf>
    <xf numFmtId="0" fontId="0" fillId="0" borderId="0" xfId="0" applyBorder="1" applyAlignment="1" applyProtection="1">
      <alignment horizontal="center"/>
      <protection locked="0"/>
    </xf>
    <xf numFmtId="0" fontId="0" fillId="0" borderId="0" xfId="0" applyAlignment="1">
      <alignment vertical="center" textRotation="90"/>
    </xf>
    <xf numFmtId="0" fontId="4" fillId="14" borderId="161" xfId="0" applyFont="1" applyFill="1" applyBorder="1" applyAlignment="1" applyProtection="1">
      <alignment horizontal="left" vertical="top" wrapText="1" indent="1"/>
      <protection locked="0"/>
    </xf>
    <xf numFmtId="0" fontId="4" fillId="12" borderId="162" xfId="0" applyFont="1" applyFill="1" applyBorder="1" applyAlignment="1" applyProtection="1">
      <alignment horizontal="left" vertical="top" wrapText="1" indent="1"/>
      <protection locked="0"/>
    </xf>
    <xf numFmtId="0" fontId="4" fillId="14" borderId="163" xfId="0" applyFont="1" applyFill="1" applyBorder="1" applyAlignment="1" applyProtection="1">
      <alignment horizontal="left" vertical="top" wrapText="1" indent="1"/>
      <protection locked="0"/>
    </xf>
    <xf numFmtId="0" fontId="4" fillId="12" borderId="164" xfId="0" applyFont="1" applyFill="1" applyBorder="1" applyAlignment="1" applyProtection="1">
      <alignment horizontal="left" vertical="top" wrapText="1" indent="1"/>
      <protection locked="0"/>
    </xf>
    <xf numFmtId="0" fontId="0" fillId="13" borderId="165" xfId="0" applyFill="1" applyBorder="1" applyAlignment="1" applyProtection="1">
      <alignment horizontal="left" vertical="top" wrapText="1" indent="1"/>
      <protection locked="0"/>
    </xf>
    <xf numFmtId="0" fontId="0" fillId="14" borderId="163" xfId="0" applyFill="1" applyBorder="1" applyAlignment="1" applyProtection="1">
      <alignment horizontal="left" vertical="top" indent="1"/>
      <protection locked="0"/>
    </xf>
    <xf numFmtId="0" fontId="0" fillId="12" borderId="168" xfId="0" applyFill="1" applyBorder="1" applyAlignment="1" applyProtection="1">
      <alignment horizontal="left" vertical="top" indent="1"/>
      <protection locked="0"/>
    </xf>
    <xf numFmtId="0" fontId="0" fillId="13" borderId="169" xfId="0" applyFill="1" applyBorder="1" applyAlignment="1" applyProtection="1">
      <alignment horizontal="left" vertical="top" wrapText="1" indent="1"/>
      <protection locked="0"/>
    </xf>
    <xf numFmtId="0" fontId="0" fillId="14" borderId="170" xfId="0" applyFill="1" applyBorder="1" applyAlignment="1" applyProtection="1">
      <alignment horizontal="left" vertical="top" indent="1"/>
      <protection locked="0"/>
    </xf>
    <xf numFmtId="0" fontId="0" fillId="13" borderId="171" xfId="0" applyFill="1" applyBorder="1" applyAlignment="1" applyProtection="1">
      <alignment horizontal="left" vertical="top" wrapText="1" indent="1"/>
      <protection locked="0"/>
    </xf>
    <xf numFmtId="0" fontId="0" fillId="14" borderId="163" xfId="0" applyFill="1" applyBorder="1" applyAlignment="1" applyProtection="1">
      <alignment horizontal="left" vertical="top" wrapText="1" indent="1"/>
      <protection locked="0"/>
    </xf>
    <xf numFmtId="0" fontId="0" fillId="12" borderId="167" xfId="0" applyFill="1" applyBorder="1" applyAlignment="1" applyProtection="1">
      <alignment horizontal="left" vertical="top" wrapText="1" indent="1"/>
      <protection locked="0"/>
    </xf>
    <xf numFmtId="0" fontId="0" fillId="14" borderId="172" xfId="0" applyFill="1" applyBorder="1" applyAlignment="1" applyProtection="1">
      <alignment horizontal="left" vertical="top" wrapText="1" indent="1"/>
      <protection locked="0"/>
    </xf>
    <xf numFmtId="0" fontId="0" fillId="12" borderId="173" xfId="0" applyFill="1" applyBorder="1" applyAlignment="1" applyProtection="1">
      <alignment horizontal="left" vertical="top" wrapText="1" indent="1"/>
      <protection locked="0"/>
    </xf>
    <xf numFmtId="0" fontId="0" fillId="13" borderId="174" xfId="0" applyFill="1" applyBorder="1" applyAlignment="1" applyProtection="1">
      <alignment horizontal="left" vertical="top" wrapText="1" indent="1"/>
      <protection locked="0"/>
    </xf>
    <xf numFmtId="0" fontId="39" fillId="0" borderId="0" xfId="0" applyFont="1"/>
    <xf numFmtId="0" fontId="4" fillId="12" borderId="166" xfId="0" applyFont="1" applyFill="1" applyBorder="1" applyAlignment="1" applyProtection="1">
      <alignment horizontal="left" vertical="top" indent="1"/>
      <protection locked="0"/>
    </xf>
    <xf numFmtId="0" fontId="14" fillId="9" borderId="53" xfId="0" applyFont="1" applyFill="1" applyBorder="1" applyAlignment="1">
      <alignment horizontal="center" vertical="center" shrinkToFit="1"/>
    </xf>
    <xf numFmtId="0" fontId="5" fillId="0" borderId="0" xfId="0" applyFont="1" applyBorder="1"/>
    <xf numFmtId="0" fontId="38" fillId="0" borderId="0" xfId="0" applyFont="1" applyAlignment="1"/>
    <xf numFmtId="0" fontId="5" fillId="0" borderId="0" xfId="0" applyFont="1" applyFill="1" applyBorder="1"/>
    <xf numFmtId="0" fontId="16" fillId="0" borderId="0" xfId="0" applyFont="1" applyFill="1" applyBorder="1" applyAlignment="1">
      <alignment vertical="top"/>
    </xf>
    <xf numFmtId="0" fontId="6" fillId="0" borderId="0" xfId="0" applyFont="1" applyFill="1" applyBorder="1" applyAlignment="1">
      <alignment vertical="center" shrinkToFit="1"/>
    </xf>
    <xf numFmtId="0" fontId="28" fillId="0" borderId="0" xfId="0" applyFont="1" applyFill="1" applyBorder="1" applyAlignment="1">
      <alignment horizontal="center" vertical="center" shrinkToFit="1"/>
    </xf>
    <xf numFmtId="0" fontId="5" fillId="0" borderId="0" xfId="0" applyFont="1" applyFill="1" applyBorder="1" applyAlignment="1">
      <alignment shrinkToFit="1"/>
    </xf>
    <xf numFmtId="0" fontId="14" fillId="0" borderId="0" xfId="0" applyFont="1" applyFill="1" applyBorder="1" applyAlignment="1">
      <alignment horizontal="center" vertical="center" shrinkToFit="1"/>
    </xf>
    <xf numFmtId="165" fontId="14" fillId="0" borderId="0" xfId="0" applyNumberFormat="1" applyFont="1" applyFill="1" applyBorder="1" applyAlignment="1">
      <alignment vertical="center" shrinkToFit="1"/>
    </xf>
    <xf numFmtId="0" fontId="6" fillId="0" borderId="0" xfId="0" applyFont="1" applyFill="1" applyBorder="1" applyAlignment="1">
      <alignment horizontal="left" vertical="center" shrinkToFit="1"/>
    </xf>
    <xf numFmtId="0" fontId="6" fillId="0" borderId="0" xfId="0" applyFont="1" applyFill="1" applyBorder="1" applyAlignment="1">
      <alignment horizontal="center" vertical="center" shrinkToFit="1"/>
    </xf>
    <xf numFmtId="0" fontId="6" fillId="0" borderId="0" xfId="0" applyFont="1" applyFill="1" applyBorder="1" applyAlignment="1">
      <alignment horizontal="right" vertical="center" shrinkToFit="1"/>
    </xf>
    <xf numFmtId="0" fontId="16" fillId="0" borderId="0" xfId="0" applyFont="1" applyFill="1" applyBorder="1" applyAlignment="1">
      <alignment horizontal="center" vertical="center" shrinkToFit="1"/>
    </xf>
    <xf numFmtId="0" fontId="20" fillId="0" borderId="0" xfId="0" applyFont="1" applyFill="1" applyBorder="1" applyAlignment="1" applyProtection="1">
      <alignment vertical="center"/>
    </xf>
    <xf numFmtId="164" fontId="24" fillId="0" borderId="0" xfId="0" applyNumberFormat="1" applyFont="1" applyFill="1" applyBorder="1" applyAlignment="1">
      <alignment vertical="center"/>
    </xf>
    <xf numFmtId="0" fontId="6" fillId="0" borderId="0" xfId="0" applyFont="1" applyFill="1" applyBorder="1" applyAlignment="1" applyProtection="1">
      <alignment horizontal="center" vertical="center" shrinkToFit="1"/>
    </xf>
    <xf numFmtId="167" fontId="49" fillId="0" borderId="0" xfId="0" applyNumberFormat="1" applyFont="1" applyFill="1" applyBorder="1" applyAlignment="1" applyProtection="1">
      <alignment horizontal="center" vertical="center" shrinkToFit="1"/>
    </xf>
    <xf numFmtId="0" fontId="49" fillId="0" borderId="0" xfId="0" applyFont="1" applyFill="1" applyBorder="1" applyAlignment="1" applyProtection="1">
      <alignment horizontal="center" vertical="center" shrinkToFit="1"/>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horizontal="right" vertical="center" shrinkToFit="1"/>
    </xf>
    <xf numFmtId="0" fontId="6" fillId="0" borderId="0" xfId="0" applyFont="1" applyFill="1" applyBorder="1" applyAlignment="1" applyProtection="1">
      <alignment horizontal="left" vertical="center" shrinkToFit="1"/>
    </xf>
    <xf numFmtId="164" fontId="23" fillId="0" borderId="0" xfId="0" applyNumberFormat="1" applyFont="1" applyFill="1" applyBorder="1" applyAlignment="1" applyProtection="1">
      <alignment horizontal="center" vertical="center"/>
    </xf>
    <xf numFmtId="167" fontId="23"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22" fillId="0" borderId="0"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22" fillId="0" borderId="0" xfId="0" applyFont="1" applyFill="1" applyBorder="1" applyAlignment="1" applyProtection="1">
      <alignment horizontal="left" vertical="center"/>
    </xf>
    <xf numFmtId="0" fontId="21" fillId="0" borderId="0" xfId="0" applyFont="1" applyFill="1" applyBorder="1" applyAlignment="1" applyProtection="1">
      <alignment horizontal="right" vertical="center"/>
    </xf>
    <xf numFmtId="0" fontId="21" fillId="0" borderId="0" xfId="0" applyFont="1" applyFill="1" applyBorder="1" applyAlignment="1" applyProtection="1">
      <alignment horizontal="center" vertical="center"/>
    </xf>
    <xf numFmtId="0" fontId="21" fillId="0" borderId="0" xfId="0" applyFont="1" applyFill="1" applyBorder="1" applyAlignment="1" applyProtection="1">
      <alignment horizontal="left" vertical="center"/>
    </xf>
    <xf numFmtId="0" fontId="24" fillId="0" borderId="0" xfId="0" applyFont="1" applyAlignment="1">
      <alignment vertical="center"/>
    </xf>
    <xf numFmtId="0" fontId="55" fillId="0" borderId="125" xfId="0" applyFont="1" applyBorder="1" applyAlignment="1">
      <alignment horizontal="center" vertical="center" shrinkToFit="1"/>
    </xf>
    <xf numFmtId="0" fontId="55" fillId="0" borderId="126" xfId="0" applyFont="1" applyBorder="1" applyAlignment="1">
      <alignment horizontal="center" vertical="center" shrinkToFit="1"/>
    </xf>
    <xf numFmtId="0" fontId="55" fillId="0" borderId="127" xfId="0" applyFont="1" applyBorder="1" applyAlignment="1">
      <alignment horizontal="center" vertical="center" shrinkToFit="1"/>
    </xf>
    <xf numFmtId="0" fontId="41" fillId="0" borderId="0" xfId="0" applyNumberFormat="1" applyFont="1" applyBorder="1" applyAlignment="1">
      <alignment vertical="top"/>
    </xf>
    <xf numFmtId="0" fontId="23" fillId="0" borderId="146" xfId="0" applyNumberFormat="1" applyFont="1" applyBorder="1" applyAlignment="1">
      <alignment horizontal="center" vertical="center"/>
    </xf>
    <xf numFmtId="0" fontId="23" fillId="0" borderId="50" xfId="0" applyNumberFormat="1" applyFont="1" applyBorder="1" applyAlignment="1">
      <alignment horizontal="center" vertical="center"/>
    </xf>
    <xf numFmtId="0" fontId="0" fillId="0" borderId="0" xfId="0" applyBorder="1" applyAlignment="1">
      <alignment vertical="center" textRotation="90"/>
    </xf>
    <xf numFmtId="0" fontId="0" fillId="0" borderId="0" xfId="0" applyBorder="1" applyAlignment="1">
      <alignment horizontal="center"/>
    </xf>
    <xf numFmtId="0" fontId="0" fillId="0" borderId="0" xfId="0" applyBorder="1"/>
    <xf numFmtId="0" fontId="39" fillId="0" borderId="0" xfId="0" applyFont="1" applyFill="1" applyAlignment="1">
      <alignment horizontal="center"/>
    </xf>
    <xf numFmtId="0" fontId="23" fillId="0" borderId="159" xfId="0" applyNumberFormat="1" applyFont="1" applyBorder="1" applyAlignment="1">
      <alignment horizontal="center" vertical="center"/>
    </xf>
    <xf numFmtId="164" fontId="6" fillId="0" borderId="0" xfId="0" applyNumberFormat="1" applyFont="1" applyFill="1" applyBorder="1" applyAlignment="1">
      <alignment vertical="center" shrinkToFit="1"/>
    </xf>
    <xf numFmtId="0" fontId="6" fillId="0" borderId="181" xfId="0" applyFont="1" applyBorder="1" applyAlignment="1">
      <alignment horizontal="left" vertical="center" shrinkToFit="1"/>
    </xf>
    <xf numFmtId="0" fontId="38" fillId="0" borderId="0" xfId="0" applyFont="1" applyAlignment="1" applyProtection="1">
      <alignment horizontal="center" vertical="center" wrapText="1"/>
    </xf>
    <xf numFmtId="0" fontId="45" fillId="0" borderId="71" xfId="0" applyFont="1" applyBorder="1" applyAlignment="1" applyProtection="1"/>
    <xf numFmtId="0" fontId="14" fillId="0" borderId="0" xfId="0" applyFont="1" applyFill="1" applyBorder="1" applyAlignment="1">
      <alignment vertical="center" shrinkToFit="1"/>
    </xf>
    <xf numFmtId="0" fontId="13" fillId="0" borderId="0" xfId="0" applyFont="1" applyFill="1" applyBorder="1" applyAlignment="1">
      <alignment vertical="center" shrinkToFit="1"/>
    </xf>
    <xf numFmtId="0" fontId="41" fillId="0" borderId="0" xfId="0" applyNumberFormat="1" applyFont="1" applyFill="1" applyBorder="1" applyAlignment="1"/>
    <xf numFmtId="0" fontId="56" fillId="0" borderId="0" xfId="0" applyFont="1" applyAlignment="1" applyProtection="1"/>
    <xf numFmtId="0" fontId="58" fillId="0" borderId="71" xfId="0" applyFont="1" applyFill="1" applyBorder="1" applyAlignment="1"/>
    <xf numFmtId="0" fontId="58" fillId="0" borderId="0" xfId="0" applyFont="1" applyFill="1" applyBorder="1" applyAlignment="1"/>
    <xf numFmtId="14" fontId="27" fillId="0" borderId="0" xfId="0" applyNumberFormat="1" applyFont="1" applyBorder="1" applyAlignment="1">
      <alignment vertical="center"/>
    </xf>
    <xf numFmtId="0" fontId="26" fillId="0" borderId="0" xfId="0" applyFont="1" applyFill="1" applyBorder="1" applyAlignment="1" applyProtection="1">
      <alignment horizontal="center" vertical="center"/>
    </xf>
    <xf numFmtId="165" fontId="29" fillId="0" borderId="71" xfId="0" applyNumberFormat="1" applyFont="1" applyBorder="1" applyAlignment="1">
      <alignment wrapText="1"/>
    </xf>
    <xf numFmtId="0" fontId="18" fillId="0" borderId="0" xfId="0" applyFont="1" applyAlignment="1">
      <alignment horizontal="center"/>
    </xf>
    <xf numFmtId="0" fontId="21" fillId="0" borderId="0" xfId="0" applyFont="1" applyAlignment="1" applyProtection="1">
      <alignment horizontal="center"/>
    </xf>
    <xf numFmtId="0" fontId="22" fillId="17" borderId="146" xfId="0" applyFont="1" applyFill="1" applyBorder="1" applyAlignment="1" applyProtection="1">
      <alignment horizontal="right" vertical="center"/>
    </xf>
    <xf numFmtId="0" fontId="22" fillId="17" borderId="147" xfId="0" applyFont="1" applyFill="1" applyBorder="1" applyAlignment="1" applyProtection="1">
      <alignment horizontal="center" vertical="center"/>
    </xf>
    <xf numFmtId="0" fontId="22" fillId="17" borderId="148" xfId="0" applyFont="1" applyFill="1" applyBorder="1" applyAlignment="1" applyProtection="1">
      <alignment horizontal="left" vertical="center"/>
    </xf>
    <xf numFmtId="0" fontId="22" fillId="17" borderId="50" xfId="0" applyFont="1" applyFill="1" applyBorder="1" applyAlignment="1" applyProtection="1">
      <alignment horizontal="right" vertical="center"/>
    </xf>
    <xf numFmtId="0" fontId="22" fillId="17" borderId="55" xfId="0" applyFont="1" applyFill="1" applyBorder="1" applyAlignment="1" applyProtection="1">
      <alignment horizontal="center" vertical="center"/>
    </xf>
    <xf numFmtId="0" fontId="22" fillId="17" borderId="49" xfId="0" applyFont="1" applyFill="1" applyBorder="1" applyAlignment="1" applyProtection="1">
      <alignment horizontal="left" vertical="center"/>
    </xf>
    <xf numFmtId="0" fontId="22" fillId="17" borderId="52" xfId="0" applyFont="1" applyFill="1" applyBorder="1" applyAlignment="1" applyProtection="1">
      <alignment horizontal="right" vertical="center"/>
    </xf>
    <xf numFmtId="0" fontId="22" fillId="17" borderId="56" xfId="0" applyFont="1" applyFill="1" applyBorder="1" applyAlignment="1" applyProtection="1">
      <alignment horizontal="center" vertical="center"/>
    </xf>
    <xf numFmtId="0" fontId="22" fillId="17" borderId="51" xfId="0" applyFont="1" applyFill="1" applyBorder="1" applyAlignment="1" applyProtection="1">
      <alignment horizontal="left" vertical="center"/>
    </xf>
    <xf numFmtId="0" fontId="18" fillId="0" borderId="0" xfId="0" applyFont="1" applyAlignment="1">
      <alignment vertical="center"/>
    </xf>
    <xf numFmtId="0" fontId="20" fillId="10" borderId="69" xfId="0" applyFont="1" applyFill="1" applyBorder="1" applyAlignment="1" applyProtection="1">
      <alignment horizontal="center" vertical="center"/>
      <protection locked="0"/>
    </xf>
    <xf numFmtId="0" fontId="20" fillId="10" borderId="184" xfId="0" applyFont="1" applyFill="1" applyBorder="1" applyAlignment="1" applyProtection="1">
      <alignment horizontal="center" vertical="center"/>
      <protection locked="0"/>
    </xf>
    <xf numFmtId="0" fontId="20" fillId="0" borderId="50" xfId="0" applyFont="1" applyBorder="1" applyAlignment="1">
      <alignment horizontal="left" vertical="center"/>
    </xf>
    <xf numFmtId="0" fontId="20" fillId="0" borderId="52" xfId="0" applyFont="1" applyBorder="1" applyAlignment="1">
      <alignment horizontal="left" vertical="center"/>
    </xf>
    <xf numFmtId="0" fontId="20" fillId="0" borderId="49" xfId="0" applyFont="1" applyBorder="1" applyAlignment="1">
      <alignment horizontal="left" vertical="center"/>
    </xf>
    <xf numFmtId="0" fontId="20" fillId="0" borderId="51" xfId="0" applyFont="1" applyBorder="1" applyAlignment="1">
      <alignment horizontal="left" vertical="center"/>
    </xf>
    <xf numFmtId="0" fontId="61" fillId="0" borderId="44" xfId="0" applyFont="1" applyBorder="1" applyAlignment="1">
      <alignment horizontal="center" vertical="center"/>
    </xf>
    <xf numFmtId="0" fontId="61" fillId="0" borderId="47" xfId="0" applyFont="1" applyBorder="1" applyAlignment="1">
      <alignment horizontal="center" vertical="center"/>
    </xf>
    <xf numFmtId="0" fontId="61" fillId="0" borderId="185" xfId="0" applyFont="1" applyBorder="1" applyAlignment="1">
      <alignment horizontal="center" vertical="center"/>
    </xf>
    <xf numFmtId="0" fontId="20" fillId="0" borderId="146" xfId="0" applyFont="1" applyBorder="1" applyAlignment="1">
      <alignment horizontal="left" vertical="center"/>
    </xf>
    <xf numFmtId="0" fontId="20" fillId="0" borderId="147" xfId="0" applyFont="1" applyBorder="1" applyAlignment="1">
      <alignment horizontal="center" vertical="center"/>
    </xf>
    <xf numFmtId="0" fontId="20" fillId="0" borderId="148" xfId="0" applyFont="1" applyBorder="1" applyAlignment="1">
      <alignment horizontal="left" vertical="center"/>
    </xf>
    <xf numFmtId="0" fontId="14" fillId="9" borderId="111" xfId="0" applyFont="1" applyFill="1" applyBorder="1" applyAlignment="1">
      <alignment horizontal="center" vertical="center"/>
    </xf>
    <xf numFmtId="0" fontId="20" fillId="10" borderId="146" xfId="0" applyFont="1" applyFill="1" applyBorder="1" applyAlignment="1" applyProtection="1">
      <alignment horizontal="center" vertical="center"/>
      <protection locked="0"/>
    </xf>
    <xf numFmtId="0" fontId="20" fillId="10" borderId="149" xfId="0" applyFont="1" applyFill="1" applyBorder="1" applyAlignment="1" applyProtection="1">
      <alignment horizontal="center" vertical="center"/>
      <protection locked="0"/>
    </xf>
    <xf numFmtId="0" fontId="20" fillId="10" borderId="50" xfId="0" applyFont="1" applyFill="1" applyBorder="1" applyAlignment="1" applyProtection="1">
      <alignment horizontal="center" vertical="center"/>
      <protection locked="0"/>
    </xf>
    <xf numFmtId="0" fontId="20" fillId="10" borderId="52" xfId="0" applyFont="1" applyFill="1" applyBorder="1" applyAlignment="1" applyProtection="1">
      <alignment horizontal="center" vertical="center"/>
      <protection locked="0"/>
    </xf>
    <xf numFmtId="0" fontId="20" fillId="10" borderId="147" xfId="0" applyFont="1" applyFill="1" applyBorder="1" applyAlignment="1">
      <alignment horizontal="center" vertical="center"/>
    </xf>
    <xf numFmtId="0" fontId="20" fillId="10" borderId="55" xfId="0" applyFont="1" applyFill="1" applyBorder="1" applyAlignment="1">
      <alignment horizontal="center" vertical="center"/>
    </xf>
    <xf numFmtId="0" fontId="20" fillId="10" borderId="71" xfId="0" applyFont="1" applyFill="1" applyBorder="1" applyAlignment="1">
      <alignment horizontal="center" vertical="center"/>
    </xf>
    <xf numFmtId="0" fontId="21" fillId="0" borderId="185" xfId="0" applyFont="1" applyBorder="1" applyAlignment="1">
      <alignment horizontal="center" vertical="center"/>
    </xf>
    <xf numFmtId="0" fontId="21" fillId="0" borderId="186" xfId="0" applyFont="1" applyBorder="1" applyAlignment="1">
      <alignment horizontal="center" vertical="center"/>
    </xf>
    <xf numFmtId="0" fontId="14" fillId="9" borderId="113" xfId="0" applyFont="1" applyFill="1" applyBorder="1" applyAlignment="1">
      <alignment horizontal="center" vertical="center"/>
    </xf>
    <xf numFmtId="167" fontId="21" fillId="0" borderId="148" xfId="0" applyNumberFormat="1" applyFont="1" applyBorder="1" applyAlignment="1">
      <alignment horizontal="center" vertical="center"/>
    </xf>
    <xf numFmtId="167" fontId="21" fillId="0" borderId="49" xfId="0" applyNumberFormat="1" applyFont="1" applyBorder="1" applyAlignment="1">
      <alignment horizontal="center" vertical="center"/>
    </xf>
    <xf numFmtId="167" fontId="21" fillId="0" borderId="51" xfId="0" applyNumberFormat="1" applyFont="1" applyBorder="1" applyAlignment="1">
      <alignment horizontal="center" vertical="center"/>
    </xf>
    <xf numFmtId="0" fontId="14" fillId="0" borderId="40" xfId="0" applyFont="1" applyFill="1" applyBorder="1" applyAlignment="1">
      <alignment horizontal="center" vertical="center"/>
    </xf>
    <xf numFmtId="167" fontId="18" fillId="0" borderId="0" xfId="0" applyNumberFormat="1" applyFont="1" applyAlignment="1">
      <alignment horizontal="center"/>
    </xf>
    <xf numFmtId="165" fontId="18" fillId="0" borderId="0" xfId="0" applyNumberFormat="1" applyFont="1" applyAlignment="1">
      <alignment horizontal="center"/>
    </xf>
    <xf numFmtId="167" fontId="21" fillId="15" borderId="0" xfId="0" applyNumberFormat="1" applyFont="1" applyFill="1" applyBorder="1" applyAlignment="1">
      <alignment vertical="center"/>
    </xf>
    <xf numFmtId="167" fontId="21" fillId="15" borderId="0" xfId="0" applyNumberFormat="1" applyFont="1" applyFill="1" applyBorder="1" applyAlignment="1">
      <alignment horizontal="left" vertical="center"/>
    </xf>
    <xf numFmtId="0" fontId="18" fillId="15" borderId="0" xfId="0" applyFont="1" applyFill="1"/>
    <xf numFmtId="0" fontId="21" fillId="0" borderId="191" xfId="0" applyFont="1" applyBorder="1" applyAlignment="1">
      <alignment horizontal="center" vertical="center"/>
    </xf>
    <xf numFmtId="0" fontId="20" fillId="0" borderId="0" xfId="0" applyFont="1" applyFill="1" applyBorder="1" applyAlignment="1" applyProtection="1">
      <alignment horizontal="center" vertical="center"/>
    </xf>
    <xf numFmtId="0" fontId="15" fillId="0" borderId="0" xfId="0" applyFont="1" applyAlignment="1">
      <alignment vertical="center"/>
    </xf>
    <xf numFmtId="0" fontId="18" fillId="0" borderId="0" xfId="0" applyFont="1" applyBorder="1" applyAlignment="1">
      <alignment vertical="center"/>
    </xf>
    <xf numFmtId="0" fontId="21" fillId="0" borderId="194" xfId="0" applyFont="1" applyBorder="1" applyAlignment="1">
      <alignment horizontal="center" vertical="center"/>
    </xf>
    <xf numFmtId="0" fontId="61" fillId="0" borderId="194" xfId="0" applyFont="1" applyBorder="1" applyAlignment="1">
      <alignment horizontal="center" vertical="center"/>
    </xf>
    <xf numFmtId="0" fontId="20" fillId="0" borderId="195" xfId="0" applyFont="1" applyBorder="1" applyAlignment="1">
      <alignment horizontal="left" vertical="center"/>
    </xf>
    <xf numFmtId="0" fontId="20" fillId="0" borderId="142" xfId="0" applyFont="1" applyBorder="1" applyAlignment="1">
      <alignment horizontal="center" vertical="center"/>
    </xf>
    <xf numFmtId="0" fontId="20" fillId="0" borderId="196" xfId="0" applyFont="1" applyBorder="1" applyAlignment="1">
      <alignment horizontal="left" vertical="center"/>
    </xf>
    <xf numFmtId="0" fontId="20" fillId="10" borderId="195" xfId="0" applyFont="1" applyFill="1" applyBorder="1" applyAlignment="1" applyProtection="1">
      <alignment horizontal="center" vertical="center"/>
      <protection locked="0"/>
    </xf>
    <xf numFmtId="0" fontId="20" fillId="10" borderId="142" xfId="0" applyFont="1" applyFill="1" applyBorder="1" applyAlignment="1">
      <alignment horizontal="center" vertical="center"/>
    </xf>
    <xf numFmtId="0" fontId="20" fillId="10" borderId="143" xfId="0" applyFont="1" applyFill="1" applyBorder="1" applyAlignment="1" applyProtection="1">
      <alignment horizontal="center" vertical="center"/>
      <protection locked="0"/>
    </xf>
    <xf numFmtId="0" fontId="21" fillId="0" borderId="47" xfId="0" applyFont="1" applyBorder="1" applyAlignment="1">
      <alignment horizontal="center" vertical="center"/>
    </xf>
    <xf numFmtId="0" fontId="20" fillId="10" borderId="56" xfId="0" applyFont="1" applyFill="1" applyBorder="1" applyAlignment="1">
      <alignment horizontal="center" vertical="center"/>
    </xf>
    <xf numFmtId="0" fontId="21" fillId="0" borderId="110" xfId="0" applyFont="1" applyBorder="1" applyAlignment="1">
      <alignment horizontal="center" vertical="center"/>
    </xf>
    <xf numFmtId="0" fontId="61" fillId="0" borderId="110" xfId="0" applyFont="1" applyBorder="1" applyAlignment="1">
      <alignment horizontal="center" vertical="center"/>
    </xf>
    <xf numFmtId="0" fontId="20" fillId="0" borderId="197" xfId="0" applyFont="1" applyBorder="1" applyAlignment="1">
      <alignment horizontal="left" vertical="center"/>
    </xf>
    <xf numFmtId="0" fontId="20" fillId="0" borderId="114" xfId="0" applyFont="1" applyBorder="1" applyAlignment="1">
      <alignment horizontal="left" vertical="center"/>
    </xf>
    <xf numFmtId="0" fontId="20" fillId="10" borderId="197" xfId="0" applyFont="1" applyFill="1" applyBorder="1" applyAlignment="1" applyProtection="1">
      <alignment horizontal="center" vertical="center"/>
      <protection locked="0"/>
    </xf>
    <xf numFmtId="0" fontId="20" fillId="10" borderId="120" xfId="0" applyFont="1" applyFill="1" applyBorder="1" applyAlignment="1">
      <alignment horizontal="center" vertical="center"/>
    </xf>
    <xf numFmtId="164" fontId="6" fillId="0" borderId="140" xfId="0" applyNumberFormat="1" applyFont="1" applyBorder="1" applyAlignment="1">
      <alignment vertical="center" shrinkToFit="1"/>
    </xf>
    <xf numFmtId="0" fontId="6" fillId="0" borderId="139" xfId="0" applyFont="1" applyBorder="1" applyAlignment="1">
      <alignment horizontal="left" vertical="center" shrinkToFit="1"/>
    </xf>
    <xf numFmtId="164" fontId="6" fillId="0" borderId="43" xfId="0" applyNumberFormat="1" applyFont="1" applyBorder="1" applyAlignment="1">
      <alignment vertical="center" shrinkToFit="1"/>
    </xf>
    <xf numFmtId="0" fontId="6" fillId="0" borderId="45" xfId="0" applyFont="1" applyBorder="1" applyAlignment="1">
      <alignment horizontal="left" vertical="center" shrinkToFit="1"/>
    </xf>
    <xf numFmtId="164" fontId="6" fillId="0" borderId="46" xfId="0" applyNumberFormat="1" applyFont="1" applyBorder="1" applyAlignment="1">
      <alignment vertical="center" shrinkToFit="1"/>
    </xf>
    <xf numFmtId="0" fontId="6" fillId="0" borderId="48" xfId="0" applyFont="1" applyBorder="1" applyAlignment="1">
      <alignment horizontal="left" vertical="center" shrinkToFit="1"/>
    </xf>
    <xf numFmtId="0" fontId="21" fillId="0" borderId="40" xfId="0" applyNumberFormat="1" applyFont="1" applyBorder="1" applyAlignment="1">
      <alignment horizontal="center" vertical="center"/>
    </xf>
    <xf numFmtId="0" fontId="21" fillId="0" borderId="0" xfId="0" applyNumberFormat="1" applyFont="1" applyBorder="1" applyAlignment="1">
      <alignment horizontal="center" vertical="center"/>
    </xf>
    <xf numFmtId="0" fontId="21" fillId="0" borderId="43" xfId="0" applyNumberFormat="1" applyFont="1" applyBorder="1" applyAlignment="1">
      <alignment horizontal="center" vertical="center"/>
    </xf>
    <xf numFmtId="0" fontId="21" fillId="0" borderId="46" xfId="0" applyNumberFormat="1" applyFont="1" applyBorder="1" applyAlignment="1">
      <alignment horizontal="center" vertical="center"/>
    </xf>
    <xf numFmtId="0" fontId="21" fillId="0" borderId="199" xfId="0" applyNumberFormat="1" applyFont="1" applyBorder="1" applyAlignment="1">
      <alignment horizontal="center" vertical="center"/>
    </xf>
    <xf numFmtId="0" fontId="21" fillId="0" borderId="144" xfId="0" applyNumberFormat="1" applyFont="1" applyBorder="1" applyAlignment="1">
      <alignment horizontal="center" vertical="center"/>
    </xf>
    <xf numFmtId="0" fontId="21" fillId="0" borderId="183" xfId="0" applyNumberFormat="1" applyFont="1" applyBorder="1" applyAlignment="1">
      <alignment horizontal="center" vertical="center"/>
    </xf>
    <xf numFmtId="167" fontId="21" fillId="0" borderId="110" xfId="0" applyNumberFormat="1" applyFont="1" applyBorder="1" applyAlignment="1">
      <alignment horizontal="center" vertical="center"/>
    </xf>
    <xf numFmtId="167" fontId="21" fillId="0" borderId="44" xfId="0" applyNumberFormat="1" applyFont="1" applyBorder="1" applyAlignment="1">
      <alignment horizontal="center" vertical="center"/>
    </xf>
    <xf numFmtId="167" fontId="21" fillId="0" borderId="47" xfId="0" applyNumberFormat="1" applyFont="1" applyBorder="1" applyAlignment="1">
      <alignment horizontal="center" vertical="center"/>
    </xf>
    <xf numFmtId="0" fontId="21" fillId="0" borderId="141" xfId="0" applyNumberFormat="1" applyFont="1" applyBorder="1" applyAlignment="1">
      <alignment horizontal="center" vertical="center"/>
    </xf>
    <xf numFmtId="167" fontId="21" fillId="0" borderId="194" xfId="0" applyNumberFormat="1" applyFont="1" applyBorder="1" applyAlignment="1">
      <alignment horizontal="center" vertical="center"/>
    </xf>
    <xf numFmtId="0" fontId="21" fillId="0" borderId="57" xfId="0" applyNumberFormat="1" applyFont="1" applyBorder="1" applyAlignment="1">
      <alignment horizontal="center" vertical="center"/>
    </xf>
    <xf numFmtId="0" fontId="14" fillId="9" borderId="150" xfId="0" applyFont="1" applyFill="1" applyBorder="1" applyAlignment="1">
      <alignment horizontal="center" vertical="center"/>
    </xf>
    <xf numFmtId="164" fontId="20" fillId="18" borderId="141" xfId="0" applyNumberFormat="1" applyFont="1" applyFill="1" applyBorder="1" applyAlignment="1">
      <alignment horizontal="center" vertical="center"/>
    </xf>
    <xf numFmtId="164" fontId="20" fillId="19" borderId="144" xfId="0" applyNumberFormat="1" applyFont="1" applyFill="1" applyBorder="1" applyAlignment="1">
      <alignment horizontal="center" vertical="center"/>
    </xf>
    <xf numFmtId="164" fontId="20" fillId="11" borderId="144" xfId="0" applyNumberFormat="1" applyFont="1" applyFill="1" applyBorder="1" applyAlignment="1">
      <alignment horizontal="center" vertical="center"/>
    </xf>
    <xf numFmtId="164" fontId="20" fillId="0" borderId="144" xfId="0" applyNumberFormat="1" applyFont="1" applyBorder="1" applyAlignment="1">
      <alignment horizontal="center" vertical="center"/>
    </xf>
    <xf numFmtId="164" fontId="20" fillId="0" borderId="183" xfId="0" applyNumberFormat="1" applyFont="1" applyBorder="1" applyAlignment="1">
      <alignment horizontal="center" vertical="center"/>
    </xf>
    <xf numFmtId="165" fontId="20" fillId="0" borderId="0" xfId="0" applyNumberFormat="1" applyFont="1" applyBorder="1" applyAlignment="1">
      <alignment horizontal="left"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0" fillId="0" borderId="205" xfId="0" applyBorder="1" applyAlignment="1">
      <alignment horizontal="center" vertical="center"/>
    </xf>
    <xf numFmtId="0" fontId="0" fillId="0" borderId="206" xfId="0" applyBorder="1" applyAlignment="1">
      <alignment horizontal="center" vertical="center"/>
    </xf>
    <xf numFmtId="0" fontId="0" fillId="0" borderId="209" xfId="0" applyBorder="1" applyAlignment="1">
      <alignment horizontal="center" vertical="center"/>
    </xf>
    <xf numFmtId="0" fontId="20" fillId="0" borderId="2" xfId="0" applyFont="1" applyBorder="1" applyAlignment="1">
      <alignment horizontal="center" vertical="center"/>
    </xf>
    <xf numFmtId="0" fontId="0" fillId="0" borderId="0" xfId="0" applyAlignment="1">
      <alignment horizontal="left"/>
    </xf>
    <xf numFmtId="0" fontId="0" fillId="0" borderId="2" xfId="0" applyBorder="1"/>
    <xf numFmtId="0" fontId="21" fillId="0" borderId="0" xfId="0" applyFont="1" applyAlignment="1" applyProtection="1">
      <alignment vertical="center"/>
    </xf>
    <xf numFmtId="0" fontId="6" fillId="0" borderId="44" xfId="0" applyFont="1" applyFill="1" applyBorder="1" applyAlignment="1">
      <alignment horizontal="center" vertical="center" shrinkToFit="1"/>
    </xf>
    <xf numFmtId="0" fontId="21" fillId="15" borderId="149" xfId="0" applyFont="1" applyFill="1" applyBorder="1" applyAlignment="1" applyProtection="1"/>
    <xf numFmtId="0" fontId="21" fillId="15" borderId="184" xfId="0" applyFont="1" applyFill="1" applyBorder="1" applyAlignment="1" applyProtection="1"/>
    <xf numFmtId="164" fontId="15" fillId="0" borderId="43" xfId="0" applyNumberFormat="1" applyFont="1" applyBorder="1" applyAlignment="1">
      <alignment horizontal="center" vertical="center" shrinkToFit="1"/>
    </xf>
    <xf numFmtId="164" fontId="15" fillId="0" borderId="46" xfId="0" applyNumberFormat="1" applyFont="1" applyBorder="1" applyAlignment="1">
      <alignment horizontal="center" vertical="center" shrinkToFit="1"/>
    </xf>
    <xf numFmtId="164" fontId="15" fillId="0" borderId="57" xfId="0" applyNumberFormat="1" applyFont="1" applyBorder="1" applyAlignment="1">
      <alignment horizontal="center" vertical="center" shrinkToFit="1"/>
    </xf>
    <xf numFmtId="0" fontId="14" fillId="9" borderId="150" xfId="0" applyFont="1" applyFill="1" applyBorder="1" applyAlignment="1">
      <alignment horizontal="center" vertical="center" shrinkToFit="1"/>
    </xf>
    <xf numFmtId="0" fontId="5" fillId="0" borderId="0" xfId="0" applyFont="1" applyAlignment="1">
      <alignment wrapText="1"/>
    </xf>
    <xf numFmtId="0" fontId="0" fillId="0" borderId="0" xfId="0" applyAlignment="1">
      <alignment horizontal="center" vertical="center"/>
    </xf>
    <xf numFmtId="0" fontId="20" fillId="0" borderId="218" xfId="0" applyFont="1" applyBorder="1" applyAlignment="1">
      <alignment horizontal="center" vertical="center"/>
    </xf>
    <xf numFmtId="0" fontId="18" fillId="0" borderId="0" xfId="0" applyFont="1" applyAlignment="1">
      <alignment horizontal="center" vertical="top"/>
    </xf>
    <xf numFmtId="0" fontId="23" fillId="0" borderId="57" xfId="0" applyNumberFormat="1" applyFont="1" applyBorder="1" applyAlignment="1">
      <alignment horizontal="center" vertical="center"/>
    </xf>
    <xf numFmtId="0" fontId="23" fillId="0" borderId="43" xfId="0" applyNumberFormat="1" applyFont="1" applyBorder="1" applyAlignment="1">
      <alignment horizontal="center" vertical="center"/>
    </xf>
    <xf numFmtId="0" fontId="23" fillId="0" borderId="46" xfId="0" applyNumberFormat="1" applyFont="1" applyBorder="1" applyAlignment="1">
      <alignment horizontal="center" vertical="center"/>
    </xf>
    <xf numFmtId="0" fontId="6" fillId="0" borderId="120" xfId="0" applyFont="1" applyBorder="1" applyAlignment="1">
      <alignment horizontal="center" vertical="center" shrinkToFit="1"/>
    </xf>
    <xf numFmtId="0" fontId="13" fillId="0" borderId="199" xfId="0" applyFont="1" applyBorder="1" applyAlignment="1">
      <alignment horizontal="center" vertical="center" shrinkToFit="1"/>
    </xf>
    <xf numFmtId="0" fontId="13" fillId="0" borderId="144" xfId="0" applyFont="1" applyBorder="1" applyAlignment="1">
      <alignment horizontal="center" vertical="center" shrinkToFit="1"/>
    </xf>
    <xf numFmtId="0" fontId="13" fillId="0" borderId="183" xfId="0" applyFont="1" applyBorder="1" applyAlignment="1">
      <alignment horizontal="center" vertical="center" shrinkToFit="1"/>
    </xf>
    <xf numFmtId="0" fontId="6" fillId="10" borderId="120" xfId="0" applyFont="1" applyFill="1" applyBorder="1" applyAlignment="1" applyProtection="1">
      <alignment horizontal="right" vertical="center" shrinkToFit="1"/>
      <protection locked="0"/>
    </xf>
    <xf numFmtId="0" fontId="6" fillId="10" borderId="55" xfId="0" applyFont="1" applyFill="1" applyBorder="1" applyAlignment="1" applyProtection="1">
      <alignment horizontal="right" vertical="center" shrinkToFit="1"/>
      <protection locked="0"/>
    </xf>
    <xf numFmtId="0" fontId="6" fillId="10" borderId="56" xfId="0" applyFont="1" applyFill="1" applyBorder="1" applyAlignment="1" applyProtection="1">
      <alignment horizontal="right" vertical="center" shrinkToFit="1"/>
      <protection locked="0"/>
    </xf>
    <xf numFmtId="167" fontId="49" fillId="0" borderId="110" xfId="0" applyNumberFormat="1" applyFont="1" applyBorder="1" applyAlignment="1">
      <alignment horizontal="center" vertical="center" shrinkToFit="1"/>
    </xf>
    <xf numFmtId="0" fontId="49" fillId="0" borderId="110" xfId="0" applyFont="1" applyBorder="1" applyAlignment="1">
      <alignment horizontal="center" vertical="center" shrinkToFit="1"/>
    </xf>
    <xf numFmtId="167" fontId="49" fillId="0" borderId="44" xfId="0" applyNumberFormat="1" applyFont="1" applyBorder="1" applyAlignment="1">
      <alignment horizontal="center" vertical="center" shrinkToFit="1"/>
    </xf>
    <xf numFmtId="0" fontId="49" fillId="0" borderId="44" xfId="0" applyFont="1" applyBorder="1" applyAlignment="1">
      <alignment horizontal="center" vertical="center" shrinkToFit="1"/>
    </xf>
    <xf numFmtId="167" fontId="49" fillId="0" borderId="47" xfId="0" applyNumberFormat="1" applyFont="1" applyBorder="1" applyAlignment="1">
      <alignment horizontal="center" vertical="center" shrinkToFit="1"/>
    </xf>
    <xf numFmtId="0" fontId="49" fillId="0" borderId="47" xfId="0" applyFont="1" applyBorder="1" applyAlignment="1">
      <alignment horizontal="center" vertical="center" shrinkToFit="1"/>
    </xf>
    <xf numFmtId="0" fontId="6" fillId="0" borderId="197" xfId="0" applyFont="1" applyBorder="1" applyAlignment="1">
      <alignment vertical="center" shrinkToFit="1"/>
    </xf>
    <xf numFmtId="0" fontId="6" fillId="0" borderId="50" xfId="0" applyFont="1" applyBorder="1" applyAlignment="1">
      <alignment vertical="center" shrinkToFit="1"/>
    </xf>
    <xf numFmtId="0" fontId="6" fillId="0" borderId="52" xfId="0" applyFont="1" applyBorder="1" applyAlignment="1">
      <alignment vertical="center" shrinkToFit="1"/>
    </xf>
    <xf numFmtId="0" fontId="6" fillId="0" borderId="114" xfId="0" applyFont="1" applyBorder="1" applyAlignment="1">
      <alignment vertical="center" shrinkToFit="1"/>
    </xf>
    <xf numFmtId="0" fontId="6" fillId="0" borderId="49" xfId="0" applyFont="1" applyBorder="1" applyAlignment="1">
      <alignment vertical="center" shrinkToFit="1"/>
    </xf>
    <xf numFmtId="0" fontId="6" fillId="0" borderId="51" xfId="0" applyFont="1" applyBorder="1" applyAlignment="1">
      <alignment vertical="center" shrinkToFit="1"/>
    </xf>
    <xf numFmtId="0" fontId="20" fillId="0" borderId="0" xfId="0" applyNumberFormat="1" applyFont="1" applyBorder="1" applyAlignment="1">
      <alignment horizontal="left" vertical="center"/>
    </xf>
    <xf numFmtId="0" fontId="21" fillId="0" borderId="125" xfId="0" applyFont="1" applyBorder="1" applyAlignment="1">
      <alignment horizontal="center" vertical="center"/>
    </xf>
    <xf numFmtId="0" fontId="0" fillId="0" borderId="0" xfId="0" applyFill="1" applyBorder="1" applyAlignment="1">
      <alignment horizontal="left"/>
    </xf>
    <xf numFmtId="165" fontId="21" fillId="0" borderId="0" xfId="0" applyNumberFormat="1" applyFont="1" applyAlignment="1" applyProtection="1">
      <alignment horizontal="center"/>
    </xf>
    <xf numFmtId="0" fontId="20" fillId="0" borderId="220" xfId="0" applyFont="1" applyBorder="1" applyAlignment="1">
      <alignment horizontal="center" vertical="center"/>
    </xf>
    <xf numFmtId="0" fontId="20" fillId="0" borderId="221" xfId="0" applyFont="1" applyBorder="1" applyAlignment="1">
      <alignment horizontal="center" vertical="center"/>
    </xf>
    <xf numFmtId="0" fontId="20" fillId="0" borderId="222" xfId="0" applyFont="1" applyBorder="1" applyAlignment="1">
      <alignment horizontal="center" vertical="center"/>
    </xf>
    <xf numFmtId="0" fontId="68" fillId="8" borderId="200" xfId="0" applyFont="1" applyFill="1" applyBorder="1" applyAlignment="1" applyProtection="1">
      <alignment horizontal="center" vertical="center"/>
      <protection locked="0"/>
    </xf>
    <xf numFmtId="0" fontId="68" fillId="8" borderId="201" xfId="0" applyFont="1" applyFill="1" applyBorder="1" applyAlignment="1" applyProtection="1">
      <alignment horizontal="center" vertical="center"/>
      <protection locked="0"/>
    </xf>
    <xf numFmtId="0" fontId="68" fillId="8" borderId="207" xfId="0" applyFont="1" applyFill="1" applyBorder="1" applyAlignment="1" applyProtection="1">
      <alignment horizontal="center" vertical="center"/>
      <protection locked="0"/>
    </xf>
    <xf numFmtId="0" fontId="68" fillId="8" borderId="202" xfId="0" applyFont="1" applyFill="1" applyBorder="1" applyAlignment="1" applyProtection="1">
      <alignment horizontal="center" vertical="center"/>
      <protection locked="0"/>
    </xf>
    <xf numFmtId="0" fontId="68" fillId="0" borderId="44" xfId="0" applyFont="1" applyBorder="1" applyAlignment="1" applyProtection="1">
      <alignment horizontal="center" vertical="center"/>
      <protection locked="0"/>
    </xf>
    <xf numFmtId="0" fontId="68" fillId="0" borderId="208" xfId="0" applyFont="1" applyBorder="1" applyAlignment="1" applyProtection="1">
      <alignment horizontal="center" vertical="center"/>
      <protection locked="0"/>
    </xf>
    <xf numFmtId="0" fontId="68" fillId="8" borderId="210" xfId="0" applyFont="1" applyFill="1" applyBorder="1" applyAlignment="1" applyProtection="1">
      <alignment horizontal="center" vertical="center"/>
      <protection locked="0"/>
    </xf>
    <xf numFmtId="0" fontId="68" fillId="0" borderId="211" xfId="0" applyFont="1" applyBorder="1" applyAlignment="1" applyProtection="1">
      <alignment horizontal="center" vertical="center"/>
      <protection locked="0"/>
    </xf>
    <xf numFmtId="0" fontId="68" fillId="0" borderId="212" xfId="0" applyFont="1" applyBorder="1" applyAlignment="1" applyProtection="1">
      <alignment horizontal="center" vertical="center"/>
      <protection locked="0"/>
    </xf>
    <xf numFmtId="0" fontId="0" fillId="0" borderId="232" xfId="0" applyBorder="1"/>
    <xf numFmtId="0" fontId="0" fillId="0" borderId="232" xfId="0" applyBorder="1" applyAlignment="1">
      <alignment horizontal="center"/>
    </xf>
    <xf numFmtId="0" fontId="0" fillId="0" borderId="0" xfId="0" applyAlignment="1" applyProtection="1">
      <alignment horizontal="left"/>
      <protection locked="0"/>
    </xf>
    <xf numFmtId="0" fontId="0" fillId="0" borderId="0" xfId="0" applyAlignment="1" applyProtection="1">
      <alignment horizontal="right"/>
      <protection locked="0"/>
    </xf>
    <xf numFmtId="0" fontId="4" fillId="0" borderId="233" xfId="0" applyFont="1" applyBorder="1" applyAlignment="1">
      <alignment horizontal="center" vertical="center"/>
    </xf>
    <xf numFmtId="165" fontId="18" fillId="0" borderId="0" xfId="0" applyNumberFormat="1" applyFont="1" applyAlignment="1">
      <alignment horizontal="right" indent="1"/>
    </xf>
    <xf numFmtId="0" fontId="21" fillId="0" borderId="217" xfId="0" applyNumberFormat="1" applyFont="1" applyBorder="1" applyAlignment="1">
      <alignment horizontal="center" vertical="center"/>
    </xf>
    <xf numFmtId="167" fontId="21" fillId="0" borderId="185" xfId="0" applyNumberFormat="1" applyFont="1" applyBorder="1" applyAlignment="1">
      <alignment horizontal="center" vertical="center"/>
    </xf>
    <xf numFmtId="0" fontId="21" fillId="15" borderId="69" xfId="0" applyFont="1" applyFill="1" applyBorder="1" applyAlignment="1" applyProtection="1"/>
    <xf numFmtId="0" fontId="18" fillId="15" borderId="217" xfId="0" applyFont="1" applyFill="1" applyBorder="1" applyAlignment="1" applyProtection="1">
      <alignment horizontal="left" vertical="center" indent="1" shrinkToFit="1"/>
    </xf>
    <xf numFmtId="0" fontId="18" fillId="15" borderId="144" xfId="0" applyFont="1" applyFill="1" applyBorder="1" applyAlignment="1" applyProtection="1">
      <alignment horizontal="left" vertical="center" indent="1" shrinkToFit="1"/>
    </xf>
    <xf numFmtId="0" fontId="18" fillId="15" borderId="183" xfId="0" applyFont="1" applyFill="1" applyBorder="1" applyAlignment="1" applyProtection="1">
      <alignment horizontal="left" vertical="center" indent="1" shrinkToFit="1"/>
    </xf>
    <xf numFmtId="167" fontId="53" fillId="15" borderId="147" xfId="0" applyNumberFormat="1" applyFont="1" applyFill="1" applyBorder="1" applyAlignment="1" applyProtection="1">
      <alignment horizontal="right" indent="1"/>
    </xf>
    <xf numFmtId="167" fontId="53" fillId="15" borderId="55" xfId="0" applyNumberFormat="1" applyFont="1" applyFill="1" applyBorder="1" applyAlignment="1" applyProtection="1">
      <alignment horizontal="right" indent="1"/>
    </xf>
    <xf numFmtId="167" fontId="53" fillId="15" borderId="56" xfId="0" applyNumberFormat="1" applyFont="1" applyFill="1" applyBorder="1" applyAlignment="1" applyProtection="1">
      <alignment horizontal="right" indent="1"/>
    </xf>
    <xf numFmtId="0" fontId="14" fillId="9" borderId="53" xfId="0" applyFont="1" applyFill="1" applyBorder="1" applyAlignment="1">
      <alignment horizontal="center" vertical="center" shrinkToFit="1"/>
    </xf>
    <xf numFmtId="167" fontId="24" fillId="0" borderId="0" xfId="0" applyNumberFormat="1" applyFont="1" applyBorder="1" applyAlignment="1">
      <alignment horizontal="left"/>
    </xf>
    <xf numFmtId="0" fontId="14" fillId="9" borderId="130" xfId="0" applyFont="1" applyFill="1" applyBorder="1" applyAlignment="1">
      <alignment horizontal="center" vertical="center"/>
    </xf>
    <xf numFmtId="0" fontId="20" fillId="0" borderId="147" xfId="0" applyFont="1" applyBorder="1" applyAlignment="1">
      <alignment horizontal="left" vertical="center"/>
    </xf>
    <xf numFmtId="0" fontId="20" fillId="0" borderId="55" xfId="0" applyFont="1" applyBorder="1" applyAlignment="1">
      <alignment horizontal="left" vertical="center"/>
    </xf>
    <xf numFmtId="0" fontId="14" fillId="9" borderId="234" xfId="0" applyFont="1" applyFill="1" applyBorder="1" applyAlignment="1">
      <alignment horizontal="center" vertical="center"/>
    </xf>
    <xf numFmtId="0" fontId="19" fillId="9" borderId="150" xfId="0" applyFont="1" applyFill="1" applyBorder="1" applyAlignment="1">
      <alignment vertical="center"/>
    </xf>
    <xf numFmtId="0" fontId="19" fillId="9" borderId="133" xfId="0" applyFont="1" applyFill="1" applyBorder="1" applyAlignment="1">
      <alignment vertical="center" shrinkToFit="1"/>
    </xf>
    <xf numFmtId="164" fontId="6" fillId="0" borderId="140" xfId="0" applyNumberFormat="1" applyFont="1" applyBorder="1" applyAlignment="1">
      <alignment horizontal="center" vertical="center" shrinkToFit="1"/>
    </xf>
    <xf numFmtId="0" fontId="6" fillId="0" borderId="140" xfId="0" applyFont="1" applyBorder="1" applyAlignment="1">
      <alignment horizontal="center" vertical="center" shrinkToFit="1"/>
    </xf>
    <xf numFmtId="0" fontId="6" fillId="0" borderId="138" xfId="0" applyFont="1" applyBorder="1" applyAlignment="1">
      <alignment horizontal="center" vertical="center"/>
    </xf>
    <xf numFmtId="0" fontId="20" fillId="0" borderId="58" xfId="0" applyFont="1" applyFill="1" applyBorder="1" applyAlignment="1" applyProtection="1">
      <alignment vertical="center" shrinkToFit="1"/>
    </xf>
    <xf numFmtId="164" fontId="6" fillId="0" borderId="43" xfId="0" applyNumberFormat="1" applyFont="1" applyBorder="1" applyAlignment="1">
      <alignment horizontal="center" vertical="center" shrinkToFit="1"/>
    </xf>
    <xf numFmtId="0" fontId="6" fillId="0" borderId="55" xfId="0" applyFont="1" applyBorder="1" applyAlignment="1">
      <alignment horizontal="center" vertical="center"/>
    </xf>
    <xf numFmtId="49" fontId="24" fillId="0" borderId="43" xfId="0" applyNumberFormat="1" applyFont="1" applyBorder="1" applyAlignment="1">
      <alignment horizontal="center" vertical="center"/>
    </xf>
    <xf numFmtId="0" fontId="20" fillId="0" borderId="45" xfId="0" applyFont="1" applyFill="1" applyBorder="1" applyAlignment="1" applyProtection="1">
      <alignment vertical="center" shrinkToFit="1"/>
    </xf>
    <xf numFmtId="164" fontId="6" fillId="0" borderId="46" xfId="0" applyNumberFormat="1" applyFont="1" applyBorder="1" applyAlignment="1">
      <alignment horizontal="center" vertical="center" shrinkToFit="1"/>
    </xf>
    <xf numFmtId="0" fontId="6" fillId="0" borderId="56" xfId="0" applyFont="1" applyBorder="1" applyAlignment="1">
      <alignment horizontal="center" vertical="center"/>
    </xf>
    <xf numFmtId="49" fontId="24" fillId="0" borderId="46" xfId="0" applyNumberFormat="1" applyFont="1" applyBorder="1" applyAlignment="1">
      <alignment horizontal="center" vertical="center"/>
    </xf>
    <xf numFmtId="0" fontId="20" fillId="0" borderId="48" xfId="0" applyFont="1" applyFill="1" applyBorder="1" applyAlignment="1" applyProtection="1">
      <alignment vertical="center" shrinkToFit="1"/>
    </xf>
    <xf numFmtId="0" fontId="21" fillId="0" borderId="0" xfId="0" applyFont="1" applyFill="1" applyBorder="1" applyAlignment="1">
      <alignment horizontal="center" vertical="center"/>
    </xf>
    <xf numFmtId="0" fontId="21" fillId="0" borderId="240" xfId="0" applyFont="1" applyFill="1" applyBorder="1" applyAlignment="1">
      <alignment horizontal="center" vertical="center"/>
    </xf>
    <xf numFmtId="164" fontId="20" fillId="0" borderId="0" xfId="0" applyNumberFormat="1" applyFont="1" applyFill="1" applyBorder="1" applyAlignment="1">
      <alignment horizontal="center" vertical="center"/>
    </xf>
    <xf numFmtId="0" fontId="21" fillId="17" borderId="146" xfId="0" applyFont="1" applyFill="1" applyBorder="1" applyAlignment="1">
      <alignment horizontal="right" vertical="center"/>
    </xf>
    <xf numFmtId="0" fontId="21" fillId="17" borderId="147" xfId="0" applyFont="1" applyFill="1" applyBorder="1" applyAlignment="1">
      <alignment horizontal="center" vertical="center"/>
    </xf>
    <xf numFmtId="0" fontId="21" fillId="17" borderId="148" xfId="0" applyFont="1" applyFill="1" applyBorder="1" applyAlignment="1">
      <alignment horizontal="left" vertical="center"/>
    </xf>
    <xf numFmtId="0" fontId="21" fillId="17" borderId="50" xfId="0" applyFont="1" applyFill="1" applyBorder="1" applyAlignment="1">
      <alignment horizontal="right" vertical="center"/>
    </xf>
    <xf numFmtId="0" fontId="21" fillId="17" borderId="55" xfId="0" applyFont="1" applyFill="1" applyBorder="1" applyAlignment="1">
      <alignment horizontal="center" vertical="center"/>
    </xf>
    <xf numFmtId="0" fontId="21" fillId="17" borderId="49" xfId="0" applyFont="1" applyFill="1" applyBorder="1" applyAlignment="1">
      <alignment horizontal="left" vertical="center"/>
    </xf>
    <xf numFmtId="0" fontId="21" fillId="17" borderId="52" xfId="0" applyFont="1" applyFill="1" applyBorder="1" applyAlignment="1">
      <alignment horizontal="right" vertical="center"/>
    </xf>
    <xf numFmtId="0" fontId="21" fillId="17" borderId="56" xfId="0" applyFont="1" applyFill="1" applyBorder="1" applyAlignment="1">
      <alignment horizontal="center" vertical="center"/>
    </xf>
    <xf numFmtId="0" fontId="21" fillId="17" borderId="51" xfId="0" applyFont="1" applyFill="1" applyBorder="1" applyAlignment="1">
      <alignment horizontal="left" vertical="center"/>
    </xf>
    <xf numFmtId="0" fontId="21" fillId="0" borderId="44" xfId="0" applyFont="1" applyBorder="1" applyAlignment="1">
      <alignment horizontal="center" vertical="center"/>
    </xf>
    <xf numFmtId="0" fontId="20" fillId="0" borderId="71" xfId="0" applyFont="1" applyBorder="1" applyAlignment="1">
      <alignment horizontal="left" vertical="center"/>
    </xf>
    <xf numFmtId="0" fontId="20" fillId="0" borderId="71" xfId="0" applyFont="1" applyBorder="1" applyAlignment="1">
      <alignment horizontal="center" vertical="center"/>
    </xf>
    <xf numFmtId="0" fontId="20" fillId="0" borderId="241" xfId="0" applyFont="1" applyBorder="1" applyAlignment="1">
      <alignment horizontal="left" vertical="center"/>
    </xf>
    <xf numFmtId="0" fontId="18" fillId="0" borderId="0" xfId="0" quotePrefix="1" applyFont="1"/>
    <xf numFmtId="0" fontId="60" fillId="0" borderId="0" xfId="0" applyFont="1" applyBorder="1" applyAlignment="1">
      <alignment vertical="center"/>
    </xf>
    <xf numFmtId="0" fontId="60" fillId="0" borderId="245" xfId="0" applyFont="1" applyBorder="1" applyAlignment="1">
      <alignment vertical="center"/>
    </xf>
    <xf numFmtId="14" fontId="62" fillId="0" borderId="0" xfId="0" applyNumberFormat="1" applyFont="1" applyBorder="1" applyAlignment="1">
      <alignment vertical="center"/>
    </xf>
    <xf numFmtId="14" fontId="62" fillId="0" borderId="245" xfId="0" applyNumberFormat="1" applyFont="1" applyBorder="1" applyAlignment="1">
      <alignment vertical="center"/>
    </xf>
    <xf numFmtId="0" fontId="62" fillId="0" borderId="0" xfId="0" applyFont="1" applyBorder="1" applyAlignment="1">
      <alignment vertical="center"/>
    </xf>
    <xf numFmtId="0" fontId="62" fillId="0" borderId="245" xfId="0" applyFont="1" applyBorder="1" applyAlignment="1">
      <alignment vertical="center"/>
    </xf>
    <xf numFmtId="0" fontId="13" fillId="0" borderId="0" xfId="0" applyFont="1" applyAlignment="1">
      <alignment horizontal="center" vertical="center"/>
    </xf>
    <xf numFmtId="165" fontId="21" fillId="0" borderId="0" xfId="0" applyNumberFormat="1" applyFont="1" applyAlignment="1">
      <alignment horizontal="center" vertical="center"/>
    </xf>
    <xf numFmtId="165" fontId="14" fillId="9" borderId="252" xfId="0" applyNumberFormat="1" applyFont="1" applyFill="1" applyBorder="1" applyAlignment="1">
      <alignment vertical="center" shrinkToFit="1"/>
    </xf>
    <xf numFmtId="0" fontId="7" fillId="0" borderId="153" xfId="1" applyNumberFormat="1" applyFont="1" applyFill="1" applyBorder="1" applyAlignment="1" applyProtection="1">
      <alignment vertical="center"/>
      <protection hidden="1"/>
    </xf>
    <xf numFmtId="0" fontId="7" fillId="0" borderId="253" xfId="1" applyNumberFormat="1" applyFont="1" applyFill="1" applyBorder="1" applyAlignment="1" applyProtection="1">
      <alignment vertical="center"/>
      <protection hidden="1"/>
    </xf>
    <xf numFmtId="0" fontId="7" fillId="0" borderId="253" xfId="1" applyNumberFormat="1" applyFont="1" applyFill="1" applyBorder="1" applyAlignment="1" applyProtection="1">
      <alignment horizontal="center" vertical="center"/>
      <protection hidden="1"/>
    </xf>
    <xf numFmtId="0" fontId="7" fillId="0" borderId="0" xfId="1" applyNumberFormat="1" applyFont="1" applyFill="1" applyBorder="1" applyAlignment="1" applyProtection="1">
      <alignment horizontal="center" vertical="center"/>
      <protection hidden="1"/>
    </xf>
    <xf numFmtId="0" fontId="7" fillId="0" borderId="154" xfId="1" applyNumberFormat="1" applyFont="1" applyFill="1" applyBorder="1" applyAlignment="1" applyProtection="1">
      <alignment horizontal="center" vertical="center"/>
      <protection hidden="1"/>
    </xf>
    <xf numFmtId="0" fontId="7" fillId="0" borderId="105" xfId="1" applyNumberFormat="1" applyFont="1" applyFill="1" applyBorder="1" applyAlignment="1" applyProtection="1">
      <alignment vertical="center"/>
      <protection hidden="1"/>
    </xf>
    <xf numFmtId="0" fontId="7" fillId="0" borderId="0" xfId="1" applyNumberFormat="1" applyFont="1" applyFill="1" applyBorder="1" applyAlignment="1" applyProtection="1">
      <alignment vertical="center"/>
      <protection hidden="1"/>
    </xf>
    <xf numFmtId="166" fontId="7" fillId="0" borderId="0" xfId="1" applyNumberFormat="1" applyFont="1" applyFill="1" applyBorder="1" applyAlignment="1" applyProtection="1">
      <alignment horizontal="center" vertical="center"/>
      <protection hidden="1"/>
    </xf>
    <xf numFmtId="0" fontId="7" fillId="0" borderId="106" xfId="1" applyNumberFormat="1" applyFont="1" applyFill="1" applyBorder="1" applyAlignment="1" applyProtection="1">
      <alignment horizontal="center" vertical="center"/>
      <protection hidden="1"/>
    </xf>
    <xf numFmtId="0" fontId="7" fillId="0" borderId="107" xfId="1" applyNumberFormat="1" applyFont="1" applyFill="1" applyBorder="1" applyAlignment="1" applyProtection="1">
      <alignment vertical="center"/>
      <protection hidden="1"/>
    </xf>
    <xf numFmtId="0" fontId="7" fillId="0" borderId="108" xfId="1" applyNumberFormat="1" applyFont="1" applyFill="1" applyBorder="1" applyAlignment="1" applyProtection="1">
      <alignment vertical="center"/>
      <protection hidden="1"/>
    </xf>
    <xf numFmtId="0" fontId="7" fillId="0" borderId="108" xfId="1" applyNumberFormat="1" applyFont="1" applyFill="1" applyBorder="1" applyAlignment="1" applyProtection="1">
      <alignment horizontal="center" vertical="center"/>
      <protection hidden="1"/>
    </xf>
    <xf numFmtId="0" fontId="7" fillId="0" borderId="109" xfId="1" applyNumberFormat="1" applyFont="1" applyFill="1" applyBorder="1" applyAlignment="1" applyProtection="1">
      <alignment horizontal="center" vertical="center"/>
      <protection hidden="1"/>
    </xf>
    <xf numFmtId="166" fontId="7" fillId="0" borderId="108" xfId="1" applyNumberFormat="1" applyFont="1" applyFill="1" applyBorder="1" applyAlignment="1" applyProtection="1">
      <alignment horizontal="center" vertical="center"/>
      <protection hidden="1"/>
    </xf>
    <xf numFmtId="0" fontId="14" fillId="0" borderId="0"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xf>
    <xf numFmtId="0" fontId="5" fillId="0" borderId="0" xfId="0" applyFont="1" applyFill="1" applyBorder="1" applyProtection="1"/>
    <xf numFmtId="0" fontId="14" fillId="9" borderId="133" xfId="0" applyFont="1" applyFill="1" applyBorder="1" applyAlignment="1">
      <alignment vertical="center" shrinkToFit="1"/>
    </xf>
    <xf numFmtId="0" fontId="6" fillId="0" borderId="58" xfId="0" applyFont="1" applyBorder="1" applyAlignment="1">
      <alignment horizontal="left" vertical="center" shrinkToFit="1"/>
    </xf>
    <xf numFmtId="0" fontId="15" fillId="0" borderId="0" xfId="0" applyFont="1" applyAlignment="1">
      <alignment horizontal="center"/>
    </xf>
    <xf numFmtId="0" fontId="18" fillId="0" borderId="0" xfId="4" applyFont="1"/>
    <xf numFmtId="0" fontId="18" fillId="0" borderId="0" xfId="4" applyFont="1" applyFill="1"/>
    <xf numFmtId="165" fontId="29" fillId="0" borderId="71" xfId="4" applyNumberFormat="1" applyFont="1" applyBorder="1" applyAlignment="1">
      <alignment wrapText="1"/>
    </xf>
    <xf numFmtId="165" fontId="29" fillId="0" borderId="0" xfId="4" applyNumberFormat="1" applyFont="1" applyBorder="1" applyAlignment="1">
      <alignment wrapText="1"/>
    </xf>
    <xf numFmtId="0" fontId="18" fillId="0" borderId="0" xfId="4" applyFont="1" applyAlignment="1">
      <alignment vertical="center" wrapText="1"/>
    </xf>
    <xf numFmtId="0" fontId="18" fillId="0" borderId="0" xfId="4" applyFont="1" applyFill="1" applyAlignment="1">
      <alignment horizontal="center" vertical="center" wrapText="1"/>
    </xf>
    <xf numFmtId="0" fontId="18" fillId="0" borderId="0" xfId="4" applyFont="1" applyAlignment="1">
      <alignment horizontal="center" vertical="center" wrapText="1"/>
    </xf>
    <xf numFmtId="0" fontId="6" fillId="0" borderId="0" xfId="4" applyFont="1" applyFill="1" applyBorder="1" applyAlignment="1">
      <alignment vertical="center" shrinkToFit="1"/>
    </xf>
    <xf numFmtId="0" fontId="31" fillId="9" borderId="150" xfId="4" applyFont="1" applyFill="1" applyBorder="1" applyAlignment="1">
      <alignment horizontal="center" vertical="center"/>
    </xf>
    <xf numFmtId="0" fontId="31" fillId="9" borderId="113" xfId="4" applyFont="1" applyFill="1" applyBorder="1" applyAlignment="1">
      <alignment horizontal="center" vertical="center"/>
    </xf>
    <xf numFmtId="0" fontId="31" fillId="9" borderId="261" xfId="4" applyFont="1" applyFill="1" applyBorder="1" applyAlignment="1">
      <alignment horizontal="center" vertical="center"/>
    </xf>
    <xf numFmtId="0" fontId="70" fillId="0" borderId="0" xfId="4" applyFont="1" applyAlignment="1">
      <alignment horizontal="center"/>
    </xf>
    <xf numFmtId="0" fontId="71" fillId="0" borderId="40" xfId="4" applyNumberFormat="1" applyFont="1" applyBorder="1" applyAlignment="1">
      <alignment horizontal="center" vertical="center"/>
    </xf>
    <xf numFmtId="0" fontId="23" fillId="0" borderId="262" xfId="4" applyNumberFormat="1" applyFont="1" applyBorder="1" applyAlignment="1">
      <alignment horizontal="center" vertical="center"/>
    </xf>
    <xf numFmtId="20" fontId="20" fillId="10" borderId="146" xfId="4" applyNumberFormat="1" applyFont="1" applyFill="1" applyBorder="1" applyAlignment="1" applyProtection="1">
      <alignment horizontal="center" vertical="center"/>
      <protection locked="0"/>
    </xf>
    <xf numFmtId="0" fontId="20" fillId="10" borderId="146" xfId="4" applyFont="1" applyFill="1" applyBorder="1" applyAlignment="1" applyProtection="1">
      <alignment horizontal="center" vertical="center"/>
      <protection locked="0"/>
    </xf>
    <xf numFmtId="0" fontId="20" fillId="10" borderId="50" xfId="4" applyFont="1" applyFill="1" applyBorder="1" applyAlignment="1" applyProtection="1">
      <alignment horizontal="right" vertical="center"/>
      <protection locked="0"/>
    </xf>
    <xf numFmtId="0" fontId="20" fillId="10" borderId="55" xfId="4" applyFont="1" applyFill="1" applyBorder="1" applyAlignment="1" applyProtection="1">
      <alignment horizontal="center" vertical="center"/>
    </xf>
    <xf numFmtId="0" fontId="20" fillId="10" borderId="49" xfId="4" applyFont="1" applyFill="1" applyBorder="1" applyAlignment="1" applyProtection="1">
      <alignment horizontal="left" vertical="center"/>
      <protection locked="0"/>
    </xf>
    <xf numFmtId="0" fontId="20" fillId="0" borderId="197" xfId="4" applyFont="1" applyBorder="1" applyAlignment="1">
      <alignment horizontal="left" vertical="center" shrinkToFit="1"/>
    </xf>
    <xf numFmtId="0" fontId="20" fillId="0" borderId="120" xfId="4" applyFont="1" applyBorder="1" applyAlignment="1">
      <alignment horizontal="center" vertical="center" shrinkToFit="1"/>
    </xf>
    <xf numFmtId="0" fontId="20" fillId="0" borderId="114" xfId="4" applyFont="1" applyBorder="1" applyAlignment="1">
      <alignment horizontal="left" vertical="center" shrinkToFit="1"/>
    </xf>
    <xf numFmtId="0" fontId="20" fillId="10" borderId="146" xfId="4" applyFont="1" applyFill="1" applyBorder="1" applyAlignment="1" applyProtection="1">
      <alignment horizontal="right" vertical="center"/>
      <protection locked="0"/>
    </xf>
    <xf numFmtId="0" fontId="20" fillId="10" borderId="120" xfId="4" applyFont="1" applyFill="1" applyBorder="1" applyAlignment="1">
      <alignment horizontal="center" vertical="center"/>
    </xf>
    <xf numFmtId="0" fontId="20" fillId="10" borderId="148" xfId="4" applyFont="1" applyFill="1" applyBorder="1" applyAlignment="1" applyProtection="1">
      <alignment horizontal="left" vertical="center"/>
      <protection locked="0"/>
    </xf>
    <xf numFmtId="0" fontId="20" fillId="10" borderId="197" xfId="4" applyFont="1" applyFill="1" applyBorder="1" applyAlignment="1" applyProtection="1">
      <alignment horizontal="right" vertical="center"/>
      <protection locked="0"/>
    </xf>
    <xf numFmtId="0" fontId="20" fillId="10" borderId="198" xfId="4" applyFont="1" applyFill="1" applyBorder="1" applyAlignment="1" applyProtection="1">
      <alignment horizontal="left" vertical="center"/>
      <protection locked="0"/>
    </xf>
    <xf numFmtId="0" fontId="20" fillId="0" borderId="263" xfId="4" applyFont="1" applyBorder="1" applyAlignment="1">
      <alignment horizontal="center" vertical="center" shrinkToFit="1"/>
    </xf>
    <xf numFmtId="0" fontId="53" fillId="0" borderId="0" xfId="4" applyFont="1" applyAlignment="1">
      <alignment horizontal="left" vertical="center"/>
    </xf>
    <xf numFmtId="0" fontId="18" fillId="0" borderId="0" xfId="4" applyFont="1" applyAlignment="1">
      <alignment horizontal="center" vertical="center"/>
    </xf>
    <xf numFmtId="0" fontId="72" fillId="0" borderId="0" xfId="4" applyFont="1" applyAlignment="1">
      <alignment horizontal="center" vertical="center"/>
    </xf>
    <xf numFmtId="0" fontId="23" fillId="0" borderId="43" xfId="4" applyNumberFormat="1" applyFont="1" applyBorder="1" applyAlignment="1">
      <alignment horizontal="center" vertical="center"/>
    </xf>
    <xf numFmtId="0" fontId="20" fillId="10" borderId="50" xfId="4" applyFont="1" applyFill="1" applyBorder="1" applyAlignment="1" applyProtection="1">
      <alignment horizontal="center" vertical="center"/>
      <protection locked="0"/>
    </xf>
    <xf numFmtId="0" fontId="20" fillId="0" borderId="50" xfId="4" applyFont="1" applyBorder="1" applyAlignment="1">
      <alignment horizontal="left" vertical="center" shrinkToFit="1"/>
    </xf>
    <xf numFmtId="0" fontId="20" fillId="0" borderId="55" xfId="4" applyFont="1" applyBorder="1" applyAlignment="1">
      <alignment horizontal="center" vertical="center" shrinkToFit="1"/>
    </xf>
    <xf numFmtId="0" fontId="20" fillId="0" borderId="49" xfId="4" applyFont="1" applyBorder="1" applyAlignment="1">
      <alignment horizontal="left" vertical="center" shrinkToFit="1"/>
    </xf>
    <xf numFmtId="0" fontId="20" fillId="10" borderId="55" xfId="4" applyFont="1" applyFill="1" applyBorder="1" applyAlignment="1">
      <alignment horizontal="center" vertical="center"/>
    </xf>
    <xf numFmtId="0" fontId="20" fillId="10" borderId="69" xfId="4" applyFont="1" applyFill="1" applyBorder="1" applyAlignment="1" applyProtection="1">
      <alignment horizontal="left" vertical="center"/>
      <protection locked="0"/>
    </xf>
    <xf numFmtId="0" fontId="20" fillId="0" borderId="264" xfId="4" applyFont="1" applyBorder="1" applyAlignment="1">
      <alignment horizontal="center" vertical="center" shrinkToFit="1"/>
    </xf>
    <xf numFmtId="0" fontId="23" fillId="0" borderId="46" xfId="4" applyNumberFormat="1" applyFont="1" applyBorder="1" applyAlignment="1">
      <alignment horizontal="center" vertical="center"/>
    </xf>
    <xf numFmtId="0" fontId="20" fillId="10" borderId="52" xfId="4" applyFont="1" applyFill="1" applyBorder="1" applyAlignment="1" applyProtection="1">
      <alignment horizontal="center" vertical="center"/>
      <protection locked="0"/>
    </xf>
    <xf numFmtId="0" fontId="20" fillId="10" borderId="52" xfId="4" applyFont="1" applyFill="1" applyBorder="1" applyAlignment="1" applyProtection="1">
      <alignment horizontal="right" vertical="center"/>
      <protection locked="0"/>
    </xf>
    <xf numFmtId="0" fontId="20" fillId="10" borderId="56" xfId="4" applyFont="1" applyFill="1" applyBorder="1" applyAlignment="1" applyProtection="1">
      <alignment horizontal="center" vertical="center"/>
    </xf>
    <xf numFmtId="0" fontId="20" fillId="10" borderId="51" xfId="4" applyFont="1" applyFill="1" applyBorder="1" applyAlignment="1" applyProtection="1">
      <alignment horizontal="left" vertical="center"/>
      <protection locked="0"/>
    </xf>
    <xf numFmtId="0" fontId="20" fillId="0" borderId="52" xfId="4" applyFont="1" applyBorder="1" applyAlignment="1">
      <alignment horizontal="left" vertical="center" shrinkToFit="1"/>
    </xf>
    <xf numFmtId="0" fontId="20" fillId="0" borderId="56" xfId="4" applyFont="1" applyBorder="1" applyAlignment="1">
      <alignment horizontal="center" vertical="center" shrinkToFit="1"/>
    </xf>
    <xf numFmtId="0" fontId="20" fillId="0" borderId="51" xfId="4" applyFont="1" applyBorder="1" applyAlignment="1">
      <alignment horizontal="left" vertical="center" shrinkToFit="1"/>
    </xf>
    <xf numFmtId="0" fontId="20" fillId="10" borderId="56" xfId="4" applyFont="1" applyFill="1" applyBorder="1" applyAlignment="1">
      <alignment horizontal="center" vertical="center"/>
    </xf>
    <xf numFmtId="0" fontId="20" fillId="10" borderId="184" xfId="4" applyFont="1" applyFill="1" applyBorder="1" applyAlignment="1" applyProtection="1">
      <alignment horizontal="left" vertical="center"/>
      <protection locked="0"/>
    </xf>
    <xf numFmtId="0" fontId="20" fillId="0" borderId="265" xfId="4" applyFont="1" applyBorder="1" applyAlignment="1">
      <alignment horizontal="center" vertical="center" shrinkToFit="1"/>
    </xf>
    <xf numFmtId="0" fontId="18" fillId="0" borderId="0" xfId="4" applyFont="1" applyAlignment="1">
      <alignment horizontal="center"/>
    </xf>
    <xf numFmtId="164" fontId="23" fillId="0" borderId="0" xfId="4" applyNumberFormat="1" applyFont="1" applyFill="1" applyBorder="1" applyAlignment="1" applyProtection="1">
      <alignment horizontal="center" vertical="center"/>
    </xf>
    <xf numFmtId="167" fontId="23" fillId="0" borderId="0" xfId="4" applyNumberFormat="1" applyFont="1" applyFill="1" applyBorder="1" applyAlignment="1" applyProtection="1">
      <alignment horizontal="center" vertical="center"/>
    </xf>
    <xf numFmtId="0" fontId="23" fillId="0" borderId="0" xfId="4" applyNumberFormat="1" applyFont="1" applyFill="1" applyBorder="1" applyAlignment="1" applyProtection="1">
      <alignment horizontal="center" vertical="center"/>
    </xf>
    <xf numFmtId="0" fontId="21" fillId="0" borderId="0" xfId="4" applyFont="1" applyFill="1" applyBorder="1" applyAlignment="1" applyProtection="1">
      <alignment horizontal="right" vertical="center"/>
    </xf>
    <xf numFmtId="0" fontId="21" fillId="0" borderId="0" xfId="4" applyFont="1" applyFill="1" applyBorder="1" applyAlignment="1" applyProtection="1">
      <alignment horizontal="center" vertical="center"/>
    </xf>
    <xf numFmtId="0" fontId="21" fillId="0" borderId="0" xfId="4" applyFont="1" applyFill="1" applyBorder="1" applyAlignment="1" applyProtection="1">
      <alignment horizontal="left" vertical="center"/>
    </xf>
    <xf numFmtId="165" fontId="20" fillId="0" borderId="0" xfId="4" applyNumberFormat="1" applyFont="1" applyFill="1" applyBorder="1" applyAlignment="1" applyProtection="1">
      <alignment horizontal="left" vertical="center" shrinkToFit="1"/>
    </xf>
    <xf numFmtId="0" fontId="20" fillId="0" borderId="0" xfId="4" applyFont="1" applyFill="1" applyBorder="1" applyAlignment="1" applyProtection="1">
      <alignment horizontal="center" vertical="center" shrinkToFit="1"/>
    </xf>
    <xf numFmtId="0" fontId="20" fillId="0" borderId="0" xfId="4" applyFont="1" applyFill="1" applyBorder="1" applyAlignment="1" applyProtection="1">
      <alignment horizontal="right" vertical="center"/>
    </xf>
    <xf numFmtId="0" fontId="20" fillId="0" borderId="0" xfId="4" applyFont="1" applyFill="1" applyBorder="1" applyAlignment="1" applyProtection="1">
      <alignment horizontal="center" vertical="center"/>
    </xf>
    <xf numFmtId="0" fontId="20" fillId="0" borderId="0" xfId="4" applyFont="1" applyFill="1" applyBorder="1" applyAlignment="1" applyProtection="1">
      <alignment horizontal="left" vertical="center"/>
    </xf>
    <xf numFmtId="0" fontId="21" fillId="0" borderId="0" xfId="4" applyFont="1" applyFill="1" applyBorder="1" applyAlignment="1" applyProtection="1">
      <alignment horizontal="center"/>
    </xf>
    <xf numFmtId="49" fontId="24" fillId="0" borderId="57" xfId="0" applyNumberFormat="1" applyFont="1" applyBorder="1" applyAlignment="1">
      <alignment horizontal="center" vertical="center"/>
    </xf>
    <xf numFmtId="49" fontId="24" fillId="0" borderId="59" xfId="0" applyNumberFormat="1" applyFont="1" applyBorder="1" applyAlignment="1">
      <alignment horizontal="center" vertical="center"/>
    </xf>
    <xf numFmtId="0" fontId="20" fillId="10" borderId="147" xfId="0" applyFont="1" applyFill="1" applyBorder="1" applyAlignment="1" applyProtection="1">
      <alignment horizontal="center" vertical="center"/>
    </xf>
    <xf numFmtId="0" fontId="20" fillId="10" borderId="55" xfId="0" applyFont="1" applyFill="1" applyBorder="1" applyAlignment="1" applyProtection="1">
      <alignment horizontal="center" vertical="center"/>
    </xf>
    <xf numFmtId="0" fontId="20" fillId="10" borderId="79" xfId="0" applyFont="1" applyFill="1" applyBorder="1" applyAlignment="1" applyProtection="1">
      <alignment horizontal="center" vertical="center"/>
    </xf>
    <xf numFmtId="0" fontId="21" fillId="10" borderId="131" xfId="0" applyFont="1" applyFill="1" applyBorder="1" applyAlignment="1" applyProtection="1">
      <alignment horizontal="center" vertical="center"/>
      <protection locked="0"/>
    </xf>
    <xf numFmtId="0" fontId="21" fillId="10" borderId="123" xfId="0" applyFont="1" applyFill="1" applyBorder="1" applyAlignment="1" applyProtection="1">
      <alignment horizontal="center" vertical="center"/>
      <protection locked="0"/>
    </xf>
    <xf numFmtId="0" fontId="21" fillId="10" borderId="266" xfId="0" applyFont="1" applyFill="1" applyBorder="1" applyAlignment="1" applyProtection="1">
      <alignment horizontal="center" vertical="center"/>
      <protection locked="0"/>
    </xf>
    <xf numFmtId="0" fontId="21" fillId="0" borderId="253" xfId="0" applyFont="1" applyFill="1" applyBorder="1" applyAlignment="1" applyProtection="1">
      <alignment horizontal="center" vertical="center"/>
    </xf>
    <xf numFmtId="0" fontId="14" fillId="9" borderId="111" xfId="0" applyFont="1" applyFill="1" applyBorder="1" applyAlignment="1">
      <alignment horizontal="center" vertical="center"/>
    </xf>
    <xf numFmtId="0" fontId="20" fillId="10" borderId="114" xfId="0" applyFont="1" applyFill="1" applyBorder="1" applyAlignment="1" applyProtection="1">
      <alignment horizontal="center" vertical="center"/>
      <protection locked="0"/>
    </xf>
    <xf numFmtId="0" fontId="20" fillId="10" borderId="49" xfId="0" applyFont="1" applyFill="1" applyBorder="1" applyAlignment="1" applyProtection="1">
      <alignment horizontal="center" vertical="center"/>
      <protection locked="0"/>
    </xf>
    <xf numFmtId="0" fontId="20" fillId="10" borderId="51" xfId="0" applyFont="1" applyFill="1" applyBorder="1" applyAlignment="1" applyProtection="1">
      <alignment horizontal="center" vertical="center"/>
      <protection locked="0"/>
    </xf>
    <xf numFmtId="165" fontId="14" fillId="0" borderId="0" xfId="0" applyNumberFormat="1" applyFont="1" applyFill="1" applyBorder="1" applyAlignment="1" applyProtection="1">
      <alignment horizontal="center" vertical="center" shrinkToFit="1"/>
    </xf>
    <xf numFmtId="165" fontId="6" fillId="0" borderId="0" xfId="0" applyNumberFormat="1" applyFont="1" applyFill="1" applyBorder="1" applyAlignment="1" applyProtection="1">
      <alignment horizontal="center" vertical="center"/>
    </xf>
    <xf numFmtId="0" fontId="18" fillId="0" borderId="132" xfId="0" applyFont="1" applyBorder="1" applyAlignment="1">
      <alignment vertical="center"/>
    </xf>
    <xf numFmtId="0" fontId="21" fillId="10" borderId="132" xfId="0" applyFont="1" applyFill="1" applyBorder="1" applyAlignment="1" applyProtection="1">
      <alignment horizontal="center" vertical="center"/>
      <protection locked="0"/>
    </xf>
    <xf numFmtId="0" fontId="20" fillId="10" borderId="196" xfId="0" applyFont="1" applyFill="1" applyBorder="1" applyAlignment="1" applyProtection="1">
      <alignment horizontal="center" vertical="center"/>
      <protection locked="0"/>
    </xf>
    <xf numFmtId="0" fontId="20" fillId="10" borderId="56" xfId="0" applyFont="1" applyFill="1" applyBorder="1" applyAlignment="1" applyProtection="1">
      <alignment horizontal="center" vertical="center"/>
    </xf>
    <xf numFmtId="0" fontId="20" fillId="10" borderId="142" xfId="0" applyFont="1" applyFill="1" applyBorder="1" applyAlignment="1" applyProtection="1">
      <alignment horizontal="center" vertical="center"/>
    </xf>
    <xf numFmtId="0" fontId="6" fillId="10" borderId="114" xfId="0" applyFont="1" applyFill="1" applyBorder="1" applyAlignment="1" applyProtection="1">
      <alignment horizontal="left" vertical="center" shrinkToFit="1"/>
      <protection locked="0"/>
    </xf>
    <xf numFmtId="0" fontId="6" fillId="10" borderId="49" xfId="0" applyFont="1" applyFill="1" applyBorder="1" applyAlignment="1" applyProtection="1">
      <alignment horizontal="left" vertical="center" shrinkToFit="1"/>
      <protection locked="0"/>
    </xf>
    <xf numFmtId="0" fontId="6" fillId="10" borderId="51" xfId="0" applyFont="1" applyFill="1" applyBorder="1" applyAlignment="1" applyProtection="1">
      <alignment horizontal="left" vertical="center" shrinkToFit="1"/>
      <protection locked="0"/>
    </xf>
    <xf numFmtId="0" fontId="73" fillId="0" borderId="0" xfId="0" applyFont="1" applyAlignment="1">
      <alignment horizontal="center"/>
    </xf>
    <xf numFmtId="0" fontId="73" fillId="0" borderId="0" xfId="0" applyFont="1"/>
    <xf numFmtId="0" fontId="18"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horizontal="center" vertical="center"/>
    </xf>
    <xf numFmtId="0" fontId="39" fillId="0" borderId="0" xfId="0" applyFont="1" applyAlignment="1">
      <alignment vertical="center"/>
    </xf>
    <xf numFmtId="0" fontId="75" fillId="9" borderId="269" xfId="0" applyFont="1" applyFill="1" applyBorder="1" applyAlignment="1">
      <alignment horizontal="center" vertical="center"/>
    </xf>
    <xf numFmtId="0" fontId="75" fillId="9" borderId="270" xfId="0" applyFont="1" applyFill="1" applyBorder="1" applyAlignment="1">
      <alignment horizontal="center" vertical="center"/>
    </xf>
    <xf numFmtId="0" fontId="75" fillId="9" borderId="271" xfId="0" applyFont="1" applyFill="1" applyBorder="1" applyAlignment="1">
      <alignment horizontal="center" vertical="center"/>
    </xf>
    <xf numFmtId="0" fontId="75" fillId="9" borderId="272" xfId="0" applyFont="1" applyFill="1" applyBorder="1" applyAlignment="1">
      <alignment horizontal="center" vertical="center"/>
    </xf>
    <xf numFmtId="0" fontId="3" fillId="0" borderId="273" xfId="0" applyFont="1" applyBorder="1" applyAlignment="1">
      <alignment horizontal="center" vertical="center"/>
    </xf>
    <xf numFmtId="167" fontId="0" fillId="0" borderId="185" xfId="0" applyNumberFormat="1" applyBorder="1" applyAlignment="1">
      <alignment horizontal="center" vertical="center"/>
    </xf>
    <xf numFmtId="0" fontId="0" fillId="0" borderId="146" xfId="0" applyBorder="1" applyAlignment="1">
      <alignment horizontal="center" vertical="center"/>
    </xf>
    <xf numFmtId="0" fontId="0" fillId="0" borderId="274" xfId="0" applyBorder="1" applyAlignment="1">
      <alignment vertical="center"/>
    </xf>
    <xf numFmtId="167" fontId="0" fillId="0" borderId="44" xfId="0" applyNumberFormat="1" applyBorder="1" applyAlignment="1">
      <alignment horizontal="center" vertical="center"/>
    </xf>
    <xf numFmtId="0" fontId="0" fillId="0" borderId="50" xfId="0" applyBorder="1" applyAlignment="1">
      <alignment horizontal="center" vertical="center"/>
    </xf>
    <xf numFmtId="0" fontId="0" fillId="0" borderId="221" xfId="0" applyBorder="1" applyAlignment="1">
      <alignment vertical="center"/>
    </xf>
    <xf numFmtId="0" fontId="3" fillId="0" borderId="107" xfId="0" applyFont="1" applyBorder="1" applyAlignment="1">
      <alignment horizontal="center" vertical="center"/>
    </xf>
    <xf numFmtId="167" fontId="0" fillId="0" borderId="275" xfId="0" applyNumberFormat="1" applyBorder="1" applyAlignment="1">
      <alignment horizontal="center" vertical="center"/>
    </xf>
    <xf numFmtId="0" fontId="0" fillId="0" borderId="276" xfId="0" applyBorder="1" applyAlignment="1">
      <alignment horizontal="center" vertical="center"/>
    </xf>
    <xf numFmtId="0" fontId="0" fillId="0" borderId="277" xfId="0" applyBorder="1" applyAlignment="1">
      <alignment vertical="center"/>
    </xf>
    <xf numFmtId="0" fontId="76" fillId="0" borderId="0" xfId="0" applyFont="1" applyAlignment="1">
      <alignment horizontal="center"/>
    </xf>
    <xf numFmtId="0" fontId="0" fillId="0" borderId="72" xfId="0" applyBorder="1" applyAlignment="1">
      <alignment horizontal="center"/>
    </xf>
    <xf numFmtId="0" fontId="0" fillId="0" borderId="73" xfId="0" applyNumberFormat="1" applyBorder="1" applyAlignment="1">
      <alignment horizontal="center"/>
    </xf>
    <xf numFmtId="0" fontId="0" fillId="0" borderId="73" xfId="0" applyBorder="1" applyAlignment="1">
      <alignment horizontal="center"/>
    </xf>
    <xf numFmtId="0" fontId="0" fillId="0" borderId="73" xfId="0" applyBorder="1"/>
    <xf numFmtId="0" fontId="0" fillId="0" borderId="74" xfId="0" applyBorder="1" applyAlignment="1">
      <alignment horizontal="center"/>
    </xf>
    <xf numFmtId="0" fontId="0" fillId="0" borderId="1" xfId="0" applyBorder="1" applyAlignment="1">
      <alignment horizontal="center"/>
    </xf>
    <xf numFmtId="0" fontId="0" fillId="0" borderId="0" xfId="0" applyNumberFormat="1"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77" xfId="0" applyNumberFormat="1" applyBorder="1" applyAlignment="1">
      <alignment horizontal="center"/>
    </xf>
    <xf numFmtId="0" fontId="0" fillId="0" borderId="77" xfId="0" applyBorder="1" applyAlignment="1">
      <alignment horizontal="center"/>
    </xf>
    <xf numFmtId="0" fontId="0" fillId="0" borderId="77" xfId="0" applyBorder="1"/>
    <xf numFmtId="0" fontId="0" fillId="0" borderId="78" xfId="0" applyBorder="1" applyAlignment="1">
      <alignment horizontal="center"/>
    </xf>
    <xf numFmtId="0" fontId="25" fillId="0" borderId="0" xfId="0" applyFont="1" applyAlignment="1">
      <alignment horizontal="center"/>
    </xf>
    <xf numFmtId="0" fontId="14" fillId="9" borderId="278" xfId="0" applyFont="1" applyFill="1" applyBorder="1" applyAlignment="1">
      <alignment horizontal="center" vertical="center"/>
    </xf>
    <xf numFmtId="165" fontId="29" fillId="0" borderId="0" xfId="0" applyNumberFormat="1" applyFont="1" applyBorder="1" applyAlignment="1">
      <alignment wrapText="1"/>
    </xf>
    <xf numFmtId="0" fontId="21" fillId="10" borderId="131" xfId="0" applyFont="1" applyFill="1" applyBorder="1" applyAlignment="1" applyProtection="1">
      <alignment horizontal="center"/>
      <protection locked="0"/>
    </xf>
    <xf numFmtId="0" fontId="21" fillId="10" borderId="123" xfId="0" applyFont="1" applyFill="1" applyBorder="1" applyAlignment="1" applyProtection="1">
      <alignment horizontal="center"/>
      <protection locked="0"/>
    </xf>
    <xf numFmtId="0" fontId="21" fillId="10" borderId="266" xfId="0" applyFont="1" applyFill="1" applyBorder="1" applyAlignment="1" applyProtection="1">
      <alignment horizontal="center"/>
      <protection locked="0"/>
    </xf>
    <xf numFmtId="0" fontId="21" fillId="10" borderId="280" xfId="0" applyFont="1" applyFill="1" applyBorder="1" applyAlignment="1" applyProtection="1">
      <alignment horizontal="center"/>
      <protection locked="0"/>
    </xf>
    <xf numFmtId="0" fontId="19" fillId="9" borderId="278" xfId="0" applyFont="1" applyFill="1" applyBorder="1" applyAlignment="1">
      <alignment horizontal="center" shrinkToFit="1"/>
    </xf>
    <xf numFmtId="0" fontId="21" fillId="10" borderId="281" xfId="0" applyFont="1" applyFill="1" applyBorder="1" applyAlignment="1" applyProtection="1">
      <alignment horizontal="center" vertical="center" shrinkToFit="1"/>
      <protection locked="0"/>
    </xf>
    <xf numFmtId="0" fontId="21" fillId="10" borderId="129" xfId="0" applyFont="1" applyFill="1" applyBorder="1" applyAlignment="1" applyProtection="1">
      <alignment horizontal="center" vertical="center" shrinkToFit="1"/>
      <protection locked="0"/>
    </xf>
    <xf numFmtId="0" fontId="21" fillId="10" borderId="219" xfId="0" applyFont="1" applyFill="1" applyBorder="1" applyAlignment="1" applyProtection="1">
      <alignment horizontal="center" vertical="center" shrinkToFit="1"/>
      <protection locked="0"/>
    </xf>
    <xf numFmtId="0" fontId="13" fillId="0" borderId="279" xfId="0" applyFont="1" applyBorder="1" applyAlignment="1">
      <alignment horizontal="center" vertical="center"/>
    </xf>
    <xf numFmtId="0" fontId="13" fillId="0" borderId="129" xfId="0" applyFont="1" applyBorder="1" applyAlignment="1">
      <alignment horizontal="center" vertical="center"/>
    </xf>
    <xf numFmtId="0" fontId="13" fillId="0" borderId="181" xfId="0" applyFont="1" applyBorder="1" applyAlignment="1">
      <alignment horizontal="center" vertical="center"/>
    </xf>
    <xf numFmtId="0" fontId="17" fillId="0" borderId="282" xfId="0" applyFont="1" applyFill="1" applyBorder="1" applyAlignment="1" applyProtection="1">
      <alignment vertical="top"/>
    </xf>
    <xf numFmtId="0" fontId="17" fillId="0" borderId="0" xfId="0" applyFont="1" applyFill="1" applyBorder="1" applyAlignment="1" applyProtection="1">
      <alignment vertical="top"/>
    </xf>
    <xf numFmtId="14" fontId="26" fillId="0" borderId="282" xfId="0" applyNumberFormat="1" applyFont="1" applyFill="1" applyBorder="1" applyAlignment="1" applyProtection="1">
      <alignment vertical="center"/>
    </xf>
    <xf numFmtId="14" fontId="26" fillId="0" borderId="0" xfId="0" applyNumberFormat="1" applyFont="1" applyFill="1" applyBorder="1" applyAlignment="1" applyProtection="1">
      <alignment vertical="center"/>
    </xf>
    <xf numFmtId="0" fontId="26" fillId="0" borderId="282" xfId="0" applyFont="1" applyFill="1" applyBorder="1" applyAlignment="1" applyProtection="1">
      <alignment vertical="center"/>
    </xf>
    <xf numFmtId="0" fontId="26" fillId="0" borderId="0" xfId="0" applyFont="1" applyFill="1" applyBorder="1" applyAlignment="1" applyProtection="1">
      <alignment vertical="center"/>
    </xf>
    <xf numFmtId="0" fontId="57" fillId="0" borderId="0" xfId="0" applyFont="1" applyFill="1" applyBorder="1" applyAlignment="1" applyProtection="1"/>
    <xf numFmtId="0" fontId="14" fillId="9" borderId="278" xfId="0" applyFont="1" applyFill="1" applyBorder="1" applyAlignment="1">
      <alignment horizontal="center" vertical="center" shrinkToFit="1"/>
    </xf>
    <xf numFmtId="0" fontId="21" fillId="10" borderId="279" xfId="0" applyFont="1" applyFill="1" applyBorder="1" applyAlignment="1" applyProtection="1">
      <alignment horizontal="center" vertical="center" shrinkToFit="1"/>
      <protection locked="0"/>
    </xf>
    <xf numFmtId="0" fontId="21" fillId="10" borderId="182" xfId="0" applyFont="1" applyFill="1" applyBorder="1" applyAlignment="1" applyProtection="1">
      <alignment horizontal="center" vertical="center" shrinkToFit="1"/>
      <protection locked="0"/>
    </xf>
    <xf numFmtId="0" fontId="21" fillId="10" borderId="181" xfId="0" applyFont="1" applyFill="1" applyBorder="1" applyAlignment="1" applyProtection="1">
      <alignment horizontal="center" vertical="center" shrinkToFit="1"/>
      <protection locked="0"/>
    </xf>
    <xf numFmtId="0" fontId="21" fillId="10" borderId="129" xfId="0" applyFont="1" applyFill="1" applyBorder="1" applyAlignment="1" applyProtection="1">
      <alignment horizontal="center" vertical="center"/>
      <protection locked="0"/>
    </xf>
    <xf numFmtId="0" fontId="21" fillId="10" borderId="182" xfId="0" applyFont="1" applyFill="1" applyBorder="1" applyAlignment="1" applyProtection="1">
      <alignment horizontal="center" vertical="center"/>
      <protection locked="0"/>
    </xf>
    <xf numFmtId="0" fontId="21" fillId="10" borderId="181" xfId="0" applyFont="1" applyFill="1" applyBorder="1" applyAlignment="1" applyProtection="1">
      <alignment horizontal="center" vertical="center"/>
      <protection locked="0"/>
    </xf>
    <xf numFmtId="0" fontId="21" fillId="10" borderId="128" xfId="0" applyFont="1" applyFill="1" applyBorder="1" applyAlignment="1" applyProtection="1">
      <alignment horizontal="center" vertical="center"/>
      <protection locked="0"/>
    </xf>
    <xf numFmtId="0" fontId="14" fillId="9" borderId="53" xfId="0" applyFont="1" applyFill="1" applyBorder="1" applyAlignment="1">
      <alignment horizontal="center" vertical="center" shrinkToFit="1"/>
    </xf>
    <xf numFmtId="0" fontId="6" fillId="10" borderId="55" xfId="0" applyFont="1" applyFill="1" applyBorder="1" applyAlignment="1" applyProtection="1">
      <alignment horizontal="left" vertical="center" shrinkToFit="1"/>
      <protection locked="0"/>
    </xf>
    <xf numFmtId="0" fontId="6" fillId="10" borderId="120" xfId="0" applyFont="1" applyFill="1" applyBorder="1" applyAlignment="1">
      <alignment horizontal="center" vertical="center"/>
    </xf>
    <xf numFmtId="0" fontId="6" fillId="10" borderId="55" xfId="0" applyFont="1" applyFill="1" applyBorder="1" applyAlignment="1">
      <alignment horizontal="center" vertical="center"/>
    </xf>
    <xf numFmtId="0" fontId="6" fillId="10" borderId="56" xfId="0" applyFont="1" applyFill="1" applyBorder="1" applyAlignment="1">
      <alignment horizontal="center" vertical="center"/>
    </xf>
    <xf numFmtId="0" fontId="6" fillId="10" borderId="120" xfId="0" applyFont="1" applyFill="1" applyBorder="1" applyAlignment="1" applyProtection="1">
      <alignment horizontal="center" vertical="center"/>
    </xf>
    <xf numFmtId="0" fontId="6" fillId="10" borderId="55" xfId="0" applyFont="1" applyFill="1" applyBorder="1" applyAlignment="1" applyProtection="1">
      <alignment horizontal="center" vertical="center"/>
    </xf>
    <xf numFmtId="0" fontId="6" fillId="10" borderId="56" xfId="0" applyFont="1" applyFill="1" applyBorder="1" applyAlignment="1" applyProtection="1">
      <alignment horizontal="center" vertical="center"/>
    </xf>
    <xf numFmtId="0" fontId="6" fillId="10" borderId="197" xfId="0" applyFont="1" applyFill="1" applyBorder="1" applyAlignment="1" applyProtection="1">
      <alignment horizontal="right" vertical="center" shrinkToFit="1"/>
      <protection locked="0"/>
    </xf>
    <xf numFmtId="0" fontId="6" fillId="10" borderId="50" xfId="0" applyFont="1" applyFill="1" applyBorder="1" applyAlignment="1" applyProtection="1">
      <alignment horizontal="right" vertical="center" shrinkToFit="1"/>
      <protection locked="0"/>
    </xf>
    <xf numFmtId="0" fontId="6" fillId="10" borderId="52" xfId="0" applyFont="1" applyFill="1" applyBorder="1" applyAlignment="1" applyProtection="1">
      <alignment horizontal="right" vertical="center" shrinkToFit="1"/>
      <protection locked="0"/>
    </xf>
    <xf numFmtId="0" fontId="6" fillId="10" borderId="120" xfId="0" applyFont="1" applyFill="1" applyBorder="1" applyAlignment="1" applyProtection="1">
      <alignment horizontal="left" vertical="center" shrinkToFit="1"/>
      <protection locked="0"/>
    </xf>
    <xf numFmtId="0" fontId="6" fillId="10" borderId="56" xfId="0" applyFont="1" applyFill="1" applyBorder="1" applyAlignment="1" applyProtection="1">
      <alignment horizontal="left" vertical="center" shrinkToFit="1"/>
      <protection locked="0"/>
    </xf>
    <xf numFmtId="0" fontId="6" fillId="10" borderId="146" xfId="0" applyFont="1" applyFill="1" applyBorder="1" applyAlignment="1" applyProtection="1">
      <alignment horizontal="right" vertical="center" shrinkToFit="1"/>
      <protection locked="0"/>
    </xf>
    <xf numFmtId="0" fontId="6" fillId="10" borderId="147" xfId="0" applyFont="1" applyFill="1" applyBorder="1" applyAlignment="1" applyProtection="1">
      <alignment horizontal="center" vertical="center"/>
    </xf>
    <xf numFmtId="0" fontId="6" fillId="0" borderId="147" xfId="0" applyFont="1" applyFill="1" applyBorder="1" applyAlignment="1" applyProtection="1">
      <alignment horizontal="center" vertical="center"/>
    </xf>
    <xf numFmtId="0" fontId="6" fillId="0" borderId="55" xfId="0" applyFont="1" applyFill="1" applyBorder="1" applyAlignment="1" applyProtection="1">
      <alignment horizontal="center" vertical="center"/>
    </xf>
    <xf numFmtId="0" fontId="6" fillId="0" borderId="69" xfId="0" applyFont="1" applyFill="1" applyBorder="1" applyAlignment="1" applyProtection="1">
      <alignment horizontal="left" vertical="center" shrinkToFit="1"/>
    </xf>
    <xf numFmtId="0" fontId="6" fillId="0" borderId="56" xfId="0" applyFont="1" applyFill="1" applyBorder="1" applyAlignment="1" applyProtection="1">
      <alignment horizontal="center" vertical="center"/>
    </xf>
    <xf numFmtId="0" fontId="6" fillId="0" borderId="184" xfId="0" applyFont="1" applyFill="1" applyBorder="1" applyAlignment="1" applyProtection="1">
      <alignment horizontal="left" vertical="center" shrinkToFit="1"/>
    </xf>
    <xf numFmtId="0" fontId="6" fillId="0" borderId="284" xfId="0" applyFont="1" applyFill="1" applyBorder="1" applyAlignment="1" applyProtection="1">
      <alignment horizontal="right" vertical="center" shrinkToFit="1"/>
    </xf>
    <xf numFmtId="0" fontId="6" fillId="0" borderId="149" xfId="0" applyFont="1" applyFill="1" applyBorder="1" applyAlignment="1" applyProtection="1">
      <alignment horizontal="left" vertical="center" shrinkToFit="1"/>
    </xf>
    <xf numFmtId="0" fontId="6" fillId="0" borderId="285" xfId="0" applyFont="1" applyFill="1" applyBorder="1" applyAlignment="1" applyProtection="1">
      <alignment horizontal="right" vertical="center" shrinkToFit="1"/>
    </xf>
    <xf numFmtId="0" fontId="6" fillId="0" borderId="286" xfId="0" applyFont="1" applyFill="1" applyBorder="1" applyAlignment="1" applyProtection="1">
      <alignment horizontal="right" vertical="center" shrinkToFit="1"/>
    </xf>
    <xf numFmtId="0" fontId="4" fillId="0" borderId="0" xfId="4" applyAlignment="1">
      <alignment horizontal="right"/>
    </xf>
    <xf numFmtId="0" fontId="52" fillId="0" borderId="0" xfId="4" applyFont="1"/>
    <xf numFmtId="0" fontId="4" fillId="0" borderId="0" xfId="4"/>
    <xf numFmtId="0" fontId="39" fillId="0" borderId="0" xfId="4" applyFont="1" applyAlignment="1">
      <alignment horizontal="right"/>
    </xf>
    <xf numFmtId="0" fontId="39" fillId="0" borderId="0" xfId="4" applyFont="1"/>
    <xf numFmtId="0" fontId="39" fillId="15" borderId="158" xfId="4" applyFont="1" applyFill="1" applyBorder="1" applyAlignment="1" applyProtection="1">
      <alignment horizontal="center"/>
      <protection locked="0"/>
    </xf>
    <xf numFmtId="0" fontId="39" fillId="0" borderId="0" xfId="4" applyFont="1" applyAlignment="1"/>
    <xf numFmtId="0" fontId="50" fillId="0" borderId="0" xfId="4" applyNumberFormat="1" applyFont="1" applyAlignment="1">
      <alignment horizontal="center" vertical="center"/>
    </xf>
    <xf numFmtId="0" fontId="54" fillId="15" borderId="158" xfId="4" applyFont="1" applyFill="1" applyBorder="1" applyAlignment="1" applyProtection="1">
      <alignment horizontal="left" vertical="center" indent="1"/>
      <protection locked="0"/>
    </xf>
    <xf numFmtId="0" fontId="4" fillId="0" borderId="0" xfId="4" applyAlignment="1">
      <alignment horizontal="center" vertical="center"/>
    </xf>
    <xf numFmtId="0" fontId="4" fillId="0" borderId="0" xfId="4" applyAlignment="1">
      <alignment horizontal="center"/>
    </xf>
    <xf numFmtId="0" fontId="4" fillId="0" borderId="0" xfId="4" applyAlignment="1">
      <alignment vertical="top"/>
    </xf>
    <xf numFmtId="0" fontId="4" fillId="0" borderId="0" xfId="4" applyAlignment="1"/>
    <xf numFmtId="0" fontId="4" fillId="0" borderId="0" xfId="4" applyFont="1"/>
    <xf numFmtId="0" fontId="50" fillId="0" borderId="0" xfId="4" applyFont="1" applyAlignment="1">
      <alignment horizontal="center"/>
    </xf>
    <xf numFmtId="0" fontId="4" fillId="0" borderId="0" xfId="4" applyFont="1" applyAlignment="1">
      <alignment vertical="top" wrapText="1"/>
    </xf>
    <xf numFmtId="0" fontId="7" fillId="0" borderId="0" xfId="4" applyNumberFormat="1" applyFont="1" applyFill="1" applyAlignment="1" applyProtection="1">
      <alignment vertical="center"/>
      <protection hidden="1"/>
    </xf>
    <xf numFmtId="0" fontId="7" fillId="0" borderId="0" xfId="4" applyNumberFormat="1" applyFont="1" applyFill="1" applyBorder="1" applyAlignment="1" applyProtection="1">
      <alignment horizontal="center" vertical="center"/>
      <protection hidden="1"/>
    </xf>
    <xf numFmtId="0" fontId="7" fillId="0" borderId="0" xfId="4" applyNumberFormat="1" applyFont="1" applyFill="1" applyAlignment="1" applyProtection="1">
      <alignment horizontal="center" vertical="center"/>
      <protection hidden="1"/>
    </xf>
    <xf numFmtId="0" fontId="42" fillId="0" borderId="0" xfId="4" applyNumberFormat="1" applyFont="1" applyFill="1" applyAlignment="1" applyProtection="1">
      <alignment horizontal="center" vertical="center"/>
      <protection hidden="1"/>
    </xf>
    <xf numFmtId="0" fontId="12" fillId="0" borderId="0" xfId="4" applyNumberFormat="1" applyFont="1" applyFill="1" applyAlignment="1" applyProtection="1">
      <alignment horizontal="center" vertical="center"/>
      <protection hidden="1"/>
    </xf>
    <xf numFmtId="0" fontId="12" fillId="0" borderId="0" xfId="4" applyNumberFormat="1" applyFont="1" applyFill="1" applyBorder="1" applyAlignment="1" applyProtection="1">
      <alignment horizontal="center" vertical="center"/>
      <protection hidden="1"/>
    </xf>
    <xf numFmtId="0" fontId="8" fillId="0" borderId="0" xfId="4" applyNumberFormat="1" applyFont="1" applyFill="1" applyAlignment="1" applyProtection="1">
      <alignment horizontal="center" vertical="center"/>
      <protection hidden="1"/>
    </xf>
    <xf numFmtId="0" fontId="7" fillId="0" borderId="31" xfId="4" applyNumberFormat="1" applyFont="1" applyFill="1" applyBorder="1" applyAlignment="1" applyProtection="1">
      <alignment horizontal="center" vertical="center"/>
      <protection hidden="1"/>
    </xf>
    <xf numFmtId="0" fontId="7" fillId="0" borderId="28" xfId="4" applyNumberFormat="1" applyFont="1" applyFill="1" applyBorder="1" applyAlignment="1" applyProtection="1">
      <alignment horizontal="center" vertical="center"/>
      <protection hidden="1"/>
    </xf>
    <xf numFmtId="0" fontId="7" fillId="0" borderId="0" xfId="4" quotePrefix="1" applyNumberFormat="1" applyFont="1" applyFill="1" applyAlignment="1" applyProtection="1">
      <alignment vertical="center"/>
      <protection hidden="1"/>
    </xf>
    <xf numFmtId="0" fontId="10" fillId="0" borderId="15" xfId="4" applyNumberFormat="1" applyFont="1" applyFill="1" applyBorder="1" applyAlignment="1" applyProtection="1">
      <alignment horizontal="center" vertical="center"/>
      <protection hidden="1"/>
    </xf>
    <xf numFmtId="0" fontId="7" fillId="13" borderId="160" xfId="4" applyNumberFormat="1" applyFont="1" applyFill="1" applyBorder="1" applyAlignment="1" applyProtection="1">
      <alignment horizontal="center" vertical="center"/>
      <protection hidden="1"/>
    </xf>
    <xf numFmtId="3" fontId="7" fillId="0" borderId="31" xfId="4" applyNumberFormat="1" applyFont="1" applyFill="1" applyBorder="1" applyAlignment="1" applyProtection="1">
      <alignment horizontal="center" vertical="center"/>
      <protection hidden="1"/>
    </xf>
    <xf numFmtId="0" fontId="10" fillId="0" borderId="16" xfId="4" applyNumberFormat="1" applyFont="1" applyFill="1" applyBorder="1" applyAlignment="1" applyProtection="1">
      <alignment horizontal="center" vertical="center"/>
      <protection hidden="1"/>
    </xf>
    <xf numFmtId="3" fontId="7" fillId="0" borderId="0" xfId="4" applyNumberFormat="1" applyFont="1" applyFill="1" applyAlignment="1" applyProtection="1">
      <alignment vertical="center"/>
      <protection hidden="1"/>
    </xf>
    <xf numFmtId="3" fontId="7" fillId="0" borderId="0" xfId="4" applyNumberFormat="1" applyFont="1" applyFill="1" applyAlignment="1" applyProtection="1">
      <alignment horizontal="right" vertical="center"/>
      <protection hidden="1"/>
    </xf>
    <xf numFmtId="0" fontId="10" fillId="0" borderId="17" xfId="4" applyNumberFormat="1" applyFont="1" applyFill="1" applyBorder="1" applyAlignment="1" applyProtection="1">
      <alignment horizontal="center" vertical="center"/>
      <protection hidden="1"/>
    </xf>
    <xf numFmtId="0" fontId="7" fillId="0" borderId="18" xfId="4" applyNumberFormat="1" applyFont="1" applyFill="1" applyBorder="1" applyAlignment="1" applyProtection="1">
      <alignment horizontal="center" vertical="center"/>
      <protection hidden="1"/>
    </xf>
    <xf numFmtId="0" fontId="7" fillId="7" borderId="2" xfId="4" applyNumberFormat="1" applyFont="1" applyFill="1" applyBorder="1" applyAlignment="1" applyProtection="1">
      <alignment horizontal="center" vertical="center"/>
      <protection hidden="1"/>
    </xf>
    <xf numFmtId="11" fontId="7" fillId="0" borderId="0" xfId="4" applyNumberFormat="1" applyFont="1" applyFill="1" applyAlignment="1" applyProtection="1">
      <alignment vertical="center"/>
      <protection hidden="1"/>
    </xf>
    <xf numFmtId="0" fontId="50" fillId="0" borderId="0" xfId="4" applyNumberFormat="1" applyFont="1" applyFill="1" applyBorder="1" applyAlignment="1">
      <alignment vertical="center"/>
    </xf>
    <xf numFmtId="0" fontId="7" fillId="0" borderId="0" xfId="4" applyNumberFormat="1" applyFont="1" applyFill="1" applyBorder="1" applyAlignment="1" applyProtection="1">
      <alignment vertical="center"/>
      <protection hidden="1"/>
    </xf>
    <xf numFmtId="0" fontId="7" fillId="0" borderId="0" xfId="4" applyNumberFormat="1" applyFont="1" applyAlignment="1">
      <alignment horizontal="center" vertical="center"/>
    </xf>
    <xf numFmtId="0" fontId="77" fillId="0" borderId="0" xfId="2" applyNumberFormat="1" applyFont="1" applyFill="1" applyBorder="1" applyAlignment="1" applyProtection="1">
      <alignment horizontal="center" vertical="center" readingOrder="1"/>
    </xf>
    <xf numFmtId="0" fontId="9" fillId="0" borderId="0" xfId="2" applyNumberFormat="1" applyFill="1" applyBorder="1" applyAlignment="1" applyProtection="1">
      <alignment horizontal="center" vertical="center" readingOrder="1"/>
    </xf>
    <xf numFmtId="0" fontId="50" fillId="0" borderId="0" xfId="4" applyNumberFormat="1" applyFont="1" applyFill="1" applyBorder="1" applyAlignment="1">
      <alignment horizontal="center" vertical="center"/>
    </xf>
    <xf numFmtId="3" fontId="11" fillId="0" borderId="0" xfId="4" applyNumberFormat="1" applyFont="1" applyFill="1" applyBorder="1" applyAlignment="1" applyProtection="1">
      <alignment horizontal="center" vertical="center"/>
      <protection hidden="1"/>
    </xf>
    <xf numFmtId="0" fontId="7" fillId="0" borderId="72" xfId="4" applyNumberFormat="1" applyFont="1" applyFill="1" applyBorder="1" applyAlignment="1" applyProtection="1">
      <alignment vertical="center"/>
      <protection hidden="1"/>
    </xf>
    <xf numFmtId="0" fontId="7" fillId="0" borderId="73" xfId="4" applyNumberFormat="1" applyFont="1" applyFill="1" applyBorder="1" applyAlignment="1" applyProtection="1">
      <alignment vertical="center"/>
      <protection hidden="1"/>
    </xf>
    <xf numFmtId="0" fontId="7" fillId="0" borderId="74" xfId="4" applyNumberFormat="1" applyFont="1" applyFill="1" applyBorder="1" applyAlignment="1" applyProtection="1">
      <alignment vertical="center"/>
      <protection hidden="1"/>
    </xf>
    <xf numFmtId="3" fontId="11" fillId="0" borderId="0" xfId="4" applyNumberFormat="1" applyFont="1" applyAlignment="1">
      <alignment horizontal="center"/>
    </xf>
    <xf numFmtId="168" fontId="10" fillId="0" borderId="0" xfId="4" applyNumberFormat="1" applyFont="1" applyFill="1" applyBorder="1" applyAlignment="1" applyProtection="1">
      <alignment horizontal="center" vertical="center"/>
      <protection hidden="1"/>
    </xf>
    <xf numFmtId="0" fontId="7" fillId="0" borderId="1" xfId="4" applyNumberFormat="1" applyFont="1" applyFill="1" applyBorder="1" applyAlignment="1" applyProtection="1">
      <alignment vertical="center"/>
      <protection hidden="1"/>
    </xf>
    <xf numFmtId="0" fontId="7" fillId="0" borderId="75" xfId="4" applyNumberFormat="1" applyFont="1" applyFill="1" applyBorder="1" applyAlignment="1" applyProtection="1">
      <alignment vertical="center"/>
      <protection hidden="1"/>
    </xf>
    <xf numFmtId="0" fontId="7" fillId="0" borderId="76" xfId="4" applyNumberFormat="1" applyFont="1" applyFill="1" applyBorder="1" applyAlignment="1" applyProtection="1">
      <alignment vertical="center"/>
      <protection hidden="1"/>
    </xf>
    <xf numFmtId="0" fontId="7" fillId="0" borderId="77" xfId="4" applyNumberFormat="1" applyFont="1" applyFill="1" applyBorder="1" applyAlignment="1" applyProtection="1">
      <alignment vertical="center"/>
      <protection hidden="1"/>
    </xf>
    <xf numFmtId="0" fontId="7" fillId="0" borderId="78" xfId="4" applyNumberFormat="1" applyFont="1" applyFill="1" applyBorder="1" applyAlignment="1" applyProtection="1">
      <alignment vertical="center"/>
      <protection hidden="1"/>
    </xf>
    <xf numFmtId="0" fontId="8" fillId="0" borderId="0" xfId="4" applyNumberFormat="1" applyFont="1" applyFill="1" applyAlignment="1" applyProtection="1">
      <alignment vertical="center"/>
      <protection hidden="1"/>
    </xf>
    <xf numFmtId="0" fontId="78" fillId="0" borderId="0" xfId="4" applyNumberFormat="1" applyFont="1" applyFill="1" applyAlignment="1" applyProtection="1">
      <alignment vertical="center"/>
      <protection hidden="1"/>
    </xf>
    <xf numFmtId="0" fontId="7" fillId="0" borderId="0" xfId="4" quotePrefix="1" applyNumberFormat="1" applyFont="1" applyFill="1" applyBorder="1" applyAlignment="1" applyProtection="1">
      <alignment vertical="center"/>
      <protection hidden="1"/>
    </xf>
    <xf numFmtId="0" fontId="7" fillId="0" borderId="9" xfId="4" applyNumberFormat="1" applyFont="1" applyFill="1" applyBorder="1" applyAlignment="1" applyProtection="1">
      <alignment vertical="center"/>
      <protection hidden="1"/>
    </xf>
    <xf numFmtId="0" fontId="7" fillId="0" borderId="10" xfId="4" applyNumberFormat="1" applyFont="1" applyFill="1" applyBorder="1" applyAlignment="1" applyProtection="1">
      <alignment vertical="center"/>
      <protection hidden="1"/>
    </xf>
    <xf numFmtId="0" fontId="7" fillId="3" borderId="2" xfId="4" applyNumberFormat="1" applyFont="1" applyFill="1" applyBorder="1" applyAlignment="1" applyProtection="1">
      <alignment vertical="center"/>
      <protection hidden="1"/>
    </xf>
    <xf numFmtId="0" fontId="7" fillId="4" borderId="2" xfId="4" applyNumberFormat="1" applyFont="1" applyFill="1" applyBorder="1" applyAlignment="1" applyProtection="1">
      <alignment horizontal="center" vertical="center"/>
      <protection hidden="1"/>
    </xf>
    <xf numFmtId="0" fontId="7" fillId="5" borderId="2" xfId="4" applyNumberFormat="1" applyFont="1" applyFill="1" applyBorder="1" applyAlignment="1" applyProtection="1">
      <alignment horizontal="center" vertical="center"/>
      <protection hidden="1"/>
    </xf>
    <xf numFmtId="0" fontId="7" fillId="0" borderId="11" xfId="4" applyNumberFormat="1" applyFont="1" applyFill="1" applyBorder="1" applyAlignment="1" applyProtection="1">
      <alignment vertical="center"/>
      <protection hidden="1"/>
    </xf>
    <xf numFmtId="0" fontId="7" fillId="0" borderId="12" xfId="4" applyNumberFormat="1" applyFont="1" applyFill="1" applyBorder="1" applyAlignment="1" applyProtection="1">
      <alignment vertical="center"/>
      <protection hidden="1"/>
    </xf>
    <xf numFmtId="0" fontId="7" fillId="0" borderId="13" xfId="4" applyNumberFormat="1" applyFont="1" applyFill="1" applyBorder="1" applyAlignment="1" applyProtection="1">
      <alignment vertical="center"/>
      <protection hidden="1"/>
    </xf>
    <xf numFmtId="0" fontId="7" fillId="0" borderId="14" xfId="4" applyNumberFormat="1" applyFont="1" applyFill="1" applyBorder="1" applyAlignment="1" applyProtection="1">
      <alignment vertical="center"/>
      <protection hidden="1"/>
    </xf>
    <xf numFmtId="0" fontId="12" fillId="0" borderId="71" xfId="4" applyNumberFormat="1" applyFont="1" applyFill="1" applyBorder="1" applyAlignment="1" applyProtection="1">
      <alignment horizontal="center" vertical="center"/>
      <protection hidden="1"/>
    </xf>
    <xf numFmtId="0" fontId="12" fillId="0" borderId="0" xfId="4" applyNumberFormat="1" applyFont="1" applyFill="1" applyBorder="1" applyAlignment="1" applyProtection="1">
      <alignment horizontal="center" vertical="center"/>
      <protection hidden="1"/>
    </xf>
    <xf numFmtId="0" fontId="12" fillId="0" borderId="71" xfId="4" applyNumberFormat="1" applyFont="1" applyFill="1" applyBorder="1" applyAlignment="1" applyProtection="1">
      <alignment horizontal="center" vertical="center"/>
      <protection hidden="1"/>
    </xf>
    <xf numFmtId="0" fontId="42" fillId="0" borderId="0" xfId="4" applyNumberFormat="1" applyFont="1" applyFill="1" applyBorder="1" applyAlignment="1" applyProtection="1">
      <alignment vertical="center"/>
      <protection hidden="1"/>
    </xf>
    <xf numFmtId="0" fontId="4" fillId="0" borderId="153" xfId="4" applyBorder="1" applyAlignment="1">
      <alignment horizontal="right" indent="1"/>
    </xf>
    <xf numFmtId="0" fontId="4" fillId="0" borderId="154" xfId="4" applyBorder="1" applyAlignment="1">
      <alignment horizontal="left"/>
    </xf>
    <xf numFmtId="0" fontId="7" fillId="0" borderId="0" xfId="4" applyNumberFormat="1" applyFont="1" applyFill="1" applyBorder="1" applyAlignment="1" applyProtection="1">
      <alignment horizontal="left" vertical="center"/>
      <protection hidden="1"/>
    </xf>
    <xf numFmtId="0" fontId="7" fillId="0" borderId="36" xfId="4" applyNumberFormat="1" applyFont="1" applyFill="1" applyBorder="1" applyAlignment="1" applyProtection="1">
      <alignment horizontal="right" vertical="center" indent="1"/>
      <protection hidden="1"/>
    </xf>
    <xf numFmtId="0" fontId="7" fillId="0" borderId="38" xfId="4" applyNumberFormat="1" applyFont="1" applyFill="1" applyBorder="1" applyAlignment="1" applyProtection="1">
      <alignment horizontal="left" vertical="center"/>
      <protection hidden="1"/>
    </xf>
    <xf numFmtId="0" fontId="7" fillId="0" borderId="81" xfId="4" applyNumberFormat="1" applyFont="1" applyFill="1" applyBorder="1" applyAlignment="1" applyProtection="1">
      <alignment horizontal="right" vertical="center" indent="1"/>
      <protection hidden="1"/>
    </xf>
    <xf numFmtId="0" fontId="7" fillId="0" borderId="19" xfId="4" applyNumberFormat="1" applyFont="1" applyFill="1" applyBorder="1" applyAlignment="1" applyProtection="1">
      <alignment horizontal="center" vertical="center"/>
      <protection hidden="1"/>
    </xf>
    <xf numFmtId="0" fontId="7" fillId="0" borderId="20" xfId="4" applyNumberFormat="1" applyFont="1" applyFill="1" applyBorder="1" applyAlignment="1" applyProtection="1">
      <alignment horizontal="center" vertical="center"/>
      <protection hidden="1"/>
    </xf>
    <xf numFmtId="0" fontId="7" fillId="0" borderId="21" xfId="4" applyNumberFormat="1" applyFont="1" applyFill="1" applyBorder="1" applyAlignment="1" applyProtection="1">
      <alignment horizontal="center" vertical="center"/>
      <protection hidden="1"/>
    </xf>
    <xf numFmtId="0" fontId="7" fillId="0" borderId="19" xfId="4" applyNumberFormat="1" applyFont="1" applyFill="1" applyBorder="1" applyAlignment="1" applyProtection="1">
      <alignment vertical="center"/>
      <protection hidden="1"/>
    </xf>
    <xf numFmtId="0" fontId="7" fillId="0" borderId="37" xfId="4" applyNumberFormat="1" applyFont="1" applyFill="1" applyBorder="1" applyAlignment="1" applyProtection="1">
      <alignment horizontal="center" vertical="center"/>
      <protection hidden="1"/>
    </xf>
    <xf numFmtId="0" fontId="7" fillId="0" borderId="38" xfId="4" applyNumberFormat="1" applyFont="1" applyFill="1" applyBorder="1" applyAlignment="1" applyProtection="1">
      <alignment horizontal="center" vertical="center"/>
      <protection hidden="1"/>
    </xf>
    <xf numFmtId="0" fontId="7" fillId="0" borderId="36" xfId="4" applyNumberFormat="1" applyFont="1" applyFill="1" applyBorder="1" applyAlignment="1" applyProtection="1">
      <alignment horizontal="center" vertical="center"/>
      <protection hidden="1"/>
    </xf>
    <xf numFmtId="0" fontId="4" fillId="0" borderId="105" xfId="4" applyBorder="1" applyAlignment="1">
      <alignment horizontal="right" indent="1"/>
    </xf>
    <xf numFmtId="0" fontId="4" fillId="0" borderId="106" xfId="4" applyBorder="1" applyAlignment="1">
      <alignment horizontal="left"/>
    </xf>
    <xf numFmtId="0" fontId="7" fillId="0" borderId="287" xfId="4" applyNumberFormat="1" applyFont="1" applyFill="1" applyBorder="1" applyAlignment="1" applyProtection="1">
      <alignment horizontal="center" vertical="center"/>
      <protection hidden="1"/>
    </xf>
    <xf numFmtId="0" fontId="7" fillId="0" borderId="155" xfId="4" applyNumberFormat="1" applyFont="1" applyFill="1" applyBorder="1" applyAlignment="1" applyProtection="1">
      <alignment vertical="center"/>
      <protection hidden="1"/>
    </xf>
    <xf numFmtId="0" fontId="7" fillId="0" borderId="39" xfId="4" applyNumberFormat="1" applyFont="1" applyFill="1" applyBorder="1" applyAlignment="1" applyProtection="1">
      <alignment horizontal="right" vertical="center" indent="1"/>
      <protection hidden="1"/>
    </xf>
    <xf numFmtId="0" fontId="7" fillId="0" borderId="40" xfId="4" applyNumberFormat="1" applyFont="1" applyFill="1" applyBorder="1" applyAlignment="1" applyProtection="1">
      <alignment horizontal="left" vertical="center"/>
      <protection hidden="1"/>
    </xf>
    <xf numFmtId="0" fontId="7" fillId="0" borderId="82" xfId="4" applyNumberFormat="1" applyFont="1" applyFill="1" applyBorder="1" applyAlignment="1" applyProtection="1">
      <alignment horizontal="right" vertical="center" indent="1"/>
      <protection hidden="1"/>
    </xf>
    <xf numFmtId="0" fontId="7" fillId="0" borderId="22" xfId="4" applyNumberFormat="1" applyFont="1" applyFill="1" applyBorder="1" applyAlignment="1" applyProtection="1">
      <alignment horizontal="center" vertical="center"/>
      <protection hidden="1"/>
    </xf>
    <xf numFmtId="0" fontId="7" fillId="0" borderId="23" xfId="4" applyNumberFormat="1" applyFont="1" applyFill="1" applyBorder="1" applyAlignment="1" applyProtection="1">
      <alignment horizontal="center" vertical="center"/>
      <protection hidden="1"/>
    </xf>
    <xf numFmtId="0" fontId="7" fillId="0" borderId="22" xfId="4" applyNumberFormat="1" applyFont="1" applyFill="1" applyBorder="1" applyAlignment="1" applyProtection="1">
      <alignment vertical="center"/>
      <protection hidden="1"/>
    </xf>
    <xf numFmtId="0" fontId="7" fillId="0" borderId="40" xfId="4" applyNumberFormat="1" applyFont="1" applyFill="1" applyBorder="1" applyAlignment="1" applyProtection="1">
      <alignment horizontal="center" vertical="center"/>
      <protection hidden="1"/>
    </xf>
    <xf numFmtId="0" fontId="7" fillId="0" borderId="39" xfId="4" applyNumberFormat="1" applyFont="1" applyFill="1" applyBorder="1" applyAlignment="1" applyProtection="1">
      <alignment horizontal="center" vertical="center"/>
      <protection hidden="1"/>
    </xf>
    <xf numFmtId="0" fontId="7" fillId="0" borderId="107" xfId="4" applyNumberFormat="1" applyFont="1" applyFill="1" applyBorder="1" applyAlignment="1" applyProtection="1">
      <alignment horizontal="right" vertical="center" indent="1"/>
      <protection hidden="1"/>
    </xf>
    <xf numFmtId="0" fontId="7" fillId="0" borderId="109" xfId="4" applyNumberFormat="1" applyFont="1" applyFill="1" applyBorder="1" applyAlignment="1" applyProtection="1">
      <alignment horizontal="left" vertical="center"/>
      <protection hidden="1"/>
    </xf>
    <xf numFmtId="0" fontId="7" fillId="0" borderId="41" xfId="4" applyNumberFormat="1" applyFont="1" applyFill="1" applyBorder="1" applyAlignment="1" applyProtection="1">
      <alignment horizontal="right" vertical="center" indent="1"/>
      <protection hidden="1"/>
    </xf>
    <xf numFmtId="0" fontId="7" fillId="0" borderId="42" xfId="4" applyNumberFormat="1" applyFont="1" applyFill="1" applyBorder="1" applyAlignment="1" applyProtection="1">
      <alignment horizontal="left" vertical="center"/>
      <protection hidden="1"/>
    </xf>
    <xf numFmtId="0" fontId="7" fillId="0" borderId="175" xfId="4" applyNumberFormat="1" applyFont="1" applyFill="1" applyBorder="1" applyAlignment="1" applyProtection="1">
      <alignment horizontal="right" vertical="center" indent="1"/>
      <protection hidden="1"/>
    </xf>
    <xf numFmtId="0" fontId="7" fillId="0" borderId="176" xfId="4" applyNumberFormat="1" applyFont="1" applyFill="1" applyBorder="1" applyAlignment="1" applyProtection="1">
      <alignment horizontal="center" vertical="center"/>
      <protection hidden="1"/>
    </xf>
    <xf numFmtId="0" fontId="7" fillId="0" borderId="177" xfId="4" applyNumberFormat="1" applyFont="1" applyFill="1" applyBorder="1" applyAlignment="1" applyProtection="1">
      <alignment horizontal="center" vertical="center"/>
      <protection hidden="1"/>
    </xf>
    <xf numFmtId="0" fontId="7" fillId="0" borderId="178" xfId="4" applyNumberFormat="1" applyFont="1" applyFill="1" applyBorder="1" applyAlignment="1" applyProtection="1">
      <alignment horizontal="center" vertical="center"/>
      <protection hidden="1"/>
    </xf>
    <xf numFmtId="0" fontId="7" fillId="0" borderId="176" xfId="4" applyNumberFormat="1" applyFont="1" applyFill="1" applyBorder="1" applyAlignment="1" applyProtection="1">
      <alignment vertical="center"/>
      <protection hidden="1"/>
    </xf>
    <xf numFmtId="0" fontId="7" fillId="0" borderId="179" xfId="4" applyNumberFormat="1" applyFont="1" applyFill="1" applyBorder="1" applyAlignment="1" applyProtection="1">
      <alignment horizontal="center" vertical="center"/>
      <protection hidden="1"/>
    </xf>
    <xf numFmtId="0" fontId="7" fillId="0" borderId="180" xfId="4" applyNumberFormat="1" applyFont="1" applyFill="1" applyBorder="1" applyAlignment="1" applyProtection="1">
      <alignment horizontal="center" vertical="center"/>
      <protection hidden="1"/>
    </xf>
    <xf numFmtId="0" fontId="7" fillId="0" borderId="40" xfId="4" applyNumberFormat="1" applyFont="1" applyFill="1" applyBorder="1" applyAlignment="1" applyProtection="1">
      <alignment vertical="center"/>
      <protection hidden="1"/>
    </xf>
    <xf numFmtId="0" fontId="7" fillId="0" borderId="39" xfId="4" applyNumberFormat="1" applyFont="1" applyFill="1" applyBorder="1" applyAlignment="1" applyProtection="1">
      <alignment vertical="center"/>
      <protection hidden="1"/>
    </xf>
    <xf numFmtId="0" fontId="7" fillId="0" borderId="83" xfId="4" applyNumberFormat="1" applyFont="1" applyFill="1" applyBorder="1" applyAlignment="1" applyProtection="1">
      <alignment horizontal="right" vertical="center" indent="1"/>
      <protection hidden="1"/>
    </xf>
    <xf numFmtId="0" fontId="7" fillId="0" borderId="24" xfId="4" applyNumberFormat="1" applyFont="1" applyFill="1" applyBorder="1" applyAlignment="1" applyProtection="1">
      <alignment horizontal="center" vertical="center"/>
      <protection hidden="1"/>
    </xf>
    <xf numFmtId="0" fontId="7" fillId="0" borderId="25" xfId="4" applyNumberFormat="1" applyFont="1" applyFill="1" applyBorder="1" applyAlignment="1" applyProtection="1">
      <alignment horizontal="center" vertical="center"/>
      <protection hidden="1"/>
    </xf>
    <xf numFmtId="0" fontId="7" fillId="0" borderId="26" xfId="4" applyNumberFormat="1" applyFont="1" applyFill="1" applyBorder="1" applyAlignment="1" applyProtection="1">
      <alignment horizontal="center" vertical="center"/>
      <protection hidden="1"/>
    </xf>
    <xf numFmtId="0" fontId="7" fillId="0" borderId="71" xfId="4" applyNumberFormat="1" applyFont="1" applyFill="1" applyBorder="1" applyAlignment="1" applyProtection="1">
      <alignment horizontal="center" vertical="center"/>
      <protection hidden="1"/>
    </xf>
    <xf numFmtId="0" fontId="7" fillId="0" borderId="42" xfId="4" applyNumberFormat="1" applyFont="1" applyFill="1" applyBorder="1" applyAlignment="1" applyProtection="1">
      <alignment vertical="center"/>
      <protection hidden="1"/>
    </xf>
    <xf numFmtId="0" fontId="7" fillId="0" borderId="41" xfId="4" applyNumberFormat="1" applyFont="1" applyFill="1" applyBorder="1" applyAlignment="1" applyProtection="1">
      <alignment vertical="center"/>
      <protection hidden="1"/>
    </xf>
    <xf numFmtId="0" fontId="7" fillId="0" borderId="41" xfId="4" applyNumberFormat="1" applyFont="1" applyFill="1" applyBorder="1" applyAlignment="1" applyProtection="1">
      <alignment horizontal="center" vertical="center"/>
      <protection hidden="1"/>
    </xf>
    <xf numFmtId="0" fontId="7" fillId="0" borderId="42" xfId="4" applyNumberFormat="1" applyFont="1" applyFill="1" applyBorder="1" applyAlignment="1" applyProtection="1">
      <alignment horizontal="center" vertical="center"/>
      <protection hidden="1"/>
    </xf>
    <xf numFmtId="0" fontId="7" fillId="0" borderId="255" xfId="4" applyNumberFormat="1" applyFont="1" applyFill="1" applyBorder="1" applyAlignment="1" applyProtection="1">
      <alignment horizontal="center" vertical="center"/>
      <protection hidden="1"/>
    </xf>
    <xf numFmtId="0" fontId="7" fillId="0" borderId="37" xfId="4" applyNumberFormat="1" applyFont="1" applyFill="1" applyBorder="1" applyAlignment="1" applyProtection="1">
      <alignment vertical="center"/>
      <protection hidden="1"/>
    </xf>
    <xf numFmtId="0" fontId="7" fillId="0" borderId="0" xfId="4" applyNumberFormat="1" applyFont="1"/>
    <xf numFmtId="0" fontId="7" fillId="0" borderId="256" xfId="4" applyNumberFormat="1" applyFont="1" applyFill="1" applyBorder="1" applyAlignment="1" applyProtection="1">
      <alignment horizontal="center" vertical="center"/>
      <protection hidden="1"/>
    </xf>
    <xf numFmtId="0" fontId="7" fillId="0" borderId="0" xfId="4" applyNumberFormat="1" applyFont="1" applyBorder="1"/>
    <xf numFmtId="0" fontId="7" fillId="0" borderId="288" xfId="4" applyNumberFormat="1" applyFont="1" applyFill="1" applyBorder="1" applyAlignment="1" applyProtection="1">
      <alignment horizontal="center" vertical="center"/>
      <protection hidden="1"/>
    </xf>
    <xf numFmtId="0" fontId="7" fillId="0" borderId="256" xfId="4" applyNumberFormat="1" applyFont="1" applyFill="1" applyBorder="1" applyAlignment="1" applyProtection="1">
      <alignment vertical="center"/>
      <protection hidden="1"/>
    </xf>
    <xf numFmtId="0" fontId="7" fillId="0" borderId="24" xfId="4" applyNumberFormat="1" applyFont="1" applyFill="1" applyBorder="1" applyAlignment="1" applyProtection="1">
      <alignment vertical="center"/>
      <protection hidden="1"/>
    </xf>
    <xf numFmtId="0" fontId="7" fillId="0" borderId="257" xfId="4" applyNumberFormat="1" applyFont="1" applyFill="1" applyBorder="1" applyAlignment="1" applyProtection="1">
      <alignment vertical="center"/>
      <protection hidden="1"/>
    </xf>
    <xf numFmtId="3" fontId="77" fillId="0" borderId="0" xfId="4" applyNumberFormat="1" applyFont="1" applyFill="1" applyBorder="1" applyAlignment="1" applyProtection="1">
      <alignment horizontal="left" vertical="center"/>
      <protection hidden="1"/>
    </xf>
    <xf numFmtId="0" fontId="14" fillId="9" borderId="53" xfId="0" applyFont="1" applyFill="1" applyBorder="1" applyAlignment="1">
      <alignment horizontal="center" vertical="center" shrinkToFit="1"/>
    </xf>
    <xf numFmtId="0" fontId="12" fillId="0" borderId="0" xfId="4" applyNumberFormat="1" applyFont="1" applyFill="1" applyBorder="1" applyAlignment="1" applyProtection="1">
      <alignment horizontal="center" vertical="center"/>
      <protection hidden="1"/>
    </xf>
    <xf numFmtId="0" fontId="12" fillId="0" borderId="71" xfId="4" applyNumberFormat="1" applyFont="1" applyFill="1" applyBorder="1" applyAlignment="1" applyProtection="1">
      <alignment horizontal="center" vertical="center"/>
      <protection hidden="1"/>
    </xf>
    <xf numFmtId="0" fontId="6" fillId="10" borderId="258" xfId="0" applyFont="1" applyFill="1" applyBorder="1" applyAlignment="1" applyProtection="1">
      <alignment horizontal="center" vertical="center"/>
      <protection locked="0"/>
    </xf>
    <xf numFmtId="0" fontId="6" fillId="10" borderId="259" xfId="0" applyFont="1" applyFill="1" applyBorder="1" applyAlignment="1" applyProtection="1">
      <alignment horizontal="center" vertical="center"/>
      <protection locked="0"/>
    </xf>
    <xf numFmtId="0" fontId="6" fillId="10" borderId="260" xfId="0" applyFont="1" applyFill="1" applyBorder="1" applyAlignment="1" applyProtection="1">
      <alignment horizontal="center" vertical="center"/>
      <protection locked="0"/>
    </xf>
    <xf numFmtId="167" fontId="20" fillId="15" borderId="253" xfId="0" applyNumberFormat="1" applyFont="1" applyFill="1" applyBorder="1" applyAlignment="1">
      <alignment vertical="center"/>
    </xf>
    <xf numFmtId="167" fontId="20" fillId="15" borderId="108" xfId="0" applyNumberFormat="1" applyFont="1" applyFill="1" applyBorder="1" applyAlignment="1">
      <alignment vertical="center"/>
    </xf>
    <xf numFmtId="0" fontId="17" fillId="0" borderId="245" xfId="0" applyFont="1" applyFill="1" applyBorder="1" applyAlignment="1" applyProtection="1">
      <alignment vertical="top"/>
    </xf>
    <xf numFmtId="14" fontId="26" fillId="0" borderId="245" xfId="0" applyNumberFormat="1" applyFont="1" applyFill="1" applyBorder="1" applyAlignment="1" applyProtection="1">
      <alignment vertical="center"/>
    </xf>
    <xf numFmtId="0" fontId="26" fillId="0" borderId="245" xfId="0" applyFont="1" applyFill="1" applyBorder="1" applyAlignment="1" applyProtection="1">
      <alignment vertical="center"/>
    </xf>
    <xf numFmtId="0" fontId="57" fillId="0" borderId="283" xfId="0" applyFont="1" applyFill="1" applyBorder="1" applyAlignment="1" applyProtection="1">
      <alignment vertical="center"/>
    </xf>
    <xf numFmtId="0" fontId="57" fillId="0" borderId="0" xfId="0" applyFont="1" applyFill="1" applyBorder="1" applyAlignment="1" applyProtection="1">
      <alignment vertical="center"/>
    </xf>
    <xf numFmtId="0" fontId="20" fillId="10" borderId="50" xfId="0" applyFont="1" applyFill="1" applyBorder="1" applyAlignment="1" applyProtection="1">
      <alignment horizontal="right" vertical="center"/>
      <protection locked="0"/>
    </xf>
    <xf numFmtId="0" fontId="20" fillId="10" borderId="52" xfId="0" applyFont="1" applyFill="1" applyBorder="1" applyAlignment="1" applyProtection="1">
      <alignment horizontal="right" vertical="center"/>
      <protection locked="0"/>
    </xf>
    <xf numFmtId="0" fontId="20" fillId="10" borderId="268" xfId="0" applyFont="1" applyFill="1" applyBorder="1" applyAlignment="1" applyProtection="1">
      <alignment horizontal="right" vertical="center"/>
      <protection locked="0"/>
    </xf>
    <xf numFmtId="0" fontId="20" fillId="10" borderId="146" xfId="0" applyFont="1" applyFill="1" applyBorder="1" applyAlignment="1" applyProtection="1">
      <alignment horizontal="right" vertical="center"/>
      <protection locked="0"/>
    </xf>
    <xf numFmtId="0" fontId="20" fillId="10" borderId="197" xfId="0" applyFont="1" applyFill="1" applyBorder="1" applyAlignment="1" applyProtection="1">
      <alignment horizontal="right" vertical="center"/>
      <protection locked="0"/>
    </xf>
    <xf numFmtId="0" fontId="20" fillId="10" borderId="114" xfId="0" applyFont="1" applyFill="1" applyBorder="1" applyAlignment="1" applyProtection="1">
      <alignment horizontal="left" vertical="center"/>
      <protection locked="0"/>
    </xf>
    <xf numFmtId="0" fontId="20" fillId="10" borderId="49" xfId="0" applyFont="1" applyFill="1" applyBorder="1" applyAlignment="1" applyProtection="1">
      <alignment horizontal="left" vertical="center"/>
      <protection locked="0"/>
    </xf>
    <xf numFmtId="0" fontId="20" fillId="10" borderId="51" xfId="0" applyFont="1" applyFill="1" applyBorder="1" applyAlignment="1" applyProtection="1">
      <alignment horizontal="left" vertical="center"/>
      <protection locked="0"/>
    </xf>
    <xf numFmtId="0" fontId="20" fillId="10" borderId="291" xfId="0" applyFont="1" applyFill="1" applyBorder="1" applyAlignment="1" applyProtection="1">
      <alignment horizontal="left" vertical="center"/>
      <protection locked="0"/>
    </xf>
    <xf numFmtId="0" fontId="20" fillId="10" borderId="292" xfId="0" applyFont="1" applyFill="1" applyBorder="1" applyAlignment="1" applyProtection="1">
      <alignment horizontal="left" vertical="center"/>
      <protection locked="0"/>
    </xf>
    <xf numFmtId="0" fontId="20" fillId="10" borderId="123" xfId="0" applyFont="1" applyFill="1" applyBorder="1" applyAlignment="1" applyProtection="1">
      <alignment horizontal="left" vertical="center"/>
      <protection locked="0"/>
    </xf>
    <xf numFmtId="0" fontId="20" fillId="10" borderId="266" xfId="0" applyFont="1" applyFill="1" applyBorder="1" applyAlignment="1" applyProtection="1">
      <alignment horizontal="left" vertical="center"/>
      <protection locked="0"/>
    </xf>
    <xf numFmtId="0" fontId="56" fillId="0" borderId="0" xfId="0" applyFont="1" applyBorder="1" applyAlignment="1">
      <alignment horizontal="left"/>
    </xf>
    <xf numFmtId="0" fontId="20" fillId="0" borderId="147" xfId="0" applyFont="1" applyFill="1" applyBorder="1" applyAlignment="1" applyProtection="1">
      <alignment horizontal="center" vertical="center"/>
    </xf>
    <xf numFmtId="0" fontId="20" fillId="0" borderId="55" xfId="0" applyFont="1" applyFill="1" applyBorder="1" applyAlignment="1" applyProtection="1">
      <alignment horizontal="center" vertical="center"/>
    </xf>
    <xf numFmtId="0" fontId="20" fillId="0" borderId="79" xfId="0" applyFont="1" applyFill="1" applyBorder="1" applyAlignment="1" applyProtection="1">
      <alignment horizontal="center" vertical="center"/>
    </xf>
    <xf numFmtId="0" fontId="20" fillId="0" borderId="71" xfId="0" applyFont="1" applyFill="1" applyBorder="1" applyAlignment="1" applyProtection="1">
      <alignment horizontal="center" vertical="center"/>
    </xf>
    <xf numFmtId="0" fontId="60" fillId="0" borderId="282" xfId="0" applyFont="1" applyBorder="1" applyAlignment="1">
      <alignment vertical="center"/>
    </xf>
    <xf numFmtId="14" fontId="62" fillId="0" borderId="282" xfId="0" applyNumberFormat="1" applyFont="1" applyBorder="1" applyAlignment="1">
      <alignment vertical="center"/>
    </xf>
    <xf numFmtId="0" fontId="62" fillId="0" borderId="282" xfId="0" applyFont="1" applyBorder="1" applyAlignment="1">
      <alignment vertical="center"/>
    </xf>
    <xf numFmtId="0" fontId="63" fillId="0" borderId="295" xfId="0" applyFont="1" applyFill="1" applyBorder="1" applyAlignment="1">
      <alignment vertical="center"/>
    </xf>
    <xf numFmtId="0" fontId="63" fillId="0" borderId="283" xfId="0" applyFont="1" applyFill="1" applyBorder="1" applyAlignment="1">
      <alignment vertical="center"/>
    </xf>
    <xf numFmtId="0" fontId="20" fillId="10" borderId="296" xfId="0" applyFont="1" applyFill="1" applyBorder="1" applyAlignment="1" applyProtection="1">
      <alignment horizontal="center" vertical="center"/>
      <protection locked="0"/>
    </xf>
    <xf numFmtId="0" fontId="20" fillId="10" borderId="297" xfId="0" applyFont="1" applyFill="1" applyBorder="1" applyAlignment="1" applyProtection="1">
      <alignment horizontal="center" vertical="center"/>
      <protection locked="0"/>
    </xf>
    <xf numFmtId="0" fontId="20" fillId="10" borderId="298" xfId="0" applyFont="1" applyFill="1" applyBorder="1" applyAlignment="1" applyProtection="1">
      <alignment horizontal="center" vertical="center"/>
      <protection locked="0"/>
    </xf>
    <xf numFmtId="0" fontId="20" fillId="0" borderId="114" xfId="0" applyFont="1" applyBorder="1" applyAlignment="1">
      <alignment horizontal="center" vertical="center"/>
    </xf>
    <xf numFmtId="0" fontId="20" fillId="0" borderId="49" xfId="0" applyFont="1" applyBorder="1" applyAlignment="1">
      <alignment horizontal="center" vertical="center"/>
    </xf>
    <xf numFmtId="0" fontId="20" fillId="0" borderId="51" xfId="0" applyFont="1" applyBorder="1" applyAlignment="1">
      <alignment horizontal="center" vertical="center"/>
    </xf>
    <xf numFmtId="0" fontId="20" fillId="10" borderId="280" xfId="0" applyFont="1" applyFill="1" applyBorder="1" applyAlignment="1" applyProtection="1">
      <alignment horizontal="left" vertical="center"/>
      <protection locked="0"/>
    </xf>
    <xf numFmtId="0" fontId="21" fillId="0" borderId="125" xfId="0" applyFont="1" applyBorder="1" applyAlignment="1">
      <alignment horizontal="center" vertical="center" shrinkToFit="1"/>
    </xf>
    <xf numFmtId="0" fontId="73" fillId="0" borderId="0" xfId="0" applyFont="1" applyAlignment="1">
      <alignment horizontal="center"/>
    </xf>
    <xf numFmtId="0" fontId="81" fillId="0" borderId="0" xfId="0" applyFont="1"/>
    <xf numFmtId="0" fontId="5" fillId="0" borderId="0" xfId="0" applyFont="1" applyAlignment="1">
      <alignment horizontal="center" vertical="center"/>
    </xf>
    <xf numFmtId="0" fontId="4" fillId="0" borderId="0" xfId="4" applyFont="1" applyAlignment="1">
      <alignment vertical="top"/>
    </xf>
    <xf numFmtId="0" fontId="73" fillId="0" borderId="0" xfId="0" applyFont="1" applyAlignment="1">
      <alignment horizontal="center"/>
    </xf>
    <xf numFmtId="0" fontId="81" fillId="20" borderId="299" xfId="0" applyFont="1" applyFill="1" applyBorder="1" applyAlignment="1">
      <alignment horizontal="center"/>
    </xf>
    <xf numFmtId="0" fontId="5" fillId="20" borderId="300" xfId="0" applyFont="1" applyFill="1" applyBorder="1" applyAlignment="1">
      <alignment horizontal="center" vertical="center"/>
    </xf>
    <xf numFmtId="0" fontId="20" fillId="10" borderId="187" xfId="0" applyFont="1" applyFill="1" applyBorder="1" applyAlignment="1" applyProtection="1">
      <alignment horizontal="right" vertical="center"/>
      <protection locked="0"/>
    </xf>
    <xf numFmtId="0" fontId="20" fillId="10" borderId="188" xfId="0" applyFont="1" applyFill="1" applyBorder="1" applyAlignment="1" applyProtection="1">
      <alignment horizontal="right" vertical="center"/>
      <protection locked="0"/>
    </xf>
    <xf numFmtId="0" fontId="20" fillId="10" borderId="189" xfId="0" applyFont="1" applyFill="1" applyBorder="1" applyAlignment="1" applyProtection="1">
      <alignment horizontal="right" vertical="center"/>
      <protection locked="0"/>
    </xf>
    <xf numFmtId="0" fontId="20" fillId="10" borderId="147" xfId="0" applyFont="1" applyFill="1" applyBorder="1" applyAlignment="1" applyProtection="1">
      <alignment horizontal="left" vertical="center"/>
      <protection locked="0"/>
    </xf>
    <xf numFmtId="0" fontId="20" fillId="10" borderId="55" xfId="0" applyFont="1" applyFill="1" applyBorder="1" applyAlignment="1" applyProtection="1">
      <alignment horizontal="left" vertical="center"/>
      <protection locked="0"/>
    </xf>
    <xf numFmtId="0" fontId="20" fillId="10" borderId="56" xfId="0" applyFont="1" applyFill="1" applyBorder="1" applyAlignment="1" applyProtection="1">
      <alignment horizontal="left" vertical="center"/>
      <protection locked="0"/>
    </xf>
    <xf numFmtId="0" fontId="20" fillId="10" borderId="149" xfId="0" applyFont="1" applyFill="1" applyBorder="1" applyAlignment="1" applyProtection="1">
      <alignment horizontal="left" vertical="center"/>
      <protection locked="0"/>
    </xf>
    <xf numFmtId="0" fontId="20" fillId="10" borderId="69" xfId="0" applyFont="1" applyFill="1" applyBorder="1" applyAlignment="1" applyProtection="1">
      <alignment horizontal="left" vertical="center"/>
      <protection locked="0"/>
    </xf>
    <xf numFmtId="0" fontId="20" fillId="10" borderId="80" xfId="0" applyFont="1" applyFill="1" applyBorder="1" applyAlignment="1" applyProtection="1">
      <alignment horizontal="left" vertical="center"/>
      <protection locked="0"/>
    </xf>
    <xf numFmtId="0" fontId="20" fillId="10" borderId="184" xfId="0" applyFont="1" applyFill="1" applyBorder="1" applyAlignment="1" applyProtection="1">
      <alignment horizontal="left" vertical="center"/>
      <protection locked="0"/>
    </xf>
    <xf numFmtId="0" fontId="14" fillId="9" borderId="111" xfId="0" applyFont="1" applyFill="1" applyBorder="1" applyAlignment="1">
      <alignment horizontal="center" vertical="center"/>
    </xf>
    <xf numFmtId="0" fontId="73" fillId="0" borderId="0" xfId="0" applyFont="1" applyAlignment="1">
      <alignment horizontal="center"/>
    </xf>
    <xf numFmtId="0" fontId="20" fillId="0" borderId="0" xfId="0" applyFont="1" applyFill="1" applyBorder="1" applyAlignment="1" applyProtection="1">
      <alignment horizontal="right" vertical="center"/>
    </xf>
    <xf numFmtId="0" fontId="20" fillId="10" borderId="195" xfId="0" applyFont="1" applyFill="1" applyBorder="1" applyAlignment="1" applyProtection="1">
      <alignment horizontal="right" vertical="center"/>
      <protection locked="0"/>
    </xf>
    <xf numFmtId="0" fontId="20" fillId="10" borderId="148" xfId="0" applyFont="1" applyFill="1" applyBorder="1" applyAlignment="1" applyProtection="1">
      <alignment horizontal="left" vertical="center"/>
      <protection locked="0"/>
    </xf>
    <xf numFmtId="0" fontId="20" fillId="0" borderId="0" xfId="0" applyFont="1" applyFill="1" applyBorder="1" applyAlignment="1" applyProtection="1">
      <alignment horizontal="left" vertical="center"/>
    </xf>
    <xf numFmtId="0" fontId="20" fillId="10" borderId="196" xfId="0" applyFont="1" applyFill="1" applyBorder="1" applyAlignment="1" applyProtection="1">
      <alignment horizontal="left" vertical="center"/>
      <protection locked="0"/>
    </xf>
    <xf numFmtId="0" fontId="20" fillId="10" borderId="143" xfId="0" applyFont="1" applyFill="1" applyBorder="1" applyAlignment="1" applyProtection="1">
      <alignment horizontal="left" vertical="center"/>
      <protection locked="0"/>
    </xf>
    <xf numFmtId="0" fontId="20" fillId="0" borderId="293" xfId="0" applyFont="1" applyFill="1" applyBorder="1" applyAlignment="1" applyProtection="1">
      <alignment horizontal="right" vertical="center" shrinkToFit="1"/>
    </xf>
    <xf numFmtId="0" fontId="20" fillId="0" borderId="285" xfId="0" applyFont="1" applyFill="1" applyBorder="1" applyAlignment="1" applyProtection="1">
      <alignment horizontal="right" vertical="center" shrinkToFit="1"/>
    </xf>
    <xf numFmtId="0" fontId="20" fillId="0" borderId="294" xfId="0" applyFont="1" applyFill="1" applyBorder="1" applyAlignment="1" applyProtection="1">
      <alignment horizontal="right" vertical="center" shrinkToFit="1"/>
    </xf>
    <xf numFmtId="0" fontId="20" fillId="0" borderId="55" xfId="0" applyFont="1" applyFill="1" applyBorder="1" applyAlignment="1" applyProtection="1">
      <alignment horizontal="left" vertical="center" shrinkToFit="1"/>
    </xf>
    <xf numFmtId="0" fontId="20" fillId="0" borderId="79" xfId="0" applyFont="1" applyFill="1" applyBorder="1" applyAlignment="1" applyProtection="1">
      <alignment horizontal="left" vertical="center" shrinkToFit="1"/>
    </xf>
    <xf numFmtId="0" fontId="20" fillId="0" borderId="80" xfId="0" applyFont="1" applyFill="1" applyBorder="1" applyAlignment="1" applyProtection="1">
      <alignment horizontal="left" vertical="center" shrinkToFit="1"/>
    </xf>
    <xf numFmtId="0" fontId="20" fillId="0" borderId="42" xfId="0" applyFont="1" applyFill="1" applyBorder="1" applyAlignment="1" applyProtection="1">
      <alignment horizontal="left" vertical="center" shrinkToFit="1"/>
    </xf>
    <xf numFmtId="0" fontId="18" fillId="0" borderId="0" xfId="4" applyFont="1" applyAlignment="1">
      <alignment vertical="center"/>
    </xf>
    <xf numFmtId="0" fontId="67" fillId="0" borderId="0" xfId="0" applyNumberFormat="1" applyFont="1" applyAlignment="1" applyProtection="1">
      <alignment horizontal="center" vertical="center" wrapText="1"/>
    </xf>
    <xf numFmtId="0" fontId="25" fillId="0" borderId="0" xfId="0" applyFont="1" applyAlignment="1">
      <alignment horizontal="center"/>
    </xf>
    <xf numFmtId="0" fontId="15" fillId="0" borderId="71" xfId="0" applyFont="1" applyBorder="1" applyAlignment="1">
      <alignment horizontal="left" vertical="center"/>
    </xf>
    <xf numFmtId="0" fontId="18" fillId="0" borderId="0" xfId="0" applyFont="1" applyAlignment="1">
      <alignment horizontal="center" wrapText="1"/>
    </xf>
    <xf numFmtId="0" fontId="18" fillId="0" borderId="108" xfId="0" applyFont="1" applyBorder="1" applyAlignment="1">
      <alignment horizontal="center" wrapText="1"/>
    </xf>
    <xf numFmtId="167" fontId="20" fillId="10" borderId="142" xfId="0" applyNumberFormat="1" applyFont="1" applyFill="1" applyBorder="1" applyAlignment="1" applyProtection="1">
      <alignment horizontal="right" vertical="center" indent="1"/>
      <protection locked="0"/>
    </xf>
    <xf numFmtId="167" fontId="20" fillId="10" borderId="55" xfId="0" applyNumberFormat="1" applyFont="1" applyFill="1" applyBorder="1" applyAlignment="1" applyProtection="1">
      <alignment horizontal="right" vertical="center" indent="1"/>
      <protection locked="0"/>
    </xf>
    <xf numFmtId="0" fontId="20" fillId="0" borderId="143" xfId="0" applyFont="1" applyBorder="1" applyAlignment="1">
      <alignment horizontal="left" vertical="center"/>
    </xf>
    <xf numFmtId="0" fontId="20" fillId="0" borderId="69" xfId="0" applyFont="1" applyBorder="1" applyAlignment="1">
      <alignment horizontal="left" vertical="center"/>
    </xf>
    <xf numFmtId="0" fontId="20" fillId="10" borderId="55" xfId="0" applyFont="1" applyFill="1" applyBorder="1" applyAlignment="1" applyProtection="1">
      <alignment horizontal="right" vertical="center" indent="1"/>
      <protection locked="0"/>
    </xf>
    <xf numFmtId="0" fontId="20" fillId="15" borderId="214" xfId="0" applyFont="1" applyFill="1" applyBorder="1" applyAlignment="1">
      <alignment horizontal="center" vertical="center"/>
    </xf>
    <xf numFmtId="0" fontId="20" fillId="15" borderId="216" xfId="0" applyFont="1" applyFill="1" applyBorder="1" applyAlignment="1">
      <alignment horizontal="center" vertical="center"/>
    </xf>
    <xf numFmtId="165" fontId="66" fillId="0" borderId="0" xfId="0" applyNumberFormat="1" applyFont="1" applyAlignment="1" applyProtection="1">
      <alignment horizontal="left" vertical="top" wrapText="1" indent="1"/>
    </xf>
    <xf numFmtId="0" fontId="20" fillId="10" borderId="79" xfId="0" applyFont="1" applyFill="1" applyBorder="1" applyAlignment="1" applyProtection="1">
      <alignment horizontal="right" vertical="center" indent="1"/>
      <protection locked="0"/>
    </xf>
    <xf numFmtId="0" fontId="65" fillId="0" borderId="69" xfId="0" applyFont="1" applyBorder="1" applyAlignment="1">
      <alignment horizontal="left" vertical="center"/>
    </xf>
    <xf numFmtId="0" fontId="65" fillId="0" borderId="80" xfId="0" applyFont="1" applyBorder="1" applyAlignment="1">
      <alignment horizontal="left" vertical="center"/>
    </xf>
    <xf numFmtId="0" fontId="19" fillId="9" borderId="61" xfId="0" applyFont="1" applyFill="1" applyBorder="1" applyAlignment="1">
      <alignment horizontal="center" vertical="center"/>
    </xf>
    <xf numFmtId="0" fontId="19" fillId="9" borderId="62" xfId="0" applyFont="1" applyFill="1" applyBorder="1" applyAlignment="1">
      <alignment horizontal="center" vertical="center"/>
    </xf>
    <xf numFmtId="0" fontId="19" fillId="9" borderId="65" xfId="0" applyFont="1" applyFill="1" applyBorder="1" applyAlignment="1">
      <alignment horizontal="left" vertical="center"/>
    </xf>
    <xf numFmtId="0" fontId="19" fillId="9" borderId="66" xfId="0" applyFont="1" applyFill="1" applyBorder="1" applyAlignment="1">
      <alignment horizontal="left" vertical="center"/>
    </xf>
    <xf numFmtId="0" fontId="19" fillId="9" borderId="111" xfId="0" applyFont="1" applyFill="1" applyBorder="1" applyAlignment="1">
      <alignment horizontal="center"/>
    </xf>
    <xf numFmtId="0" fontId="19" fillId="9" borderId="133" xfId="0" applyFont="1" applyFill="1" applyBorder="1" applyAlignment="1">
      <alignment horizontal="center"/>
    </xf>
    <xf numFmtId="0" fontId="21" fillId="0" borderId="141" xfId="0" applyFont="1" applyBorder="1" applyAlignment="1">
      <alignment horizontal="left" vertical="center" indent="1"/>
    </xf>
    <xf numFmtId="0" fontId="21" fillId="0" borderId="144" xfId="0" applyFont="1" applyBorder="1" applyAlignment="1">
      <alignment horizontal="left" vertical="center" indent="1"/>
    </xf>
    <xf numFmtId="49" fontId="24" fillId="0" borderId="60" xfId="0" applyNumberFormat="1" applyFont="1" applyBorder="1" applyAlignment="1">
      <alignment horizontal="center" vertical="center"/>
    </xf>
    <xf numFmtId="49" fontId="24" fillId="0" borderId="57" xfId="0" applyNumberFormat="1" applyFont="1" applyBorder="1" applyAlignment="1">
      <alignment horizontal="center" vertical="center"/>
    </xf>
    <xf numFmtId="0" fontId="20" fillId="10" borderId="64" xfId="0" applyFont="1" applyFill="1" applyBorder="1" applyAlignment="1" applyProtection="1">
      <alignment horizontal="left" vertical="center"/>
      <protection locked="0"/>
    </xf>
    <xf numFmtId="0" fontId="20" fillId="10" borderId="58" xfId="0" applyFont="1" applyFill="1" applyBorder="1" applyAlignment="1" applyProtection="1">
      <alignment horizontal="left" vertical="center"/>
      <protection locked="0"/>
    </xf>
    <xf numFmtId="49" fontId="24" fillId="0" borderId="59" xfId="0" applyNumberFormat="1" applyFont="1" applyBorder="1" applyAlignment="1">
      <alignment horizontal="center" vertical="center"/>
    </xf>
    <xf numFmtId="0" fontId="20" fillId="10" borderId="63" xfId="0" applyFont="1" applyFill="1" applyBorder="1" applyAlignment="1" applyProtection="1">
      <alignment horizontal="left" vertical="center"/>
      <protection locked="0"/>
    </xf>
    <xf numFmtId="0" fontId="21" fillId="15" borderId="213" xfId="0" applyFont="1" applyFill="1" applyBorder="1" applyAlignment="1">
      <alignment horizontal="left" vertical="center" indent="1"/>
    </xf>
    <xf numFmtId="0" fontId="21" fillId="15" borderId="215" xfId="0" applyFont="1" applyFill="1" applyBorder="1" applyAlignment="1">
      <alignment horizontal="left" vertical="center" indent="1"/>
    </xf>
    <xf numFmtId="0" fontId="21" fillId="0" borderId="145" xfId="0" applyFont="1" applyBorder="1" applyAlignment="1">
      <alignment horizontal="left" vertical="center" indent="1"/>
    </xf>
    <xf numFmtId="0" fontId="20" fillId="10" borderId="68" xfId="0" applyFont="1" applyFill="1" applyBorder="1" applyAlignment="1" applyProtection="1">
      <alignment horizontal="left" vertical="center"/>
      <protection locked="0"/>
    </xf>
    <xf numFmtId="164" fontId="24" fillId="0" borderId="0" xfId="0" applyNumberFormat="1" applyFont="1" applyFill="1" applyBorder="1" applyAlignment="1">
      <alignment horizontal="center" vertical="center"/>
    </xf>
    <xf numFmtId="164" fontId="24" fillId="0" borderId="71" xfId="0" applyNumberFormat="1" applyFont="1" applyFill="1" applyBorder="1" applyAlignment="1">
      <alignment horizontal="center" vertical="center"/>
    </xf>
    <xf numFmtId="0" fontId="24" fillId="0" borderId="0" xfId="0" applyFont="1" applyAlignment="1">
      <alignment horizontal="left" vertical="center"/>
    </xf>
    <xf numFmtId="0" fontId="24" fillId="0" borderId="71" xfId="0" applyFont="1" applyBorder="1" applyAlignment="1">
      <alignment horizontal="left" vertical="center"/>
    </xf>
    <xf numFmtId="49" fontId="24" fillId="0" borderId="67" xfId="0" applyNumberFormat="1" applyFont="1" applyBorder="1" applyAlignment="1">
      <alignment horizontal="center" vertical="center"/>
    </xf>
    <xf numFmtId="0" fontId="0" fillId="0" borderId="0" xfId="0" applyAlignment="1">
      <alignment horizontal="center" vertical="center"/>
    </xf>
    <xf numFmtId="0" fontId="51" fillId="0" borderId="0" xfId="0" applyFont="1" applyAlignment="1">
      <alignment horizontal="center" vertical="top" textRotation="90"/>
    </xf>
    <xf numFmtId="0" fontId="59" fillId="0" borderId="0" xfId="0" applyFont="1" applyAlignment="1" applyProtection="1">
      <alignment horizontal="center" vertical="top" wrapText="1"/>
    </xf>
    <xf numFmtId="167" fontId="13" fillId="15" borderId="0" xfId="0" applyNumberFormat="1" applyFont="1" applyFill="1" applyBorder="1" applyAlignment="1">
      <alignment horizontal="left" vertical="center" indent="1"/>
    </xf>
    <xf numFmtId="0" fontId="13" fillId="15" borderId="0" xfId="0" applyFont="1" applyFill="1" applyBorder="1" applyAlignment="1">
      <alignment horizontal="right" vertical="center"/>
    </xf>
    <xf numFmtId="0" fontId="56" fillId="0" borderId="71" xfId="0" applyFont="1" applyBorder="1" applyAlignment="1">
      <alignment horizontal="center"/>
    </xf>
    <xf numFmtId="0" fontId="13" fillId="9" borderId="36" xfId="0" applyFont="1" applyFill="1" applyBorder="1" applyAlignment="1">
      <alignment horizontal="center" vertical="center" shrinkToFit="1"/>
    </xf>
    <xf numFmtId="0" fontId="13" fillId="9" borderId="38" xfId="0" applyFont="1" applyFill="1" applyBorder="1" applyAlignment="1">
      <alignment horizontal="center" vertical="center" shrinkToFit="1"/>
    </xf>
    <xf numFmtId="0" fontId="14" fillId="9" borderId="53" xfId="0" applyFont="1" applyFill="1" applyBorder="1" applyAlignment="1">
      <alignment horizontal="center" vertical="center" shrinkToFit="1"/>
    </xf>
    <xf numFmtId="0" fontId="14" fillId="9" borderId="37" xfId="0" applyFont="1" applyFill="1" applyBorder="1" applyAlignment="1">
      <alignment horizontal="center" vertical="center" shrinkToFit="1"/>
    </xf>
    <xf numFmtId="0" fontId="14" fillId="9" borderId="54" xfId="0" applyFont="1" applyFill="1" applyBorder="1" applyAlignment="1">
      <alignment horizontal="center" vertical="center" shrinkToFit="1"/>
    </xf>
    <xf numFmtId="0" fontId="14" fillId="9" borderId="237" xfId="0" applyFont="1" applyFill="1" applyBorder="1" applyAlignment="1">
      <alignment horizontal="center" vertical="center" shrinkToFit="1"/>
    </xf>
    <xf numFmtId="0" fontId="14" fillId="9" borderId="238" xfId="0" applyFont="1" applyFill="1" applyBorder="1" applyAlignment="1">
      <alignment horizontal="center" vertical="center" shrinkToFit="1"/>
    </xf>
    <xf numFmtId="0" fontId="14" fillId="9" borderId="239" xfId="0" applyFont="1" applyFill="1" applyBorder="1" applyAlignment="1">
      <alignment horizontal="center" vertical="center" shrinkToFit="1"/>
    </xf>
    <xf numFmtId="14" fontId="26" fillId="10" borderId="226" xfId="0" applyNumberFormat="1" applyFont="1" applyFill="1" applyBorder="1" applyAlignment="1" applyProtection="1">
      <alignment horizontal="center" vertical="center"/>
      <protection locked="0"/>
    </xf>
    <xf numFmtId="14" fontId="26" fillId="10" borderId="190" xfId="0" applyNumberFormat="1" applyFont="1" applyFill="1" applyBorder="1" applyAlignment="1" applyProtection="1">
      <alignment horizontal="center" vertical="center"/>
      <protection locked="0"/>
    </xf>
    <xf numFmtId="14" fontId="26" fillId="10" borderId="227" xfId="0" applyNumberFormat="1" applyFont="1" applyFill="1" applyBorder="1" applyAlignment="1" applyProtection="1">
      <alignment horizontal="center" vertical="center"/>
      <protection locked="0"/>
    </xf>
    <xf numFmtId="0" fontId="26" fillId="10" borderId="226" xfId="0" applyFont="1" applyFill="1" applyBorder="1" applyAlignment="1" applyProtection="1">
      <alignment horizontal="center" vertical="center"/>
      <protection locked="0"/>
    </xf>
    <xf numFmtId="0" fontId="26" fillId="10" borderId="190" xfId="0" applyFont="1" applyFill="1" applyBorder="1" applyAlignment="1" applyProtection="1">
      <alignment horizontal="center" vertical="center"/>
      <protection locked="0"/>
    </xf>
    <xf numFmtId="0" fontId="26" fillId="10" borderId="227" xfId="0" applyFont="1" applyFill="1" applyBorder="1" applyAlignment="1" applyProtection="1">
      <alignment horizontal="center" vertical="center"/>
      <protection locked="0"/>
    </xf>
    <xf numFmtId="0" fontId="26" fillId="10" borderId="228" xfId="0" applyFont="1" applyFill="1" applyBorder="1" applyAlignment="1" applyProtection="1">
      <alignment horizontal="center" vertical="center"/>
      <protection locked="0"/>
    </xf>
    <xf numFmtId="0" fontId="26" fillId="10" borderId="229" xfId="0" applyFont="1" applyFill="1" applyBorder="1" applyAlignment="1" applyProtection="1">
      <alignment horizontal="center" vertical="center"/>
      <protection locked="0"/>
    </xf>
    <xf numFmtId="0" fontId="26" fillId="10" borderId="230" xfId="0" applyFont="1" applyFill="1" applyBorder="1" applyAlignment="1" applyProtection="1">
      <alignment horizontal="center" vertical="center"/>
      <protection locked="0"/>
    </xf>
    <xf numFmtId="0" fontId="57" fillId="16" borderId="289" xfId="0" applyFont="1" applyFill="1" applyBorder="1" applyAlignment="1" applyProtection="1">
      <alignment horizontal="center" vertical="center"/>
    </xf>
    <xf numFmtId="0" fontId="57" fillId="16" borderId="0" xfId="0" applyFont="1" applyFill="1" applyBorder="1" applyAlignment="1" applyProtection="1">
      <alignment horizontal="center" vertical="center"/>
    </xf>
    <xf numFmtId="0" fontId="80" fillId="0" borderId="0" xfId="0" applyFont="1" applyAlignment="1">
      <alignment horizontal="center" vertical="top" wrapText="1"/>
    </xf>
    <xf numFmtId="0" fontId="38" fillId="0" borderId="0" xfId="0" applyFont="1" applyAlignment="1">
      <alignment horizontal="center"/>
    </xf>
    <xf numFmtId="0" fontId="14" fillId="9" borderId="111" xfId="0" applyFont="1" applyFill="1" applyBorder="1" applyAlignment="1">
      <alignment horizontal="center" vertical="center"/>
    </xf>
    <xf numFmtId="0" fontId="14" fillId="9" borderId="234" xfId="0" applyFont="1" applyFill="1" applyBorder="1" applyAlignment="1">
      <alignment horizontal="center" vertical="center"/>
    </xf>
    <xf numFmtId="0" fontId="14" fillId="9" borderId="119" xfId="0" applyFont="1" applyFill="1" applyBorder="1" applyAlignment="1">
      <alignment horizontal="center" vertical="center"/>
    </xf>
    <xf numFmtId="0" fontId="14" fillId="9" borderId="133" xfId="0" applyFont="1" applyFill="1" applyBorder="1" applyAlignment="1">
      <alignment horizontal="center" vertical="center"/>
    </xf>
    <xf numFmtId="0" fontId="17" fillId="10" borderId="223" xfId="0" applyFont="1" applyFill="1" applyBorder="1" applyAlignment="1" applyProtection="1">
      <alignment horizontal="center" vertical="top"/>
      <protection locked="0"/>
    </xf>
    <xf numFmtId="0" fontId="17" fillId="10" borderId="224" xfId="0" applyFont="1" applyFill="1" applyBorder="1" applyAlignment="1" applyProtection="1">
      <alignment horizontal="center" vertical="top"/>
      <protection locked="0"/>
    </xf>
    <xf numFmtId="0" fontId="17" fillId="10" borderId="225" xfId="0" applyFont="1" applyFill="1" applyBorder="1" applyAlignment="1" applyProtection="1">
      <alignment horizontal="center" vertical="top"/>
      <protection locked="0"/>
    </xf>
    <xf numFmtId="0" fontId="15" fillId="0" borderId="71" xfId="4" applyFont="1" applyBorder="1" applyAlignment="1">
      <alignment horizontal="left" vertical="center"/>
    </xf>
    <xf numFmtId="0" fontId="31" fillId="9" borderId="234" xfId="4" applyFont="1" applyFill="1" applyBorder="1" applyAlignment="1">
      <alignment horizontal="center" vertical="center"/>
    </xf>
    <xf numFmtId="0" fontId="31" fillId="9" borderId="130" xfId="4" applyFont="1" applyFill="1" applyBorder="1" applyAlignment="1">
      <alignment horizontal="center" vertical="center"/>
    </xf>
    <xf numFmtId="0" fontId="31" fillId="9" borderId="113" xfId="4" applyFont="1" applyFill="1" applyBorder="1" applyAlignment="1">
      <alignment horizontal="center" vertical="center"/>
    </xf>
    <xf numFmtId="0" fontId="14" fillId="9" borderId="234" xfId="4" applyFont="1" applyFill="1" applyBorder="1" applyAlignment="1">
      <alignment horizontal="center" vertical="center"/>
    </xf>
    <xf numFmtId="0" fontId="14" fillId="9" borderId="130" xfId="4" applyFont="1" applyFill="1" applyBorder="1" applyAlignment="1">
      <alignment horizontal="center" vertical="center"/>
    </xf>
    <xf numFmtId="0" fontId="14" fillId="9" borderId="113" xfId="4" applyFont="1" applyFill="1" applyBorder="1" applyAlignment="1">
      <alignment horizontal="center" vertical="center"/>
    </xf>
    <xf numFmtId="0" fontId="14" fillId="9" borderId="254" xfId="4" applyFont="1" applyFill="1" applyBorder="1" applyAlignment="1">
      <alignment horizontal="center" vertical="center"/>
    </xf>
    <xf numFmtId="0" fontId="63" fillId="16" borderId="0" xfId="4" applyFont="1" applyFill="1" applyBorder="1" applyAlignment="1">
      <alignment horizontal="center" vertical="center"/>
    </xf>
    <xf numFmtId="0" fontId="69" fillId="0" borderId="71" xfId="4" applyNumberFormat="1" applyFont="1" applyBorder="1" applyAlignment="1">
      <alignment horizontal="center" wrapText="1"/>
    </xf>
    <xf numFmtId="0" fontId="60" fillId="0" borderId="223" xfId="4" applyFont="1" applyBorder="1" applyAlignment="1">
      <alignment horizontal="center" vertical="center"/>
    </xf>
    <xf numFmtId="0" fontId="60" fillId="0" borderId="224" xfId="4" applyFont="1" applyBorder="1" applyAlignment="1">
      <alignment horizontal="center" vertical="center"/>
    </xf>
    <xf numFmtId="0" fontId="60" fillId="0" borderId="225" xfId="4" applyFont="1" applyBorder="1" applyAlignment="1">
      <alignment horizontal="center" vertical="center"/>
    </xf>
    <xf numFmtId="14" fontId="62" fillId="0" borderId="226" xfId="4" applyNumberFormat="1" applyFont="1" applyBorder="1" applyAlignment="1">
      <alignment horizontal="center" vertical="center"/>
    </xf>
    <xf numFmtId="14" fontId="62" fillId="0" borderId="190" xfId="4" applyNumberFormat="1" applyFont="1" applyBorder="1" applyAlignment="1">
      <alignment horizontal="center" vertical="center"/>
    </xf>
    <xf numFmtId="14" fontId="62" fillId="0" borderId="227" xfId="4" applyNumberFormat="1" applyFont="1" applyBorder="1" applyAlignment="1">
      <alignment horizontal="center" vertical="center"/>
    </xf>
    <xf numFmtId="0" fontId="62" fillId="0" borderId="226" xfId="4" applyFont="1" applyBorder="1" applyAlignment="1">
      <alignment horizontal="center" vertical="center"/>
    </xf>
    <xf numFmtId="0" fontId="62" fillId="0" borderId="190" xfId="4" applyFont="1" applyBorder="1" applyAlignment="1">
      <alignment horizontal="center" vertical="center"/>
    </xf>
    <xf numFmtId="0" fontId="62" fillId="0" borderId="227" xfId="4" applyFont="1" applyBorder="1" applyAlignment="1">
      <alignment horizontal="center" vertical="center"/>
    </xf>
    <xf numFmtId="0" fontId="62" fillId="0" borderId="228" xfId="4" applyFont="1" applyBorder="1" applyAlignment="1">
      <alignment horizontal="center" vertical="center"/>
    </xf>
    <xf numFmtId="0" fontId="62" fillId="0" borderId="229" xfId="4" applyFont="1" applyBorder="1" applyAlignment="1">
      <alignment horizontal="center" vertical="center"/>
    </xf>
    <xf numFmtId="0" fontId="62" fillId="0" borderId="230" xfId="4" applyFont="1" applyBorder="1" applyAlignment="1">
      <alignment horizontal="center" vertical="center"/>
    </xf>
    <xf numFmtId="0" fontId="73" fillId="0" borderId="0" xfId="0" applyFont="1" applyAlignment="1">
      <alignment horizontal="center"/>
    </xf>
    <xf numFmtId="0" fontId="18" fillId="9" borderId="0" xfId="0" applyFont="1" applyFill="1" applyAlignment="1">
      <alignment horizontal="center"/>
    </xf>
    <xf numFmtId="0" fontId="18" fillId="0" borderId="0" xfId="0" applyFont="1" applyAlignment="1">
      <alignment horizontal="center"/>
    </xf>
    <xf numFmtId="0" fontId="40" fillId="0" borderId="56" xfId="0" applyFont="1" applyBorder="1" applyAlignment="1">
      <alignment horizontal="left" vertical="center" indent="1"/>
    </xf>
    <xf numFmtId="0" fontId="40" fillId="0" borderId="184" xfId="0" applyFont="1" applyBorder="1" applyAlignment="1">
      <alignment horizontal="left" vertical="center" indent="1"/>
    </xf>
    <xf numFmtId="0" fontId="21" fillId="0" borderId="126" xfId="0" applyFont="1" applyBorder="1" applyAlignment="1">
      <alignment horizontal="left" vertical="center"/>
    </xf>
    <xf numFmtId="0" fontId="21" fillId="0" borderId="127" xfId="0" applyFont="1" applyBorder="1" applyAlignment="1">
      <alignment horizontal="left" vertical="center"/>
    </xf>
    <xf numFmtId="0" fontId="40" fillId="0" borderId="55" xfId="0" applyFont="1" applyBorder="1" applyAlignment="1">
      <alignment horizontal="left" vertical="center" indent="1"/>
    </xf>
    <xf numFmtId="0" fontId="40" fillId="0" borderId="69" xfId="0" applyFont="1" applyBorder="1" applyAlignment="1">
      <alignment horizontal="left" vertical="center" indent="1"/>
    </xf>
    <xf numFmtId="0" fontId="40" fillId="18" borderId="142" xfId="0" applyFont="1" applyFill="1" applyBorder="1" applyAlignment="1">
      <alignment horizontal="left" vertical="center" indent="1"/>
    </xf>
    <xf numFmtId="0" fontId="40" fillId="18" borderId="143" xfId="0" applyFont="1" applyFill="1" applyBorder="1" applyAlignment="1">
      <alignment horizontal="left" vertical="center" indent="1"/>
    </xf>
    <xf numFmtId="0" fontId="40" fillId="19" borderId="55" xfId="0" applyFont="1" applyFill="1" applyBorder="1" applyAlignment="1">
      <alignment horizontal="left" vertical="center" indent="1"/>
    </xf>
    <xf numFmtId="0" fontId="40" fillId="19" borderId="69" xfId="0" applyFont="1" applyFill="1" applyBorder="1" applyAlignment="1">
      <alignment horizontal="left" vertical="center" indent="1"/>
    </xf>
    <xf numFmtId="0" fontId="40" fillId="11" borderId="55" xfId="0" applyFont="1" applyFill="1" applyBorder="1" applyAlignment="1">
      <alignment horizontal="left" vertical="center" indent="1"/>
    </xf>
    <xf numFmtId="0" fontId="40" fillId="11" borderId="69" xfId="0" applyFont="1" applyFill="1" applyBorder="1" applyAlignment="1">
      <alignment horizontal="left" vertical="center" indent="1"/>
    </xf>
    <xf numFmtId="0" fontId="14" fillId="9" borderId="32" xfId="0" applyFont="1" applyFill="1" applyBorder="1" applyAlignment="1">
      <alignment horizontal="center" vertical="center"/>
    </xf>
    <xf numFmtId="0" fontId="14" fillId="9" borderId="27" xfId="0" applyFont="1" applyFill="1" applyBorder="1" applyAlignment="1">
      <alignment horizontal="center" vertical="center"/>
    </xf>
    <xf numFmtId="0" fontId="14" fillId="9" borderId="29" xfId="0" applyFont="1" applyFill="1" applyBorder="1" applyAlignment="1">
      <alignment horizontal="center" vertical="center"/>
    </xf>
    <xf numFmtId="167" fontId="21" fillId="15" borderId="0" xfId="0" applyNumberFormat="1" applyFont="1" applyFill="1" applyBorder="1" applyAlignment="1">
      <alignment horizontal="right" vertical="center" indent="1"/>
    </xf>
    <xf numFmtId="0" fontId="14" fillId="9" borderId="30" xfId="0" applyFont="1" applyFill="1" applyBorder="1" applyAlignment="1">
      <alignment horizontal="center" vertical="center"/>
    </xf>
    <xf numFmtId="167" fontId="24" fillId="0" borderId="71" xfId="0" applyNumberFormat="1" applyFont="1" applyBorder="1" applyAlignment="1">
      <alignment horizontal="left"/>
    </xf>
    <xf numFmtId="0" fontId="60" fillId="0" borderId="223" xfId="0" applyFont="1" applyBorder="1" applyAlignment="1">
      <alignment horizontal="center" vertical="center"/>
    </xf>
    <xf numFmtId="0" fontId="60" fillId="0" borderId="224" xfId="0" applyFont="1" applyBorder="1" applyAlignment="1">
      <alignment horizontal="center" vertical="center"/>
    </xf>
    <xf numFmtId="0" fontId="60" fillId="0" borderId="225" xfId="0" applyFont="1" applyBorder="1" applyAlignment="1">
      <alignment horizontal="center" vertical="center"/>
    </xf>
    <xf numFmtId="14" fontId="62" fillId="0" borderId="226" xfId="0" applyNumberFormat="1" applyFont="1" applyBorder="1" applyAlignment="1">
      <alignment horizontal="center" vertical="center"/>
    </xf>
    <xf numFmtId="14" fontId="62" fillId="0" borderId="190" xfId="0" applyNumberFormat="1" applyFont="1" applyBorder="1" applyAlignment="1">
      <alignment horizontal="center" vertical="center"/>
    </xf>
    <xf numFmtId="14" fontId="62" fillId="0" borderId="227" xfId="0" applyNumberFormat="1" applyFont="1" applyBorder="1" applyAlignment="1">
      <alignment horizontal="center" vertical="center"/>
    </xf>
    <xf numFmtId="0" fontId="62" fillId="0" borderId="226" xfId="0" applyFont="1" applyBorder="1" applyAlignment="1">
      <alignment horizontal="center" vertical="center"/>
    </xf>
    <xf numFmtId="0" fontId="62" fillId="0" borderId="190" xfId="0" applyFont="1" applyBorder="1" applyAlignment="1">
      <alignment horizontal="center" vertical="center"/>
    </xf>
    <xf numFmtId="0" fontId="62" fillId="0" borderId="227" xfId="0" applyFont="1" applyBorder="1" applyAlignment="1">
      <alignment horizontal="center" vertical="center"/>
    </xf>
    <xf numFmtId="0" fontId="62" fillId="0" borderId="228" xfId="0" applyFont="1" applyBorder="1" applyAlignment="1">
      <alignment horizontal="center" vertical="center"/>
    </xf>
    <xf numFmtId="0" fontId="62" fillId="0" borderId="229" xfId="0" applyFont="1" applyBorder="1" applyAlignment="1">
      <alignment horizontal="center" vertical="center"/>
    </xf>
    <xf numFmtId="0" fontId="62" fillId="0" borderId="230" xfId="0" applyFont="1" applyBorder="1" applyAlignment="1">
      <alignment horizontal="center" vertical="center"/>
    </xf>
    <xf numFmtId="0" fontId="14" fillId="9" borderId="267" xfId="0" applyFont="1" applyFill="1" applyBorder="1" applyAlignment="1">
      <alignment horizontal="center" vertical="center"/>
    </xf>
    <xf numFmtId="0" fontId="63" fillId="16" borderId="246" xfId="0" applyFont="1" applyFill="1" applyBorder="1" applyAlignment="1">
      <alignment horizontal="center" vertical="center"/>
    </xf>
    <xf numFmtId="0" fontId="63" fillId="16" borderId="247" xfId="0" applyFont="1" applyFill="1" applyBorder="1" applyAlignment="1">
      <alignment horizontal="center" vertical="center"/>
    </xf>
    <xf numFmtId="0" fontId="63" fillId="16" borderId="248" xfId="0" applyFont="1" applyFill="1" applyBorder="1" applyAlignment="1">
      <alignment horizontal="center" vertical="center"/>
    </xf>
    <xf numFmtId="0" fontId="63" fillId="16" borderId="249" xfId="0" applyFont="1" applyFill="1" applyBorder="1" applyAlignment="1">
      <alignment horizontal="center" vertical="center"/>
    </xf>
    <xf numFmtId="0" fontId="63" fillId="16" borderId="250" xfId="0" applyFont="1" applyFill="1" applyBorder="1" applyAlignment="1">
      <alignment horizontal="center" vertical="center"/>
    </xf>
    <xf numFmtId="0" fontId="63" fillId="16" borderId="251" xfId="0" applyFont="1" applyFill="1" applyBorder="1" applyAlignment="1">
      <alignment horizontal="center" vertical="center"/>
    </xf>
    <xf numFmtId="0" fontId="40" fillId="11" borderId="55" xfId="0" applyFont="1" applyFill="1" applyBorder="1" applyAlignment="1">
      <alignment horizontal="left" vertical="center"/>
    </xf>
    <xf numFmtId="0" fontId="40" fillId="11" borderId="69" xfId="0" applyFont="1" applyFill="1" applyBorder="1" applyAlignment="1">
      <alignment horizontal="left" vertical="center"/>
    </xf>
    <xf numFmtId="0" fontId="21" fillId="0" borderId="192" xfId="0" applyFont="1" applyBorder="1" applyAlignment="1">
      <alignment horizontal="left" vertical="center"/>
    </xf>
    <xf numFmtId="0" fontId="21" fillId="0" borderId="193" xfId="0" applyFont="1" applyBorder="1" applyAlignment="1">
      <alignment horizontal="left" vertical="center"/>
    </xf>
    <xf numFmtId="0" fontId="40" fillId="18" borderId="142" xfId="0" applyFont="1" applyFill="1" applyBorder="1" applyAlignment="1">
      <alignment horizontal="left" vertical="center"/>
    </xf>
    <xf numFmtId="0" fontId="40" fillId="18" borderId="143" xfId="0" applyFont="1" applyFill="1" applyBorder="1" applyAlignment="1">
      <alignment horizontal="left" vertical="center"/>
    </xf>
    <xf numFmtId="0" fontId="40" fillId="19" borderId="55" xfId="0" applyFont="1" applyFill="1" applyBorder="1" applyAlignment="1">
      <alignment horizontal="left" vertical="center"/>
    </xf>
    <xf numFmtId="0" fontId="40" fillId="19" borderId="69" xfId="0" applyFont="1" applyFill="1" applyBorder="1" applyAlignment="1">
      <alignment horizontal="left" vertical="center"/>
    </xf>
    <xf numFmtId="0" fontId="40" fillId="0" borderId="55" xfId="0" applyFont="1" applyBorder="1" applyAlignment="1">
      <alignment horizontal="left" vertical="center"/>
    </xf>
    <xf numFmtId="0" fontId="40" fillId="0" borderId="69" xfId="0" applyFont="1" applyBorder="1" applyAlignment="1">
      <alignment horizontal="left" vertical="center"/>
    </xf>
    <xf numFmtId="0" fontId="40" fillId="0" borderId="56" xfId="0" applyFont="1" applyBorder="1" applyAlignment="1">
      <alignment horizontal="left" vertical="center"/>
    </xf>
    <xf numFmtId="0" fontId="40" fillId="0" borderId="184" xfId="0" applyFont="1" applyBorder="1" applyAlignment="1">
      <alignment horizontal="left" vertical="center"/>
    </xf>
    <xf numFmtId="167" fontId="24" fillId="0" borderId="231" xfId="0" applyNumberFormat="1" applyFont="1" applyBorder="1" applyAlignment="1">
      <alignment horizontal="left"/>
    </xf>
    <xf numFmtId="0" fontId="21" fillId="0" borderId="242" xfId="0" applyFont="1" applyBorder="1" applyAlignment="1">
      <alignment horizontal="left" vertical="center"/>
    </xf>
    <xf numFmtId="0" fontId="21" fillId="0" borderId="243" xfId="0" applyFont="1" applyBorder="1" applyAlignment="1">
      <alignment horizontal="left" vertical="center"/>
    </xf>
    <xf numFmtId="0" fontId="21" fillId="0" borderId="244" xfId="0" applyFont="1" applyBorder="1" applyAlignment="1">
      <alignment horizontal="left" vertical="center"/>
    </xf>
    <xf numFmtId="0" fontId="56" fillId="0" borderId="71" xfId="0" applyFont="1" applyBorder="1" applyAlignment="1">
      <alignment horizontal="left"/>
    </xf>
    <xf numFmtId="0" fontId="79" fillId="0" borderId="71" xfId="0" applyFont="1" applyBorder="1" applyAlignment="1">
      <alignment horizontal="left"/>
    </xf>
    <xf numFmtId="0" fontId="79" fillId="0" borderId="0" xfId="0" applyFont="1" applyBorder="1" applyAlignment="1">
      <alignment horizontal="left"/>
    </xf>
    <xf numFmtId="0" fontId="13" fillId="9" borderId="235" xfId="0" applyFont="1" applyFill="1" applyBorder="1" applyAlignment="1">
      <alignment horizontal="center" vertical="center" shrinkToFit="1"/>
    </xf>
    <xf numFmtId="0" fontId="13" fillId="9" borderId="236" xfId="0" applyFont="1" applyFill="1" applyBorder="1" applyAlignment="1">
      <alignment horizontal="center" vertical="center" shrinkToFit="1"/>
    </xf>
    <xf numFmtId="0" fontId="14" fillId="9" borderId="290" xfId="0" applyFont="1" applyFill="1" applyBorder="1" applyAlignment="1">
      <alignment horizontal="center" vertical="center"/>
    </xf>
    <xf numFmtId="0" fontId="25" fillId="0" borderId="0" xfId="0" applyFont="1" applyAlignment="1">
      <alignment horizontal="center" vertical="center"/>
    </xf>
    <xf numFmtId="0" fontId="64" fillId="0" borderId="0" xfId="0" applyFont="1" applyAlignment="1">
      <alignment horizontal="center" vertical="top"/>
    </xf>
    <xf numFmtId="0" fontId="46" fillId="0" borderId="0" xfId="0" applyFont="1" applyAlignment="1">
      <alignment horizontal="left" vertical="center"/>
    </xf>
    <xf numFmtId="0" fontId="74" fillId="0" borderId="0" xfId="0" applyFont="1" applyAlignment="1">
      <alignment horizontal="center" vertical="center"/>
    </xf>
    <xf numFmtId="0" fontId="35" fillId="13" borderId="93" xfId="0" applyFont="1" applyFill="1" applyBorder="1" applyAlignment="1">
      <alignment horizontal="center" vertical="center" wrapText="1"/>
    </xf>
    <xf numFmtId="0" fontId="35" fillId="13" borderId="95" xfId="0" applyFont="1" applyFill="1" applyBorder="1" applyAlignment="1">
      <alignment horizontal="center" vertical="center"/>
    </xf>
    <xf numFmtId="0" fontId="34" fillId="0" borderId="88" xfId="0" applyFont="1" applyBorder="1" applyAlignment="1">
      <alignment horizontal="center" vertical="top"/>
    </xf>
    <xf numFmtId="0" fontId="35" fillId="0" borderId="0"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xf>
    <xf numFmtId="0" fontId="0" fillId="0" borderId="90" xfId="0" applyBorder="1" applyAlignment="1" applyProtection="1">
      <alignment horizontal="center"/>
      <protection locked="0"/>
    </xf>
    <xf numFmtId="0" fontId="39" fillId="14" borderId="91" xfId="0" applyFont="1" applyFill="1" applyBorder="1" applyAlignment="1">
      <alignment horizontal="center" vertical="center" wrapText="1"/>
    </xf>
    <xf numFmtId="0" fontId="39" fillId="14" borderId="94" xfId="0" applyFont="1" applyFill="1" applyBorder="1" applyAlignment="1">
      <alignment horizontal="center" vertical="center"/>
    </xf>
    <xf numFmtId="0" fontId="39" fillId="12" borderId="156" xfId="0" applyFont="1" applyFill="1" applyBorder="1" applyAlignment="1">
      <alignment horizontal="center" vertical="center" wrapText="1"/>
    </xf>
    <xf numFmtId="0" fontId="39" fillId="12" borderId="157" xfId="0" applyFont="1" applyFill="1" applyBorder="1" applyAlignment="1">
      <alignment horizontal="center" vertical="center"/>
    </xf>
    <xf numFmtId="0" fontId="18" fillId="11" borderId="103" xfId="0" applyFont="1" applyFill="1" applyBorder="1" applyAlignment="1" applyProtection="1">
      <alignment horizontal="center"/>
    </xf>
    <xf numFmtId="0" fontId="18" fillId="11" borderId="104" xfId="0" applyFont="1" applyFill="1" applyBorder="1" applyAlignment="1" applyProtection="1">
      <alignment horizontal="center"/>
    </xf>
    <xf numFmtId="0" fontId="18" fillId="11" borderId="152" xfId="0" applyFont="1" applyFill="1" applyBorder="1" applyAlignment="1" applyProtection="1">
      <alignment horizontal="center"/>
    </xf>
    <xf numFmtId="0" fontId="18" fillId="11" borderId="84" xfId="0" applyFont="1" applyFill="1" applyBorder="1" applyAlignment="1" applyProtection="1">
      <alignment horizontal="center"/>
    </xf>
    <xf numFmtId="0" fontId="18" fillId="11" borderId="85" xfId="0" applyFont="1" applyFill="1" applyBorder="1" applyAlignment="1" applyProtection="1">
      <alignment horizontal="center"/>
    </xf>
    <xf numFmtId="0" fontId="18" fillId="11" borderId="151" xfId="0" applyFont="1" applyFill="1" applyBorder="1" applyAlignment="1" applyProtection="1">
      <alignment horizontal="center"/>
    </xf>
    <xf numFmtId="0" fontId="18" fillId="11" borderId="86" xfId="0" applyFont="1" applyFill="1" applyBorder="1" applyAlignment="1" applyProtection="1">
      <alignment horizontal="center" vertical="center"/>
    </xf>
    <xf numFmtId="0" fontId="18" fillId="11" borderId="0" xfId="0" applyFont="1" applyFill="1" applyBorder="1" applyAlignment="1" applyProtection="1">
      <alignment horizontal="center" vertical="center"/>
    </xf>
    <xf numFmtId="0" fontId="18" fillId="11" borderId="87" xfId="0" applyFont="1" applyFill="1" applyBorder="1" applyAlignment="1" applyProtection="1">
      <alignment horizontal="center" vertical="center"/>
    </xf>
    <xf numFmtId="0" fontId="30" fillId="11" borderId="86" xfId="3" applyFill="1" applyBorder="1" applyAlignment="1" applyProtection="1">
      <alignment horizontal="center" vertical="center"/>
      <protection locked="0"/>
    </xf>
    <xf numFmtId="0" fontId="30" fillId="11" borderId="0" xfId="3" applyFill="1" applyBorder="1" applyAlignment="1" applyProtection="1">
      <alignment horizontal="center" vertical="center"/>
      <protection locked="0"/>
    </xf>
    <xf numFmtId="0" fontId="30" fillId="11" borderId="87" xfId="3" applyFill="1" applyBorder="1" applyAlignment="1" applyProtection="1">
      <alignment horizontal="center" vertical="center"/>
      <protection locked="0"/>
    </xf>
    <xf numFmtId="3" fontId="7" fillId="0" borderId="112" xfId="4" applyNumberFormat="1" applyFont="1" applyFill="1" applyBorder="1" applyAlignment="1" applyProtection="1">
      <alignment horizontal="center" vertical="center"/>
      <protection hidden="1"/>
    </xf>
    <xf numFmtId="0" fontId="7" fillId="0" borderId="112" xfId="4" applyNumberFormat="1" applyFont="1" applyFill="1" applyBorder="1" applyAlignment="1" applyProtection="1">
      <alignment horizontal="center" vertical="center"/>
      <protection hidden="1"/>
    </xf>
    <xf numFmtId="0" fontId="7" fillId="0" borderId="4" xfId="4" applyNumberFormat="1" applyFont="1" applyFill="1" applyBorder="1" applyAlignment="1" applyProtection="1">
      <alignment horizontal="center" vertical="center"/>
      <protection hidden="1"/>
    </xf>
    <xf numFmtId="0" fontId="7" fillId="0" borderId="5" xfId="4" applyNumberFormat="1" applyFont="1" applyFill="1" applyBorder="1" applyAlignment="1" applyProtection="1">
      <alignment horizontal="center" vertical="center"/>
      <protection hidden="1"/>
    </xf>
    <xf numFmtId="0" fontId="7" fillId="0" borderId="6" xfId="4" applyNumberFormat="1" applyFont="1" applyFill="1" applyBorder="1" applyAlignment="1" applyProtection="1">
      <alignment horizontal="center" vertical="center"/>
      <protection hidden="1"/>
    </xf>
    <xf numFmtId="0" fontId="7" fillId="0" borderId="7" xfId="4" applyNumberFormat="1" applyFont="1" applyFill="1" applyBorder="1" applyAlignment="1" applyProtection="1">
      <alignment horizontal="center" vertical="center"/>
      <protection hidden="1"/>
    </xf>
    <xf numFmtId="0" fontId="7" fillId="0" borderId="8" xfId="4" applyNumberFormat="1" applyFont="1" applyFill="1" applyBorder="1" applyAlignment="1" applyProtection="1">
      <alignment horizontal="center" vertical="center"/>
      <protection hidden="1"/>
    </xf>
    <xf numFmtId="0" fontId="12" fillId="0" borderId="25" xfId="4" applyNumberFormat="1" applyFont="1" applyFill="1" applyBorder="1" applyAlignment="1" applyProtection="1">
      <alignment horizontal="center" vertical="center"/>
      <protection hidden="1"/>
    </xf>
    <xf numFmtId="0" fontId="12" fillId="0" borderId="0" xfId="4" applyNumberFormat="1" applyFont="1" applyFill="1" applyBorder="1" applyAlignment="1" applyProtection="1">
      <alignment horizontal="center" vertical="center"/>
      <protection hidden="1"/>
    </xf>
    <xf numFmtId="0" fontId="12" fillId="0" borderId="71" xfId="4" applyNumberFormat="1" applyFont="1" applyFill="1" applyBorder="1" applyAlignment="1" applyProtection="1">
      <alignment horizontal="center" vertical="center"/>
      <protection hidden="1"/>
    </xf>
  </cellXfs>
  <cellStyles count="5">
    <cellStyle name="Berechnung" xfId="2" builtinId="22"/>
    <cellStyle name="Link" xfId="3" builtinId="8"/>
    <cellStyle name="Standard" xfId="0" builtinId="0"/>
    <cellStyle name="Standard 2" xfId="1" xr:uid="{00000000-0005-0000-0000-000001000000}"/>
    <cellStyle name="Standard 3" xfId="4" xr:uid="{DDE96A6C-A63C-4371-A4A2-12FAE9250528}"/>
  </cellStyles>
  <dxfs count="47">
    <dxf>
      <font>
        <b/>
        <i val="0"/>
      </font>
      <fill>
        <patternFill>
          <bgColor rgb="FFFFFF00"/>
        </patternFill>
      </fill>
    </dxf>
    <dxf>
      <font>
        <b/>
        <i val="0"/>
      </font>
    </dxf>
    <dxf>
      <font>
        <b/>
        <i val="0"/>
      </font>
      <fill>
        <patternFill>
          <bgColor rgb="FFFFFF00"/>
        </patternFill>
      </fill>
    </dxf>
    <dxf>
      <font>
        <b/>
        <i val="0"/>
      </font>
      <fill>
        <patternFill>
          <bgColor rgb="FFFFFF00"/>
        </patternFill>
      </fill>
    </dxf>
    <dxf>
      <font>
        <b/>
        <i val="0"/>
        <color rgb="FFDA0000"/>
      </font>
    </dxf>
    <dxf>
      <font>
        <color rgb="FFDA0000"/>
      </font>
    </dxf>
    <dxf>
      <font>
        <color rgb="FFDA0000"/>
      </font>
    </dxf>
    <dxf>
      <numFmt numFmtId="165" formatCode=";;;"/>
    </dxf>
    <dxf>
      <font>
        <color rgb="FFDA0000"/>
      </font>
    </dxf>
    <dxf>
      <font>
        <color rgb="FFDA0000"/>
      </font>
    </dxf>
    <dxf>
      <font>
        <color rgb="FFDA0000"/>
      </font>
    </dxf>
    <dxf>
      <font>
        <color theme="2" tint="-9.9948118533890809E-2"/>
      </font>
    </dxf>
    <dxf>
      <font>
        <color rgb="FFDA0000"/>
      </font>
    </dxf>
    <dxf>
      <numFmt numFmtId="165" formatCode=";;;"/>
    </dxf>
    <dxf>
      <numFmt numFmtId="165" formatCode=";;;"/>
    </dxf>
    <dxf>
      <font>
        <color rgb="FFFF0000"/>
      </font>
    </dxf>
    <dxf>
      <font>
        <color theme="2" tint="-9.9948118533890809E-2"/>
      </font>
    </dxf>
    <dxf>
      <font>
        <color theme="2" tint="-9.9948118533890809E-2"/>
      </font>
    </dxf>
    <dxf>
      <font>
        <color rgb="FFFF0000"/>
      </font>
    </dxf>
    <dxf>
      <numFmt numFmtId="165" formatCode=";;;"/>
    </dxf>
    <dxf>
      <font>
        <color rgb="FFFF0000"/>
      </font>
    </dxf>
    <dxf>
      <font>
        <color theme="2" tint="-9.9948118533890809E-2"/>
      </font>
    </dxf>
    <dxf>
      <font>
        <color rgb="FFFF0000"/>
      </font>
    </dxf>
    <dxf>
      <font>
        <color theme="2" tint="-9.9948118533890809E-2"/>
      </font>
    </dxf>
    <dxf>
      <numFmt numFmtId="165" formatCode=";;;"/>
    </dxf>
    <dxf>
      <font>
        <color rgb="FFFF0000"/>
      </font>
    </dxf>
    <dxf>
      <font>
        <color theme="2" tint="-9.9948118533890809E-2"/>
      </font>
    </dxf>
    <dxf>
      <font>
        <color rgb="FFFF0000"/>
      </font>
    </dxf>
    <dxf>
      <font>
        <color theme="2" tint="-9.9948118533890809E-2"/>
      </font>
    </dxf>
    <dxf>
      <font>
        <color theme="2" tint="-9.9948118533890809E-2"/>
      </font>
    </dxf>
    <dxf>
      <font>
        <color theme="2" tint="-9.9948118533890809E-2"/>
      </font>
    </dxf>
    <dxf>
      <font>
        <color rgb="FFDA0000"/>
      </font>
    </dxf>
    <dxf>
      <font>
        <color rgb="FFDA0000"/>
      </font>
    </dxf>
    <dxf>
      <font>
        <color rgb="FFDA0000"/>
      </font>
    </dxf>
    <dxf>
      <font>
        <b val="0"/>
        <i val="0"/>
        <color rgb="FFDA0000"/>
      </font>
    </dxf>
    <dxf>
      <numFmt numFmtId="165" formatCode=";;;"/>
    </dxf>
    <dxf>
      <font>
        <color theme="2" tint="-9.9948118533890809E-2"/>
      </font>
    </dxf>
    <dxf>
      <font>
        <b/>
        <i val="0"/>
        <color rgb="FFFF0000"/>
      </font>
    </dxf>
    <dxf>
      <font>
        <b/>
        <i val="0"/>
        <color rgb="FFDA0000"/>
      </font>
      <fill>
        <patternFill patternType="none">
          <bgColor auto="1"/>
        </patternFill>
      </fill>
    </dxf>
    <dxf>
      <font>
        <b/>
        <i val="0"/>
        <color rgb="FFDA0000"/>
      </font>
      <fill>
        <patternFill patternType="none">
          <bgColor auto="1"/>
        </patternFill>
      </fill>
    </dxf>
    <dxf>
      <font>
        <b/>
        <i val="0"/>
        <color rgb="FFDA0000"/>
      </font>
      <fill>
        <patternFill patternType="none">
          <bgColor auto="1"/>
        </patternFill>
      </fill>
    </dxf>
    <dxf>
      <font>
        <b/>
        <i val="0"/>
        <color rgb="FFDA0000"/>
      </font>
    </dxf>
    <dxf>
      <font>
        <color theme="2" tint="-9.9948118533890809E-2"/>
      </font>
    </dxf>
    <dxf>
      <font>
        <b/>
        <i val="0"/>
        <color rgb="FFDA0000"/>
      </font>
    </dxf>
    <dxf>
      <fill>
        <patternFill>
          <bgColor rgb="FFFFB4B4"/>
        </patternFill>
      </fill>
    </dxf>
    <dxf>
      <font>
        <b/>
        <i val="0"/>
        <color rgb="FFDA0000"/>
      </font>
      <fill>
        <patternFill>
          <bgColor rgb="FFFFFFCC"/>
        </patternFill>
      </fill>
    </dxf>
    <dxf>
      <numFmt numFmtId="30" formatCode="@"/>
    </dxf>
  </dxfs>
  <tableStyles count="0" defaultTableStyle="TableStyleMedium2" defaultPivotStyle="PivotStyleLight16"/>
  <colors>
    <mruColors>
      <color rgb="FFFFFFCC"/>
      <color rgb="FFDA0000"/>
      <color rgb="FFFFFFE0"/>
      <color rgb="FFFFB4B4"/>
      <color rgb="FFFDECE3"/>
      <color rgb="FFF8F8F8"/>
      <color rgb="FFFFF2C9"/>
      <color rgb="FFFFEDB3"/>
      <color rgb="FFA50021"/>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1</xdr:row>
      <xdr:rowOff>142875</xdr:rowOff>
    </xdr:from>
    <xdr:to>
      <xdr:col>4</xdr:col>
      <xdr:colOff>114300</xdr:colOff>
      <xdr:row>6</xdr:row>
      <xdr:rowOff>9525</xdr:rowOff>
    </xdr:to>
    <xdr:pic>
      <xdr:nvPicPr>
        <xdr:cNvPr id="4" name="Grafik 3">
          <a:extLst>
            <a:ext uri="{FF2B5EF4-FFF2-40B4-BE49-F238E27FC236}">
              <a16:creationId xmlns:a16="http://schemas.microsoft.com/office/drawing/2014/main" id="{84DB84AA-358A-4121-AC49-A3356A89F4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14325"/>
          <a:ext cx="1581150" cy="1581150"/>
        </a:xfrm>
        <a:prstGeom prst="rect">
          <a:avLst/>
        </a:prstGeom>
      </xdr:spPr>
    </xdr:pic>
    <xdr:clientData/>
  </xdr:twoCellAnchor>
  <xdr:twoCellAnchor editAs="oneCell">
    <xdr:from>
      <xdr:col>4</xdr:col>
      <xdr:colOff>219075</xdr:colOff>
      <xdr:row>1</xdr:row>
      <xdr:rowOff>95250</xdr:rowOff>
    </xdr:from>
    <xdr:to>
      <xdr:col>6</xdr:col>
      <xdr:colOff>180975</xdr:colOff>
      <xdr:row>4</xdr:row>
      <xdr:rowOff>370928</xdr:rowOff>
    </xdr:to>
    <xdr:pic>
      <xdr:nvPicPr>
        <xdr:cNvPr id="3" name="Grafik 2">
          <a:extLst>
            <a:ext uri="{FF2B5EF4-FFF2-40B4-BE49-F238E27FC236}">
              <a16:creationId xmlns:a16="http://schemas.microsoft.com/office/drawing/2014/main" id="{8F7EAE97-2A21-4961-A65A-A0A18677DE5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857375" y="266700"/>
          <a:ext cx="2066925" cy="149487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323850</xdr:colOff>
      <xdr:row>1</xdr:row>
      <xdr:rowOff>57150</xdr:rowOff>
    </xdr:from>
    <xdr:to>
      <xdr:col>4</xdr:col>
      <xdr:colOff>171450</xdr:colOff>
      <xdr:row>4</xdr:row>
      <xdr:rowOff>332828</xdr:rowOff>
    </xdr:to>
    <xdr:pic>
      <xdr:nvPicPr>
        <xdr:cNvPr id="3" name="Grafik 2">
          <a:extLst>
            <a:ext uri="{FF2B5EF4-FFF2-40B4-BE49-F238E27FC236}">
              <a16:creationId xmlns:a16="http://schemas.microsoft.com/office/drawing/2014/main" id="{8BBC4BA7-8812-4BF1-90A6-035EF16CD1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228600"/>
          <a:ext cx="2066925" cy="14948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428625</xdr:colOff>
      <xdr:row>1</xdr:row>
      <xdr:rowOff>142875</xdr:rowOff>
    </xdr:from>
    <xdr:to>
      <xdr:col>3</xdr:col>
      <xdr:colOff>504825</xdr:colOff>
      <xdr:row>5</xdr:row>
      <xdr:rowOff>123825</xdr:rowOff>
    </xdr:to>
    <xdr:pic>
      <xdr:nvPicPr>
        <xdr:cNvPr id="3" name="Grafik 2">
          <a:extLst>
            <a:ext uri="{FF2B5EF4-FFF2-40B4-BE49-F238E27FC236}">
              <a16:creationId xmlns:a16="http://schemas.microsoft.com/office/drawing/2014/main" id="{4A2B3439-AA2B-499E-9611-7F1276B8AB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8625" y="314325"/>
          <a:ext cx="1581150" cy="15811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123825</xdr:colOff>
      <xdr:row>1</xdr:row>
      <xdr:rowOff>66675</xdr:rowOff>
    </xdr:from>
    <xdr:to>
      <xdr:col>3</xdr:col>
      <xdr:colOff>695325</xdr:colOff>
      <xdr:row>4</xdr:row>
      <xdr:rowOff>332828</xdr:rowOff>
    </xdr:to>
    <xdr:pic>
      <xdr:nvPicPr>
        <xdr:cNvPr id="4" name="Grafik 3">
          <a:extLst>
            <a:ext uri="{FF2B5EF4-FFF2-40B4-BE49-F238E27FC236}">
              <a16:creationId xmlns:a16="http://schemas.microsoft.com/office/drawing/2014/main" id="{47C60C9F-AD9B-4DD5-87AF-FB748F6CD0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825" y="238125"/>
          <a:ext cx="2066925" cy="14948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266700</xdr:colOff>
      <xdr:row>1</xdr:row>
      <xdr:rowOff>123825</xdr:rowOff>
    </xdr:from>
    <xdr:to>
      <xdr:col>3</xdr:col>
      <xdr:colOff>428625</xdr:colOff>
      <xdr:row>5</xdr:row>
      <xdr:rowOff>95250</xdr:rowOff>
    </xdr:to>
    <xdr:pic>
      <xdr:nvPicPr>
        <xdr:cNvPr id="3" name="Grafik 2">
          <a:extLst>
            <a:ext uri="{FF2B5EF4-FFF2-40B4-BE49-F238E27FC236}">
              <a16:creationId xmlns:a16="http://schemas.microsoft.com/office/drawing/2014/main" id="{1187AA2E-CE21-4A91-843E-E8B548D646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295275"/>
          <a:ext cx="1581150" cy="15811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247650</xdr:colOff>
      <xdr:row>1</xdr:row>
      <xdr:rowOff>161925</xdr:rowOff>
    </xdr:from>
    <xdr:to>
      <xdr:col>5</xdr:col>
      <xdr:colOff>47625</xdr:colOff>
      <xdr:row>5</xdr:row>
      <xdr:rowOff>142875</xdr:rowOff>
    </xdr:to>
    <xdr:pic>
      <xdr:nvPicPr>
        <xdr:cNvPr id="3" name="Grafik 2">
          <a:extLst>
            <a:ext uri="{FF2B5EF4-FFF2-40B4-BE49-F238E27FC236}">
              <a16:creationId xmlns:a16="http://schemas.microsoft.com/office/drawing/2014/main" id="{CBFA94B2-6706-4790-983C-2958D2437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333375"/>
          <a:ext cx="1581150" cy="1581150"/>
        </a:xfrm>
        <a:prstGeom prst="rect">
          <a:avLst/>
        </a:prstGeom>
      </xdr:spPr>
    </xdr:pic>
    <xdr:clientData/>
  </xdr:twoCellAnchor>
  <xdr:twoCellAnchor editAs="oneCell">
    <xdr:from>
      <xdr:col>6</xdr:col>
      <xdr:colOff>66675</xdr:colOff>
      <xdr:row>1</xdr:row>
      <xdr:rowOff>66675</xdr:rowOff>
    </xdr:from>
    <xdr:to>
      <xdr:col>8</xdr:col>
      <xdr:colOff>1657350</xdr:colOff>
      <xdr:row>4</xdr:row>
      <xdr:rowOff>342353</xdr:rowOff>
    </xdr:to>
    <xdr:pic>
      <xdr:nvPicPr>
        <xdr:cNvPr id="4" name="Grafik 3">
          <a:extLst>
            <a:ext uri="{FF2B5EF4-FFF2-40B4-BE49-F238E27FC236}">
              <a16:creationId xmlns:a16="http://schemas.microsoft.com/office/drawing/2014/main" id="{786E93F8-4929-453A-9C04-A8F15DA1A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428875" y="238125"/>
          <a:ext cx="2066925" cy="149487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2</xdr:colOff>
      <xdr:row>49</xdr:row>
      <xdr:rowOff>95250</xdr:rowOff>
    </xdr:to>
    <xdr:sp macro="" textlink="">
      <xdr:nvSpPr>
        <xdr:cNvPr id="2" name="Textfeld 1">
          <a:extLst>
            <a:ext uri="{FF2B5EF4-FFF2-40B4-BE49-F238E27FC236}">
              <a16:creationId xmlns:a16="http://schemas.microsoft.com/office/drawing/2014/main" id="{25B139A4-2A75-467C-BC76-740E43F7B8B4}"/>
            </a:ext>
          </a:extLst>
        </xdr:cNvPr>
        <xdr:cNvSpPr txBox="1"/>
      </xdr:nvSpPr>
      <xdr:spPr>
        <a:xfrm>
          <a:off x="762000" y="323850"/>
          <a:ext cx="7620002" cy="7705725"/>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INSTRUCTIONS</a:t>
          </a:r>
        </a:p>
        <a:p>
          <a:endParaRPr lang="de-DE" sz="1400" b="1">
            <a:solidFill>
              <a:schemeClr val="tx1">
                <a:lumMod val="65000"/>
                <a:lumOff val="35000"/>
              </a:schemeClr>
            </a:solidFill>
          </a:endParaRPr>
        </a:p>
        <a:p>
          <a:r>
            <a:rPr lang="de-DE" sz="1400" b="1">
              <a:solidFill>
                <a:schemeClr val="tx1">
                  <a:lumMod val="65000"/>
                  <a:lumOff val="35000"/>
                </a:schemeClr>
              </a:solidFill>
            </a:rPr>
            <a:t>Step 1:</a:t>
          </a:r>
        </a:p>
        <a:p>
          <a:r>
            <a:rPr lang="de-DE" sz="1400"/>
            <a:t>On the '</a:t>
          </a:r>
          <a:r>
            <a:rPr lang="de-DE" sz="1400" b="1"/>
            <a:t>Planung</a:t>
          </a:r>
          <a:r>
            <a:rPr lang="de-DE" sz="1400"/>
            <a:t>' sheet, enter the names of the participants on the far left and the playing times on the right. The number of participants per group does not necessarily have to be the same. For example, it is also possible to play with a group of five and a group of four.</a:t>
          </a:r>
        </a:p>
        <a:p>
          <a:endParaRPr lang="de-DE" sz="1400" baseline="0">
            <a:solidFill>
              <a:schemeClr val="tx1">
                <a:lumMod val="65000"/>
                <a:lumOff val="35000"/>
              </a:schemeClr>
            </a:solidFill>
          </a:endParaRPr>
        </a:p>
        <a:p>
          <a:r>
            <a:rPr lang="de-DE" sz="1400"/>
            <a:t>If you would like an additional pause of 15 minutes after a certain game, enter the number 15 to the right of this game. All subsequent games then start 15 minutes later.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Step 2:</a:t>
          </a:r>
        </a:p>
        <a:p>
          <a:r>
            <a:rPr lang="de-DE" sz="1400"/>
            <a:t>Enter the game results on the </a:t>
          </a:r>
          <a:r>
            <a:rPr lang="de-DE" sz="1400" b="1"/>
            <a:t>'Vorrunde'</a:t>
          </a:r>
          <a:r>
            <a:rPr lang="de-DE" sz="1400"/>
            <a:t> sheet.</a:t>
          </a:r>
        </a:p>
        <a:p>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Step 3:</a:t>
          </a:r>
        </a:p>
        <a:p>
          <a:r>
            <a:rPr lang="de-DE" sz="1400">
              <a:solidFill>
                <a:schemeClr val="dk1"/>
              </a:solidFill>
              <a:effectLst/>
              <a:latin typeface="+mn-lt"/>
              <a:ea typeface="+mn-ea"/>
              <a:cs typeface="+mn-cs"/>
            </a:rPr>
            <a:t>Choose one of the four options for a final round </a:t>
          </a:r>
          <a:endParaRPr lang="de-DE" sz="1400">
            <a:effectLst/>
          </a:endParaRPr>
        </a:p>
        <a:p>
          <a:r>
            <a:rPr lang="de-DE" sz="1400">
              <a:solidFill>
                <a:schemeClr val="dk1"/>
              </a:solidFill>
              <a:effectLst/>
              <a:latin typeface="+mn-lt"/>
              <a:ea typeface="+mn-ea"/>
              <a:cs typeface="+mn-cs"/>
            </a:rPr>
            <a:t>(</a:t>
          </a:r>
          <a:r>
            <a:rPr lang="de-DE" sz="1400" b="1">
              <a:solidFill>
                <a:schemeClr val="dk1"/>
              </a:solidFill>
              <a:effectLst/>
              <a:latin typeface="+mn-lt"/>
              <a:ea typeface="+mn-ea"/>
              <a:cs typeface="+mn-cs"/>
            </a:rPr>
            <a:t>'Endrunde 1'</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2'</a:t>
          </a:r>
          <a:r>
            <a:rPr lang="de-DE" sz="1400">
              <a:solidFill>
                <a:schemeClr val="dk1"/>
              </a:solidFill>
              <a:effectLst/>
              <a:latin typeface="+mn-lt"/>
              <a:ea typeface="+mn-ea"/>
              <a:cs typeface="+mn-cs"/>
            </a:rPr>
            <a:t>, </a:t>
          </a:r>
          <a:r>
            <a:rPr lang="de-DE" sz="1400" b="1">
              <a:solidFill>
                <a:schemeClr val="dk1"/>
              </a:solidFill>
              <a:effectLst/>
              <a:latin typeface="+mn-lt"/>
              <a:ea typeface="+mn-ea"/>
              <a:cs typeface="+mn-cs"/>
            </a:rPr>
            <a:t>'Endrunde 3'</a:t>
          </a:r>
          <a:r>
            <a:rPr lang="de-DE" sz="1400">
              <a:solidFill>
                <a:schemeClr val="dk1"/>
              </a:solidFill>
              <a:effectLst/>
              <a:latin typeface="+mn-lt"/>
              <a:ea typeface="+mn-ea"/>
              <a:cs typeface="+mn-cs"/>
            </a:rPr>
            <a:t> or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sheet) </a:t>
          </a:r>
          <a:endParaRPr lang="de-DE" sz="1400">
            <a:effectLst/>
          </a:endParaRPr>
        </a:p>
        <a:p>
          <a:r>
            <a:rPr lang="de-DE" sz="1400">
              <a:solidFill>
                <a:schemeClr val="dk1"/>
              </a:solidFill>
              <a:effectLst/>
              <a:latin typeface="+mn-lt"/>
              <a:ea typeface="+mn-ea"/>
              <a:cs typeface="+mn-cs"/>
            </a:rPr>
            <a:t>and enter the results there.</a:t>
          </a:r>
          <a:endParaRPr lang="de-DE" sz="1400">
            <a:effectLst/>
          </a:endParaRPr>
        </a:p>
        <a:p>
          <a:pPr marL="0" indent="0"/>
          <a:endParaRPr lang="de-DE" sz="1400" b="0" baseline="0">
            <a:solidFill>
              <a:schemeClr val="tx1">
                <a:lumMod val="65000"/>
                <a:lumOff val="35000"/>
              </a:schemeClr>
            </a:solidFill>
            <a:latin typeface="+mn-lt"/>
            <a:ea typeface="+mn-ea"/>
            <a:cs typeface="+mn-cs"/>
          </a:endParaRPr>
        </a:p>
        <a:p>
          <a:pPr marL="0" indent="0"/>
          <a:r>
            <a:rPr lang="de-DE" sz="1400"/>
            <a:t>In </a:t>
          </a:r>
          <a:r>
            <a:rPr lang="de-DE" sz="1400" b="1"/>
            <a:t>'Endrunde 1'</a:t>
          </a:r>
          <a:r>
            <a:rPr lang="de-DE" sz="1400"/>
            <a:t> the two group winners play for first place and the two group runners-up play for </a:t>
          </a:r>
        </a:p>
        <a:p>
          <a:pPr marL="0" indent="0"/>
          <a:r>
            <a:rPr lang="de-DE" sz="1400"/>
            <a:t>3rd place, the two third-placed teams for 5th place, etc. </a:t>
          </a:r>
        </a:p>
        <a:p>
          <a:pPr marL="0" indent="0"/>
          <a:endParaRPr lang="de-DE" sz="1400"/>
        </a:p>
        <a:p>
          <a:pPr marL="0" indent="0"/>
          <a:r>
            <a:rPr lang="de-DE" sz="1400"/>
            <a:t>In </a:t>
          </a:r>
          <a:r>
            <a:rPr lang="de-DE" sz="1400" b="1"/>
            <a:t>'Endrunde 2'</a:t>
          </a:r>
          <a:r>
            <a:rPr lang="de-DE" sz="1400"/>
            <a:t> the first four places will be determined by a semi-final (group first and runners-up) and two finals, the other places as in "Finals 1".</a:t>
          </a:r>
        </a:p>
        <a:p>
          <a:pPr marL="0" indent="0"/>
          <a:endParaRPr lang="de-DE" sz="1400" b="0" baseline="0">
            <a:solidFill>
              <a:schemeClr val="tx1">
                <a:lumMod val="65000"/>
                <a:lumOff val="35000"/>
              </a:schemeClr>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the first four places will be determined by a semi-final (group first and group runners-up) and two finals.</a:t>
          </a:r>
        </a:p>
        <a:p>
          <a:pPr marL="0" indent="0"/>
          <a:endParaRPr lang="de-DE" sz="1400" b="0" baseline="0">
            <a:solidFill>
              <a:sysClr val="windowText" lastClr="000000"/>
            </a:solidFill>
            <a:latin typeface="+mn-lt"/>
            <a:ea typeface="+mn-ea"/>
            <a:cs typeface="+mn-cs"/>
          </a:endParaRPr>
        </a:p>
        <a:p>
          <a:r>
            <a:rPr lang="de-DE" sz="1400">
              <a:solidFill>
                <a:schemeClr val="dk1"/>
              </a:solidFill>
              <a:effectLst/>
              <a:latin typeface="+mn-lt"/>
              <a:ea typeface="+mn-ea"/>
              <a:cs typeface="+mn-cs"/>
            </a:rPr>
            <a:t>In </a:t>
          </a:r>
          <a:r>
            <a:rPr lang="de-DE" sz="1400" b="1">
              <a:solidFill>
                <a:schemeClr val="dk1"/>
              </a:solidFill>
              <a:effectLst/>
              <a:latin typeface="+mn-lt"/>
              <a:ea typeface="+mn-ea"/>
              <a:cs typeface="+mn-cs"/>
            </a:rPr>
            <a:t>'Endrunde 4'</a:t>
          </a:r>
          <a:r>
            <a:rPr lang="de-DE" sz="1400">
              <a:solidFill>
                <a:schemeClr val="dk1"/>
              </a:solidFill>
              <a:effectLst/>
              <a:latin typeface="+mn-lt"/>
              <a:ea typeface="+mn-ea"/>
              <a:cs typeface="+mn-cs"/>
            </a:rPr>
            <a:t> the two group winners and the two group runners-up play in a group of four against each other for places 1 to 4. The two third and the two fourth places play in the same way for places 5 to 8. The fifth and sixth in the group (if available) play in the same way for places 9 to 12.</a:t>
          </a:r>
          <a:endParaRPr lang="de-DE" sz="1400">
            <a:effectLst/>
          </a:endParaRPr>
        </a:p>
        <a:p>
          <a:r>
            <a:rPr lang="de-DE" sz="1400">
              <a:solidFill>
                <a:schemeClr val="dk1"/>
              </a:solidFill>
              <a:effectLst/>
              <a:latin typeface="+mn-lt"/>
              <a:ea typeface="+mn-ea"/>
              <a:cs typeface="+mn-cs"/>
            </a:rPr>
            <a:t>Can also be played with different numbers of teams per group.</a:t>
          </a:r>
        </a:p>
        <a:p>
          <a:endParaRPr lang="de-DE" sz="1400">
            <a:effectLst/>
          </a:endParaRPr>
        </a:p>
      </xdr:txBody>
    </xdr:sp>
    <xdr:clientData/>
  </xdr:twoCellAnchor>
  <xdr:twoCellAnchor>
    <xdr:from>
      <xdr:col>12</xdr:col>
      <xdr:colOff>0</xdr:colOff>
      <xdr:row>2</xdr:row>
      <xdr:rowOff>0</xdr:rowOff>
    </xdr:from>
    <xdr:to>
      <xdr:col>22</xdr:col>
      <xdr:colOff>2</xdr:colOff>
      <xdr:row>49</xdr:row>
      <xdr:rowOff>95251</xdr:rowOff>
    </xdr:to>
    <xdr:sp macro="" textlink="">
      <xdr:nvSpPr>
        <xdr:cNvPr id="3" name="Textfeld 2">
          <a:extLst>
            <a:ext uri="{FF2B5EF4-FFF2-40B4-BE49-F238E27FC236}">
              <a16:creationId xmlns:a16="http://schemas.microsoft.com/office/drawing/2014/main" id="{76592858-E05A-43A3-9C96-B8A0EA63FF7A}"/>
            </a:ext>
          </a:extLst>
        </xdr:cNvPr>
        <xdr:cNvSpPr txBox="1"/>
      </xdr:nvSpPr>
      <xdr:spPr>
        <a:xfrm>
          <a:off x="9144000" y="323850"/>
          <a:ext cx="7620002" cy="7705726"/>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ANLEITUNG</a:t>
          </a:r>
        </a:p>
        <a:p>
          <a:endParaRPr lang="de-DE" sz="1400" b="1">
            <a:solidFill>
              <a:schemeClr val="tx1">
                <a:lumMod val="65000"/>
                <a:lumOff val="35000"/>
              </a:schemeClr>
            </a:solidFill>
          </a:endParaRPr>
        </a:p>
        <a:p>
          <a:r>
            <a:rPr lang="de-DE" sz="1400" b="1">
              <a:solidFill>
                <a:schemeClr val="tx1">
                  <a:lumMod val="65000"/>
                  <a:lumOff val="35000"/>
                </a:schemeClr>
              </a:solidFill>
            </a:rPr>
            <a:t>1. Schritt:</a:t>
          </a:r>
        </a:p>
        <a:p>
          <a:r>
            <a:rPr lang="de-DE" sz="1400">
              <a:solidFill>
                <a:sysClr val="windowText" lastClr="000000"/>
              </a:solidFill>
            </a:rPr>
            <a:t>Auf</a:t>
          </a:r>
          <a:r>
            <a:rPr lang="de-DE" sz="1400" baseline="0">
              <a:solidFill>
                <a:sysClr val="windowText" lastClr="000000"/>
              </a:solidFill>
            </a:rPr>
            <a:t> dem Tabellenblatt '</a:t>
          </a:r>
          <a:r>
            <a:rPr lang="de-DE" sz="1400" b="1" baseline="0">
              <a:solidFill>
                <a:sysClr val="windowText" lastClr="000000"/>
              </a:solidFill>
            </a:rPr>
            <a:t>Planung</a:t>
          </a:r>
          <a:r>
            <a:rPr lang="de-DE" sz="1400" baseline="0">
              <a:solidFill>
                <a:sysClr val="windowText" lastClr="000000"/>
              </a:solidFill>
            </a:rPr>
            <a:t>' g</a:t>
          </a:r>
          <a:r>
            <a:rPr lang="de-DE" sz="1400">
              <a:solidFill>
                <a:sysClr val="windowText" lastClr="000000"/>
              </a:solidFill>
            </a:rPr>
            <a:t>anz links die Namen der Teilnehmer</a:t>
          </a:r>
          <a:r>
            <a:rPr lang="de-DE" sz="1400" baseline="0">
              <a:solidFill>
                <a:sysClr val="windowText" lastClr="000000"/>
              </a:solidFill>
            </a:rPr>
            <a:t> eintragen und rechts die Spielzeiten. Die Anzahl der Teilnehmer pro Gruppe muss nicht unbedingt gleich sein. Es ist zum Beispiel auch möglich, mit einer Fünfer- und einer Vierergruppe zu spielen.</a:t>
          </a:r>
        </a:p>
        <a:p>
          <a:endParaRPr lang="de-DE" sz="1400" baseline="0">
            <a:solidFill>
              <a:sysClr val="windowText" lastClr="000000"/>
            </a:solidFill>
          </a:endParaRPr>
        </a:p>
        <a:p>
          <a:r>
            <a:rPr lang="de-DE" sz="1400" baseline="0">
              <a:solidFill>
                <a:sysClr val="windowText" lastClr="000000"/>
              </a:solidFill>
            </a:rPr>
            <a:t>Möchte man nach einem bestimmten Spiel eine zusätzliche Pause von 15 min, so trägt man rechts neben diesem Spiel die Zahl 15 ein. Alle nachfolgenden Spiele beginnen dann 15 Minuten später.</a:t>
          </a:r>
        </a:p>
        <a:p>
          <a:endParaRPr lang="de-DE" sz="1400" baseline="0">
            <a:solidFill>
              <a:schemeClr val="tx1">
                <a:lumMod val="65000"/>
                <a:lumOff val="35000"/>
              </a:schemeClr>
            </a:solidFill>
          </a:endParaRPr>
        </a:p>
        <a:p>
          <a:r>
            <a:rPr lang="de-DE" sz="1400" b="1" baseline="0">
              <a:solidFill>
                <a:schemeClr val="tx1">
                  <a:lumMod val="65000"/>
                  <a:lumOff val="35000"/>
                </a:schemeClr>
              </a:solidFill>
            </a:rPr>
            <a:t>2. Schritt:</a:t>
          </a:r>
        </a:p>
        <a:p>
          <a:r>
            <a:rPr lang="de-DE" sz="1400" baseline="0">
              <a:solidFill>
                <a:sysClr val="windowText" lastClr="000000"/>
              </a:solidFill>
            </a:rPr>
            <a:t>Auf dem Tabellenblatt </a:t>
          </a:r>
          <a:r>
            <a:rPr lang="de-DE" sz="1400" b="1" baseline="0">
              <a:solidFill>
                <a:sysClr val="windowText" lastClr="000000"/>
              </a:solidFill>
            </a:rPr>
            <a:t>'Vorrunde'</a:t>
          </a:r>
          <a:r>
            <a:rPr lang="de-DE" sz="1400" baseline="0">
              <a:solidFill>
                <a:sysClr val="windowText" lastClr="000000"/>
              </a:solidFill>
            </a:rPr>
            <a:t> die Spielergebnisse eintragen.</a:t>
          </a:r>
        </a:p>
        <a:p>
          <a:pPr marL="0" indent="0"/>
          <a:endParaRPr lang="de-DE" sz="1400" b="1" baseline="0">
            <a:solidFill>
              <a:schemeClr val="tx1">
                <a:lumMod val="65000"/>
                <a:lumOff val="35000"/>
              </a:schemeClr>
            </a:solidFill>
            <a:latin typeface="+mn-lt"/>
            <a:ea typeface="+mn-ea"/>
            <a:cs typeface="+mn-cs"/>
          </a:endParaRPr>
        </a:p>
        <a:p>
          <a:pPr marL="0" indent="0"/>
          <a:r>
            <a:rPr lang="de-DE" sz="1400" b="1" baseline="0">
              <a:solidFill>
                <a:schemeClr val="tx1">
                  <a:lumMod val="65000"/>
                  <a:lumOff val="35000"/>
                </a:schemeClr>
              </a:solidFill>
              <a:latin typeface="+mn-lt"/>
              <a:ea typeface="+mn-ea"/>
              <a:cs typeface="+mn-cs"/>
            </a:rPr>
            <a:t>3. Schritt:</a:t>
          </a:r>
        </a:p>
        <a:p>
          <a:r>
            <a:rPr lang="de-DE" sz="1400" b="0" baseline="0">
              <a:solidFill>
                <a:schemeClr val="dk1"/>
              </a:solidFill>
              <a:effectLst/>
              <a:latin typeface="+mn-lt"/>
              <a:ea typeface="+mn-ea"/>
              <a:cs typeface="+mn-cs"/>
            </a:rPr>
            <a:t>Eine der vier Möglichkeiten für eine Endrunde auswählen </a:t>
          </a:r>
          <a:endParaRPr lang="de-DE" sz="1400">
            <a:effectLst/>
          </a:endParaRPr>
        </a:p>
        <a:p>
          <a:r>
            <a:rPr lang="de-DE" sz="1400" b="0" baseline="0">
              <a:solidFill>
                <a:schemeClr val="dk1"/>
              </a:solidFill>
              <a:effectLst/>
              <a:latin typeface="+mn-lt"/>
              <a:ea typeface="+mn-ea"/>
              <a:cs typeface="+mn-cs"/>
            </a:rPr>
            <a:t>(Tabellenblatt </a:t>
          </a:r>
          <a:r>
            <a:rPr lang="de-DE" sz="1400" b="1" baseline="0">
              <a:solidFill>
                <a:schemeClr val="dk1"/>
              </a:solidFill>
              <a:effectLst/>
              <a:latin typeface="+mn-lt"/>
              <a:ea typeface="+mn-ea"/>
              <a:cs typeface="+mn-cs"/>
            </a:rPr>
            <a:t>'Endrunde 1'</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2'</a:t>
          </a:r>
          <a:r>
            <a:rPr lang="de-DE" sz="1400" b="0" baseline="0">
              <a:solidFill>
                <a:schemeClr val="dk1"/>
              </a:solidFill>
              <a:effectLst/>
              <a:latin typeface="+mn-lt"/>
              <a:ea typeface="+mn-ea"/>
              <a:cs typeface="+mn-cs"/>
            </a:rPr>
            <a:t>, </a:t>
          </a:r>
          <a:r>
            <a:rPr lang="de-DE" sz="1400" b="1" baseline="0">
              <a:solidFill>
                <a:schemeClr val="dk1"/>
              </a:solidFill>
              <a:effectLst/>
              <a:latin typeface="+mn-lt"/>
              <a:ea typeface="+mn-ea"/>
              <a:cs typeface="+mn-cs"/>
            </a:rPr>
            <a:t>'Endrunde 3'</a:t>
          </a:r>
          <a:r>
            <a:rPr lang="de-DE" sz="1400" b="0" baseline="0">
              <a:solidFill>
                <a:schemeClr val="dk1"/>
              </a:solidFill>
              <a:effectLst/>
              <a:latin typeface="+mn-lt"/>
              <a:ea typeface="+mn-ea"/>
              <a:cs typeface="+mn-cs"/>
            </a:rPr>
            <a:t> oder Tabellenblatt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a:t>
          </a:r>
          <a:endParaRPr lang="de-DE" sz="1400">
            <a:effectLst/>
          </a:endParaRPr>
        </a:p>
        <a:p>
          <a:r>
            <a:rPr lang="de-DE" sz="1400" b="0" baseline="0">
              <a:solidFill>
                <a:schemeClr val="dk1"/>
              </a:solidFill>
              <a:effectLst/>
              <a:latin typeface="+mn-lt"/>
              <a:ea typeface="+mn-ea"/>
              <a:cs typeface="+mn-cs"/>
            </a:rPr>
            <a:t>und dort die Ergebnisse eintragen.</a:t>
          </a:r>
          <a:endParaRPr lang="de-DE" sz="1400">
            <a:effectLst/>
          </a:endParaRP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1'</a:t>
          </a:r>
          <a:r>
            <a:rPr lang="de-DE" sz="1400" b="0" baseline="0">
              <a:solidFill>
                <a:sysClr val="windowText" lastClr="000000"/>
              </a:solidFill>
              <a:latin typeface="+mn-lt"/>
              <a:ea typeface="+mn-ea"/>
              <a:cs typeface="+mn-cs"/>
            </a:rPr>
            <a:t> spielen die beiden Gruppenersten um Platz 1, die beiden Gruppenzweiten um </a:t>
          </a:r>
        </a:p>
        <a:p>
          <a:pPr marL="0" indent="0"/>
          <a:r>
            <a:rPr lang="de-DE" sz="1400" b="0" baseline="0">
              <a:solidFill>
                <a:sysClr val="windowText" lastClr="000000"/>
              </a:solidFill>
              <a:latin typeface="+mn-lt"/>
              <a:ea typeface="+mn-ea"/>
              <a:cs typeface="+mn-cs"/>
            </a:rPr>
            <a:t>Platz 3, die beiden Gruppendritten um Platz 5 usw.</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2'</a:t>
          </a:r>
          <a:r>
            <a:rPr lang="de-DE" sz="1400" b="0" baseline="0">
              <a:solidFill>
                <a:sysClr val="windowText" lastClr="000000"/>
              </a:solidFill>
              <a:latin typeface="+mn-lt"/>
              <a:ea typeface="+mn-ea"/>
              <a:cs typeface="+mn-cs"/>
            </a:rPr>
            <a:t> werden die ersten vier Plätze durch ein Halbfinale (Gruppenerste und Gruppenzweite) und zwei Finalspiele ausgespielt, die anderen Plätze wie in "Endrunde 1".</a:t>
          </a:r>
        </a:p>
        <a:p>
          <a:pPr marL="0" indent="0"/>
          <a:endParaRPr lang="de-DE" sz="1400" b="0" baseline="0">
            <a:solidFill>
              <a:sysClr val="windowText" lastClr="000000"/>
            </a:solidFill>
            <a:latin typeface="+mn-lt"/>
            <a:ea typeface="+mn-ea"/>
            <a:cs typeface="+mn-cs"/>
          </a:endParaRPr>
        </a:p>
        <a:p>
          <a:pPr marL="0" indent="0"/>
          <a:r>
            <a:rPr lang="de-DE" sz="1400" b="0" baseline="0">
              <a:solidFill>
                <a:sysClr val="windowText" lastClr="000000"/>
              </a:solidFill>
              <a:latin typeface="+mn-lt"/>
              <a:ea typeface="+mn-ea"/>
              <a:cs typeface="+mn-cs"/>
            </a:rPr>
            <a:t>In </a:t>
          </a:r>
          <a:r>
            <a:rPr lang="de-DE" sz="1400" b="1" baseline="0">
              <a:solidFill>
                <a:sysClr val="windowText" lastClr="000000"/>
              </a:solidFill>
              <a:latin typeface="+mn-lt"/>
              <a:ea typeface="+mn-ea"/>
              <a:cs typeface="+mn-cs"/>
            </a:rPr>
            <a:t>'Endrunde 3'</a:t>
          </a:r>
          <a:r>
            <a:rPr lang="de-DE" sz="1400" b="0" baseline="0">
              <a:solidFill>
                <a:sysClr val="windowText" lastClr="000000"/>
              </a:solidFill>
              <a:latin typeface="+mn-lt"/>
              <a:ea typeface="+mn-ea"/>
              <a:cs typeface="+mn-cs"/>
            </a:rPr>
            <a:t> werden die ersten vier Plätze durch ein Halbfinale (Gruppenerste und Gruppenzweite) und zwei Finalspiele ausgespielt.</a:t>
          </a:r>
        </a:p>
        <a:p>
          <a:pPr marL="0" indent="0"/>
          <a:endParaRPr lang="de-DE" sz="1400" b="0" baseline="0">
            <a:solidFill>
              <a:sysClr val="windowText" lastClr="000000"/>
            </a:solidFill>
            <a:latin typeface="+mn-lt"/>
            <a:ea typeface="+mn-ea"/>
            <a:cs typeface="+mn-cs"/>
          </a:endParaRPr>
        </a:p>
        <a:p>
          <a:r>
            <a:rPr lang="de-DE" sz="1400" b="0" baseline="0">
              <a:solidFill>
                <a:schemeClr val="dk1"/>
              </a:solidFill>
              <a:effectLst/>
              <a:latin typeface="+mn-lt"/>
              <a:ea typeface="+mn-ea"/>
              <a:cs typeface="+mn-cs"/>
            </a:rPr>
            <a:t>In </a:t>
          </a:r>
          <a:r>
            <a:rPr lang="de-DE" sz="1400" b="1" baseline="0">
              <a:solidFill>
                <a:schemeClr val="dk1"/>
              </a:solidFill>
              <a:effectLst/>
              <a:latin typeface="+mn-lt"/>
              <a:ea typeface="+mn-ea"/>
              <a:cs typeface="+mn-cs"/>
            </a:rPr>
            <a:t>'Endrunde 4'</a:t>
          </a:r>
          <a:r>
            <a:rPr lang="de-DE" sz="1400" b="0" baseline="0">
              <a:solidFill>
                <a:schemeClr val="dk1"/>
              </a:solidFill>
              <a:effectLst/>
              <a:latin typeface="+mn-lt"/>
              <a:ea typeface="+mn-ea"/>
              <a:cs typeface="+mn-cs"/>
            </a:rPr>
            <a:t> spielen die zwei Gruppenersten und die zwei Gruppenzweiten in einer Vierergruppe jeder gegen jeden um die Plätze 1 bis 4. Die zwei Gruppendritten und die zwei Gruppenvierten spielen in gleicher Weise um die Plätze 5 bis 8. Die Gruppenfünften und die Gruppensechsten (soweit vorhanden) spielen in gleicher Weise um die Plätze 9 bis 12.</a:t>
          </a:r>
          <a:endParaRPr lang="de-DE" sz="1400">
            <a:effectLst/>
          </a:endParaRPr>
        </a:p>
        <a:p>
          <a:r>
            <a:rPr lang="de-DE" sz="1400" b="0" baseline="0">
              <a:solidFill>
                <a:schemeClr val="dk1"/>
              </a:solidFill>
              <a:effectLst/>
              <a:latin typeface="+mn-lt"/>
              <a:ea typeface="+mn-ea"/>
              <a:cs typeface="+mn-cs"/>
            </a:rPr>
            <a:t>Kann auch mit unterschiedlicher Anzahl an Teams pro Gruppe gespielt werden.</a:t>
          </a:r>
          <a:endParaRPr lang="de-DE" sz="1400">
            <a:effectLst/>
          </a:endParaRPr>
        </a:p>
      </xdr:txBody>
    </xdr:sp>
    <xdr:clientData/>
  </xdr:twoCellAnchor>
  <xdr:twoCellAnchor>
    <xdr:from>
      <xdr:col>1</xdr:col>
      <xdr:colOff>0</xdr:colOff>
      <xdr:row>52</xdr:row>
      <xdr:rowOff>0</xdr:rowOff>
    </xdr:from>
    <xdr:to>
      <xdr:col>10</xdr:col>
      <xdr:colOff>752475</xdr:colOff>
      <xdr:row>96</xdr:row>
      <xdr:rowOff>152400</xdr:rowOff>
    </xdr:to>
    <xdr:sp macro="" textlink="">
      <xdr:nvSpPr>
        <xdr:cNvPr id="4" name="Textfeld 3">
          <a:extLst>
            <a:ext uri="{FF2B5EF4-FFF2-40B4-BE49-F238E27FC236}">
              <a16:creationId xmlns:a16="http://schemas.microsoft.com/office/drawing/2014/main" id="{B0AF1D67-D90C-4AA2-A1D0-19897EA58111}"/>
            </a:ext>
          </a:extLst>
        </xdr:cNvPr>
        <xdr:cNvSpPr txBox="1"/>
      </xdr:nvSpPr>
      <xdr:spPr>
        <a:xfrm>
          <a:off x="762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HINTS</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a:t>Teams whose ranking is not clear appear in red in the group table.</a:t>
          </a: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The ranking of the teams within a group is determined according to the following criteria</a:t>
          </a:r>
          <a:r>
            <a:rPr lang="de-DE" sz="1400" b="0" baseline="0">
              <a:solidFill>
                <a:schemeClr val="dk1"/>
              </a:solidFill>
              <a:effectLst/>
              <a:latin typeface="+mn-lt"/>
              <a:ea typeface="+mn-ea"/>
              <a:cs typeface="+mn-cs"/>
            </a:rPr>
            <a:t>:</a:t>
          </a:r>
        </a:p>
        <a:p>
          <a:endParaRPr lang="de-DE" sz="800">
            <a:effectLst/>
          </a:endParaRPr>
        </a:p>
        <a:p>
          <a:r>
            <a:rPr lang="de-DE" sz="1200" b="1" baseline="0">
              <a:solidFill>
                <a:schemeClr val="dk1"/>
              </a:solidFill>
              <a:effectLst/>
              <a:latin typeface="+mn-lt"/>
              <a:ea typeface="+mn-ea"/>
              <a:cs typeface="+mn-cs"/>
            </a:rPr>
            <a:t>Criteria:</a:t>
          </a:r>
        </a:p>
        <a:p>
          <a:endParaRPr lang="de-DE" sz="400">
            <a:effectLst/>
          </a:endParaRPr>
        </a:p>
        <a:p>
          <a:r>
            <a:rPr lang="de-DE" sz="1100">
              <a:solidFill>
                <a:schemeClr val="dk1"/>
              </a:solidFill>
              <a:effectLst/>
              <a:latin typeface="+mn-lt"/>
              <a:ea typeface="+mn-ea"/>
              <a:cs typeface="+mn-cs"/>
            </a:rPr>
            <a:t>1. Number of points or number of sets won</a:t>
          </a:r>
          <a:r>
            <a:rPr lang="de-DE" sz="1100" baseline="0">
              <a:solidFill>
                <a:schemeClr val="dk1"/>
              </a:solidFill>
              <a:effectLst/>
              <a:latin typeface="+mn-lt"/>
              <a:ea typeface="+mn-ea"/>
              <a:cs typeface="+mn-cs"/>
            </a:rPr>
            <a:t> (adjustable)</a:t>
          </a:r>
          <a:endParaRPr lang="de-DE">
            <a:effectLst/>
          </a:endParaRPr>
        </a:p>
        <a:p>
          <a:r>
            <a:rPr lang="de-DE" sz="1100">
              <a:solidFill>
                <a:schemeClr val="dk1"/>
              </a:solidFill>
              <a:effectLst/>
              <a:latin typeface="+mn-lt"/>
              <a:ea typeface="+mn-ea"/>
              <a:cs typeface="+mn-cs"/>
            </a:rPr>
            <a:t>2. Set difference (adjustable YES/NO)</a:t>
          </a:r>
          <a:endParaRPr lang="de-DE">
            <a:effectLst/>
          </a:endParaRPr>
        </a:p>
        <a:p>
          <a:r>
            <a:rPr lang="de-DE" sz="1100">
              <a:solidFill>
                <a:schemeClr val="dk1"/>
              </a:solidFill>
              <a:effectLst/>
              <a:latin typeface="+mn-lt"/>
              <a:ea typeface="+mn-ea"/>
              <a:cs typeface="+mn-cs"/>
            </a:rPr>
            <a:t>3.   Number of sets won (adjustable YES/NO)</a:t>
          </a:r>
          <a:endParaRPr lang="de-DE">
            <a:effectLst/>
          </a:endParaRPr>
        </a:p>
        <a:p>
          <a:r>
            <a:rPr lang="de-DE" sz="1100">
              <a:solidFill>
                <a:schemeClr val="dk1"/>
              </a:solidFill>
              <a:effectLst/>
              <a:latin typeface="+mn-lt"/>
              <a:ea typeface="+mn-ea"/>
              <a:cs typeface="+mn-cs"/>
            </a:rPr>
            <a:t>      (Only makes sense if the number of points is the first criterion)</a:t>
          </a:r>
          <a:endParaRPr lang="de-DE">
            <a:effectLst/>
          </a:endParaRPr>
        </a:p>
        <a:p>
          <a:r>
            <a:rPr lang="de-DE" sz="1100">
              <a:solidFill>
                <a:schemeClr val="dk1"/>
              </a:solidFill>
              <a:effectLst/>
              <a:latin typeface="+mn-lt"/>
              <a:ea typeface="+mn-ea"/>
              <a:cs typeface="+mn-cs"/>
            </a:rPr>
            <a:t>4. Ball difference or ball quotient (adjustable)</a:t>
          </a:r>
          <a:endParaRPr lang="de-DE">
            <a:effectLst/>
          </a:endParaRPr>
        </a:p>
        <a:p>
          <a:r>
            <a:rPr lang="de-DE" sz="1100">
              <a:solidFill>
                <a:schemeClr val="dk1"/>
              </a:solidFill>
              <a:effectLst/>
              <a:latin typeface="+mn-lt"/>
              <a:ea typeface="+mn-ea"/>
              <a:cs typeface="+mn-cs"/>
            </a:rPr>
            <a:t>5. Number of sets won from the driect comparison</a:t>
          </a:r>
          <a:endParaRPr lang="de-DE">
            <a:effectLst/>
          </a:endParaRPr>
        </a:p>
        <a:p>
          <a:r>
            <a:rPr lang="de-DE" sz="1100">
              <a:solidFill>
                <a:schemeClr val="dk1"/>
              </a:solidFill>
              <a:effectLst/>
              <a:latin typeface="+mn-lt"/>
              <a:ea typeface="+mn-ea"/>
              <a:cs typeface="+mn-cs"/>
            </a:rPr>
            <a:t>6. Ball</a:t>
          </a:r>
          <a:r>
            <a:rPr lang="de-DE" sz="1100" baseline="0">
              <a:solidFill>
                <a:schemeClr val="dk1"/>
              </a:solidFill>
              <a:effectLst/>
              <a:latin typeface="+mn-lt"/>
              <a:ea typeface="+mn-ea"/>
              <a:cs typeface="+mn-cs"/>
            </a:rPr>
            <a:t> difference from the direct compar</a:t>
          </a:r>
          <a:r>
            <a:rPr lang="de-DE" sz="1100">
              <a:solidFill>
                <a:schemeClr val="dk1"/>
              </a:solidFill>
              <a:effectLst/>
              <a:latin typeface="+mn-lt"/>
              <a:ea typeface="+mn-ea"/>
              <a:cs typeface="+mn-cs"/>
            </a:rPr>
            <a:t>ison</a:t>
          </a:r>
          <a:endParaRPr lang="de-DE">
            <a:effectLst/>
          </a:endParaRPr>
        </a:p>
        <a:p>
          <a:r>
            <a:rPr lang="de-DE" sz="1100">
              <a:solidFill>
                <a:schemeClr val="dk1"/>
              </a:solidFill>
              <a:effectLst/>
              <a:latin typeface="+mn-lt"/>
              <a:ea typeface="+mn-ea"/>
              <a:cs typeface="+mn-cs"/>
            </a:rPr>
            <a:t>7. Drawing</a:t>
          </a:r>
          <a:r>
            <a:rPr lang="de-DE" sz="1100" baseline="0">
              <a:solidFill>
                <a:schemeClr val="dk1"/>
              </a:solidFill>
              <a:effectLst/>
              <a:latin typeface="+mn-lt"/>
              <a:ea typeface="+mn-ea"/>
              <a:cs typeface="+mn-cs"/>
            </a:rPr>
            <a:t> of lots or playoffs</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case of a direct comparison, it may be interesting to display the sheets </a:t>
          </a:r>
          <a:r>
            <a:rPr lang="de-DE" sz="1400" b="1">
              <a:solidFill>
                <a:schemeClr val="dk1"/>
              </a:solidFill>
              <a:effectLst/>
              <a:latin typeface="+mn-lt"/>
              <a:ea typeface="+mn-ea"/>
              <a:cs typeface="+mn-cs"/>
            </a:rPr>
            <a:t>'DirVergleich_A'</a:t>
          </a:r>
          <a:r>
            <a:rPr lang="de-DE" sz="1400">
              <a:solidFill>
                <a:schemeClr val="dk1"/>
              </a:solidFill>
              <a:effectLst/>
              <a:latin typeface="+mn-lt"/>
              <a:ea typeface="+mn-ea"/>
              <a:cs typeface="+mn-cs"/>
            </a:rPr>
            <a:t> </a:t>
          </a:r>
        </a:p>
        <a:p>
          <a:r>
            <a:rPr lang="de-DE" sz="1400">
              <a:solidFill>
                <a:schemeClr val="dk1"/>
              </a:solidFill>
              <a:effectLst/>
              <a:latin typeface="+mn-lt"/>
              <a:ea typeface="+mn-ea"/>
              <a:cs typeface="+mn-cs"/>
            </a:rPr>
            <a:t>and </a:t>
          </a:r>
          <a:r>
            <a:rPr lang="de-DE" sz="1400" b="1">
              <a:solidFill>
                <a:schemeClr val="dk1"/>
              </a:solidFill>
              <a:effectLst/>
              <a:latin typeface="+mn-lt"/>
              <a:ea typeface="+mn-ea"/>
              <a:cs typeface="+mn-cs"/>
            </a:rPr>
            <a:t>'DirVergleich_B' </a:t>
          </a:r>
          <a:r>
            <a:rPr lang="de-DE" sz="1400">
              <a:solidFill>
                <a:schemeClr val="dk1"/>
              </a:solidFill>
              <a:effectLst/>
              <a:latin typeface="+mn-lt"/>
              <a:ea typeface="+mn-ea"/>
              <a:cs typeface="+mn-cs"/>
            </a:rPr>
            <a:t>in order to view the tables for the direct encounters in the event of a tie in </a:t>
          </a:r>
        </a:p>
        <a:p>
          <a:r>
            <a:rPr lang="de-DE" sz="1400">
              <a:solidFill>
                <a:schemeClr val="dk1"/>
              </a:solidFill>
              <a:effectLst/>
              <a:latin typeface="+mn-lt"/>
              <a:ea typeface="+mn-ea"/>
              <a:cs typeface="+mn-cs"/>
            </a:rPr>
            <a:t>criteria 1 and 2.</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a:solidFill>
                <a:schemeClr val="dk1"/>
              </a:solidFill>
              <a:effectLst/>
              <a:latin typeface="+mn-lt"/>
              <a:ea typeface="+mn-ea"/>
              <a:cs typeface="+mn-cs"/>
            </a:rPr>
            <a:t>In the rare case of a tie in criteria 1 to 4, a playoff match can be entered on the </a:t>
          </a:r>
          <a:r>
            <a:rPr lang="de-DE" sz="1400" b="1">
              <a:solidFill>
                <a:schemeClr val="dk1"/>
              </a:solidFill>
              <a:effectLst/>
              <a:latin typeface="+mn-lt"/>
              <a:ea typeface="+mn-ea"/>
              <a:cs typeface="+mn-cs"/>
            </a:rPr>
            <a:t>'Playoffs'</a:t>
          </a:r>
          <a:r>
            <a:rPr lang="de-DE" sz="1400">
              <a:solidFill>
                <a:schemeClr val="dk1"/>
              </a:solidFill>
              <a:effectLst/>
              <a:latin typeface="+mn-lt"/>
              <a:ea typeface="+mn-ea"/>
              <a:cs typeface="+mn-cs"/>
            </a:rPr>
            <a:t> sheet or, in the case of a draw, a bonus point can be entered for the favored team on the </a:t>
          </a:r>
          <a:r>
            <a:rPr lang="de-DE" sz="1400" b="1">
              <a:solidFill>
                <a:schemeClr val="dk1"/>
              </a:solidFill>
              <a:effectLst/>
              <a:latin typeface="+mn-lt"/>
              <a:ea typeface="+mn-ea"/>
              <a:cs typeface="+mn-cs"/>
            </a:rPr>
            <a:t>'Vorrunde' </a:t>
          </a:r>
          <a:r>
            <a:rPr lang="de-DE" sz="1400">
              <a:solidFill>
                <a:schemeClr val="dk1"/>
              </a:solidFill>
              <a:effectLst/>
              <a:latin typeface="+mn-lt"/>
              <a:ea typeface="+mn-ea"/>
              <a:cs typeface="+mn-cs"/>
            </a:rPr>
            <a:t>or </a:t>
          </a:r>
          <a:br>
            <a:rPr lang="de-DE" sz="1400">
              <a:solidFill>
                <a:schemeClr val="dk1"/>
              </a:solidFill>
              <a:effectLst/>
              <a:latin typeface="+mn-lt"/>
              <a:ea typeface="+mn-ea"/>
              <a:cs typeface="+mn-cs"/>
            </a:rPr>
          </a:br>
          <a:r>
            <a:rPr lang="de-DE" sz="1400" b="1">
              <a:solidFill>
                <a:schemeClr val="dk1"/>
              </a:solidFill>
              <a:effectLst/>
              <a:latin typeface="+mn-lt"/>
              <a:ea typeface="+mn-ea"/>
              <a:cs typeface="+mn-cs"/>
            </a:rPr>
            <a:t>'Endrunde 4' </a:t>
          </a:r>
          <a:r>
            <a:rPr lang="de-DE" sz="1400">
              <a:solidFill>
                <a:schemeClr val="dk1"/>
              </a:solidFill>
              <a:effectLst/>
              <a:latin typeface="+mn-lt"/>
              <a:ea typeface="+mn-ea"/>
              <a:cs typeface="+mn-cs"/>
            </a:rPr>
            <a:t>sheet.</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a:t>If you want to change the game pairings, you can display the </a:t>
          </a:r>
          <a:r>
            <a:rPr lang="de-DE" sz="1400" b="1"/>
            <a:t>'Pairings'</a:t>
          </a:r>
          <a:r>
            <a:rPr lang="de-DE" sz="1400"/>
            <a:t> sheet and make the desired changes there.</a:t>
          </a:r>
          <a:endParaRPr lang="de-DE" sz="1400" b="0" baseline="0">
            <a:solidFill>
              <a:schemeClr val="dk1"/>
            </a:solidFill>
            <a:effectLst/>
            <a:latin typeface="+mn-lt"/>
            <a:ea typeface="+mn-ea"/>
            <a:cs typeface="+mn-cs"/>
          </a:endParaRPr>
        </a:p>
      </xdr:txBody>
    </xdr:sp>
    <xdr:clientData/>
  </xdr:twoCellAnchor>
  <xdr:twoCellAnchor>
    <xdr:from>
      <xdr:col>12</xdr:col>
      <xdr:colOff>0</xdr:colOff>
      <xdr:row>52</xdr:row>
      <xdr:rowOff>0</xdr:rowOff>
    </xdr:from>
    <xdr:to>
      <xdr:col>21</xdr:col>
      <xdr:colOff>752475</xdr:colOff>
      <xdr:row>96</xdr:row>
      <xdr:rowOff>152400</xdr:rowOff>
    </xdr:to>
    <xdr:sp macro="" textlink="">
      <xdr:nvSpPr>
        <xdr:cNvPr id="5" name="Textfeld 4">
          <a:extLst>
            <a:ext uri="{FF2B5EF4-FFF2-40B4-BE49-F238E27FC236}">
              <a16:creationId xmlns:a16="http://schemas.microsoft.com/office/drawing/2014/main" id="{5C064EAC-5B43-4425-B75E-18AAB9D51CF6}"/>
            </a:ext>
          </a:extLst>
        </xdr:cNvPr>
        <xdr:cNvSpPr txBox="1"/>
      </xdr:nvSpPr>
      <xdr:spPr>
        <a:xfrm>
          <a:off x="9144000" y="8420100"/>
          <a:ext cx="7610475" cy="7277100"/>
        </a:xfrm>
        <a:prstGeom prst="rect">
          <a:avLst/>
        </a:prstGeom>
        <a:solidFill>
          <a:srgbClr val="F8F8F8"/>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216000" rtlCol="0" anchor="ctr"/>
        <a:lstStyle/>
        <a:p>
          <a:pPr algn="ctr"/>
          <a:r>
            <a:rPr lang="de-DE" sz="1400" b="1">
              <a:solidFill>
                <a:schemeClr val="tx1">
                  <a:lumMod val="65000"/>
                  <a:lumOff val="35000"/>
                </a:schemeClr>
              </a:solidFill>
            </a:rPr>
            <a:t>HINWEISE</a:t>
          </a:r>
        </a:p>
        <a:p>
          <a:endParaRPr lang="de-DE" sz="1400" b="1">
            <a:solidFill>
              <a:schemeClr val="tx1">
                <a:lumMod val="65000"/>
                <a:lumOff val="35000"/>
              </a:schemeClr>
            </a:solidFill>
          </a:endParaRPr>
        </a:p>
        <a:p>
          <a:r>
            <a:rPr lang="de-DE" sz="1400" b="1">
              <a:solidFill>
                <a:schemeClr val="tx1">
                  <a:lumMod val="65000"/>
                  <a:lumOff val="35000"/>
                </a:schemeClr>
              </a:solidFill>
            </a:rPr>
            <a:t>1.</a:t>
          </a:r>
        </a:p>
        <a:p>
          <a:r>
            <a:rPr lang="de-DE" sz="1400" b="0" baseline="0">
              <a:solidFill>
                <a:schemeClr val="dk1"/>
              </a:solidFill>
              <a:effectLst/>
              <a:latin typeface="+mn-lt"/>
              <a:ea typeface="+mn-ea"/>
              <a:cs typeface="+mn-cs"/>
            </a:rPr>
            <a:t>Teams, deren Rangfolge nicht eindeutig geklärt ist, erscheinen in der Gruppentabelle in roter Schrift.</a:t>
          </a:r>
          <a:endParaRPr lang="de-DE" sz="1400">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2.</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Die Rangreihenfolge der Teams innerhalb einer Gruppe wird nach folgenden Kriterien bestimmt:</a:t>
          </a:r>
        </a:p>
        <a:p>
          <a:endParaRPr lang="de-DE" sz="800">
            <a:effectLst/>
          </a:endParaRPr>
        </a:p>
        <a:p>
          <a:r>
            <a:rPr lang="de-DE" sz="1200" b="1" baseline="0">
              <a:solidFill>
                <a:schemeClr val="dk1"/>
              </a:solidFill>
              <a:effectLst/>
              <a:latin typeface="+mn-lt"/>
              <a:ea typeface="+mn-ea"/>
              <a:cs typeface="+mn-cs"/>
            </a:rPr>
            <a:t>Kriterien:</a:t>
          </a:r>
        </a:p>
        <a:p>
          <a:endParaRPr lang="de-DE" sz="400">
            <a:effectLst/>
          </a:endParaRPr>
        </a:p>
        <a:p>
          <a:r>
            <a:rPr lang="de-DE" sz="1100" baseline="0">
              <a:solidFill>
                <a:schemeClr val="dk1"/>
              </a:solidFill>
              <a:effectLst/>
              <a:latin typeface="+mn-lt"/>
              <a:ea typeface="+mn-ea"/>
              <a:cs typeface="+mn-cs"/>
            </a:rPr>
            <a:t>1.   </a:t>
          </a:r>
          <a:r>
            <a:rPr lang="de-DE" sz="1100">
              <a:solidFill>
                <a:schemeClr val="dk1"/>
              </a:solidFill>
              <a:effectLst/>
              <a:latin typeface="+mn-lt"/>
              <a:ea typeface="+mn-ea"/>
              <a:cs typeface="+mn-cs"/>
            </a:rPr>
            <a:t>Anzahl der Punkte oder Anzahl der gewonnenen Sätze (einstellbar)</a:t>
          </a:r>
          <a:endParaRPr lang="de-DE">
            <a:effectLst/>
          </a:endParaRPr>
        </a:p>
        <a:p>
          <a:r>
            <a:rPr lang="de-DE" sz="1100" baseline="0">
              <a:solidFill>
                <a:schemeClr val="dk1"/>
              </a:solidFill>
              <a:effectLst/>
              <a:latin typeface="+mn-lt"/>
              <a:ea typeface="+mn-ea"/>
              <a:cs typeface="+mn-cs"/>
            </a:rPr>
            <a:t>2.   Satz</a:t>
          </a:r>
          <a:r>
            <a:rPr lang="de-DE" sz="1100">
              <a:solidFill>
                <a:schemeClr val="dk1"/>
              </a:solidFill>
              <a:effectLst/>
              <a:latin typeface="+mn-lt"/>
              <a:ea typeface="+mn-ea"/>
              <a:cs typeface="+mn-cs"/>
            </a:rPr>
            <a:t>differenz (JA/NEIN einstellbar)</a:t>
          </a:r>
          <a:endParaRPr lang="de-DE">
            <a:effectLst/>
          </a:endParaRPr>
        </a:p>
        <a:p>
          <a:r>
            <a:rPr lang="de-DE" sz="1100">
              <a:solidFill>
                <a:schemeClr val="dk1"/>
              </a:solidFill>
              <a:effectLst/>
              <a:latin typeface="+mn-lt"/>
              <a:ea typeface="+mn-ea"/>
              <a:cs typeface="+mn-cs"/>
            </a:rPr>
            <a:t>3.   Anzahl gewonnener Sätze (JA/NEIN einstellbar)</a:t>
          </a:r>
          <a:endParaRPr lang="de-DE">
            <a:effectLst/>
          </a:endParaRPr>
        </a:p>
        <a:p>
          <a:r>
            <a:rPr lang="de-DE" sz="1100">
              <a:solidFill>
                <a:schemeClr val="dk1"/>
              </a:solidFill>
              <a:effectLst/>
              <a:latin typeface="+mn-lt"/>
              <a:ea typeface="+mn-ea"/>
              <a:cs typeface="+mn-cs"/>
            </a:rPr>
            <a:t>       (nur sinnvoll, wenn die Anzahl der Punkte das erste Kriterium ist)</a:t>
          </a:r>
          <a:endParaRPr lang="de-DE">
            <a:effectLst/>
          </a:endParaRPr>
        </a:p>
        <a:p>
          <a:r>
            <a:rPr lang="de-DE" sz="1100" baseline="0">
              <a:solidFill>
                <a:schemeClr val="dk1"/>
              </a:solidFill>
              <a:effectLst/>
              <a:latin typeface="+mn-lt"/>
              <a:ea typeface="+mn-ea"/>
              <a:cs typeface="+mn-cs"/>
            </a:rPr>
            <a:t>4.   </a:t>
          </a:r>
          <a:r>
            <a:rPr lang="de-DE" sz="1100">
              <a:solidFill>
                <a:schemeClr val="dk1"/>
              </a:solidFill>
              <a:effectLst/>
              <a:latin typeface="+mn-lt"/>
              <a:ea typeface="+mn-ea"/>
              <a:cs typeface="+mn-cs"/>
            </a:rPr>
            <a:t>Balldifferenz oder Ballquotient (einstellbar)</a:t>
          </a:r>
          <a:endParaRPr lang="de-DE">
            <a:effectLst/>
          </a:endParaRPr>
        </a:p>
        <a:p>
          <a:pPr eaLnBrk="1" fontAlgn="auto" latinLnBrk="0" hangingPunct="1"/>
          <a:r>
            <a:rPr lang="de-DE" sz="1100" baseline="0">
              <a:solidFill>
                <a:schemeClr val="dk1"/>
              </a:solidFill>
              <a:effectLst/>
              <a:latin typeface="+mn-lt"/>
              <a:ea typeface="+mn-ea"/>
              <a:cs typeface="+mn-cs"/>
            </a:rPr>
            <a:t>5.   </a:t>
          </a:r>
          <a:r>
            <a:rPr lang="de-DE" sz="1100">
              <a:solidFill>
                <a:schemeClr val="dk1"/>
              </a:solidFill>
              <a:effectLst/>
              <a:latin typeface="+mn-lt"/>
              <a:ea typeface="+mn-ea"/>
              <a:cs typeface="+mn-cs"/>
            </a:rPr>
            <a:t>Anzahl der gewonnenen Sätze aus dem direkten Vergleich</a:t>
          </a:r>
          <a:endParaRPr lang="de-DE">
            <a:effectLst/>
          </a:endParaRPr>
        </a:p>
        <a:p>
          <a:pPr eaLnBrk="1" fontAlgn="auto" latinLnBrk="0" hangingPunct="1"/>
          <a:r>
            <a:rPr lang="de-DE" sz="1100">
              <a:solidFill>
                <a:schemeClr val="dk1"/>
              </a:solidFill>
              <a:effectLst/>
              <a:latin typeface="+mn-lt"/>
              <a:ea typeface="+mn-ea"/>
              <a:cs typeface="+mn-cs"/>
            </a:rPr>
            <a:t>6.   Balldifferenz aus dem direkten Vergleich</a:t>
          </a:r>
          <a:endParaRPr lang="de-DE">
            <a:effectLst/>
          </a:endParaRPr>
        </a:p>
        <a:p>
          <a:r>
            <a:rPr lang="de-DE" sz="1100" baseline="0">
              <a:solidFill>
                <a:schemeClr val="dk1"/>
              </a:solidFill>
              <a:effectLst/>
              <a:latin typeface="+mn-lt"/>
              <a:ea typeface="+mn-ea"/>
              <a:cs typeface="+mn-cs"/>
            </a:rPr>
            <a:t>7.   Losentscheid oder Entscheidungsspiel</a:t>
          </a:r>
          <a:endParaRPr lang="de-DE">
            <a:effectLst/>
          </a:endParaRPr>
        </a:p>
        <a:p>
          <a:endParaRPr lang="de-DE" sz="1400">
            <a:effectLst/>
          </a:endParaRPr>
        </a:p>
        <a:p>
          <a:r>
            <a:rPr lang="de-DE" sz="1400" b="1" baseline="0">
              <a:solidFill>
                <a:schemeClr val="tx1">
                  <a:lumMod val="65000"/>
                  <a:lumOff val="35000"/>
                </a:schemeClr>
              </a:solidFill>
              <a:effectLst/>
              <a:latin typeface="+mn-lt"/>
              <a:ea typeface="+mn-ea"/>
              <a:cs typeface="+mn-cs"/>
            </a:rPr>
            <a:t>3.</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Fall eines direkten Vergleichs kann es interessant sein, die Tabellenblätter </a:t>
          </a:r>
          <a:r>
            <a:rPr lang="de-DE" sz="1400" b="1" baseline="0">
              <a:solidFill>
                <a:schemeClr val="dk1"/>
              </a:solidFill>
              <a:effectLst/>
              <a:latin typeface="+mn-lt"/>
              <a:ea typeface="+mn-ea"/>
              <a:cs typeface="+mn-cs"/>
            </a:rPr>
            <a:t>'DirVergleich_A'</a:t>
          </a:r>
          <a:r>
            <a:rPr lang="de-DE" sz="1400" b="0" baseline="0">
              <a:solidFill>
                <a:schemeClr val="dk1"/>
              </a:solidFill>
              <a:effectLst/>
              <a:latin typeface="+mn-lt"/>
              <a:ea typeface="+mn-ea"/>
              <a:cs typeface="+mn-cs"/>
            </a:rPr>
            <a:t> und </a:t>
          </a:r>
          <a:r>
            <a:rPr lang="de-DE" sz="1400" b="1" baseline="0">
              <a:solidFill>
                <a:schemeClr val="dk1"/>
              </a:solidFill>
              <a:effectLst/>
              <a:latin typeface="+mn-lt"/>
              <a:ea typeface="+mn-ea"/>
              <a:cs typeface="+mn-cs"/>
            </a:rPr>
            <a:t>'DirVergleich_B'</a:t>
          </a:r>
          <a:r>
            <a:rPr lang="de-DE" sz="1400" b="0" baseline="0">
              <a:solidFill>
                <a:schemeClr val="dk1"/>
              </a:solidFill>
              <a:effectLst/>
              <a:latin typeface="+mn-lt"/>
              <a:ea typeface="+mn-ea"/>
              <a:cs typeface="+mn-cs"/>
            </a:rPr>
            <a:t> einzublenden, um die Tabellen für die Direktbegegnungen bei Gleichstand in den Kriterien 1 und 2 anzuschauen.</a:t>
          </a:r>
        </a:p>
        <a:p>
          <a:endParaRPr lang="de-DE" sz="1400">
            <a:effectLst/>
          </a:endParaRPr>
        </a:p>
        <a:p>
          <a:r>
            <a:rPr lang="de-DE" sz="1400" b="1" baseline="0">
              <a:solidFill>
                <a:schemeClr val="tx1">
                  <a:lumMod val="65000"/>
                  <a:lumOff val="35000"/>
                </a:schemeClr>
              </a:solidFill>
              <a:effectLst/>
              <a:latin typeface="+mn-lt"/>
              <a:ea typeface="+mn-ea"/>
              <a:cs typeface="+mn-cs"/>
            </a:rPr>
            <a:t>4.</a:t>
          </a:r>
          <a:endParaRPr lang="de-DE" sz="1400">
            <a:solidFill>
              <a:schemeClr val="tx1">
                <a:lumMod val="65000"/>
                <a:lumOff val="35000"/>
              </a:schemeClr>
            </a:solidFill>
            <a:effectLst/>
          </a:endParaRPr>
        </a:p>
        <a:p>
          <a:r>
            <a:rPr lang="de-DE" sz="1400" b="0" baseline="0">
              <a:solidFill>
                <a:schemeClr val="dk1"/>
              </a:solidFill>
              <a:effectLst/>
              <a:latin typeface="+mn-lt"/>
              <a:ea typeface="+mn-ea"/>
              <a:cs typeface="+mn-cs"/>
            </a:rPr>
            <a:t>Im seltenen Fall eines Gleichstands der Kriterien 1 bis 4 kann man auf dem Tabellenblatt </a:t>
          </a:r>
          <a:r>
            <a:rPr lang="de-DE" sz="1400" b="1" baseline="0">
              <a:solidFill>
                <a:schemeClr val="dk1"/>
              </a:solidFill>
              <a:effectLst/>
              <a:latin typeface="+mn-lt"/>
              <a:ea typeface="+mn-ea"/>
              <a:cs typeface="+mn-cs"/>
            </a:rPr>
            <a:t>'Playoffs'</a:t>
          </a:r>
          <a:r>
            <a:rPr lang="de-DE" sz="1400" b="0" baseline="0">
              <a:solidFill>
                <a:schemeClr val="dk1"/>
              </a:solidFill>
              <a:effectLst/>
              <a:latin typeface="+mn-lt"/>
              <a:ea typeface="+mn-ea"/>
              <a:cs typeface="+mn-cs"/>
            </a:rPr>
            <a:t> ein Entscheidungsspiel oder im Fall eines Losentscheids auf den Tabellenblättern </a:t>
          </a:r>
          <a:r>
            <a:rPr lang="de-DE" sz="1400" b="1" baseline="0">
              <a:solidFill>
                <a:schemeClr val="dk1"/>
              </a:solidFill>
              <a:effectLst/>
              <a:latin typeface="+mn-lt"/>
              <a:ea typeface="+mn-ea"/>
              <a:cs typeface="+mn-cs"/>
            </a:rPr>
            <a:t>'Vorrunde'</a:t>
          </a:r>
          <a:r>
            <a:rPr lang="de-DE" sz="1400" b="0" baseline="0">
              <a:solidFill>
                <a:schemeClr val="dk1"/>
              </a:solidFill>
              <a:effectLst/>
              <a:latin typeface="+mn-lt"/>
              <a:ea typeface="+mn-ea"/>
              <a:cs typeface="+mn-cs"/>
            </a:rPr>
            <a:t> bzw. </a:t>
          </a:r>
          <a:r>
            <a:rPr lang="de-DE" sz="1400" b="1" baseline="0">
              <a:solidFill>
                <a:schemeClr val="dk1"/>
              </a:solidFill>
              <a:effectLst/>
              <a:latin typeface="+mn-lt"/>
              <a:ea typeface="+mn-ea"/>
              <a:cs typeface="+mn-cs"/>
            </a:rPr>
            <a:t>'Endrunde 4' </a:t>
          </a:r>
          <a:r>
            <a:rPr lang="de-DE" sz="1400" b="0" baseline="0">
              <a:solidFill>
                <a:schemeClr val="dk1"/>
              </a:solidFill>
              <a:effectLst/>
              <a:latin typeface="+mn-lt"/>
              <a:ea typeface="+mn-ea"/>
              <a:cs typeface="+mn-cs"/>
            </a:rPr>
            <a:t>einen Bonuspunkt für das begünstigte Team eintragen.</a:t>
          </a:r>
          <a:endParaRPr lang="de-DE" sz="1400">
            <a:effectLst/>
          </a:endParaRPr>
        </a:p>
        <a:p>
          <a:endParaRPr lang="de-DE" sz="1400" b="0" baseline="0">
            <a:solidFill>
              <a:schemeClr val="dk1"/>
            </a:solidFill>
            <a:effectLst/>
            <a:latin typeface="+mn-lt"/>
            <a:ea typeface="+mn-ea"/>
            <a:cs typeface="+mn-cs"/>
          </a:endParaRPr>
        </a:p>
        <a:p>
          <a:pPr marL="0" indent="0"/>
          <a:r>
            <a:rPr lang="de-DE" sz="1400" b="1" baseline="0">
              <a:solidFill>
                <a:schemeClr val="tx1">
                  <a:lumMod val="65000"/>
                  <a:lumOff val="35000"/>
                </a:schemeClr>
              </a:solidFill>
              <a:effectLst/>
              <a:latin typeface="+mn-lt"/>
              <a:ea typeface="+mn-ea"/>
              <a:cs typeface="+mn-cs"/>
            </a:rPr>
            <a:t>5.</a:t>
          </a:r>
        </a:p>
        <a:p>
          <a:r>
            <a:rPr lang="de-DE" sz="1400" b="0" baseline="0">
              <a:solidFill>
                <a:schemeClr val="dk1"/>
              </a:solidFill>
              <a:effectLst/>
              <a:latin typeface="+mn-lt"/>
              <a:ea typeface="+mn-ea"/>
              <a:cs typeface="+mn-cs"/>
            </a:rPr>
            <a:t>Wer die Spielpaarungen ändern möchte, kann das Tabellenblatt </a:t>
          </a:r>
          <a:r>
            <a:rPr lang="de-DE" sz="1400" b="1" baseline="0">
              <a:solidFill>
                <a:schemeClr val="dk1"/>
              </a:solidFill>
              <a:effectLst/>
              <a:latin typeface="+mn-lt"/>
              <a:ea typeface="+mn-ea"/>
              <a:cs typeface="+mn-cs"/>
            </a:rPr>
            <a:t>'Pairings'</a:t>
          </a:r>
          <a:r>
            <a:rPr lang="de-DE" sz="1400" b="0" baseline="0">
              <a:solidFill>
                <a:schemeClr val="dk1"/>
              </a:solidFill>
              <a:effectLst/>
              <a:latin typeface="+mn-lt"/>
              <a:ea typeface="+mn-ea"/>
              <a:cs typeface="+mn-cs"/>
            </a:rPr>
            <a:t> einblenden und dort die gewünschten Änderungen vornehmen.</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mailto:mail@hermann-baum.de" TargetMode="External"/><Relationship Id="rId1" Type="http://schemas.openxmlformats.org/officeDocument/2006/relationships/hyperlink" Target="mailto:mail@hermann-baum.de" TargetMode="External"/><Relationship Id="rId4"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7F295-DFA2-4090-BB62-9C4F59712D4A}">
  <dimension ref="A1:AC39"/>
  <sheetViews>
    <sheetView showGridLines="0" showRowColHeaders="0" workbookViewId="0">
      <selection activeCell="C7" sqref="C7:C8"/>
    </sheetView>
  </sheetViews>
  <sheetFormatPr baseColWidth="10" defaultColWidth="0" defaultRowHeight="15.75" zeroHeight="1" x14ac:dyDescent="0.25"/>
  <cols>
    <col min="1" max="1" width="10.7109375" style="9" customWidth="1"/>
    <col min="2" max="2" width="6.7109375" style="9" customWidth="1"/>
    <col min="3" max="3" width="29.85546875" style="9" customWidth="1"/>
    <col min="4" max="4" width="11.42578125" style="9" customWidth="1"/>
    <col min="5" max="6" width="9.85546875" style="9" customWidth="1"/>
    <col min="7" max="7" width="7.28515625" style="9" customWidth="1"/>
    <col min="8" max="8" width="4.5703125" style="9" customWidth="1"/>
    <col min="9" max="9" width="4.7109375" style="9" customWidth="1"/>
    <col min="10" max="10" width="3" style="9" customWidth="1"/>
    <col min="11" max="11" width="4.7109375" style="9" customWidth="1"/>
    <col min="12" max="12" width="24.7109375" style="9" customWidth="1"/>
    <col min="13" max="13" width="3.85546875" style="9" customWidth="1"/>
    <col min="14" max="14" width="24.7109375" style="9" customWidth="1"/>
    <col min="15" max="15" width="15.7109375" style="9" customWidth="1"/>
    <col min="16" max="16" width="9" style="9" customWidth="1"/>
    <col min="17" max="17" width="8.42578125" style="9" customWidth="1"/>
    <col min="18" max="18" width="29.7109375" style="100" customWidth="1"/>
    <col min="19" max="19" width="12.42578125" style="100" customWidth="1"/>
    <col min="20" max="20" width="11.42578125" style="100" customWidth="1"/>
    <col min="21" max="21" width="10.7109375" style="100" customWidth="1"/>
    <col min="22" max="22" width="11.42578125" hidden="1" customWidth="1"/>
    <col min="23" max="29" width="4.7109375" hidden="1" customWidth="1"/>
    <col min="30" max="16384" width="11.42578125" hidden="1"/>
  </cols>
  <sheetData>
    <row r="1" spans="1:29" ht="9.75" customHeight="1" x14ac:dyDescent="0.25">
      <c r="A1" s="96"/>
    </row>
    <row r="2" spans="1:29" ht="33.75" x14ac:dyDescent="0.5">
      <c r="A2" s="95"/>
      <c r="B2" s="161"/>
      <c r="C2" s="161"/>
      <c r="D2" s="161"/>
      <c r="E2" s="847" t="str">
        <f>Language!$E$30</f>
        <v>Participants and schedule</v>
      </c>
      <c r="F2" s="847"/>
      <c r="G2" s="847"/>
      <c r="H2" s="847"/>
      <c r="I2" s="847"/>
      <c r="J2" s="847"/>
      <c r="K2" s="847"/>
      <c r="L2" s="847"/>
      <c r="M2" s="847"/>
      <c r="N2" s="847"/>
      <c r="O2" s="591"/>
      <c r="P2" s="161"/>
      <c r="Q2" s="161"/>
      <c r="R2" s="161"/>
      <c r="S2" s="161"/>
      <c r="T2" s="161"/>
    </row>
    <row r="3" spans="1:29" x14ac:dyDescent="0.25"/>
    <row r="4" spans="1:29" ht="29.25" customHeight="1" thickBot="1" x14ac:dyDescent="0.3">
      <c r="C4" s="216" t="str">
        <f>Language!$E$16&amp;" A"</f>
        <v>Group A</v>
      </c>
      <c r="D4" s="103"/>
      <c r="E4" s="848" t="str">
        <f>Language!$E$32</f>
        <v>Schedule</v>
      </c>
      <c r="F4" s="848"/>
      <c r="G4" s="240"/>
      <c r="H4" s="240"/>
      <c r="I4" s="240"/>
      <c r="J4" s="240"/>
      <c r="K4" s="240"/>
      <c r="L4" s="240"/>
      <c r="M4" s="240"/>
      <c r="N4" s="240"/>
      <c r="O4" s="593"/>
      <c r="P4" s="849" t="str">
        <f>Language!$E$20</f>
        <v>Addit. Pause (min)</v>
      </c>
      <c r="R4" s="287" t="str">
        <f>Language!$E$41</f>
        <v>Playing times</v>
      </c>
    </row>
    <row r="5" spans="1:29" ht="15.95" customHeight="1" thickTop="1" thickBot="1" x14ac:dyDescent="0.3">
      <c r="A5" s="14"/>
      <c r="B5" s="862"/>
      <c r="C5" s="864" t="str">
        <f>Language!$E$10</f>
        <v>Participant or team</v>
      </c>
      <c r="D5" s="13"/>
      <c r="E5" s="117" t="str">
        <f>Language!$E$33</f>
        <v>Game no.</v>
      </c>
      <c r="F5" s="118" t="str">
        <f>Language!$E$39</f>
        <v>Start</v>
      </c>
      <c r="G5" s="118" t="str">
        <f>Language!$E$48</f>
        <v>Field</v>
      </c>
      <c r="H5" s="118" t="str">
        <f>Language!$E$17</f>
        <v>Grp</v>
      </c>
      <c r="I5" s="866" t="str">
        <f>Language!$E$34</f>
        <v>Pairings</v>
      </c>
      <c r="J5" s="866"/>
      <c r="K5" s="866"/>
      <c r="L5" s="866" t="str">
        <f>Language!$E$31</f>
        <v>Participants</v>
      </c>
      <c r="M5" s="866"/>
      <c r="N5" s="867"/>
      <c r="O5" s="598" t="str">
        <f>Language!$E$68</f>
        <v>Referee</v>
      </c>
      <c r="P5" s="850"/>
      <c r="R5" s="868" t="str">
        <f>Language!$E$39</f>
        <v>Start</v>
      </c>
      <c r="S5" s="851">
        <v>0.375</v>
      </c>
      <c r="T5" s="853" t="str">
        <f>Language!$E$45</f>
        <v xml:space="preserve"> </v>
      </c>
      <c r="U5" s="101"/>
      <c r="W5" s="331"/>
      <c r="X5" s="332">
        <v>1</v>
      </c>
      <c r="Y5" s="332">
        <v>2</v>
      </c>
      <c r="Z5" s="332">
        <v>3</v>
      </c>
      <c r="AA5" s="332">
        <v>4</v>
      </c>
      <c r="AB5" s="332">
        <v>5</v>
      </c>
      <c r="AC5" s="333">
        <v>6</v>
      </c>
    </row>
    <row r="6" spans="1:29" ht="15.95" customHeight="1" x14ac:dyDescent="0.25">
      <c r="A6" s="14"/>
      <c r="B6" s="863"/>
      <c r="C6" s="865"/>
      <c r="D6" s="394">
        <v>1</v>
      </c>
      <c r="E6" s="351">
        <f>IF($D6&gt;Calc1!$B$14,"",1)</f>
        <v>1</v>
      </c>
      <c r="F6" s="119">
        <f>IF(OR($V$15,$D6&gt;Calc1!$B$14),"",$S$5)</f>
        <v>0.375</v>
      </c>
      <c r="G6" s="109" t="str">
        <f>IF(OR($V$15,$D6&gt;Calc1!$B$14),"","1")</f>
        <v>1</v>
      </c>
      <c r="H6" s="221" t="str">
        <f ca="1">IF($I6="","",IF(LEFT($I6,1)&lt;&gt;LEFT($K6,1),"??",LEFT($I6,1)))</f>
        <v>A</v>
      </c>
      <c r="I6" s="243" t="str">
        <f t="array" aca="1" ref="I6:I35" ca="1">IF(Calc1!$F$14&lt;3,"",IF(OFFSET(Pairings!$A$1,0,(Calc1!$F$14-2)*4-1,30,1)="","",OFFSET(Pairings!$A$1,0,(Calc1!$F$14-2)*4-1,30,1)))</f>
        <v>A5</v>
      </c>
      <c r="J6" s="244" t="s">
        <v>4</v>
      </c>
      <c r="K6" s="245" t="str">
        <f t="array" aca="1" ref="K6:K35" ca="1">IF(Calc1!$F$14&lt;3,"",IF(OFFSET(Pairings!$A$1,0,(Calc1!$F$14-2)*4,30,1)="","",OFFSET(Pairings!$A$1,0,(Calc1!$F$14-2)*4,30,1)))</f>
        <v>A2</v>
      </c>
      <c r="L6" s="114" t="str">
        <f ca="1">IF($I6="","",IF(VLOOKUP($I6,$B$7:$C$35,2,0)="","",VLOOKUP($I6,$B$7:$C$35,2,0)))</f>
        <v>VFB Essenheim</v>
      </c>
      <c r="M6" s="115" t="s">
        <v>4</v>
      </c>
      <c r="N6" s="116" t="str">
        <f ca="1">IF($K6="","",IF(VLOOKUP($K6,$B$7:$C$35,2,0)="","",VLOOKUP($K6,$B$7:$C$35,2,0)))</f>
        <v>FC Barcelona</v>
      </c>
      <c r="O6" s="599"/>
      <c r="P6" s="594"/>
      <c r="Q6" s="241"/>
      <c r="R6" s="869"/>
      <c r="S6" s="852"/>
      <c r="T6" s="854"/>
      <c r="U6" s="101"/>
      <c r="W6" s="334">
        <v>1</v>
      </c>
      <c r="X6" s="380">
        <v>6</v>
      </c>
      <c r="Y6" s="381">
        <v>6</v>
      </c>
      <c r="Z6" s="381">
        <v>6</v>
      </c>
      <c r="AA6" s="381">
        <v>6</v>
      </c>
      <c r="AB6" s="381">
        <v>6</v>
      </c>
      <c r="AC6" s="382">
        <v>6</v>
      </c>
    </row>
    <row r="7" spans="1:29" ht="15.95" customHeight="1" x14ac:dyDescent="0.25">
      <c r="A7" s="14"/>
      <c r="B7" s="870" t="s">
        <v>186</v>
      </c>
      <c r="C7" s="872" t="s">
        <v>235</v>
      </c>
      <c r="D7" s="394">
        <v>2</v>
      </c>
      <c r="E7" s="352">
        <f t="array" aca="1" ref="E7" ca="1">IF($D7&gt;Calc1!$B$14,"",ROW(2:2)-SUM((($L$6:$L6="")+($N$6:$N6="")&gt;0)*1))</f>
        <v>2</v>
      </c>
      <c r="F7" s="108">
        <f ca="1">IF(OR($V$15,$D7&gt;Calc1!$B$14),"",$S$5+QUOTIENT(($E7-1),$V$11)*($S$7+$S$9)/1440+SUM($P$6:$P6)/1440)</f>
        <v>0.375</v>
      </c>
      <c r="G7" s="110">
        <f ca="1">IF(OR($V$15,$D7&gt;Calc1!$B$14),"",MOD($E7-1,$V$11)+1)</f>
        <v>2</v>
      </c>
      <c r="H7" s="221" t="str">
        <f t="shared" ref="H7:H35" ca="1" si="0">IF($I7="","",IF(LEFT($I7,1)&lt;&gt;LEFT($K7,1),"??",LEFT($I7,1)))</f>
        <v>B</v>
      </c>
      <c r="I7" s="246" t="str">
        <f ca="1"/>
        <v>B5</v>
      </c>
      <c r="J7" s="247" t="s">
        <v>4</v>
      </c>
      <c r="K7" s="248" t="str">
        <f ca="1"/>
        <v>B2</v>
      </c>
      <c r="L7" s="114" t="str">
        <f t="shared" ref="L7:L35" ca="1" si="1">IF($I7="","",IF(VLOOKUP($I7,$B$7:$C$35,2,0)="","",VLOOKUP($I7,$B$7:$C$35,2,0)))</f>
        <v>FC Grönlingen</v>
      </c>
      <c r="M7" s="10" t="s">
        <v>4</v>
      </c>
      <c r="N7" s="116" t="str">
        <f t="shared" ref="N7:N35" ca="1" si="2">IF($K7="","",IF(VLOOKUP($K7,$B$7:$C$35,2,0)="","",VLOOKUP($K7,$B$7:$C$35,2,0)))</f>
        <v>Inter Mailand</v>
      </c>
      <c r="O7" s="600"/>
      <c r="P7" s="595"/>
      <c r="Q7" s="241"/>
      <c r="R7" s="869" t="str">
        <f>Language!$E$42</f>
        <v>Playing time per match:</v>
      </c>
      <c r="S7" s="855">
        <v>30</v>
      </c>
      <c r="T7" s="854" t="s">
        <v>152</v>
      </c>
      <c r="U7" s="63"/>
      <c r="V7" t="s">
        <v>247</v>
      </c>
      <c r="W7" s="334">
        <v>2</v>
      </c>
      <c r="X7" s="383">
        <v>6</v>
      </c>
      <c r="Y7" s="384">
        <v>6</v>
      </c>
      <c r="Z7" s="384">
        <v>6</v>
      </c>
      <c r="AA7" s="384">
        <v>6</v>
      </c>
      <c r="AB7" s="384">
        <v>6</v>
      </c>
      <c r="AC7" s="385">
        <v>6</v>
      </c>
    </row>
    <row r="8" spans="1:29" ht="15.95" customHeight="1" x14ac:dyDescent="0.25">
      <c r="A8" s="14"/>
      <c r="B8" s="871"/>
      <c r="C8" s="873"/>
      <c r="D8" s="394">
        <v>3</v>
      </c>
      <c r="E8" s="352">
        <f t="array" aca="1" ref="E8" ca="1">IF($D8&gt;Calc1!$B$14,"",ROW(3:3)-SUM((($L$6:$L7="")+($N$6:$N7="")&gt;0)*1))</f>
        <v>3</v>
      </c>
      <c r="F8" s="108">
        <f ca="1">IF(OR($V$15,$D8&gt;Calc1!$B$14),"",$S$5+QUOTIENT(($E8-1),$V$11)*($S$7+$S$9)/1440+SUM($P$6:$P7)/1440)</f>
        <v>0.375</v>
      </c>
      <c r="G8" s="110">
        <f ca="1">IF(OR($V$15,$D8&gt;Calc1!$B$14),"",MOD($E8-1,$V$11)+1)</f>
        <v>3</v>
      </c>
      <c r="H8" s="221" t="str">
        <f t="shared" ca="1" si="0"/>
        <v>A</v>
      </c>
      <c r="I8" s="246" t="str">
        <f ca="1"/>
        <v>A3</v>
      </c>
      <c r="J8" s="247" t="s">
        <v>4</v>
      </c>
      <c r="K8" s="248" t="str">
        <f ca="1"/>
        <v>A4</v>
      </c>
      <c r="L8" s="114" t="str">
        <f t="shared" ca="1" si="1"/>
        <v>Eintracht Frankfurt</v>
      </c>
      <c r="M8" s="10" t="s">
        <v>4</v>
      </c>
      <c r="N8" s="116" t="str">
        <f t="shared" ca="1" si="2"/>
        <v>Maibach 1822 eV</v>
      </c>
      <c r="O8" s="600"/>
      <c r="P8" s="595"/>
      <c r="Q8" s="241"/>
      <c r="R8" s="869"/>
      <c r="S8" s="855"/>
      <c r="T8" s="854"/>
      <c r="U8" s="101"/>
      <c r="V8" t="s">
        <v>246</v>
      </c>
      <c r="W8" s="334">
        <v>3</v>
      </c>
      <c r="X8" s="383">
        <v>6</v>
      </c>
      <c r="Y8" s="384">
        <v>6</v>
      </c>
      <c r="Z8" s="384">
        <v>6</v>
      </c>
      <c r="AA8" s="384">
        <v>6</v>
      </c>
      <c r="AB8" s="384">
        <v>6</v>
      </c>
      <c r="AC8" s="385">
        <v>6</v>
      </c>
    </row>
    <row r="9" spans="1:29" ht="15.95" customHeight="1" x14ac:dyDescent="0.25">
      <c r="A9" s="14"/>
      <c r="B9" s="874" t="s">
        <v>188</v>
      </c>
      <c r="C9" s="875" t="s">
        <v>236</v>
      </c>
      <c r="D9" s="394">
        <v>4</v>
      </c>
      <c r="E9" s="352">
        <f t="array" aca="1" ref="E9" ca="1">IF($D9&gt;Calc1!$B$14,"",ROW(4:4)-SUM((($L$6:$L8="")+($N$6:$N8="")&gt;0)*1))</f>
        <v>4</v>
      </c>
      <c r="F9" s="108">
        <f ca="1">IF(OR($V$15,$D9&gt;Calc1!$B$14),"",$S$5+QUOTIENT(($E9-1),$V$11)*($S$7+$S$9)/1440+SUM($P$6:$P8)/1440)</f>
        <v>0.375</v>
      </c>
      <c r="G9" s="110">
        <f ca="1">IF(OR($V$15,$D9&gt;Calc1!$B$14),"",MOD($E9-1,$V$11)+1)</f>
        <v>4</v>
      </c>
      <c r="H9" s="221" t="str">
        <f t="shared" ca="1" si="0"/>
        <v>B</v>
      </c>
      <c r="I9" s="246" t="str">
        <f ca="1"/>
        <v>B3</v>
      </c>
      <c r="J9" s="247" t="s">
        <v>4</v>
      </c>
      <c r="K9" s="248" t="str">
        <f ca="1"/>
        <v>B4</v>
      </c>
      <c r="L9" s="114" t="str">
        <f t="shared" ca="1" si="1"/>
        <v>SSV Wildbach</v>
      </c>
      <c r="M9" s="10" t="s">
        <v>4</v>
      </c>
      <c r="N9" s="116" t="str">
        <f t="shared" ca="1" si="2"/>
        <v>Manchester City</v>
      </c>
      <c r="O9" s="600"/>
      <c r="P9" s="595"/>
      <c r="Q9" s="241"/>
      <c r="R9" s="869" t="str">
        <f>Language!$E$43</f>
        <v>Change time:</v>
      </c>
      <c r="S9" s="855">
        <v>5</v>
      </c>
      <c r="T9" s="854" t="s">
        <v>152</v>
      </c>
      <c r="U9" s="101"/>
      <c r="V9" t="s">
        <v>245</v>
      </c>
      <c r="W9" s="334">
        <v>4</v>
      </c>
      <c r="X9" s="383">
        <v>6</v>
      </c>
      <c r="Y9" s="384">
        <v>6</v>
      </c>
      <c r="Z9" s="384">
        <v>6</v>
      </c>
      <c r="AA9" s="384">
        <v>6</v>
      </c>
      <c r="AB9" s="384">
        <v>6</v>
      </c>
      <c r="AC9" s="385">
        <v>6</v>
      </c>
    </row>
    <row r="10" spans="1:29" ht="15.95" customHeight="1" x14ac:dyDescent="0.25">
      <c r="A10" s="14"/>
      <c r="B10" s="871"/>
      <c r="C10" s="873"/>
      <c r="D10" s="394">
        <v>5</v>
      </c>
      <c r="E10" s="352">
        <f t="array" aca="1" ref="E10" ca="1">IF($D10&gt;Calc1!$B$14,"",ROW(5:5)-SUM((($L$6:$L9="")+($N$6:$N9="")&gt;0)*1))</f>
        <v>5</v>
      </c>
      <c r="F10" s="108">
        <f ca="1">IF(OR($V$15,$D10&gt;Calc1!$B$14),"",$S$5+QUOTIENT(($E10-1),$V$11)*($S$7+$S$9)/1440+SUM($P$6:$P9)/1440)</f>
        <v>0.39930555555555558</v>
      </c>
      <c r="G10" s="110">
        <f ca="1">IF(OR($V$15,$D10&gt;Calc1!$B$14),"",MOD($E10-1,$V$11)+1)</f>
        <v>1</v>
      </c>
      <c r="H10" s="221" t="str">
        <f t="shared" ca="1" si="0"/>
        <v>A</v>
      </c>
      <c r="I10" s="246" t="str">
        <f ca="1"/>
        <v>A5</v>
      </c>
      <c r="J10" s="247" t="s">
        <v>4</v>
      </c>
      <c r="K10" s="248" t="str">
        <f ca="1"/>
        <v>A1</v>
      </c>
      <c r="L10" s="114" t="str">
        <f t="shared" ca="1" si="1"/>
        <v>VFB Essenheim</v>
      </c>
      <c r="M10" s="10" t="s">
        <v>4</v>
      </c>
      <c r="N10" s="116" t="str">
        <f t="shared" ca="1" si="2"/>
        <v>1. FC Riedwald</v>
      </c>
      <c r="O10" s="600"/>
      <c r="P10" s="595"/>
      <c r="Q10" s="241"/>
      <c r="R10" s="869"/>
      <c r="S10" s="855"/>
      <c r="T10" s="854"/>
      <c r="U10" s="101"/>
      <c r="V10" s="336">
        <f>IF(OR(Calc1!$F$13&lt;1,Calc2!$F$13&lt;1),6,INDEX($X$6:$AC$11,Calc1!$F$13,Calc2!$F$13))</f>
        <v>6</v>
      </c>
      <c r="W10" s="334">
        <v>5</v>
      </c>
      <c r="X10" s="383">
        <v>6</v>
      </c>
      <c r="Y10" s="384">
        <v>6</v>
      </c>
      <c r="Z10" s="384">
        <v>6</v>
      </c>
      <c r="AA10" s="384">
        <v>6</v>
      </c>
      <c r="AB10" s="384">
        <v>6</v>
      </c>
      <c r="AC10" s="385">
        <v>6</v>
      </c>
    </row>
    <row r="11" spans="1:29" ht="15.95" customHeight="1" thickBot="1" x14ac:dyDescent="0.3">
      <c r="A11" s="14"/>
      <c r="B11" s="874" t="s">
        <v>184</v>
      </c>
      <c r="C11" s="875" t="s">
        <v>237</v>
      </c>
      <c r="D11" s="394">
        <v>6</v>
      </c>
      <c r="E11" s="352">
        <f t="array" aca="1" ref="E11" ca="1">IF($D11&gt;Calc1!$B$14,"",ROW(6:6)-SUM((($L$6:$L10="")+($N$6:$N10="")&gt;0)*1))</f>
        <v>6</v>
      </c>
      <c r="F11" s="108">
        <f ca="1">IF(OR($V$15,$D11&gt;Calc1!$B$14),"",$S$5+QUOTIENT(($E11-1),$V$11)*($S$7+$S$9)/1440+SUM($P$6:$P10)/1440)</f>
        <v>0.39930555555555558</v>
      </c>
      <c r="G11" s="110">
        <f ca="1">IF(OR($V$15,$D11&gt;Calc1!$B$14),"",MOD($E11-1,$V$11)+1)</f>
        <v>2</v>
      </c>
      <c r="H11" s="221" t="str">
        <f t="shared" ca="1" si="0"/>
        <v>B</v>
      </c>
      <c r="I11" s="246" t="str">
        <f ca="1"/>
        <v>B5</v>
      </c>
      <c r="J11" s="247" t="s">
        <v>4</v>
      </c>
      <c r="K11" s="248" t="str">
        <f ca="1"/>
        <v>B1</v>
      </c>
      <c r="L11" s="114" t="str">
        <f t="shared" ca="1" si="1"/>
        <v>FC Grönlingen</v>
      </c>
      <c r="M11" s="10" t="s">
        <v>4</v>
      </c>
      <c r="N11" s="116" t="str">
        <f t="shared" ca="1" si="2"/>
        <v>Mainz 05</v>
      </c>
      <c r="O11" s="600"/>
      <c r="P11" s="595"/>
      <c r="Q11" s="241"/>
      <c r="R11" s="869" t="str">
        <f>Language!$E$44</f>
        <v>Number of fields:</v>
      </c>
      <c r="S11" s="855">
        <v>4</v>
      </c>
      <c r="T11" s="860" t="str">
        <f>"(max. "&amp;$V$10&amp;")"</f>
        <v>(max. 6)</v>
      </c>
      <c r="V11" s="336">
        <f>MIN($S$11,$V$10)</f>
        <v>4</v>
      </c>
      <c r="W11" s="335">
        <v>6</v>
      </c>
      <c r="X11" s="386">
        <v>6</v>
      </c>
      <c r="Y11" s="387">
        <v>6</v>
      </c>
      <c r="Z11" s="387">
        <v>6</v>
      </c>
      <c r="AA11" s="387">
        <v>6</v>
      </c>
      <c r="AB11" s="387">
        <v>6</v>
      </c>
      <c r="AC11" s="388">
        <v>6</v>
      </c>
    </row>
    <row r="12" spans="1:29" ht="15.95" customHeight="1" thickTop="1" thickBot="1" x14ac:dyDescent="0.3">
      <c r="A12" s="14"/>
      <c r="B12" s="871"/>
      <c r="C12" s="873"/>
      <c r="D12" s="394">
        <v>7</v>
      </c>
      <c r="E12" s="352">
        <f t="array" aca="1" ref="E12" ca="1">IF($D12&gt;Calc1!$B$14,"",ROW(7:7)-SUM((($L$6:$L11="")+($N$6:$N11="")&gt;0)*1))</f>
        <v>7</v>
      </c>
      <c r="F12" s="108">
        <f ca="1">IF(OR($V$15,$D12&gt;Calc1!$B$14),"",$S$5+QUOTIENT(($E12-1),$V$11)*($S$7+$S$9)/1440+SUM($P$6:$P11)/1440)</f>
        <v>0.39930555555555558</v>
      </c>
      <c r="G12" s="110">
        <f ca="1">IF(OR($V$15,$D12&gt;Calc1!$B$14),"",MOD($E12-1,$V$11)+1)</f>
        <v>3</v>
      </c>
      <c r="H12" s="221" t="str">
        <f t="shared" ca="1" si="0"/>
        <v>A</v>
      </c>
      <c r="I12" s="246" t="str">
        <f ca="1"/>
        <v>A2</v>
      </c>
      <c r="J12" s="247" t="s">
        <v>4</v>
      </c>
      <c r="K12" s="248" t="str">
        <f ca="1"/>
        <v>A3</v>
      </c>
      <c r="L12" s="114" t="str">
        <f t="shared" ca="1" si="1"/>
        <v>FC Barcelona</v>
      </c>
      <c r="M12" s="10" t="s">
        <v>4</v>
      </c>
      <c r="N12" s="116" t="str">
        <f t="shared" ca="1" si="2"/>
        <v>Eintracht Frankfurt</v>
      </c>
      <c r="O12" s="600"/>
      <c r="P12" s="595"/>
      <c r="Q12" s="241"/>
      <c r="R12" s="878"/>
      <c r="S12" s="859"/>
      <c r="T12" s="861"/>
      <c r="U12" s="63"/>
      <c r="V12" s="350" t="s">
        <v>262</v>
      </c>
    </row>
    <row r="13" spans="1:29" ht="15.95" customHeight="1" x14ac:dyDescent="0.25">
      <c r="A13" s="14"/>
      <c r="B13" s="874" t="s">
        <v>190</v>
      </c>
      <c r="C13" s="875" t="s">
        <v>238</v>
      </c>
      <c r="D13" s="394">
        <v>8</v>
      </c>
      <c r="E13" s="352">
        <f t="array" aca="1" ref="E13" ca="1">IF($D13&gt;Calc1!$B$14,"",ROW(8:8)-SUM((($L$6:$L12="")+($N$6:$N12="")&gt;0)*1))</f>
        <v>8</v>
      </c>
      <c r="F13" s="108">
        <f ca="1">IF(OR($V$15,$D13&gt;Calc1!$B$14),"",$S$5+QUOTIENT(($E13-1),$V$11)*($S$7+$S$9)/1440+SUM($P$6:$P12)/1440)</f>
        <v>0.39930555555555558</v>
      </c>
      <c r="G13" s="110">
        <f ca="1">IF(OR($V$15,$D13&gt;Calc1!$B$14),"",MOD($E13-1,$V$11)+1)</f>
        <v>4</v>
      </c>
      <c r="H13" s="221" t="str">
        <f t="shared" ca="1" si="0"/>
        <v>B</v>
      </c>
      <c r="I13" s="246" t="str">
        <f ca="1"/>
        <v>B2</v>
      </c>
      <c r="J13" s="247" t="s">
        <v>4</v>
      </c>
      <c r="K13" s="248" t="str">
        <f ca="1"/>
        <v>B3</v>
      </c>
      <c r="L13" s="114" t="str">
        <f t="shared" ca="1" si="1"/>
        <v>Inter Mailand</v>
      </c>
      <c r="M13" s="10" t="s">
        <v>4</v>
      </c>
      <c r="N13" s="116" t="str">
        <f t="shared" ca="1" si="2"/>
        <v>SSV Wildbach</v>
      </c>
      <c r="O13" s="600"/>
      <c r="P13" s="595"/>
      <c r="Q13" s="241"/>
      <c r="R13" s="876" t="str">
        <f>Language!$E$40</f>
        <v>End of preliminary round:</v>
      </c>
      <c r="S13" s="776">
        <f t="array" aca="1" ref="S13" ca="1">IF($V$15,"",$S$5+(ROUNDUP((Calc1!$B$14-SUM(((OFFSET($L$6,,,Calc1!$B$14,1)="")+(OFFSET($N$6,,,Calc1!$B$14,1)="")&gt;0)*1))/$V11,0)*($S$7+$S$9)-$S$9)/1440+SUM(OFFSET($P$6,,,Calc1!$B$14-1,1))/1440)</f>
        <v>0.49305555555555558</v>
      </c>
      <c r="T13" s="856"/>
      <c r="U13" s="101"/>
      <c r="V13" s="337" t="s">
        <v>248</v>
      </c>
    </row>
    <row r="14" spans="1:29" ht="15.95" customHeight="1" thickBot="1" x14ac:dyDescent="0.3">
      <c r="A14" s="14"/>
      <c r="B14" s="871"/>
      <c r="C14" s="873"/>
      <c r="D14" s="394">
        <v>9</v>
      </c>
      <c r="E14" s="352">
        <f t="array" aca="1" ref="E14" ca="1">IF($D14&gt;Calc1!$B$14,"",ROW(9:9)-SUM((($L$6:$L13="")+($N$6:$N13="")&gt;0)*1))</f>
        <v>9</v>
      </c>
      <c r="F14" s="108">
        <f ca="1">IF(OR($V$15,$D14&gt;Calc1!$B$14),"",$S$5+QUOTIENT(($E14-1),$V$11)*($S$7+$S$9)/1440+SUM($P$6:$P13)/1440)</f>
        <v>0.4236111111111111</v>
      </c>
      <c r="G14" s="110">
        <f ca="1">IF(OR($V$15,$D14&gt;Calc1!$B$14),"",MOD($E14-1,$V$11)+1)</f>
        <v>1</v>
      </c>
      <c r="H14" s="221" t="str">
        <f t="shared" ca="1" si="0"/>
        <v>A</v>
      </c>
      <c r="I14" s="246" t="str">
        <f ca="1"/>
        <v>A1</v>
      </c>
      <c r="J14" s="247" t="s">
        <v>4</v>
      </c>
      <c r="K14" s="248" t="str">
        <f ca="1"/>
        <v>A4</v>
      </c>
      <c r="L14" s="114" t="str">
        <f t="shared" ca="1" si="1"/>
        <v>1. FC Riedwald</v>
      </c>
      <c r="M14" s="10" t="s">
        <v>4</v>
      </c>
      <c r="N14" s="116" t="str">
        <f t="shared" ca="1" si="2"/>
        <v>Maibach 1822 eV</v>
      </c>
      <c r="O14" s="600"/>
      <c r="P14" s="595"/>
      <c r="Q14" s="241"/>
      <c r="R14" s="877"/>
      <c r="S14" s="777"/>
      <c r="T14" s="857"/>
      <c r="U14" s="101"/>
      <c r="V14" s="337" t="s">
        <v>249</v>
      </c>
    </row>
    <row r="15" spans="1:29" ht="15.95" customHeight="1" x14ac:dyDescent="0.25">
      <c r="A15" s="14"/>
      <c r="B15" s="874" t="s">
        <v>192</v>
      </c>
      <c r="C15" s="875" t="s">
        <v>308</v>
      </c>
      <c r="D15" s="394">
        <v>10</v>
      </c>
      <c r="E15" s="352">
        <f t="array" aca="1" ref="E15" ca="1">IF($D15&gt;Calc1!$B$14,"",ROW(10:10)-SUM((($L$6:$L14="")+($N$6:$N14="")&gt;0)*1))</f>
        <v>10</v>
      </c>
      <c r="F15" s="108">
        <f ca="1">IF(OR($V$15,$D15&gt;Calc1!$B$14),"",$S$5+QUOTIENT(($E15-1),$V$11)*($S$7+$S$9)/1440+SUM($P$6:$P14)/1440)</f>
        <v>0.4236111111111111</v>
      </c>
      <c r="G15" s="110">
        <f ca="1">IF(OR($V$15,$D15&gt;Calc1!$B$14),"",MOD($E15-1,$V$11)+1)</f>
        <v>2</v>
      </c>
      <c r="H15" s="221" t="str">
        <f t="shared" ca="1" si="0"/>
        <v>B</v>
      </c>
      <c r="I15" s="246" t="str">
        <f ca="1"/>
        <v>B1</v>
      </c>
      <c r="J15" s="247" t="s">
        <v>4</v>
      </c>
      <c r="K15" s="248" t="str">
        <f ca="1"/>
        <v>B4</v>
      </c>
      <c r="L15" s="114" t="str">
        <f t="shared" ca="1" si="1"/>
        <v>Mainz 05</v>
      </c>
      <c r="M15" s="10" t="s">
        <v>4</v>
      </c>
      <c r="N15" s="116" t="str">
        <f t="shared" ca="1" si="2"/>
        <v>Manchester City</v>
      </c>
      <c r="O15" s="600"/>
      <c r="P15" s="595"/>
      <c r="Q15" s="241"/>
      <c r="R15" s="398" t="str">
        <f>Language!$E$112</f>
        <v>End of tournament (final round 1):</v>
      </c>
      <c r="S15" s="401">
        <f ca="1">'Finals 1'!$I$19</f>
        <v>0.54166666666666674</v>
      </c>
      <c r="T15" s="341"/>
      <c r="U15" s="101"/>
      <c r="V15" s="338" t="b">
        <f>OR($S$5="",$S$7="",$S$9="",$S$11="",Calc1!$F$14&lt;3)</f>
        <v>0</v>
      </c>
    </row>
    <row r="16" spans="1:29" ht="15.95" customHeight="1" x14ac:dyDescent="0.25">
      <c r="A16" s="14"/>
      <c r="B16" s="871"/>
      <c r="C16" s="873"/>
      <c r="D16" s="394">
        <v>11</v>
      </c>
      <c r="E16" s="352">
        <f t="array" aca="1" ref="E16" ca="1">IF($D16&gt;Calc1!$B$14,"",ROW(11:11)-SUM((($L$6:$L15="")+($N$6:$N15="")&gt;0)*1))</f>
        <v>11</v>
      </c>
      <c r="F16" s="108">
        <f ca="1">IF(OR($V$15,$D16&gt;Calc1!$B$14),"",$S$5+QUOTIENT(($E16-1),$V$11)*($S$7+$S$9)/1440+SUM($P$6:$P15)/1440)</f>
        <v>0.4236111111111111</v>
      </c>
      <c r="G16" s="110">
        <f ca="1">IF(OR($V$15,$D16&gt;Calc1!$B$14),"",MOD($E16-1,$V$11)+1)</f>
        <v>3</v>
      </c>
      <c r="H16" s="221" t="str">
        <f t="shared" ca="1" si="0"/>
        <v>A</v>
      </c>
      <c r="I16" s="246" t="str">
        <f ca="1"/>
        <v>A3</v>
      </c>
      <c r="J16" s="247" t="s">
        <v>4</v>
      </c>
      <c r="K16" s="248" t="str">
        <f ca="1"/>
        <v>A5</v>
      </c>
      <c r="L16" s="114" t="str">
        <f t="shared" ca="1" si="1"/>
        <v>Eintracht Frankfurt</v>
      </c>
      <c r="M16" s="10" t="s">
        <v>4</v>
      </c>
      <c r="N16" s="116" t="str">
        <f t="shared" ca="1" si="2"/>
        <v>VFB Essenheim</v>
      </c>
      <c r="O16" s="600"/>
      <c r="P16" s="595"/>
      <c r="Q16" s="241"/>
      <c r="R16" s="399" t="str">
        <f>Language!$E$113</f>
        <v>End of tournament (final round 2):</v>
      </c>
      <c r="S16" s="402">
        <f ca="1">'Finals 2'!$I$23</f>
        <v>0.5902777777777779</v>
      </c>
      <c r="T16" s="397"/>
      <c r="U16" s="101"/>
    </row>
    <row r="17" spans="1:29" ht="15.95" customHeight="1" x14ac:dyDescent="0.25">
      <c r="A17" s="14"/>
      <c r="B17" s="874" t="s">
        <v>194</v>
      </c>
      <c r="C17" s="875"/>
      <c r="D17" s="394">
        <v>12</v>
      </c>
      <c r="E17" s="352">
        <f t="array" aca="1" ref="E17" ca="1">IF($D17&gt;Calc1!$B$14,"",ROW(12:12)-SUM((($L$6:$L16="")+($N$6:$N16="")&gt;0)*1))</f>
        <v>12</v>
      </c>
      <c r="F17" s="108">
        <f ca="1">IF(OR($V$15,$D17&gt;Calc1!$B$14),"",$S$5+QUOTIENT(($E17-1),$V$11)*($S$7+$S$9)/1440+SUM($P$6:$P16)/1440)</f>
        <v>0.4236111111111111</v>
      </c>
      <c r="G17" s="110">
        <f ca="1">IF(OR($V$15,$D17&gt;Calc1!$B$14),"",MOD($E17-1,$V$11)+1)</f>
        <v>4</v>
      </c>
      <c r="H17" s="221" t="str">
        <f t="shared" ca="1" si="0"/>
        <v>B</v>
      </c>
      <c r="I17" s="246" t="str">
        <f ca="1"/>
        <v>B3</v>
      </c>
      <c r="J17" s="247" t="s">
        <v>4</v>
      </c>
      <c r="K17" s="248" t="str">
        <f ca="1"/>
        <v>B5</v>
      </c>
      <c r="L17" s="114" t="str">
        <f t="shared" ca="1" si="1"/>
        <v>SSV Wildbach</v>
      </c>
      <c r="M17" s="10" t="s">
        <v>4</v>
      </c>
      <c r="N17" s="116" t="str">
        <f t="shared" ca="1" si="2"/>
        <v>FC Grönlingen</v>
      </c>
      <c r="O17" s="600"/>
      <c r="P17" s="595"/>
      <c r="Q17" s="241"/>
      <c r="R17" s="399" t="str">
        <f>Language!$E$114</f>
        <v>End of tournament (final round 3):</v>
      </c>
      <c r="S17" s="402" t="e">
        <f>#REF!</f>
        <v>#REF!</v>
      </c>
      <c r="T17" s="397"/>
      <c r="U17" s="101"/>
      <c r="W17" s="99">
        <f>Calc1!$F$13</f>
        <v>5</v>
      </c>
      <c r="X17" s="99">
        <f>Calc2!$F$13</f>
        <v>5</v>
      </c>
    </row>
    <row r="18" spans="1:29" ht="15.95" customHeight="1" thickBot="1" x14ac:dyDescent="0.3">
      <c r="A18" s="14"/>
      <c r="B18" s="884"/>
      <c r="C18" s="879"/>
      <c r="D18" s="394">
        <v>13</v>
      </c>
      <c r="E18" s="352">
        <f t="array" aca="1" ref="E18" ca="1">IF($D18&gt;Calc1!$B$14,"",ROW(13:13)-SUM((($L$6:$L17="")+($N$6:$N17="")&gt;0)*1))</f>
        <v>13</v>
      </c>
      <c r="F18" s="108">
        <f ca="1">IF(OR($V$15,$D18&gt;Calc1!$B$14),"",$S$5+QUOTIENT(($E18-1),$V$11)*($S$7+$S$9)/1440+SUM($P$6:$P17)/1440)</f>
        <v>0.44791666666666669</v>
      </c>
      <c r="G18" s="110">
        <f ca="1">IF(OR($V$15,$D18&gt;Calc1!$B$14),"",MOD($E18-1,$V$11)+1)</f>
        <v>1</v>
      </c>
      <c r="H18" s="221" t="str">
        <f t="shared" ca="1" si="0"/>
        <v>A</v>
      </c>
      <c r="I18" s="246" t="str">
        <f ca="1"/>
        <v>A2</v>
      </c>
      <c r="J18" s="247" t="s">
        <v>4</v>
      </c>
      <c r="K18" s="248" t="str">
        <f ca="1"/>
        <v>A4</v>
      </c>
      <c r="L18" s="114" t="str">
        <f t="shared" ca="1" si="1"/>
        <v>FC Barcelona</v>
      </c>
      <c r="M18" s="10" t="s">
        <v>4</v>
      </c>
      <c r="N18" s="116" t="str">
        <f t="shared" ca="1" si="2"/>
        <v>Maibach 1822 eV</v>
      </c>
      <c r="O18" s="600"/>
      <c r="P18" s="595"/>
      <c r="Q18" s="241"/>
      <c r="R18" s="400" t="str">
        <f>Language!$E$115</f>
        <v>End of tournament (final round 4):</v>
      </c>
      <c r="S18" s="403">
        <f ca="1">'Finals 4'!$K$31</f>
        <v>0.59027777777777779</v>
      </c>
      <c r="T18" s="342"/>
      <c r="U18" s="101"/>
    </row>
    <row r="19" spans="1:29" ht="15.95" customHeight="1" thickTop="1" thickBot="1" x14ac:dyDescent="0.3">
      <c r="A19" s="14"/>
      <c r="B19" s="200"/>
      <c r="C19" s="199"/>
      <c r="D19" s="394">
        <v>14</v>
      </c>
      <c r="E19" s="352">
        <f t="array" aca="1" ref="E19" ca="1">IF($D19&gt;Calc1!$B$14,"",ROW(14:14)-SUM((($L$6:$L18="")+($N$6:$N18="")&gt;0)*1))</f>
        <v>14</v>
      </c>
      <c r="F19" s="108">
        <f ca="1">IF(OR($V$15,$D19&gt;Calc1!$B$14),"",$S$5+QUOTIENT(($E19-1),$V$11)*($S$7+$S$9)/1440+SUM($P$6:$P18)/1440)</f>
        <v>0.44791666666666669</v>
      </c>
      <c r="G19" s="110">
        <f ca="1">IF(OR($V$15,$D19&gt;Calc1!$B$14),"",MOD($E19-1,$V$11)+1)</f>
        <v>2</v>
      </c>
      <c r="H19" s="221" t="str">
        <f t="shared" ca="1" si="0"/>
        <v>B</v>
      </c>
      <c r="I19" s="246" t="str">
        <f ca="1"/>
        <v>B2</v>
      </c>
      <c r="J19" s="247" t="s">
        <v>4</v>
      </c>
      <c r="K19" s="248" t="str">
        <f ca="1"/>
        <v>B4</v>
      </c>
      <c r="L19" s="114" t="str">
        <f t="shared" ca="1" si="1"/>
        <v>Inter Mailand</v>
      </c>
      <c r="M19" s="10" t="s">
        <v>4</v>
      </c>
      <c r="N19" s="116" t="str">
        <f t="shared" ca="1" si="2"/>
        <v>Manchester City</v>
      </c>
      <c r="O19" s="600"/>
      <c r="P19" s="595"/>
      <c r="Q19" s="241"/>
      <c r="U19" s="101"/>
      <c r="W19" s="331"/>
      <c r="X19" s="332">
        <v>1</v>
      </c>
      <c r="Y19" s="332">
        <v>2</v>
      </c>
      <c r="Z19" s="332">
        <v>3</v>
      </c>
      <c r="AA19" s="332">
        <v>4</v>
      </c>
      <c r="AB19" s="332">
        <v>5</v>
      </c>
      <c r="AC19" s="333">
        <v>6</v>
      </c>
    </row>
    <row r="20" spans="1:29" ht="15.95" customHeight="1" x14ac:dyDescent="0.25">
      <c r="A20" s="14"/>
      <c r="B20" s="880"/>
      <c r="C20" s="882" t="str">
        <f>Language!$E$16&amp;" B"</f>
        <v>Group B</v>
      </c>
      <c r="D20" s="394">
        <v>15</v>
      </c>
      <c r="E20" s="352">
        <f t="array" aca="1" ref="E20" ca="1">IF($D20&gt;Calc1!$B$14,"",ROW(15:15)-SUM((($L$6:$L19="")+($N$6:$N19="")&gt;0)*1))</f>
        <v>15</v>
      </c>
      <c r="F20" s="108">
        <f ca="1">IF(OR($V$15,$D20&gt;Calc1!$B$14),"",$S$5+QUOTIENT(($E20-1),$V$11)*($S$7+$S$9)/1440+SUM($P$6:$P19)/1440)</f>
        <v>0.44791666666666669</v>
      </c>
      <c r="G20" s="110">
        <f ca="1">IF(OR($V$15,$D20&gt;Calc1!$B$14),"",MOD($E20-1,$V$11)+1)</f>
        <v>3</v>
      </c>
      <c r="H20" s="221" t="str">
        <f t="shared" ca="1" si="0"/>
        <v>A</v>
      </c>
      <c r="I20" s="246" t="str">
        <f ca="1"/>
        <v>A3</v>
      </c>
      <c r="J20" s="247" t="s">
        <v>4</v>
      </c>
      <c r="K20" s="248" t="str">
        <f ca="1"/>
        <v>A1</v>
      </c>
      <c r="L20" s="114" t="str">
        <f t="shared" ca="1" si="1"/>
        <v>Eintracht Frankfurt</v>
      </c>
      <c r="M20" s="10" t="s">
        <v>4</v>
      </c>
      <c r="N20" s="116" t="str">
        <f t="shared" ca="1" si="2"/>
        <v>1. FC Riedwald</v>
      </c>
      <c r="O20" s="600"/>
      <c r="P20" s="595"/>
      <c r="Q20" s="241"/>
      <c r="U20" s="101"/>
      <c r="W20" s="334">
        <v>1</v>
      </c>
      <c r="X20" s="380">
        <v>1</v>
      </c>
      <c r="Y20" s="381">
        <v>1</v>
      </c>
      <c r="Z20" s="381">
        <v>1</v>
      </c>
      <c r="AA20" s="381">
        <v>2</v>
      </c>
      <c r="AB20" s="381">
        <v>2</v>
      </c>
      <c r="AC20" s="382">
        <v>3</v>
      </c>
    </row>
    <row r="21" spans="1:29" ht="15.95" customHeight="1" thickBot="1" x14ac:dyDescent="0.3">
      <c r="A21" s="14"/>
      <c r="B21" s="881"/>
      <c r="C21" s="883"/>
      <c r="D21" s="394">
        <v>16</v>
      </c>
      <c r="E21" s="352">
        <f t="array" aca="1" ref="E21" ca="1">IF($D21&gt;Calc1!$B$14,"",ROW(16:16)-SUM((($L$6:$L20="")+($N$6:$N20="")&gt;0)*1))</f>
        <v>16</v>
      </c>
      <c r="F21" s="108">
        <f ca="1">IF(OR($V$15,$D21&gt;Calc1!$B$14),"",$S$5+QUOTIENT(($E21-1),$V$11)*($S$7+$S$9)/1440+SUM($P$6:$P20)/1440)</f>
        <v>0.44791666666666669</v>
      </c>
      <c r="G21" s="110">
        <f ca="1">IF(OR($V$15,$D21&gt;Calc1!$B$14),"",MOD($E21-1,$V$11)+1)</f>
        <v>4</v>
      </c>
      <c r="H21" s="221" t="str">
        <f t="shared" ca="1" si="0"/>
        <v>B</v>
      </c>
      <c r="I21" s="246" t="str">
        <f ca="1"/>
        <v>B3</v>
      </c>
      <c r="J21" s="247" t="s">
        <v>4</v>
      </c>
      <c r="K21" s="248" t="str">
        <f ca="1"/>
        <v>B1</v>
      </c>
      <c r="L21" s="114" t="str">
        <f t="shared" ca="1" si="1"/>
        <v>SSV Wildbach</v>
      </c>
      <c r="M21" s="10" t="s">
        <v>4</v>
      </c>
      <c r="N21" s="116" t="str">
        <f t="shared" ca="1" si="2"/>
        <v>Mainz 05</v>
      </c>
      <c r="O21" s="600"/>
      <c r="P21" s="595"/>
      <c r="Q21" s="241"/>
      <c r="U21" s="101"/>
      <c r="W21" s="334">
        <v>2</v>
      </c>
      <c r="X21" s="383">
        <v>1</v>
      </c>
      <c r="Y21" s="384">
        <v>2</v>
      </c>
      <c r="Z21" s="384">
        <v>1</v>
      </c>
      <c r="AA21" s="384">
        <v>2</v>
      </c>
      <c r="AB21" s="384">
        <v>2</v>
      </c>
      <c r="AC21" s="385">
        <v>3</v>
      </c>
    </row>
    <row r="22" spans="1:29" ht="15.95" customHeight="1" thickTop="1" x14ac:dyDescent="0.25">
      <c r="A22" s="14"/>
      <c r="B22" s="862"/>
      <c r="C22" s="864" t="str">
        <f>Language!$E$10</f>
        <v>Participant or team</v>
      </c>
      <c r="D22" s="394">
        <v>17</v>
      </c>
      <c r="E22" s="352">
        <f t="array" aca="1" ref="E22" ca="1">IF($D22&gt;Calc1!$B$14,"",ROW(17:17)-SUM((($L$6:$L21="")+($N$6:$N21="")&gt;0)*1))</f>
        <v>17</v>
      </c>
      <c r="F22" s="108">
        <f ca="1">IF(OR($V$15,$D22&gt;Calc1!$B$14),"",$S$5+QUOTIENT(($E22-1),$V$11)*($S$7+$S$9)/1440+SUM($P$6:$P21)/1440)</f>
        <v>0.47222222222222221</v>
      </c>
      <c r="G22" s="110">
        <f ca="1">IF(OR($V$15,$D22&gt;Calc1!$B$14),"",MOD($E22-1,$V$11)+1)</f>
        <v>1</v>
      </c>
      <c r="H22" s="221" t="str">
        <f t="shared" ca="1" si="0"/>
        <v>A</v>
      </c>
      <c r="I22" s="246" t="str">
        <f ca="1"/>
        <v>A4</v>
      </c>
      <c r="J22" s="247" t="s">
        <v>4</v>
      </c>
      <c r="K22" s="248" t="str">
        <f ca="1"/>
        <v>A5</v>
      </c>
      <c r="L22" s="114" t="str">
        <f t="shared" ca="1" si="1"/>
        <v>Maibach 1822 eV</v>
      </c>
      <c r="M22" s="10" t="s">
        <v>4</v>
      </c>
      <c r="N22" s="116" t="str">
        <f t="shared" ca="1" si="2"/>
        <v>VFB Essenheim</v>
      </c>
      <c r="O22" s="600"/>
      <c r="P22" s="595"/>
      <c r="Q22" s="241"/>
      <c r="R22" s="858" t="str">
        <f>Language!$E$110&amp;$V$10&amp;Language!$E$111</f>
        <v>Due to time conflicts, you can only play on a maximum of 6 pitches at the same time.</v>
      </c>
      <c r="S22" s="858"/>
      <c r="T22" s="858"/>
      <c r="U22" s="101"/>
      <c r="W22" s="334">
        <v>3</v>
      </c>
      <c r="X22" s="383">
        <v>1</v>
      </c>
      <c r="Y22" s="384">
        <v>1</v>
      </c>
      <c r="Z22" s="384">
        <v>2</v>
      </c>
      <c r="AA22" s="384">
        <v>3</v>
      </c>
      <c r="AB22" s="384">
        <v>2</v>
      </c>
      <c r="AC22" s="385">
        <v>4</v>
      </c>
    </row>
    <row r="23" spans="1:29" ht="15.95" customHeight="1" x14ac:dyDescent="0.25">
      <c r="A23" s="14"/>
      <c r="B23" s="863"/>
      <c r="C23" s="865"/>
      <c r="D23" s="394">
        <v>18</v>
      </c>
      <c r="E23" s="352">
        <f t="array" aca="1" ref="E23" ca="1">IF($D23&gt;Calc1!$B$14,"",ROW(18:18)-SUM((($L$6:$L22="")+($N$6:$N22="")&gt;0)*1))</f>
        <v>18</v>
      </c>
      <c r="F23" s="108">
        <f ca="1">IF(OR($V$15,$D23&gt;Calc1!$B$14),"",$S$5+QUOTIENT(($E23-1),$V$11)*($S$7+$S$9)/1440+SUM($P$6:$P22)/1440)</f>
        <v>0.47222222222222221</v>
      </c>
      <c r="G23" s="110">
        <f ca="1">IF(OR($V$15,$D23&gt;Calc1!$B$14),"",MOD($E23-1,$V$11)+1)</f>
        <v>2</v>
      </c>
      <c r="H23" s="221" t="str">
        <f t="shared" ca="1" si="0"/>
        <v>B</v>
      </c>
      <c r="I23" s="246" t="str">
        <f ca="1"/>
        <v>B4</v>
      </c>
      <c r="J23" s="247" t="s">
        <v>4</v>
      </c>
      <c r="K23" s="248" t="str">
        <f ca="1"/>
        <v>B5</v>
      </c>
      <c r="L23" s="114" t="str">
        <f t="shared" ca="1" si="1"/>
        <v>Manchester City</v>
      </c>
      <c r="M23" s="10" t="s">
        <v>4</v>
      </c>
      <c r="N23" s="116" t="str">
        <f t="shared" ca="1" si="2"/>
        <v>FC Grönlingen</v>
      </c>
      <c r="O23" s="600"/>
      <c r="P23" s="595"/>
      <c r="Q23" s="241"/>
      <c r="R23" s="858"/>
      <c r="S23" s="858"/>
      <c r="T23" s="858"/>
      <c r="U23" s="101"/>
      <c r="W23" s="334">
        <v>4</v>
      </c>
      <c r="X23" s="383">
        <v>2</v>
      </c>
      <c r="Y23" s="384">
        <v>2</v>
      </c>
      <c r="Z23" s="384">
        <v>3</v>
      </c>
      <c r="AA23" s="384">
        <v>4</v>
      </c>
      <c r="AB23" s="384">
        <v>3</v>
      </c>
      <c r="AC23" s="385">
        <v>3</v>
      </c>
    </row>
    <row r="24" spans="1:29" ht="15.95" customHeight="1" x14ac:dyDescent="0.25">
      <c r="A24" s="14"/>
      <c r="B24" s="870" t="s">
        <v>187</v>
      </c>
      <c r="C24" s="872" t="s">
        <v>239</v>
      </c>
      <c r="D24" s="394">
        <v>19</v>
      </c>
      <c r="E24" s="352">
        <f t="array" aca="1" ref="E24" ca="1">IF($D24&gt;Calc1!$B$14,"",ROW(19:19)-SUM((($L$6:$L23="")+($N$6:$N23="")&gt;0)*1))</f>
        <v>19</v>
      </c>
      <c r="F24" s="108">
        <f ca="1">IF(OR($V$15,$D24&gt;Calc1!$B$14),"",$S$5+QUOTIENT(($E24-1),$V$11)*($S$7+$S$9)/1440+SUM($P$6:$P23)/1440)</f>
        <v>0.47222222222222221</v>
      </c>
      <c r="G24" s="110">
        <f ca="1">IF(OR($V$15,$D24&gt;Calc1!$B$14),"",MOD($E24-1,$V$11)+1)</f>
        <v>3</v>
      </c>
      <c r="H24" s="221" t="str">
        <f t="shared" ca="1" si="0"/>
        <v>A</v>
      </c>
      <c r="I24" s="246" t="str">
        <f ca="1"/>
        <v>A1</v>
      </c>
      <c r="J24" s="247" t="s">
        <v>4</v>
      </c>
      <c r="K24" s="248" t="str">
        <f ca="1"/>
        <v>A2</v>
      </c>
      <c r="L24" s="114" t="str">
        <f t="shared" ca="1" si="1"/>
        <v>1. FC Riedwald</v>
      </c>
      <c r="M24" s="10" t="s">
        <v>4</v>
      </c>
      <c r="N24" s="116" t="str">
        <f t="shared" ca="1" si="2"/>
        <v>FC Barcelona</v>
      </c>
      <c r="O24" s="600"/>
      <c r="P24" s="595"/>
      <c r="Q24" s="241"/>
      <c r="R24" s="339"/>
      <c r="S24" s="376" t="str">
        <f t="array" aca="1" ref="S24" ca="1">IFERROR(proof!$E$3-SUM(((OFFSET($L$6,0,0,proof!$E$3,1)="")+(OFFSET($N$6,0,0,proof!$E$3,1)="")&gt;0)*1),"")</f>
        <v/>
      </c>
      <c r="T24" s="376" t="str">
        <f t="array" aca="1" ref="T24" ca="1">IFERROR(proof!$E$4-SUM(((OFFSET($L$6,0,0,proof!$E$4,1)="")+(OFFSET($N$6,0,0,proof!$E$4,1)="")&gt;0)*1),"")</f>
        <v/>
      </c>
      <c r="U24" s="101"/>
      <c r="W24" s="334">
        <v>5</v>
      </c>
      <c r="X24" s="383">
        <v>2</v>
      </c>
      <c r="Y24" s="384">
        <v>2</v>
      </c>
      <c r="Z24" s="384">
        <v>2</v>
      </c>
      <c r="AA24" s="384">
        <v>3</v>
      </c>
      <c r="AB24" s="384">
        <v>4</v>
      </c>
      <c r="AC24" s="385">
        <v>5</v>
      </c>
    </row>
    <row r="25" spans="1:29" ht="15.95" customHeight="1" thickBot="1" x14ac:dyDescent="0.3">
      <c r="B25" s="871"/>
      <c r="C25" s="873"/>
      <c r="D25" s="394">
        <v>20</v>
      </c>
      <c r="E25" s="352">
        <f t="array" aca="1" ref="E25" ca="1">IF($D25&gt;Calc1!$B$14,"",ROW(20:20)-SUM((($L$6:$L24="")+($N$6:$N24="")&gt;0)*1))</f>
        <v>20</v>
      </c>
      <c r="F25" s="108">
        <f ca="1">IF(OR($V$15,$D25&gt;Calc1!$B$14),"",$S$5+QUOTIENT(($E25-1),$V$11)*($S$7+$S$9)/1440+SUM($P$6:$P24)/1440)</f>
        <v>0.47222222222222221</v>
      </c>
      <c r="G25" s="110">
        <f ca="1">IF(OR($V$15,$D25&gt;Calc1!$B$14),"",MOD($E25-1,$V$11)+1)</f>
        <v>4</v>
      </c>
      <c r="H25" s="221" t="str">
        <f t="shared" ca="1" si="0"/>
        <v>B</v>
      </c>
      <c r="I25" s="246" t="str">
        <f ca="1"/>
        <v>B1</v>
      </c>
      <c r="J25" s="247" t="s">
        <v>4</v>
      </c>
      <c r="K25" s="248" t="str">
        <f ca="1"/>
        <v>B2</v>
      </c>
      <c r="L25" s="114" t="str">
        <f t="shared" ca="1" si="1"/>
        <v>Mainz 05</v>
      </c>
      <c r="M25" s="10" t="s">
        <v>4</v>
      </c>
      <c r="N25" s="116" t="str">
        <f t="shared" ca="1" si="2"/>
        <v>Inter Mailand</v>
      </c>
      <c r="O25" s="600"/>
      <c r="P25" s="595"/>
      <c r="Q25" s="241"/>
      <c r="R25" s="846" t="str">
        <f ca="1">IF($V$15,"",IF(proof!$G$2="FEHLER",Language!$E$117&amp;proof!$E$6,""))</f>
        <v/>
      </c>
      <c r="S25" s="846"/>
      <c r="T25" s="846"/>
      <c r="U25" s="101"/>
      <c r="W25" s="335">
        <v>6</v>
      </c>
      <c r="X25" s="386">
        <v>3</v>
      </c>
      <c r="Y25" s="387">
        <v>3</v>
      </c>
      <c r="Z25" s="387">
        <v>4</v>
      </c>
      <c r="AA25" s="387">
        <v>3</v>
      </c>
      <c r="AB25" s="387">
        <v>5</v>
      </c>
      <c r="AC25" s="388">
        <v>6</v>
      </c>
    </row>
    <row r="26" spans="1:29" ht="15.95" customHeight="1" thickTop="1" x14ac:dyDescent="0.25">
      <c r="B26" s="874" t="s">
        <v>189</v>
      </c>
      <c r="C26" s="875" t="s">
        <v>240</v>
      </c>
      <c r="D26" s="394">
        <v>21</v>
      </c>
      <c r="E26" s="352" t="str">
        <f t="array" ref="E26">IF($D26&gt;Calc1!$B$14,"",ROW(21:21)-SUM((($L$6:$L25="")+($N$6:$N25="")&gt;0)*1))</f>
        <v/>
      </c>
      <c r="F26" s="108" t="str">
        <f>IF(OR($V$15,$D26&gt;Calc1!$B$14),"",$S$5+QUOTIENT(($E26-1),$V$11)*($S$7+$S$9)/1440+SUM($P$6:$P25)/1440)</f>
        <v/>
      </c>
      <c r="G26" s="110" t="str">
        <f>IF(OR($V$15,$D26&gt;Calc1!$B$14),"",MOD($E26-1,$V$11)+1)</f>
        <v/>
      </c>
      <c r="H26" s="221" t="str">
        <f t="shared" ca="1" si="0"/>
        <v/>
      </c>
      <c r="I26" s="246" t="str">
        <f ca="1"/>
        <v/>
      </c>
      <c r="J26" s="247" t="s">
        <v>4</v>
      </c>
      <c r="K26" s="248" t="str">
        <f ca="1"/>
        <v/>
      </c>
      <c r="L26" s="114" t="str">
        <f t="shared" ca="1" si="1"/>
        <v/>
      </c>
      <c r="M26" s="10" t="s">
        <v>4</v>
      </c>
      <c r="N26" s="116" t="str">
        <f t="shared" ca="1" si="2"/>
        <v/>
      </c>
      <c r="O26" s="600"/>
      <c r="P26" s="595"/>
      <c r="Q26" s="241"/>
      <c r="R26" s="846" t="str">
        <f ca="1">IF($V$15,"",IF(proof!$G$2="FEHLER",Language!$E$118&amp;$S$24&amp;Language!$E$119&amp;$T$24,""))</f>
        <v/>
      </c>
      <c r="S26" s="846"/>
      <c r="T26" s="846"/>
      <c r="U26" s="101"/>
    </row>
    <row r="27" spans="1:29" ht="15.95" customHeight="1" x14ac:dyDescent="0.25">
      <c r="B27" s="871"/>
      <c r="C27" s="873"/>
      <c r="D27" s="394">
        <v>22</v>
      </c>
      <c r="E27" s="352" t="str">
        <f t="array" ref="E27">IF($D27&gt;Calc1!$B$14,"",ROW(22:22)-SUM((($L$6:$L26="")+($N$6:$N26="")&gt;0)*1))</f>
        <v/>
      </c>
      <c r="F27" s="108" t="str">
        <f>IF(OR($V$15,$D27&gt;Calc1!$B$14),"",$S$5+QUOTIENT(($E27-1),$V$11)*($S$7+$S$9)/1440+SUM($P$6:$P26)/1440)</f>
        <v/>
      </c>
      <c r="G27" s="110" t="str">
        <f>IF(OR($V$15,$D27&gt;Calc1!$B$14),"",MOD($E27-1,$V$11)+1)</f>
        <v/>
      </c>
      <c r="H27" s="221" t="str">
        <f t="shared" ca="1" si="0"/>
        <v/>
      </c>
      <c r="I27" s="246" t="str">
        <f ca="1"/>
        <v/>
      </c>
      <c r="J27" s="247" t="s">
        <v>4</v>
      </c>
      <c r="K27" s="248" t="str">
        <f ca="1"/>
        <v/>
      </c>
      <c r="L27" s="114" t="str">
        <f t="shared" ca="1" si="1"/>
        <v/>
      </c>
      <c r="M27" s="10" t="s">
        <v>4</v>
      </c>
      <c r="N27" s="116" t="str">
        <f t="shared" ca="1" si="2"/>
        <v/>
      </c>
      <c r="O27" s="600"/>
      <c r="P27" s="595"/>
      <c r="Q27" s="241"/>
      <c r="R27" s="339"/>
      <c r="S27" s="105"/>
      <c r="T27" s="105"/>
      <c r="U27" s="101"/>
    </row>
    <row r="28" spans="1:29" ht="15.95" customHeight="1" x14ac:dyDescent="0.25">
      <c r="B28" s="874" t="s">
        <v>185</v>
      </c>
      <c r="C28" s="875" t="s">
        <v>242</v>
      </c>
      <c r="D28" s="394">
        <v>23</v>
      </c>
      <c r="E28" s="352" t="str">
        <f t="array" ref="E28">IF($D28&gt;Calc1!$B$14,"",ROW(23:23)-SUM((($L$6:$L27="")+($N$6:$N27="")&gt;0)*1))</f>
        <v/>
      </c>
      <c r="F28" s="108" t="str">
        <f>IF(OR($V$15,$D28&gt;Calc1!$B$14),"",$S$5+QUOTIENT(($E28-1),$V$11)*($S$7+$S$9)/1440+SUM($P$6:$P27)/1440)</f>
        <v/>
      </c>
      <c r="G28" s="110" t="str">
        <f>IF(OR($V$15,$D28&gt;Calc1!$B$14),"",MOD($E28-1,$V$11)+1)</f>
        <v/>
      </c>
      <c r="H28" s="221" t="str">
        <f t="shared" ca="1" si="0"/>
        <v/>
      </c>
      <c r="I28" s="246" t="str">
        <f ca="1"/>
        <v/>
      </c>
      <c r="J28" s="247" t="s">
        <v>4</v>
      </c>
      <c r="K28" s="248" t="str">
        <f ca="1"/>
        <v/>
      </c>
      <c r="L28" s="12" t="str">
        <f t="shared" ca="1" si="1"/>
        <v/>
      </c>
      <c r="M28" s="10" t="s">
        <v>4</v>
      </c>
      <c r="N28" s="11" t="str">
        <f t="shared" ca="1" si="2"/>
        <v/>
      </c>
      <c r="O28" s="600"/>
      <c r="P28" s="595"/>
      <c r="Q28" s="241"/>
      <c r="R28" s="105"/>
      <c r="S28" s="105"/>
      <c r="T28" s="105"/>
      <c r="U28" s="101"/>
    </row>
    <row r="29" spans="1:29" ht="15.95" customHeight="1" x14ac:dyDescent="0.25">
      <c r="B29" s="871"/>
      <c r="C29" s="873"/>
      <c r="D29" s="394">
        <v>24</v>
      </c>
      <c r="E29" s="352" t="str">
        <f t="array" ref="E29">IF($D29&gt;Calc1!$B$14,"",ROW(24:24)-SUM((($L$6:$L28="")+($N$6:$N28="")&gt;0)*1))</f>
        <v/>
      </c>
      <c r="F29" s="108" t="str">
        <f>IF(OR($V$15,$D29&gt;Calc1!$B$14),"",$S$5+QUOTIENT(($E29-1),$V$11)*($S$7+$S$9)/1440+SUM($P$6:$P28)/1440)</f>
        <v/>
      </c>
      <c r="G29" s="110" t="str">
        <f>IF(OR($V$15,$D29&gt;Calc1!$B$14),"",MOD($E29-1,$V$11)+1)</f>
        <v/>
      </c>
      <c r="H29" s="221" t="str">
        <f t="shared" ca="1" si="0"/>
        <v/>
      </c>
      <c r="I29" s="246" t="str">
        <f ca="1"/>
        <v/>
      </c>
      <c r="J29" s="247" t="s">
        <v>4</v>
      </c>
      <c r="K29" s="248" t="str">
        <f ca="1"/>
        <v/>
      </c>
      <c r="L29" s="114" t="str">
        <f t="shared" ca="1" si="1"/>
        <v/>
      </c>
      <c r="M29" s="10" t="s">
        <v>4</v>
      </c>
      <c r="N29" s="116" t="str">
        <f t="shared" ca="1" si="2"/>
        <v/>
      </c>
      <c r="O29" s="600"/>
      <c r="P29" s="595"/>
      <c r="Q29" s="241"/>
      <c r="R29" s="339"/>
      <c r="S29" s="105"/>
      <c r="T29" s="105"/>
      <c r="U29" s="101"/>
    </row>
    <row r="30" spans="1:29" ht="15.95" customHeight="1" x14ac:dyDescent="0.25">
      <c r="B30" s="874" t="s">
        <v>191</v>
      </c>
      <c r="C30" s="875" t="s">
        <v>241</v>
      </c>
      <c r="D30" s="394">
        <v>25</v>
      </c>
      <c r="E30" s="352" t="str">
        <f t="array" ref="E30">IF($D30&gt;Calc1!$B$14,"",ROW(25:25)-SUM((($L$6:$L29="")+($N$6:$N29="")&gt;0)*1))</f>
        <v/>
      </c>
      <c r="F30" s="108" t="str">
        <f>IF(OR($V$15,$D30&gt;Calc1!$B$14),"",$S$5+QUOTIENT(($E30-1),$V$11)*($S$7+$S$9)/1440+SUM($P$6:$P29)/1440)</f>
        <v/>
      </c>
      <c r="G30" s="110" t="str">
        <f>IF(OR($V$15,$D30&gt;Calc1!$B$14),"",MOD($E30-1,$V$11)+1)</f>
        <v/>
      </c>
      <c r="H30" s="221" t="str">
        <f t="shared" ca="1" si="0"/>
        <v/>
      </c>
      <c r="I30" s="246" t="str">
        <f ca="1"/>
        <v/>
      </c>
      <c r="J30" s="247" t="s">
        <v>4</v>
      </c>
      <c r="K30" s="248" t="str">
        <f ca="1"/>
        <v/>
      </c>
      <c r="L30" s="114" t="str">
        <f t="shared" ca="1" si="1"/>
        <v/>
      </c>
      <c r="M30" s="10" t="s">
        <v>4</v>
      </c>
      <c r="N30" s="116" t="str">
        <f t="shared" ca="1" si="2"/>
        <v/>
      </c>
      <c r="O30" s="600"/>
      <c r="P30" s="595"/>
      <c r="Q30" s="241"/>
      <c r="R30" s="339"/>
      <c r="S30" s="105"/>
      <c r="T30" s="105"/>
      <c r="U30" s="101"/>
    </row>
    <row r="31" spans="1:29" ht="15.95" customHeight="1" x14ac:dyDescent="0.25">
      <c r="B31" s="871"/>
      <c r="C31" s="873"/>
      <c r="D31" s="394">
        <v>26</v>
      </c>
      <c r="E31" s="352" t="str">
        <f t="array" ref="E31">IF($D31&gt;Calc1!$B$14,"",ROW(26:26)-SUM((($L$6:$L30="")+($N$6:$N30="")&gt;0)*1))</f>
        <v/>
      </c>
      <c r="F31" s="108" t="str">
        <f>IF(OR($V$15,$D31&gt;Calc1!$B$14),"",$S$5+QUOTIENT(($E31-1),$V$11)*($S$7+$S$9)/1440+SUM($P$6:$P30)/1440)</f>
        <v/>
      </c>
      <c r="G31" s="110" t="str">
        <f>IF(OR($V$15,$D31&gt;Calc1!$B$14),"",MOD($E31-1,$V$11)+1)</f>
        <v/>
      </c>
      <c r="H31" s="221" t="str">
        <f t="shared" ca="1" si="0"/>
        <v/>
      </c>
      <c r="I31" s="246" t="str">
        <f ca="1"/>
        <v/>
      </c>
      <c r="J31" s="247" t="s">
        <v>4</v>
      </c>
      <c r="K31" s="248" t="str">
        <f ca="1"/>
        <v/>
      </c>
      <c r="L31" s="114" t="str">
        <f t="shared" ca="1" si="1"/>
        <v/>
      </c>
      <c r="M31" s="10" t="s">
        <v>4</v>
      </c>
      <c r="N31" s="116" t="str">
        <f t="shared" ca="1" si="2"/>
        <v/>
      </c>
      <c r="O31" s="600"/>
      <c r="P31" s="595"/>
      <c r="Q31" s="241"/>
      <c r="R31" s="339"/>
      <c r="S31" s="105"/>
      <c r="T31" s="105"/>
      <c r="U31" s="101"/>
    </row>
    <row r="32" spans="1:29" ht="15.95" customHeight="1" x14ac:dyDescent="0.25">
      <c r="B32" s="874" t="s">
        <v>193</v>
      </c>
      <c r="C32" s="875" t="s">
        <v>243</v>
      </c>
      <c r="D32" s="394">
        <v>27</v>
      </c>
      <c r="E32" s="352" t="str">
        <f t="array" ref="E32">IF($D32&gt;Calc1!$B$14,"",ROW(27:27)-SUM((($L$6:$L31="")+($N$6:$N31="")&gt;0)*1))</f>
        <v/>
      </c>
      <c r="F32" s="108" t="str">
        <f>IF(OR($V$15,$D32&gt;Calc1!$B$14),"",$S$5+QUOTIENT(($E32-1),$V$11)*($S$7+$S$9)/1440+SUM($P$6:$P31)/1440)</f>
        <v/>
      </c>
      <c r="G32" s="110" t="str">
        <f>IF(OR($V$15,$D32&gt;Calc1!$B$14),"",MOD($E32-1,$V$11)+1)</f>
        <v/>
      </c>
      <c r="H32" s="222" t="str">
        <f t="shared" ca="1" si="0"/>
        <v/>
      </c>
      <c r="I32" s="246" t="str">
        <f ca="1"/>
        <v/>
      </c>
      <c r="J32" s="247" t="s">
        <v>4</v>
      </c>
      <c r="K32" s="248" t="str">
        <f ca="1"/>
        <v/>
      </c>
      <c r="L32" s="12" t="str">
        <f t="shared" ca="1" si="1"/>
        <v/>
      </c>
      <c r="M32" s="10" t="s">
        <v>4</v>
      </c>
      <c r="N32" s="11" t="str">
        <f t="shared" ca="1" si="2"/>
        <v/>
      </c>
      <c r="O32" s="600"/>
      <c r="P32" s="595"/>
      <c r="Q32" s="241"/>
      <c r="R32" s="339"/>
      <c r="S32" s="105"/>
      <c r="T32" s="105"/>
      <c r="U32" s="101"/>
    </row>
    <row r="33" spans="2:21" ht="15.95" customHeight="1" x14ac:dyDescent="0.25">
      <c r="B33" s="871"/>
      <c r="C33" s="873"/>
      <c r="D33" s="394">
        <v>28</v>
      </c>
      <c r="E33" s="352" t="str">
        <f t="array" ref="E33">IF($D33&gt;Calc1!$B$14,"",ROW(28:28)-SUM((($L$6:$L32="")+($N$6:$N32="")&gt;0)*1))</f>
        <v/>
      </c>
      <c r="F33" s="108" t="str">
        <f>IF(OR($V$15,$D33&gt;Calc1!$B$14),"",$S$5+QUOTIENT(($E33-1),$V$11)*($S$7+$S$9)/1440+SUM($P$6:$P32)/1440)</f>
        <v/>
      </c>
      <c r="G33" s="110" t="str">
        <f>IF(OR($V$15,$D33&gt;Calc1!$B$14),"",MOD($E33-1,$V$11)+1)</f>
        <v/>
      </c>
      <c r="H33" s="222" t="str">
        <f t="shared" ca="1" si="0"/>
        <v/>
      </c>
      <c r="I33" s="246" t="str">
        <f ca="1"/>
        <v/>
      </c>
      <c r="J33" s="247" t="s">
        <v>4</v>
      </c>
      <c r="K33" s="248" t="str">
        <f ca="1"/>
        <v/>
      </c>
      <c r="L33" s="12" t="str">
        <f t="shared" ca="1" si="1"/>
        <v/>
      </c>
      <c r="M33" s="10" t="s">
        <v>4</v>
      </c>
      <c r="N33" s="11" t="str">
        <f t="shared" ca="1" si="2"/>
        <v/>
      </c>
      <c r="O33" s="600"/>
      <c r="P33" s="595"/>
      <c r="Q33" s="241"/>
      <c r="R33" s="339"/>
      <c r="S33" s="105"/>
      <c r="T33" s="105"/>
      <c r="U33" s="101"/>
    </row>
    <row r="34" spans="2:21" ht="15.95" customHeight="1" x14ac:dyDescent="0.25">
      <c r="B34" s="874" t="s">
        <v>195</v>
      </c>
      <c r="C34" s="875"/>
      <c r="D34" s="394">
        <v>29</v>
      </c>
      <c r="E34" s="352" t="str">
        <f t="array" ref="E34">IF($D34&gt;Calc1!$B$14,"",ROW(29:29)-SUM((($L$6:$L33="")+($N$6:$N33="")&gt;0)*1))</f>
        <v/>
      </c>
      <c r="F34" s="108" t="str">
        <f>IF(OR($V$15,$D34&gt;Calc1!$B$14),"",$S$5+QUOTIENT(($E34-1),$V$11)*($S$7+$S$9)/1440+SUM($P$6:$P33)/1440)</f>
        <v/>
      </c>
      <c r="G34" s="110" t="str">
        <f>IF(OR($V$15,$D34&gt;Calc1!$B$14),"",MOD($E34-1,$V$11)+1)</f>
        <v/>
      </c>
      <c r="H34" s="221" t="str">
        <f t="shared" ca="1" si="0"/>
        <v/>
      </c>
      <c r="I34" s="246" t="str">
        <f ca="1"/>
        <v/>
      </c>
      <c r="J34" s="247" t="s">
        <v>4</v>
      </c>
      <c r="K34" s="248" t="str">
        <f ca="1"/>
        <v/>
      </c>
      <c r="L34" s="12" t="str">
        <f t="shared" ca="1" si="1"/>
        <v/>
      </c>
      <c r="M34" s="10" t="s">
        <v>4</v>
      </c>
      <c r="N34" s="11" t="str">
        <f t="shared" ca="1" si="2"/>
        <v/>
      </c>
      <c r="O34" s="600"/>
      <c r="P34" s="596"/>
      <c r="Q34" s="241"/>
      <c r="R34" s="339"/>
      <c r="S34" s="105"/>
      <c r="T34" s="105"/>
      <c r="U34" s="101"/>
    </row>
    <row r="35" spans="2:21" ht="15.95" customHeight="1" thickBot="1" x14ac:dyDescent="0.3">
      <c r="B35" s="884"/>
      <c r="C35" s="879"/>
      <c r="D35" s="394">
        <v>30</v>
      </c>
      <c r="E35" s="353" t="str">
        <f t="array" ref="E35">IF($D35&gt;Calc1!$B$14,"",ROW(30:30)-SUM((($L$6:$L34="")+($N$6:$N34="")&gt;0)*1))</f>
        <v/>
      </c>
      <c r="F35" s="111" t="str">
        <f>IF(OR($V$15,$D35&gt;Calc1!$B$14),"",$S$5+QUOTIENT(($E35-1),$V$11)*($S$7+$S$9)/1440+SUM($P$6:$P34)/1440)</f>
        <v/>
      </c>
      <c r="G35" s="112" t="str">
        <f>IF(OR($V$15,$D35&gt;Calc1!$B$14),"",MOD($E35-1,$V$11)+1)</f>
        <v/>
      </c>
      <c r="H35" s="227" t="str">
        <f t="shared" ca="1" si="0"/>
        <v/>
      </c>
      <c r="I35" s="249" t="str">
        <f ca="1"/>
        <v/>
      </c>
      <c r="J35" s="250" t="s">
        <v>4</v>
      </c>
      <c r="K35" s="251" t="str">
        <f ca="1"/>
        <v/>
      </c>
      <c r="L35" s="164" t="str">
        <f t="shared" ca="1" si="1"/>
        <v/>
      </c>
      <c r="M35" s="113" t="s">
        <v>4</v>
      </c>
      <c r="N35" s="165" t="str">
        <f t="shared" ca="1" si="2"/>
        <v/>
      </c>
      <c r="O35" s="601"/>
      <c r="P35" s="597"/>
      <c r="Q35" s="281">
        <f ca="1">OFFSET($P$6,Calc1!$B$14-1,0)</f>
        <v>0</v>
      </c>
      <c r="R35" s="339"/>
      <c r="S35" s="105"/>
      <c r="T35" s="105"/>
      <c r="U35" s="101"/>
    </row>
    <row r="36" spans="2:21" ht="18" thickTop="1" x14ac:dyDescent="0.25">
      <c r="D36" s="102"/>
      <c r="E36" s="207"/>
      <c r="F36" s="208"/>
      <c r="G36" s="209"/>
      <c r="H36" s="209"/>
      <c r="I36" s="210"/>
      <c r="J36" s="211"/>
      <c r="K36" s="212"/>
      <c r="L36" s="213"/>
      <c r="M36" s="214"/>
      <c r="N36" s="215"/>
      <c r="O36" s="215"/>
      <c r="P36" s="104"/>
      <c r="Q36" s="104"/>
      <c r="R36" s="339"/>
      <c r="S36" s="105"/>
      <c r="T36" s="105"/>
      <c r="U36" s="242"/>
    </row>
    <row r="37" spans="2:21" ht="17.25" x14ac:dyDescent="0.25">
      <c r="D37" s="102"/>
      <c r="E37" s="207"/>
      <c r="F37" s="208"/>
      <c r="G37" s="209"/>
      <c r="H37" s="209"/>
      <c r="I37" s="210"/>
      <c r="J37" s="211"/>
      <c r="K37" s="212"/>
      <c r="L37" s="213"/>
      <c r="M37" s="214"/>
      <c r="N37" s="215"/>
      <c r="O37" s="215"/>
      <c r="P37" s="104"/>
      <c r="Q37" s="104"/>
      <c r="R37" s="339"/>
      <c r="S37" s="105"/>
      <c r="T37" s="105"/>
      <c r="U37" s="242"/>
    </row>
    <row r="38" spans="2:21" ht="17.25" x14ac:dyDescent="0.25">
      <c r="D38" s="102"/>
      <c r="E38" s="207"/>
      <c r="F38" s="208"/>
      <c r="G38" s="209"/>
      <c r="H38" s="209"/>
      <c r="I38" s="210"/>
      <c r="J38" s="211"/>
      <c r="K38" s="212"/>
      <c r="L38" s="213"/>
      <c r="M38" s="214"/>
      <c r="N38" s="215"/>
      <c r="O38" s="215"/>
      <c r="P38" s="104"/>
      <c r="Q38" s="104"/>
      <c r="R38" s="339"/>
      <c r="S38" s="105"/>
      <c r="T38" s="105"/>
      <c r="U38" s="105"/>
    </row>
    <row r="39" spans="2:21" ht="17.25" hidden="1" x14ac:dyDescent="0.25">
      <c r="D39" s="102"/>
      <c r="E39" s="207"/>
      <c r="F39" s="208"/>
      <c r="G39" s="209"/>
      <c r="H39" s="209"/>
      <c r="I39" s="210"/>
      <c r="J39" s="211"/>
      <c r="K39" s="212"/>
      <c r="L39" s="213"/>
      <c r="M39" s="214"/>
      <c r="N39" s="215"/>
      <c r="O39" s="215"/>
      <c r="P39" s="104"/>
      <c r="Q39" s="104"/>
      <c r="R39" s="105"/>
      <c r="S39" s="105"/>
      <c r="T39" s="105"/>
      <c r="U39" s="105"/>
    </row>
  </sheetData>
  <sheetProtection sheet="1" selectLockedCells="1"/>
  <mergeCells count="52">
    <mergeCell ref="B22:B23"/>
    <mergeCell ref="C22:C23"/>
    <mergeCell ref="B24:B25"/>
    <mergeCell ref="C24:C25"/>
    <mergeCell ref="B26:B27"/>
    <mergeCell ref="C26:C27"/>
    <mergeCell ref="B34:B35"/>
    <mergeCell ref="C34:C35"/>
    <mergeCell ref="B28:B29"/>
    <mergeCell ref="C28:C29"/>
    <mergeCell ref="B30:B31"/>
    <mergeCell ref="C30:C31"/>
    <mergeCell ref="B32:B33"/>
    <mergeCell ref="C32:C33"/>
    <mergeCell ref="C17:C18"/>
    <mergeCell ref="B20:B21"/>
    <mergeCell ref="C20:C21"/>
    <mergeCell ref="B15:B16"/>
    <mergeCell ref="C15:C16"/>
    <mergeCell ref="B17:B18"/>
    <mergeCell ref="B9:B10"/>
    <mergeCell ref="C9:C10"/>
    <mergeCell ref="R9:R10"/>
    <mergeCell ref="B13:B14"/>
    <mergeCell ref="C13:C14"/>
    <mergeCell ref="R13:R14"/>
    <mergeCell ref="B11:B12"/>
    <mergeCell ref="C11:C12"/>
    <mergeCell ref="R11:R12"/>
    <mergeCell ref="B7:B8"/>
    <mergeCell ref="C7:C8"/>
    <mergeCell ref="R7:R8"/>
    <mergeCell ref="S7:S8"/>
    <mergeCell ref="T7:T8"/>
    <mergeCell ref="B5:B6"/>
    <mergeCell ref="C5:C6"/>
    <mergeCell ref="I5:K5"/>
    <mergeCell ref="L5:N5"/>
    <mergeCell ref="R5:R6"/>
    <mergeCell ref="R25:T25"/>
    <mergeCell ref="R26:T26"/>
    <mergeCell ref="E2:N2"/>
    <mergeCell ref="E4:F4"/>
    <mergeCell ref="P4:P5"/>
    <mergeCell ref="S5:S6"/>
    <mergeCell ref="T5:T6"/>
    <mergeCell ref="S9:S10"/>
    <mergeCell ref="T9:T10"/>
    <mergeCell ref="T13:T14"/>
    <mergeCell ref="R22:T23"/>
    <mergeCell ref="S11:S12"/>
    <mergeCell ref="T11:T12"/>
  </mergeCells>
  <conditionalFormatting sqref="R22:T23">
    <cfRule type="expression" dxfId="46" priority="6">
      <formula>AND($S$11&gt;$V$11,NOT($V$15))</formula>
    </cfRule>
  </conditionalFormatting>
  <conditionalFormatting sqref="C7:C18 C24:C35">
    <cfRule type="duplicateValues" dxfId="45" priority="4"/>
  </conditionalFormatting>
  <conditionalFormatting sqref="H6:H35">
    <cfRule type="expression" dxfId="44" priority="1">
      <formula>$H6="??"</formula>
    </cfRule>
  </conditionalFormatting>
  <conditionalFormatting sqref="E6:N35">
    <cfRule type="expression" dxfId="43" priority="313">
      <formula>AND($L6&lt;&gt;"",$N6&lt;&gt;"",OR($E6=$S$24,$E6=$T$24),NOT($V$15))</formula>
    </cfRule>
    <cfRule type="expression" dxfId="42" priority="314">
      <formula>OR($L6="",$N6="")</formula>
    </cfRule>
  </conditionalFormatting>
  <dataValidations count="5">
    <dataValidation allowBlank="1" showInputMessage="1" showErrorMessage="1" errorTitle="Unzulässige Teilnehmernummer" error="Es müssen Zahlen von 1 bis 9 eingetragen werden!" sqref="I6:I35 K6:K35" xr:uid="{4EC0A2C7-0480-41C9-9861-54C76FB5C4C3}"/>
    <dataValidation type="time" allowBlank="1" showInputMessage="1" showErrorMessage="1" sqref="S5:S6" xr:uid="{ABADACB9-80D4-41E7-9EE7-5D7969913C18}">
      <formula1>0</formula1>
      <formula2>0.999305555555556</formula2>
    </dataValidation>
    <dataValidation type="whole" allowBlank="1" showInputMessage="1" showErrorMessage="1" sqref="S11:S12" xr:uid="{0240EE7E-BDB9-4DC0-97E3-48C8F4218C8A}">
      <formula1>1</formula1>
      <formula2>6</formula2>
    </dataValidation>
    <dataValidation type="whole" allowBlank="1" showInputMessage="1" showErrorMessage="1" sqref="S9:S10" xr:uid="{1488E6B3-9147-4B3B-A84A-C90AFC62EE8F}">
      <formula1>0</formula1>
      <formula2>120</formula2>
    </dataValidation>
    <dataValidation type="whole" allowBlank="1" showInputMessage="1" showErrorMessage="1" sqref="S7:S8" xr:uid="{04CFABFD-2F90-41EE-993D-C74B4F18493F}">
      <formula1>1</formula1>
      <formula2>300</formula2>
    </dataValidation>
  </dataValidations>
  <pageMargins left="0.7" right="0.7" top="0.78740157499999996" bottom="0.78740157499999996"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923B7-42EC-482C-A535-F8A6D621F2BB}">
  <sheetPr codeName="Tabelle2"/>
  <dimension ref="A1:O56"/>
  <sheetViews>
    <sheetView showGridLines="0" showRowColHeaders="0" zoomScaleNormal="100" workbookViewId="0">
      <selection activeCell="P1" sqref="P1:XFD1048576"/>
    </sheetView>
  </sheetViews>
  <sheetFormatPr baseColWidth="10" defaultColWidth="0" defaultRowHeight="12.75"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5703125" style="9" customWidth="1"/>
    <col min="16" max="16384" width="11.42578125" style="9" hidden="1"/>
  </cols>
  <sheetData>
    <row r="1" spans="2:14" x14ac:dyDescent="0.2"/>
    <row r="2" spans="2:14" ht="33.75" x14ac:dyDescent="0.2">
      <c r="B2" s="1003" t="str">
        <f>Language!$E$7</f>
        <v>Direct comparisons</v>
      </c>
      <c r="C2" s="1003"/>
      <c r="D2" s="1003"/>
      <c r="E2" s="1003"/>
      <c r="F2" s="1003"/>
      <c r="G2" s="1003"/>
      <c r="H2" s="1003"/>
      <c r="I2" s="1003"/>
      <c r="J2" s="1003"/>
      <c r="K2" s="1003"/>
      <c r="L2" s="1003"/>
      <c r="M2" s="1003"/>
    </row>
    <row r="3" spans="2:14" ht="42.75" customHeight="1" x14ac:dyDescent="0.2">
      <c r="B3" s="1004" t="str">
        <f>Language!$E$56&amp;" A"</f>
        <v>Preliminary round group A</v>
      </c>
      <c r="C3" s="1004"/>
      <c r="D3" s="1004"/>
      <c r="E3" s="1004"/>
      <c r="F3" s="1004"/>
      <c r="G3" s="1004"/>
      <c r="H3" s="1004"/>
      <c r="I3" s="1004"/>
      <c r="J3" s="1004"/>
      <c r="K3" s="1004"/>
      <c r="L3" s="1004"/>
      <c r="M3" s="1004"/>
    </row>
    <row r="4" spans="2:14" ht="17.25" customHeight="1" x14ac:dyDescent="0.2">
      <c r="B4" s="1005" t="str">
        <f>Language!$E$97</f>
        <v>Red font means that the ranking is not clear even with the direct comparison. A playoff match or drawing of lots must decide here.</v>
      </c>
      <c r="C4" s="1005"/>
      <c r="D4" s="1005"/>
      <c r="E4" s="1005"/>
      <c r="F4" s="1005"/>
      <c r="G4" s="1005"/>
      <c r="H4" s="1005"/>
      <c r="I4" s="1005"/>
      <c r="J4" s="1005"/>
      <c r="K4" s="1005"/>
      <c r="L4" s="1005"/>
      <c r="M4" s="1005"/>
      <c r="N4" s="1005"/>
    </row>
    <row r="5" spans="2:14" ht="17.25" customHeight="1" thickBot="1" x14ac:dyDescent="0.25">
      <c r="B5" s="61"/>
      <c r="C5" s="61"/>
      <c r="D5" s="61"/>
      <c r="E5" s="62"/>
      <c r="F5" s="61"/>
      <c r="G5" s="61"/>
      <c r="H5" s="62"/>
      <c r="I5" s="62"/>
      <c r="J5" s="62"/>
      <c r="K5" s="62"/>
      <c r="L5" s="62"/>
      <c r="M5" s="62"/>
    </row>
    <row r="6" spans="2:14" ht="21.95" customHeight="1" thickBot="1" x14ac:dyDescent="0.25">
      <c r="H6" s="84" t="str">
        <f ca="1">IF(LEN(H7)&gt;Settings!$C$11,LEFT(H7,Settings!$C$11)&amp;".",H7)</f>
        <v/>
      </c>
      <c r="I6" s="85" t="str">
        <f ca="1">IF(LEN(I7)&gt;Settings!$C$11,LEFT(I7,Settings!$C$11)&amp;".",I7)</f>
        <v/>
      </c>
      <c r="J6" s="85" t="str">
        <f ca="1">IF(LEN(J7)&gt;Settings!$C$11,LEFT(J7,Settings!$C$11)&amp;".",J7)</f>
        <v/>
      </c>
      <c r="K6" s="85" t="str">
        <f ca="1">IF(LEN(K7)&gt;Settings!$C$11,LEFT(K7,Settings!$C$11)&amp;".",K7)</f>
        <v/>
      </c>
      <c r="L6" s="85" t="str">
        <f ca="1">IF(LEN(L7)&gt;Settings!$C$11,LEFT(L7,Settings!$C$11)&amp;".",L7)</f>
        <v/>
      </c>
      <c r="M6" s="86" t="str">
        <f ca="1">IF(LEN(M7)&gt;Settings!$C$11,LEFT(M7,Settings!$C$11)&amp;".",M7)</f>
        <v/>
      </c>
    </row>
    <row r="7" spans="2:14" ht="21.95" customHeight="1" thickTop="1" thickBot="1" x14ac:dyDescent="0.25">
      <c r="B7" s="60"/>
      <c r="C7" s="65" t="str">
        <f>Language!$E$10</f>
        <v>Participant or team</v>
      </c>
      <c r="D7" s="69" t="str">
        <f>Language!$E$80</f>
        <v>Setpts.</v>
      </c>
      <c r="E7" s="57" t="str">
        <f>Language!$E$60</f>
        <v>balls</v>
      </c>
      <c r="F7" s="57" t="str">
        <f>Language!$E$26</f>
        <v>GD</v>
      </c>
      <c r="G7" s="87" t="str">
        <f>Language!$E$49</f>
        <v>Tie break</v>
      </c>
      <c r="H7" s="73" t="str">
        <f ca="1">C8</f>
        <v/>
      </c>
      <c r="I7" s="74" t="str">
        <f ca="1">C9</f>
        <v/>
      </c>
      <c r="J7" s="74" t="str">
        <f ca="1">C10</f>
        <v/>
      </c>
      <c r="K7" s="74" t="str">
        <f ca="1">C11</f>
        <v/>
      </c>
      <c r="L7" s="74" t="str">
        <f ca="1">C12</f>
        <v/>
      </c>
      <c r="M7" s="91" t="str">
        <f ca="1">C13</f>
        <v/>
      </c>
    </row>
    <row r="8" spans="2:14" ht="21.95" customHeight="1" x14ac:dyDescent="0.2">
      <c r="B8" s="58" t="str">
        <f ca="1">IF($C8="","",INDEX(Calc1!$E$4:$E$12,MATCH($C8,Calc1!$F$4:$F$12,0)))</f>
        <v/>
      </c>
      <c r="C8" s="66" t="str">
        <f ca="1">IF(Calc1!$K$13=0,"",Calc1!$X4)</f>
        <v/>
      </c>
      <c r="D8" s="70" t="str">
        <f ca="1">IF($C8="","",VLOOKUP($C8,Calc1!$C$17:$AC$25,25,0))</f>
        <v/>
      </c>
      <c r="E8" s="808" t="str">
        <f ca="1">IF($C8="","",VLOOKUP($C8,Calc1!$C$17:$AF$25,27,0)&amp;Language!$E$99&amp;(VLOOKUP($C8,Calc1!$C$17:$AF$25,27,0)-$F8))</f>
        <v/>
      </c>
      <c r="F8" s="54" t="str">
        <f ca="1">IF($C8="","",VLOOKUP($C8,Calc1!$C$17:$AC$25,26,0))</f>
        <v/>
      </c>
      <c r="G8" s="377" t="str">
        <f ca="1">IF(C8="","",VLOOKUP(C8,Calc1!$C$17:$AB$25,23,0))</f>
        <v/>
      </c>
      <c r="H8" s="78"/>
      <c r="I8" s="54" t="str">
        <f ca="1">IFERROR(VLOOKUP($C8&amp;I$7,Calc1!$Z$64:$AB$207,3,0),"")</f>
        <v/>
      </c>
      <c r="J8" s="54" t="str">
        <f ca="1">IFERROR(VLOOKUP($C8&amp;J$7,Calc1!$Z$64:$AB$207,3,0),"")</f>
        <v/>
      </c>
      <c r="K8" s="54" t="str">
        <f ca="1">IFERROR(VLOOKUP($C8&amp;K$7,Calc1!$Z$64:$AB$207,3,0),"")</f>
        <v/>
      </c>
      <c r="L8" s="54" t="str">
        <f ca="1">IFERROR(VLOOKUP($C8&amp;L$7,Calc1!$Z$64:$AB$207,3,0),"")</f>
        <v/>
      </c>
      <c r="M8" s="92" t="str">
        <f ca="1">IFERROR(VLOOKUP($C8&amp;M$7,Calc1!$Z$64:$AB$207,3,0),"")</f>
        <v/>
      </c>
      <c r="N8" s="120" t="str">
        <f t="shared" ref="N8:N13" ca="1" si="0">C8</f>
        <v/>
      </c>
    </row>
    <row r="9" spans="2:14" ht="21.95" customHeight="1" x14ac:dyDescent="0.2">
      <c r="B9" s="58" t="str">
        <f ca="1">IF($C9="","",INDEX(Calc1!$E$4:$E$12,MATCH($C9,Calc1!$F$4:$F$12,0)))</f>
        <v/>
      </c>
      <c r="C9" s="67" t="str">
        <f ca="1">IF(Calc1!$K$13=0,"",Calc1!$X5)</f>
        <v/>
      </c>
      <c r="D9" s="71" t="str">
        <f ca="1">IF($C9="","",VLOOKUP($C9,Calc1!$C$17:$AC$25,25,0))</f>
        <v/>
      </c>
      <c r="E9" s="809" t="str">
        <f ca="1">IF($C9="","",VLOOKUP($C9,Calc1!$C$17:$AF$25,27,0)&amp;Language!$E$99&amp;(VLOOKUP($C9,Calc1!$C$17:$AF$25,27,0)-$F9))</f>
        <v/>
      </c>
      <c r="F9" s="55" t="str">
        <f ca="1">IF($C9="","",VLOOKUP($C9,Calc1!$C$17:$AC$25,26,0))</f>
        <v/>
      </c>
      <c r="G9" s="378" t="str">
        <f ca="1">IF(C9="","",VLOOKUP(C9,Calc1!$C$17:$AB$25,23,0))</f>
        <v/>
      </c>
      <c r="H9" s="79" t="str">
        <f ca="1">IFERROR(VLOOKUP($C9&amp;H$7,Calc1!$Z$64:$AB$207,3,0),"")</f>
        <v/>
      </c>
      <c r="I9" s="64"/>
      <c r="J9" s="55" t="str">
        <f ca="1">IFERROR(VLOOKUP($C9&amp;J$7,Calc1!$Z$64:$AB$207,3,0),"")</f>
        <v/>
      </c>
      <c r="K9" s="55" t="str">
        <f ca="1">IFERROR(VLOOKUP($C9&amp;K$7,Calc1!$Z$64:$AB$207,3,0),"")</f>
        <v/>
      </c>
      <c r="L9" s="55" t="str">
        <f ca="1">IFERROR(VLOOKUP($C9&amp;L$7,Calc1!$Z$64:$AB$207,3,0),"")</f>
        <v/>
      </c>
      <c r="M9" s="93" t="str">
        <f ca="1">IFERROR(VLOOKUP($C9&amp;M$7,Calc1!$Z$64:$AB$207,3,0),"")</f>
        <v/>
      </c>
      <c r="N9" s="121" t="str">
        <f t="shared" ca="1" si="0"/>
        <v/>
      </c>
    </row>
    <row r="10" spans="2:14" ht="21.95" customHeight="1" x14ac:dyDescent="0.2">
      <c r="B10" s="58" t="str">
        <f ca="1">IF($C10="","",INDEX(Calc1!$E$4:$E$12,MATCH($C10,Calc1!$F$4:$F$12,0)))</f>
        <v/>
      </c>
      <c r="C10" s="67" t="str">
        <f ca="1">IF(Calc1!$K$13=0,"",Calc1!$X6)</f>
        <v/>
      </c>
      <c r="D10" s="71" t="str">
        <f ca="1">IF($C10="","",VLOOKUP($C10,Calc1!$C$17:$AC$25,25,0))</f>
        <v/>
      </c>
      <c r="E10" s="809" t="str">
        <f ca="1">IF($C10="","",VLOOKUP($C10,Calc1!$C$17:$AF$25,27,0)&amp;Language!$E$99&amp;(VLOOKUP($C10,Calc1!$C$17:$AF$25,27,0)-$F10))</f>
        <v/>
      </c>
      <c r="F10" s="55" t="str">
        <f ca="1">IF($C10="","",VLOOKUP($C10,Calc1!$C$17:$AC$25,26,0))</f>
        <v/>
      </c>
      <c r="G10" s="378" t="str">
        <f ca="1">IF(C10="","",VLOOKUP(C10,Calc1!$C$17:$AB$25,23,0))</f>
        <v/>
      </c>
      <c r="H10" s="79" t="str">
        <f ca="1">IFERROR(VLOOKUP($C10&amp;H$7,Calc1!$Z$64:$AB$207,3,0),"")</f>
        <v/>
      </c>
      <c r="I10" s="55" t="str">
        <f ca="1">IFERROR(VLOOKUP($C10&amp;I$7,Calc1!$Z$64:$AB$207,3,0),"")</f>
        <v/>
      </c>
      <c r="J10" s="64"/>
      <c r="K10" s="55" t="str">
        <f ca="1">IFERROR(VLOOKUP($C10&amp;K$7,Calc1!$Z$64:$AB$207,3,0),"")</f>
        <v/>
      </c>
      <c r="L10" s="55" t="str">
        <f ca="1">IFERROR(VLOOKUP($C10&amp;L$7,Calc1!$Z$64:$AB$207,3,0),"")</f>
        <v/>
      </c>
      <c r="M10" s="93" t="str">
        <f ca="1">IFERROR(VLOOKUP($C10&amp;M$7,Calc1!$Z$64:$AB$207,3,0),"")</f>
        <v/>
      </c>
      <c r="N10" s="121" t="str">
        <f t="shared" ca="1" si="0"/>
        <v/>
      </c>
    </row>
    <row r="11" spans="2:14" ht="21.95" customHeight="1" x14ac:dyDescent="0.2">
      <c r="B11" s="58" t="str">
        <f ca="1">IF($C11="","",INDEX(Calc1!$E$4:$E$12,MATCH($C11,Calc1!$F$4:$F$12,0)))</f>
        <v/>
      </c>
      <c r="C11" s="67" t="str">
        <f ca="1">IF(Calc1!$K$13=0,"",Calc1!$X7)</f>
        <v/>
      </c>
      <c r="D11" s="71" t="str">
        <f ca="1">IF($C11="","",VLOOKUP($C11,Calc1!$C$17:$AC$25,25,0))</f>
        <v/>
      </c>
      <c r="E11" s="809" t="str">
        <f ca="1">IF($C11="","",VLOOKUP($C11,Calc1!$C$17:$AF$25,27,0)&amp;Language!$E$99&amp;(VLOOKUP($C11,Calc1!$C$17:$AF$25,27,0)-$F11))</f>
        <v/>
      </c>
      <c r="F11" s="55" t="str">
        <f ca="1">IF($C11="","",VLOOKUP($C11,Calc1!$C$17:$AC$25,26,0))</f>
        <v/>
      </c>
      <c r="G11" s="378" t="str">
        <f ca="1">IF(C11="","",VLOOKUP(C11,Calc1!$C$17:$AB$25,23,0))</f>
        <v/>
      </c>
      <c r="H11" s="79" t="str">
        <f ca="1">IFERROR(VLOOKUP($C11&amp;H$7,Calc1!$Z$64:$AB$207,3,0),"")</f>
        <v/>
      </c>
      <c r="I11" s="55" t="str">
        <f ca="1">IFERROR(VLOOKUP($C11&amp;I$7,Calc1!$Z$64:$AB$207,3,0),"")</f>
        <v/>
      </c>
      <c r="J11" s="55" t="str">
        <f ca="1">IFERROR(VLOOKUP($C11&amp;J$7,Calc1!$Z$64:$AB$207,3,0),"")</f>
        <v/>
      </c>
      <c r="K11" s="64"/>
      <c r="L11" s="55" t="str">
        <f ca="1">IFERROR(VLOOKUP($C11&amp;L$7,Calc1!$Z$64:$AB$207,3,0),"")</f>
        <v/>
      </c>
      <c r="M11" s="93" t="str">
        <f ca="1">IFERROR(VLOOKUP($C11&amp;M$7,Calc1!$Z$64:$AB$207,3,0),"")</f>
        <v/>
      </c>
      <c r="N11" s="121" t="str">
        <f t="shared" ca="1" si="0"/>
        <v/>
      </c>
    </row>
    <row r="12" spans="2:14" ht="21.95" customHeight="1" x14ac:dyDescent="0.2">
      <c r="B12" s="58" t="str">
        <f ca="1">IF($C12="","",INDEX(Calc1!$E$4:$E$12,MATCH($C12,Calc1!$F$4:$F$12,0)))</f>
        <v/>
      </c>
      <c r="C12" s="67" t="str">
        <f ca="1">IF(Calc1!$K$13=0,"",Calc1!$X8)</f>
        <v/>
      </c>
      <c r="D12" s="71" t="str">
        <f ca="1">IF($C12="","",VLOOKUP($C12,Calc1!$C$17:$AC$25,25,0))</f>
        <v/>
      </c>
      <c r="E12" s="809" t="str">
        <f ca="1">IF($C12="","",VLOOKUP($C12,Calc1!$C$17:$AF$25,27,0)&amp;Language!$E$99&amp;(VLOOKUP($C12,Calc1!$C$17:$AF$25,27,0)-$F12))</f>
        <v/>
      </c>
      <c r="F12" s="55" t="str">
        <f ca="1">IF($C12="","",VLOOKUP($C12,Calc1!$C$17:$AC$25,26,0))</f>
        <v/>
      </c>
      <c r="G12" s="378" t="str">
        <f ca="1">IF(C12="","",VLOOKUP(C12,Calc1!$C$17:$AB$25,23,0))</f>
        <v/>
      </c>
      <c r="H12" s="79" t="str">
        <f ca="1">IFERROR(VLOOKUP($C12&amp;H$7,Calc1!$Z$64:$AB$207,3,0),"")</f>
        <v/>
      </c>
      <c r="I12" s="55" t="str">
        <f ca="1">IFERROR(VLOOKUP($C12&amp;I$7,Calc1!$Z$64:$AB$207,3,0),"")</f>
        <v/>
      </c>
      <c r="J12" s="55" t="str">
        <f ca="1">IFERROR(VLOOKUP($C12&amp;J$7,Calc1!$Z$64:$AB$207,3,0),"")</f>
        <v/>
      </c>
      <c r="K12" s="55" t="str">
        <f ca="1">IFERROR(VLOOKUP($C12&amp;K$7,Calc1!$Z$64:$AB$207,3,0),"")</f>
        <v/>
      </c>
      <c r="L12" s="64"/>
      <c r="M12" s="93" t="str">
        <f ca="1">IFERROR(VLOOKUP($C12&amp;M$7,Calc1!$Z$64:$AB$207,3,0),"")</f>
        <v/>
      </c>
      <c r="N12" s="121" t="str">
        <f t="shared" ca="1" si="0"/>
        <v/>
      </c>
    </row>
    <row r="13" spans="2:14" ht="21.95" customHeight="1" thickBot="1" x14ac:dyDescent="0.25">
      <c r="B13" s="59" t="str">
        <f ca="1">IF($C13="","",INDEX(Calc1!$E$4:$E$12,MATCH($C13,Calc1!$F$4:$F$12,0)))</f>
        <v/>
      </c>
      <c r="C13" s="68" t="str">
        <f ca="1">IF(Calc1!$K$13=0,"",Calc1!$X9)</f>
        <v/>
      </c>
      <c r="D13" s="72" t="str">
        <f ca="1">IF($C13="","",VLOOKUP($C13,Calc1!$C$17:$AC$25,25,0))</f>
        <v/>
      </c>
      <c r="E13" s="810" t="str">
        <f ca="1">IF($C13="","",VLOOKUP($C13,Calc1!$C$17:$AF$25,27,0)&amp;Language!$E$99&amp;(VLOOKUP($C13,Calc1!$C$17:$AF$25,27,0)-$F13))</f>
        <v/>
      </c>
      <c r="F13" s="56" t="str">
        <f ca="1">IF($C13="","",VLOOKUP($C13,Calc1!$C$17:$AC$25,26,0))</f>
        <v/>
      </c>
      <c r="G13" s="379" t="str">
        <f ca="1">IF(C13="","",VLOOKUP(C13,Calc1!$C$17:$AB$25,23,0))</f>
        <v/>
      </c>
      <c r="H13" s="80" t="str">
        <f ca="1">IFERROR(VLOOKUP($C13&amp;H$7,Calc1!$Z$64:$AB$207,3,0),"")</f>
        <v/>
      </c>
      <c r="I13" s="56" t="str">
        <f ca="1">IFERROR(VLOOKUP($C13&amp;I$7,Calc1!$Z$64:$AB$207,3,0),"")</f>
        <v/>
      </c>
      <c r="J13" s="56" t="str">
        <f ca="1">IFERROR(VLOOKUP($C13&amp;J$7,Calc1!$Z$64:$AB$207,3,0),"")</f>
        <v/>
      </c>
      <c r="K13" s="56" t="str">
        <f ca="1">IFERROR(VLOOKUP($C13&amp;K$7,Calc1!$Z$64:$AB$207,3,0),"")</f>
        <v/>
      </c>
      <c r="L13" s="56" t="str">
        <f ca="1">IFERROR(VLOOKUP($C13&amp;L$7,Calc1!$Z$64:$AB$207,3,0),"")</f>
        <v/>
      </c>
      <c r="M13" s="94"/>
      <c r="N13" s="122" t="str">
        <f t="shared" ca="1" si="0"/>
        <v/>
      </c>
    </row>
    <row r="14" spans="2:14" ht="42.75" customHeight="1" thickTop="1" thickBot="1" x14ac:dyDescent="0.25">
      <c r="B14" s="75"/>
      <c r="C14" s="76"/>
      <c r="D14" s="77"/>
      <c r="E14" s="77"/>
      <c r="F14" s="63"/>
      <c r="G14" s="63"/>
      <c r="H14" s="63"/>
      <c r="I14" s="63"/>
      <c r="J14" s="63"/>
      <c r="K14" s="63"/>
      <c r="L14" s="63"/>
      <c r="M14" s="63"/>
    </row>
    <row r="15" spans="2:14" ht="21.95" customHeight="1" thickBot="1" x14ac:dyDescent="0.25">
      <c r="H15" s="84" t="str">
        <f ca="1">IF(LEN(H16)&gt;Settings!$C$11,LEFT(H16,Settings!$C$11)&amp;".",H16)</f>
        <v/>
      </c>
      <c r="I15" s="85" t="str">
        <f ca="1">IF(LEN(I16)&gt;Settings!$C$11,LEFT(I16,Settings!$C$11)&amp;".",I16)</f>
        <v/>
      </c>
      <c r="J15" s="85" t="str">
        <f ca="1">IF(LEN(J16)&gt;Settings!$C$11,LEFT(J16,Settings!$C$11)&amp;".",J16)</f>
        <v/>
      </c>
      <c r="K15" s="85" t="str">
        <f ca="1">IF(LEN(K16)&gt;Settings!$C$11,LEFT(K16,Settings!$C$11)&amp;".",K16)</f>
        <v/>
      </c>
      <c r="L15" s="85" t="str">
        <f ca="1">IF(LEN(L16)&gt;Settings!$C$11,LEFT(L16,Settings!$C$11)&amp;".",L16)</f>
        <v/>
      </c>
      <c r="M15" s="86" t="str">
        <f ca="1">IF(LEN(M16)&gt;Settings!$C$11,LEFT(M16,Settings!$C$11)&amp;".",M16)</f>
        <v/>
      </c>
    </row>
    <row r="16" spans="2:14" ht="21.95" customHeight="1" thickTop="1" thickBot="1" x14ac:dyDescent="0.25">
      <c r="B16" s="60"/>
      <c r="C16" s="65" t="str">
        <f>Language!$E$10</f>
        <v>Participant or team</v>
      </c>
      <c r="D16" s="69" t="str">
        <f>Language!$E$80</f>
        <v>Setpts.</v>
      </c>
      <c r="E16" s="57" t="str">
        <f>Language!$E$60</f>
        <v>balls</v>
      </c>
      <c r="F16" s="57" t="str">
        <f>Language!$E$26</f>
        <v>GD</v>
      </c>
      <c r="G16" s="87" t="str">
        <f>Language!$E$49</f>
        <v>Tie break</v>
      </c>
      <c r="H16" s="73" t="str">
        <f ca="1">C17</f>
        <v/>
      </c>
      <c r="I16" s="74" t="str">
        <f ca="1">C18</f>
        <v/>
      </c>
      <c r="J16" s="74" t="str">
        <f ca="1">C19</f>
        <v/>
      </c>
      <c r="K16" s="74" t="str">
        <f ca="1">C20</f>
        <v/>
      </c>
      <c r="L16" s="74" t="str">
        <f ca="1">C21</f>
        <v/>
      </c>
      <c r="M16" s="91" t="str">
        <f ca="1">C22</f>
        <v/>
      </c>
    </row>
    <row r="17" spans="2:14" ht="21.95" customHeight="1" x14ac:dyDescent="0.2">
      <c r="B17" s="58" t="str">
        <f ca="1">IF($C17="","",INDEX(Calc1!$E$4:$E$12,MATCH($C17,Calc1!$F$4:$F$12,0)))</f>
        <v/>
      </c>
      <c r="C17" s="66" t="str">
        <f ca="1">IF(Calc1!$K$13=0,"",Calc1!$AC4)</f>
        <v/>
      </c>
      <c r="D17" s="70" t="str">
        <f ca="1">IF($C17="","",VLOOKUP($C17,Calc1!$C$17:$AC$25,25,0))</f>
        <v/>
      </c>
      <c r="E17" s="808" t="str">
        <f ca="1">IF($C17="","",VLOOKUP($C17,Calc1!$C$17:$AF$25,27,0)&amp;Language!$E$99&amp;(VLOOKUP($C17,Calc1!$C$17:$AF$25,27,0)-$F17))</f>
        <v/>
      </c>
      <c r="F17" s="54" t="str">
        <f ca="1">IF($C17="","",VLOOKUP($C17,Calc1!$C$17:$AC$25,26,0))</f>
        <v/>
      </c>
      <c r="G17" s="377" t="str">
        <f ca="1">IF(C17="","",VLOOKUP(C17,Calc1!$C$17:$AB$25,23,0))</f>
        <v/>
      </c>
      <c r="H17" s="78"/>
      <c r="I17" s="54" t="str">
        <f ca="1">IFERROR(VLOOKUP($C17&amp;I$16,Calc1!$Z$64:$AB$207,3,0),"")</f>
        <v/>
      </c>
      <c r="J17" s="54" t="str">
        <f ca="1">IFERROR(VLOOKUP($C17&amp;J$16,Calc1!$Z$64:$AB$207,3,0),"")</f>
        <v/>
      </c>
      <c r="K17" s="54" t="str">
        <f ca="1">IFERROR(VLOOKUP($C17&amp;K$16,Calc1!$Z$64:$AB$207,3,0),"")</f>
        <v/>
      </c>
      <c r="L17" s="54" t="str">
        <f ca="1">IFERROR(VLOOKUP($C17&amp;L$16,Calc1!$Z$64:$AB$207,3,0),"")</f>
        <v/>
      </c>
      <c r="M17" s="92" t="str">
        <f ca="1">IFERROR(VLOOKUP($C17&amp;M$16,Calc1!$Z$64:$AB$207,3,0),"")</f>
        <v/>
      </c>
      <c r="N17" s="120" t="str">
        <f t="shared" ref="N17:N22" ca="1" si="1">C17</f>
        <v/>
      </c>
    </row>
    <row r="18" spans="2:14" ht="21.95" customHeight="1" x14ac:dyDescent="0.2">
      <c r="B18" s="58" t="str">
        <f ca="1">IF($C18="","",INDEX(Calc1!$E$4:$E$12,MATCH($C18,Calc1!$F$4:$F$12,0)))</f>
        <v/>
      </c>
      <c r="C18" s="67" t="str">
        <f ca="1">IF(Calc1!$K$13=0,"",Calc1!$AC5)</f>
        <v/>
      </c>
      <c r="D18" s="71" t="str">
        <f ca="1">IF($C18="","",VLOOKUP($C18,Calc1!$C$17:$AC$25,25,0))</f>
        <v/>
      </c>
      <c r="E18" s="809" t="str">
        <f ca="1">IF($C18="","",VLOOKUP($C18,Calc1!$C$17:$AF$25,27,0)&amp;Language!$E$99&amp;(VLOOKUP($C18,Calc1!$C$17:$AF$25,27,0)-$F18))</f>
        <v/>
      </c>
      <c r="F18" s="55" t="str">
        <f ca="1">IF($C18="","",VLOOKUP($C18,Calc1!$C$17:$AC$25,26,0))</f>
        <v/>
      </c>
      <c r="G18" s="378" t="str">
        <f ca="1">IF(C18="","",VLOOKUP(C18,Calc1!$C$17:$AB$25,23,0))</f>
        <v/>
      </c>
      <c r="H18" s="79" t="str">
        <f ca="1">IFERROR(VLOOKUP($C18&amp;H$16,Calc1!$Z$64:$AB$207,3,0),"")</f>
        <v/>
      </c>
      <c r="I18" s="64"/>
      <c r="J18" s="55" t="str">
        <f ca="1">IFERROR(VLOOKUP($C18&amp;J$16,Calc1!$Z$64:$AB$207,3,0),"")</f>
        <v/>
      </c>
      <c r="K18" s="55" t="str">
        <f ca="1">IFERROR(VLOOKUP($C18&amp;K$16,Calc1!$Z$64:$AB$207,3,0),"")</f>
        <v/>
      </c>
      <c r="L18" s="55" t="str">
        <f ca="1">IFERROR(VLOOKUP($C18&amp;L$16,Calc1!$Z$64:$AB$207,3,0),"")</f>
        <v/>
      </c>
      <c r="M18" s="93" t="str">
        <f ca="1">IFERROR(VLOOKUP($C18&amp;M$16,Calc1!$Z$64:$AB$207,3,0),"")</f>
        <v/>
      </c>
      <c r="N18" s="121" t="str">
        <f t="shared" ca="1" si="1"/>
        <v/>
      </c>
    </row>
    <row r="19" spans="2:14" ht="21.95" customHeight="1" x14ac:dyDescent="0.2">
      <c r="B19" s="58" t="str">
        <f ca="1">IF($C19="","",INDEX(Calc1!$E$4:$E$12,MATCH($C19,Calc1!$F$4:$F$12,0)))</f>
        <v/>
      </c>
      <c r="C19" s="67" t="str">
        <f ca="1">IF(Calc1!$K$13=0,"",Calc1!$AC6)</f>
        <v/>
      </c>
      <c r="D19" s="71" t="str">
        <f ca="1">IF($C19="","",VLOOKUP($C19,Calc1!$C$17:$AC$25,25,0))</f>
        <v/>
      </c>
      <c r="E19" s="809" t="str">
        <f ca="1">IF($C19="","",VLOOKUP($C19,Calc1!$C$17:$AF$25,27,0)&amp;Language!$E$99&amp;(VLOOKUP($C19,Calc1!$C$17:$AF$25,27,0)-$F19))</f>
        <v/>
      </c>
      <c r="F19" s="55" t="str">
        <f ca="1">IF($C19="","",VLOOKUP($C19,Calc1!$C$17:$AC$25,26,0))</f>
        <v/>
      </c>
      <c r="G19" s="378" t="str">
        <f ca="1">IF(C19="","",VLOOKUP(C19,Calc1!$C$17:$AB$25,23,0))</f>
        <v/>
      </c>
      <c r="H19" s="79" t="str">
        <f ca="1">IFERROR(VLOOKUP($C19&amp;H$16,Calc1!$Z$64:$AB$207,3,0),"")</f>
        <v/>
      </c>
      <c r="I19" s="55" t="str">
        <f ca="1">IFERROR(VLOOKUP($C19&amp;I$16,Calc1!$Z$64:$AB$207,3,0),"")</f>
        <v/>
      </c>
      <c r="J19" s="64"/>
      <c r="K19" s="55" t="str">
        <f ca="1">IFERROR(VLOOKUP($C19&amp;K$16,Calc1!$Z$64:$AB$207,3,0),"")</f>
        <v/>
      </c>
      <c r="L19" s="55" t="str">
        <f ca="1">IFERROR(VLOOKUP($C19&amp;L$16,Calc1!$Z$64:$AB$207,3,0),"")</f>
        <v/>
      </c>
      <c r="M19" s="93" t="str">
        <f ca="1">IFERROR(VLOOKUP($C19&amp;M$16,Calc1!$Z$64:$AB$207,3,0),"")</f>
        <v/>
      </c>
      <c r="N19" s="121" t="str">
        <f t="shared" ca="1" si="1"/>
        <v/>
      </c>
    </row>
    <row r="20" spans="2:14" ht="21.95" customHeight="1" x14ac:dyDescent="0.2">
      <c r="B20" s="58" t="str">
        <f ca="1">IF($C20="","",INDEX(Calc1!$E$4:$E$12,MATCH($C20,Calc1!$F$4:$F$12,0)))</f>
        <v/>
      </c>
      <c r="C20" s="67" t="str">
        <f ca="1">IF(Calc1!$K$13=0,"",Calc1!$AC7)</f>
        <v/>
      </c>
      <c r="D20" s="71" t="str">
        <f ca="1">IF($C20="","",VLOOKUP($C20,Calc1!$C$17:$AC$25,25,0))</f>
        <v/>
      </c>
      <c r="E20" s="809" t="str">
        <f ca="1">IF($C20="","",VLOOKUP($C20,Calc1!$C$17:$AF$25,27,0)&amp;Language!$E$99&amp;(VLOOKUP($C20,Calc1!$C$17:$AF$25,27,0)-$F20))</f>
        <v/>
      </c>
      <c r="F20" s="55" t="str">
        <f ca="1">IF($C20="","",VLOOKUP($C20,Calc1!$C$17:$AC$25,26,0))</f>
        <v/>
      </c>
      <c r="G20" s="378" t="str">
        <f ca="1">IF(C20="","",VLOOKUP(C20,Calc1!$C$17:$AB$25,23,0))</f>
        <v/>
      </c>
      <c r="H20" s="79" t="str">
        <f ca="1">IFERROR(VLOOKUP($C20&amp;H$16,Calc1!$Z$64:$AB$207,3,0),"")</f>
        <v/>
      </c>
      <c r="I20" s="55" t="str">
        <f ca="1">IFERROR(VLOOKUP($C20&amp;I$16,Calc1!$Z$64:$AB$207,3,0),"")</f>
        <v/>
      </c>
      <c r="J20" s="55" t="str">
        <f ca="1">IFERROR(VLOOKUP($C20&amp;J$16,Calc1!$Z$64:$AB$207,3,0),"")</f>
        <v/>
      </c>
      <c r="K20" s="64"/>
      <c r="L20" s="55" t="str">
        <f ca="1">IFERROR(VLOOKUP($C20&amp;L$16,Calc1!$Z$64:$AB$207,3,0),"")</f>
        <v/>
      </c>
      <c r="M20" s="93" t="str">
        <f ca="1">IFERROR(VLOOKUP($C20&amp;M$16,Calc1!$Z$64:$AB$207,3,0),"")</f>
        <v/>
      </c>
      <c r="N20" s="121" t="str">
        <f t="shared" ca="1" si="1"/>
        <v/>
      </c>
    </row>
    <row r="21" spans="2:14" ht="21.95" customHeight="1" x14ac:dyDescent="0.2">
      <c r="B21" s="58" t="str">
        <f ca="1">IF($C21="","",INDEX(Calc1!$E$4:$E$12,MATCH($C21,Calc1!$F$4:$F$12,0)))</f>
        <v/>
      </c>
      <c r="C21" s="67" t="str">
        <f ca="1">IF(Calc1!$K$13=0,"",Calc1!$AC8)</f>
        <v/>
      </c>
      <c r="D21" s="71" t="str">
        <f ca="1">IF($C21="","",VLOOKUP($C21,Calc1!$C$17:$AC$25,25,0))</f>
        <v/>
      </c>
      <c r="E21" s="809" t="str">
        <f ca="1">IF($C21="","",VLOOKUP($C21,Calc1!$C$17:$AF$25,27,0)&amp;Language!$E$99&amp;(VLOOKUP($C21,Calc1!$C$17:$AF$25,27,0)-$F21))</f>
        <v/>
      </c>
      <c r="F21" s="55" t="str">
        <f ca="1">IF($C21="","",VLOOKUP($C21,Calc1!$C$17:$AC$25,26,0))</f>
        <v/>
      </c>
      <c r="G21" s="378" t="str">
        <f ca="1">IF(C21="","",VLOOKUP(C21,Calc1!$C$17:$AB$25,23,0))</f>
        <v/>
      </c>
      <c r="H21" s="79" t="str">
        <f ca="1">IFERROR(VLOOKUP($C21&amp;H$16,Calc1!$Z$64:$AB$207,3,0),"")</f>
        <v/>
      </c>
      <c r="I21" s="55" t="str">
        <f ca="1">IFERROR(VLOOKUP($C21&amp;I$16,Calc1!$Z$64:$AB$207,3,0),"")</f>
        <v/>
      </c>
      <c r="J21" s="55" t="str">
        <f ca="1">IFERROR(VLOOKUP($C21&amp;J$16,Calc1!$Z$64:$AB$207,3,0),"")</f>
        <v/>
      </c>
      <c r="K21" s="55" t="str">
        <f ca="1">IFERROR(VLOOKUP($C21&amp;K$16,Calc1!$Z$64:$AB$207,3,0),"")</f>
        <v/>
      </c>
      <c r="L21" s="64"/>
      <c r="M21" s="93" t="str">
        <f ca="1">IFERROR(VLOOKUP($C21&amp;M$16,Calc1!$Z$64:$AB$207,3,0),"")</f>
        <v/>
      </c>
      <c r="N21" s="121" t="str">
        <f t="shared" ca="1" si="1"/>
        <v/>
      </c>
    </row>
    <row r="22" spans="2:14" ht="21.95" customHeight="1" thickBot="1" x14ac:dyDescent="0.25">
      <c r="B22" s="59" t="str">
        <f ca="1">IF($C22="","",INDEX(Calc1!$E$4:$E$12,MATCH($C22,Calc1!$F$4:$F$12,0)))</f>
        <v/>
      </c>
      <c r="C22" s="68" t="str">
        <f ca="1">IF(Calc1!$K$13=0,"",Calc1!$AC9)</f>
        <v/>
      </c>
      <c r="D22" s="72" t="str">
        <f ca="1">IF($C22="","",VLOOKUP($C22,Calc1!$C$17:$AC$25,25,0))</f>
        <v/>
      </c>
      <c r="E22" s="810" t="str">
        <f ca="1">IF($C22="","",VLOOKUP($C22,Calc1!$C$17:$AF$25,27,0)&amp;Language!$E$99&amp;(VLOOKUP($C22,Calc1!$C$17:$AF$25,27,0)-$F22))</f>
        <v/>
      </c>
      <c r="F22" s="56" t="str">
        <f ca="1">IF($C22="","",VLOOKUP($C22,Calc1!$C$17:$AC$25,26,0))</f>
        <v/>
      </c>
      <c r="G22" s="379" t="str">
        <f ca="1">IF(C22="","",VLOOKUP(C22,Calc1!$C$17:$AB$25,23,0))</f>
        <v/>
      </c>
      <c r="H22" s="80" t="str">
        <f ca="1">IFERROR(VLOOKUP($C22&amp;H$16,Calc1!$Z$64:$AB$207,3,0),"")</f>
        <v/>
      </c>
      <c r="I22" s="56" t="str">
        <f ca="1">IFERROR(VLOOKUP($C22&amp;I$16,Calc1!$Z$64:$AB$207,3,0),"")</f>
        <v/>
      </c>
      <c r="J22" s="56" t="str">
        <f ca="1">IFERROR(VLOOKUP($C22&amp;J$16,Calc1!$Z$64:$AB$207,3,0),"")</f>
        <v/>
      </c>
      <c r="K22" s="56" t="str">
        <f ca="1">IFERROR(VLOOKUP($C22&amp;K$16,Calc1!$Z$64:$AB$207,3,0),"")</f>
        <v/>
      </c>
      <c r="L22" s="56" t="str">
        <f ca="1">IFERROR(VLOOKUP($C22&amp;L$16,Calc1!$Z$64:$AB$207,3,0),"")</f>
        <v/>
      </c>
      <c r="M22" s="94"/>
      <c r="N22" s="122" t="str">
        <f t="shared" ca="1" si="1"/>
        <v/>
      </c>
    </row>
    <row r="23" spans="2:14" ht="42.75" customHeight="1" thickTop="1" thickBot="1" x14ac:dyDescent="0.25">
      <c r="B23" s="75"/>
      <c r="C23" s="76"/>
      <c r="D23" s="77"/>
      <c r="E23" s="77"/>
      <c r="F23" s="63"/>
      <c r="G23" s="63"/>
      <c r="H23" s="63"/>
      <c r="I23" s="63"/>
      <c r="J23" s="63"/>
      <c r="K23" s="63"/>
      <c r="L23" s="63"/>
      <c r="M23" s="63"/>
    </row>
    <row r="24" spans="2:14" ht="21.95" customHeight="1" thickBot="1" x14ac:dyDescent="0.25">
      <c r="H24" s="84" t="str">
        <f ca="1">IF(LEN(H25)&gt;Settings!$C$11,LEFT(H25,Settings!$C$11)&amp;".",H25)</f>
        <v/>
      </c>
      <c r="I24" s="85" t="str">
        <f ca="1">IF(LEN(I25)&gt;Settings!$C$11,LEFT(I25,Settings!$C$11)&amp;".",I25)</f>
        <v/>
      </c>
      <c r="J24" s="85" t="str">
        <f ca="1">IF(LEN(J25)&gt;Settings!$C$11,LEFT(J25,Settings!$C$11)&amp;".",J25)</f>
        <v/>
      </c>
      <c r="K24" s="85" t="str">
        <f ca="1">IF(LEN(K25)&gt;Settings!$C$11,LEFT(K25,Settings!$C$11)&amp;".",K25)</f>
        <v/>
      </c>
      <c r="L24" s="85" t="str">
        <f ca="1">IF(LEN(L25)&gt;Settings!$C$11,LEFT(L25,Settings!$C$11)&amp;".",L25)</f>
        <v/>
      </c>
      <c r="M24" s="86" t="str">
        <f ca="1">IF(LEN(M25)&gt;Settings!$C$11,LEFT(M25,Settings!$C$11)&amp;".",M25)</f>
        <v/>
      </c>
    </row>
    <row r="25" spans="2:14" ht="21.95" customHeight="1" thickTop="1" thickBot="1" x14ac:dyDescent="0.25">
      <c r="B25" s="60"/>
      <c r="C25" s="65" t="str">
        <f>Language!$E$10</f>
        <v>Participant or team</v>
      </c>
      <c r="D25" s="69" t="str">
        <f>Language!$E$80</f>
        <v>Setpts.</v>
      </c>
      <c r="E25" s="57" t="str">
        <f>Language!$E$60</f>
        <v>balls</v>
      </c>
      <c r="F25" s="57" t="str">
        <f>Language!$E$26</f>
        <v>GD</v>
      </c>
      <c r="G25" s="87" t="str">
        <f>Language!$E$49</f>
        <v>Tie break</v>
      </c>
      <c r="H25" s="73" t="str">
        <f ca="1">C26</f>
        <v/>
      </c>
      <c r="I25" s="74" t="str">
        <f ca="1">C27</f>
        <v/>
      </c>
      <c r="J25" s="74" t="str">
        <f ca="1">C28</f>
        <v/>
      </c>
      <c r="K25" s="74" t="str">
        <f ca="1">C29</f>
        <v/>
      </c>
      <c r="L25" s="74" t="str">
        <f ca="1">C30</f>
        <v/>
      </c>
      <c r="M25" s="91" t="str">
        <f ca="1">C31</f>
        <v/>
      </c>
    </row>
    <row r="26" spans="2:14" ht="21.95" customHeight="1" x14ac:dyDescent="0.2">
      <c r="B26" s="58" t="str">
        <f ca="1">IF($C26="","",INDEX(Calc1!$E$4:$E$12,MATCH($C26,Calc1!$F$4:$F$12,0)))</f>
        <v/>
      </c>
      <c r="C26" s="66" t="str">
        <f ca="1">IF(Calc1!$K$13=0,"",Calc1!$AH4)</f>
        <v/>
      </c>
      <c r="D26" s="70" t="str">
        <f ca="1">IF($C26="","",VLOOKUP($C26,Calc1!$C$17:$AC$25,25,0))</f>
        <v/>
      </c>
      <c r="E26" s="808" t="str">
        <f ca="1">IF($C26="","",VLOOKUP($C26,Calc1!$C$17:$AF$25,27,0)&amp;Language!$E$99&amp;(VLOOKUP($C26,Calc1!$C$17:$AF$25,27,0)-$F26))</f>
        <v/>
      </c>
      <c r="F26" s="54" t="str">
        <f ca="1">IF($C26="","",VLOOKUP($C26,Calc1!$C$17:$AC$25,26,0))</f>
        <v/>
      </c>
      <c r="G26" s="377" t="str">
        <f ca="1">IF(C26="","",VLOOKUP(C26,Calc1!$C$17:$AB$25,23,0))</f>
        <v/>
      </c>
      <c r="H26" s="78"/>
      <c r="I26" s="54" t="str">
        <f ca="1">IFERROR(VLOOKUP($C26&amp;I$25,Calc1!$Z$64:$AB$207,3,0),"")</f>
        <v/>
      </c>
      <c r="J26" s="54" t="str">
        <f ca="1">IFERROR(VLOOKUP($C26&amp;J$25,Calc1!$Z$64:$AB$207,3,0),"")</f>
        <v/>
      </c>
      <c r="K26" s="54" t="str">
        <f ca="1">IFERROR(VLOOKUP($C26&amp;K$25,Calc1!$Z$64:$AB$207,3,0),"")</f>
        <v/>
      </c>
      <c r="L26" s="54" t="str">
        <f ca="1">IFERROR(VLOOKUP($C26&amp;L$25,Calc1!$Z$64:$AB$207,3,0),"")</f>
        <v/>
      </c>
      <c r="M26" s="92" t="str">
        <f ca="1">IFERROR(VLOOKUP($C26&amp;M$25,Calc1!$Z$64:$AB$207,3,0),"")</f>
        <v/>
      </c>
      <c r="N26" s="120" t="str">
        <f t="shared" ref="N26:N31" ca="1" si="2">C26</f>
        <v/>
      </c>
    </row>
    <row r="27" spans="2:14" ht="21.95" customHeight="1" x14ac:dyDescent="0.2">
      <c r="B27" s="58" t="str">
        <f ca="1">IF($C27="","",INDEX(Calc1!$E$4:$E$12,MATCH($C27,Calc1!$F$4:$F$12,0)))</f>
        <v/>
      </c>
      <c r="C27" s="67" t="str">
        <f ca="1">IF(Calc1!$K$13=0,"",Calc1!$AH5)</f>
        <v/>
      </c>
      <c r="D27" s="71" t="str">
        <f ca="1">IF($C27="","",VLOOKUP($C27,Calc1!$C$17:$AC$25,25,0))</f>
        <v/>
      </c>
      <c r="E27" s="809" t="str">
        <f ca="1">IF($C27="","",VLOOKUP($C27,Calc1!$C$17:$AF$25,27,0)&amp;Language!$E$99&amp;(VLOOKUP($C27,Calc1!$C$17:$AF$25,27,0)-$F27))</f>
        <v/>
      </c>
      <c r="F27" s="55" t="str">
        <f ca="1">IF($C27="","",VLOOKUP($C27,Calc1!$C$17:$AC$25,26,0))</f>
        <v/>
      </c>
      <c r="G27" s="378" t="str">
        <f ca="1">IF(C27="","",VLOOKUP(C27,Calc1!$C$17:$AB$25,23,0))</f>
        <v/>
      </c>
      <c r="H27" s="79" t="str">
        <f ca="1">IFERROR(VLOOKUP($C27&amp;H$25,Calc1!$Z$64:$AB$207,3,0),"")</f>
        <v/>
      </c>
      <c r="I27" s="64"/>
      <c r="J27" s="55" t="str">
        <f ca="1">IFERROR(VLOOKUP($C27&amp;J$25,Calc1!$Z$64:$AB$207,3,0),"")</f>
        <v/>
      </c>
      <c r="K27" s="55" t="str">
        <f ca="1">IFERROR(VLOOKUP($C27&amp;K$25,Calc1!$Z$64:$AB$207,3,0),"")</f>
        <v/>
      </c>
      <c r="L27" s="55" t="str">
        <f ca="1">IFERROR(VLOOKUP($C27&amp;L$25,Calc1!$Z$64:$AB$207,3,0),"")</f>
        <v/>
      </c>
      <c r="M27" s="93" t="str">
        <f ca="1">IFERROR(VLOOKUP($C27&amp;M$25,Calc1!$Z$64:$AB$207,3,0),"")</f>
        <v/>
      </c>
      <c r="N27" s="121" t="str">
        <f t="shared" ca="1" si="2"/>
        <v/>
      </c>
    </row>
    <row r="28" spans="2:14" ht="21.95" customHeight="1" x14ac:dyDescent="0.2">
      <c r="B28" s="58" t="str">
        <f ca="1">IF($C28="","",INDEX(Calc1!$E$4:$E$12,MATCH($C28,Calc1!$F$4:$F$12,0)))</f>
        <v/>
      </c>
      <c r="C28" s="67" t="str">
        <f ca="1">IF(Calc1!$K$13=0,"",Calc1!$AH6)</f>
        <v/>
      </c>
      <c r="D28" s="71" t="str">
        <f ca="1">IF($C28="","",VLOOKUP($C28,Calc1!$C$17:$AC$25,25,0))</f>
        <v/>
      </c>
      <c r="E28" s="809" t="str">
        <f ca="1">IF($C28="","",VLOOKUP($C28,Calc1!$C$17:$AF$25,27,0)&amp;Language!$E$99&amp;(VLOOKUP($C28,Calc1!$C$17:$AF$25,27,0)-$F28))</f>
        <v/>
      </c>
      <c r="F28" s="55" t="str">
        <f ca="1">IF($C28="","",VLOOKUP($C28,Calc1!$C$17:$AC$25,26,0))</f>
        <v/>
      </c>
      <c r="G28" s="378" t="str">
        <f ca="1">IF(C28="","",VLOOKUP(C28,Calc1!$C$17:$AB$25,23,0))</f>
        <v/>
      </c>
      <c r="H28" s="79" t="str">
        <f ca="1">IFERROR(VLOOKUP($C28&amp;H$25,Calc1!$Z$64:$AB$207,3,0),"")</f>
        <v/>
      </c>
      <c r="I28" s="55" t="str">
        <f ca="1">IFERROR(VLOOKUP($C28&amp;I$25,Calc1!$Z$64:$AB$207,3,0),"")</f>
        <v/>
      </c>
      <c r="J28" s="64"/>
      <c r="K28" s="55" t="str">
        <f ca="1">IFERROR(VLOOKUP($C28&amp;K$25,Calc1!$Z$64:$AB$207,3,0),"")</f>
        <v/>
      </c>
      <c r="L28" s="55" t="str">
        <f ca="1">IFERROR(VLOOKUP($C28&amp;L$25,Calc1!$Z$64:$AB$207,3,0),"")</f>
        <v/>
      </c>
      <c r="M28" s="93" t="str">
        <f ca="1">IFERROR(VLOOKUP($C28&amp;M$25,Calc1!$Z$64:$AB$207,3,0),"")</f>
        <v/>
      </c>
      <c r="N28" s="121" t="str">
        <f t="shared" ca="1" si="2"/>
        <v/>
      </c>
    </row>
    <row r="29" spans="2:14" ht="21.95" customHeight="1" x14ac:dyDescent="0.2">
      <c r="B29" s="58" t="str">
        <f ca="1">IF($C29="","",INDEX(Calc1!$E$4:$E$12,MATCH($C29,Calc1!$F$4:$F$12,0)))</f>
        <v/>
      </c>
      <c r="C29" s="67" t="str">
        <f ca="1">IF(Calc1!$K$13=0,"",Calc1!$AH7)</f>
        <v/>
      </c>
      <c r="D29" s="71" t="str">
        <f ca="1">IF($C29="","",VLOOKUP($C29,Calc1!$C$17:$AC$25,25,0))</f>
        <v/>
      </c>
      <c r="E29" s="809" t="str">
        <f ca="1">IF($C29="","",VLOOKUP($C29,Calc1!$C$17:$AF$25,27,0)&amp;Language!$E$99&amp;(VLOOKUP($C29,Calc1!$C$17:$AF$25,27,0)-$F29))</f>
        <v/>
      </c>
      <c r="F29" s="55" t="str">
        <f ca="1">IF($C29="","",VLOOKUP($C29,Calc1!$C$17:$AC$25,26,0))</f>
        <v/>
      </c>
      <c r="G29" s="378" t="str">
        <f ca="1">IF(C29="","",VLOOKUP(C29,Calc1!$C$17:$AB$25,23,0))</f>
        <v/>
      </c>
      <c r="H29" s="79" t="str">
        <f ca="1">IFERROR(VLOOKUP($C29&amp;H$25,Calc1!$Z$64:$AB$207,3,0),"")</f>
        <v/>
      </c>
      <c r="I29" s="55" t="str">
        <f ca="1">IFERROR(VLOOKUP($C29&amp;I$25,Calc1!$Z$64:$AB$207,3,0),"")</f>
        <v/>
      </c>
      <c r="J29" s="55" t="str">
        <f ca="1">IFERROR(VLOOKUP($C29&amp;J$25,Calc1!$Z$64:$AB$207,3,0),"")</f>
        <v/>
      </c>
      <c r="K29" s="64"/>
      <c r="L29" s="55" t="str">
        <f ca="1">IFERROR(VLOOKUP($C29&amp;L$25,Calc1!$Z$64:$AB$207,3,0),"")</f>
        <v/>
      </c>
      <c r="M29" s="93" t="str">
        <f ca="1">IFERROR(VLOOKUP($C29&amp;M$25,Calc1!$Z$64:$AB$207,3,0),"")</f>
        <v/>
      </c>
      <c r="N29" s="121" t="str">
        <f t="shared" ca="1" si="2"/>
        <v/>
      </c>
    </row>
    <row r="30" spans="2:14" ht="21.95" customHeight="1" x14ac:dyDescent="0.2">
      <c r="B30" s="58" t="str">
        <f ca="1">IF($C30="","",INDEX(Calc1!$E$4:$E$12,MATCH($C30,Calc1!$F$4:$F$12,0)))</f>
        <v/>
      </c>
      <c r="C30" s="67" t="str">
        <f ca="1">IF(Calc1!$K$13=0,"",Calc1!$AH8)</f>
        <v/>
      </c>
      <c r="D30" s="71" t="str">
        <f ca="1">IF($C30="","",VLOOKUP($C30,Calc1!$C$17:$AC$25,25,0))</f>
        <v/>
      </c>
      <c r="E30" s="809" t="str">
        <f ca="1">IF($C30="","",VLOOKUP($C30,Calc1!$C$17:$AF$25,27,0)&amp;Language!$E$99&amp;(VLOOKUP($C30,Calc1!$C$17:$AF$25,27,0)-$F30))</f>
        <v/>
      </c>
      <c r="F30" s="55" t="str">
        <f ca="1">IF($C30="","",VLOOKUP($C30,Calc1!$C$17:$AC$25,26,0))</f>
        <v/>
      </c>
      <c r="G30" s="378" t="str">
        <f ca="1">IF(C30="","",VLOOKUP(C30,Calc1!$C$17:$AB$25,23,0))</f>
        <v/>
      </c>
      <c r="H30" s="79" t="str">
        <f ca="1">IFERROR(VLOOKUP($C30&amp;H$25,Calc1!$Z$64:$AB$207,3,0),"")</f>
        <v/>
      </c>
      <c r="I30" s="55" t="str">
        <f ca="1">IFERROR(VLOOKUP($C30&amp;I$25,Calc1!$Z$64:$AB$207,3,0),"")</f>
        <v/>
      </c>
      <c r="J30" s="55" t="str">
        <f ca="1">IFERROR(VLOOKUP($C30&amp;J$25,Calc1!$Z$64:$AB$207,3,0),"")</f>
        <v/>
      </c>
      <c r="K30" s="55" t="str">
        <f ca="1">IFERROR(VLOOKUP($C30&amp;K$25,Calc1!$Z$64:$AB$207,3,0),"")</f>
        <v/>
      </c>
      <c r="L30" s="64"/>
      <c r="M30" s="93" t="str">
        <f ca="1">IFERROR(VLOOKUP($C30&amp;M$25,Calc1!$Z$64:$AB$207,3,0),"")</f>
        <v/>
      </c>
      <c r="N30" s="121" t="str">
        <f t="shared" ca="1" si="2"/>
        <v/>
      </c>
    </row>
    <row r="31" spans="2:14" ht="21.95" customHeight="1" thickBot="1" x14ac:dyDescent="0.25">
      <c r="B31" s="59" t="str">
        <f ca="1">IF($C31="","",INDEX(Calc1!$E$4:$E$12,MATCH($C31,Calc1!$F$4:$F$12,0)))</f>
        <v/>
      </c>
      <c r="C31" s="68" t="str">
        <f ca="1">IF(Calc1!$K$13=0,"",Calc1!$AH9)</f>
        <v/>
      </c>
      <c r="D31" s="72" t="str">
        <f ca="1">IF($C31="","",VLOOKUP($C31,Calc1!$C$17:$AC$25,25,0))</f>
        <v/>
      </c>
      <c r="E31" s="810" t="str">
        <f ca="1">IF($C31="","",VLOOKUP($C31,Calc1!$C$17:$AF$25,27,0)&amp;Language!$E$99&amp;(VLOOKUP($C31,Calc1!$C$17:$AF$25,27,0)-$F31))</f>
        <v/>
      </c>
      <c r="F31" s="56" t="str">
        <f ca="1">IF($C31="","",VLOOKUP($C31,Calc1!$C$17:$AC$25,26,0))</f>
        <v/>
      </c>
      <c r="G31" s="379" t="str">
        <f ca="1">IF(C31="","",VLOOKUP(C31,Calc1!$C$17:$AB$25,23,0))</f>
        <v/>
      </c>
      <c r="H31" s="80" t="str">
        <f ca="1">IFERROR(VLOOKUP($C31&amp;H$25,Calc1!$Z$64:$AB$207,3,0),"")</f>
        <v/>
      </c>
      <c r="I31" s="56" t="str">
        <f ca="1">IFERROR(VLOOKUP($C31&amp;I$25,Calc1!$Z$64:$AB$207,3,0),"")</f>
        <v/>
      </c>
      <c r="J31" s="56" t="str">
        <f ca="1">IFERROR(VLOOKUP($C31&amp;J$25,Calc1!$Z$64:$AB$207,3,0),"")</f>
        <v/>
      </c>
      <c r="K31" s="56" t="str">
        <f ca="1">IFERROR(VLOOKUP($C31&amp;K$25,Calc1!$Z$64:$AB$207,3,0),"")</f>
        <v/>
      </c>
      <c r="L31" s="56" t="str">
        <f ca="1">IFERROR(VLOOKUP($C31&amp;L$25,Calc1!$Z$64:$AB$207,3,0),"")</f>
        <v/>
      </c>
      <c r="M31" s="94"/>
      <c r="N31" s="122" t="str">
        <f t="shared" ca="1" si="2"/>
        <v/>
      </c>
    </row>
    <row r="32" spans="2:14" ht="42.75" customHeight="1" thickTop="1" thickBot="1" x14ac:dyDescent="0.25"/>
    <row r="33" spans="2:14" ht="21.95" customHeight="1" thickBot="1" x14ac:dyDescent="0.25">
      <c r="H33" s="84" t="str">
        <f ca="1">IF(LEN(H34)&gt;Settings!$C$11,LEFT(H34,Settings!$C$11)&amp;".",H34)</f>
        <v/>
      </c>
      <c r="I33" s="85" t="str">
        <f ca="1">IF(LEN(I34)&gt;Settings!$C$11,LEFT(I34,Settings!$C$11)&amp;".",I34)</f>
        <v/>
      </c>
      <c r="J33" s="85" t="str">
        <f ca="1">IF(LEN(J34)&gt;Settings!$C$11,LEFT(J34,Settings!$C$11)&amp;".",J34)</f>
        <v/>
      </c>
      <c r="K33" s="85" t="str">
        <f ca="1">IF(LEN(K34)&gt;Settings!$C$11,LEFT(K34,Settings!$C$11)&amp;".",K34)</f>
        <v/>
      </c>
      <c r="L33" s="85" t="str">
        <f ca="1">IF(LEN(L34)&gt;Settings!$C$11,LEFT(L34,Settings!$C$11)&amp;".",L34)</f>
        <v/>
      </c>
      <c r="M33" s="86" t="str">
        <f ca="1">IF(LEN(M34)&gt;Settings!$C$11,LEFT(M34,Settings!$C$11)&amp;".",M34)</f>
        <v/>
      </c>
    </row>
    <row r="34" spans="2:14" ht="21.95" customHeight="1" thickTop="1" thickBot="1" x14ac:dyDescent="0.25">
      <c r="B34" s="60"/>
      <c r="C34" s="65" t="str">
        <f>Language!$E$10</f>
        <v>Participant or team</v>
      </c>
      <c r="D34" s="69" t="str">
        <f>Language!$E$80</f>
        <v>Setpts.</v>
      </c>
      <c r="E34" s="57" t="str">
        <f>Language!$E$60</f>
        <v>balls</v>
      </c>
      <c r="F34" s="57" t="str">
        <f>Language!$E$26</f>
        <v>GD</v>
      </c>
      <c r="G34" s="87" t="str">
        <f>Language!$E$49</f>
        <v>Tie break</v>
      </c>
      <c r="H34" s="73" t="str">
        <f ca="1">C35</f>
        <v/>
      </c>
      <c r="I34" s="74" t="str">
        <f ca="1">C36</f>
        <v/>
      </c>
      <c r="J34" s="74" t="str">
        <f ca="1">C37</f>
        <v/>
      </c>
      <c r="K34" s="74" t="str">
        <f ca="1">C38</f>
        <v/>
      </c>
      <c r="L34" s="74" t="str">
        <f ca="1">C39</f>
        <v/>
      </c>
      <c r="M34" s="91" t="str">
        <f ca="1">C40</f>
        <v/>
      </c>
    </row>
    <row r="35" spans="2:14" ht="21.95" customHeight="1" x14ac:dyDescent="0.2">
      <c r="B35" s="58" t="str">
        <f ca="1">IF($C35="","",INDEX(Calc1!$E$4:$E$12,MATCH($C35,Calc1!$F$4:$F$12,0)))</f>
        <v/>
      </c>
      <c r="C35" s="66" t="str">
        <f ca="1">IF(Calc1!$K$13=0,"",Calc1!$AM4)</f>
        <v/>
      </c>
      <c r="D35" s="70" t="str">
        <f ca="1">IF($C35="","",VLOOKUP($C35,Calc1!$C$17:$AC$25,25,0))</f>
        <v/>
      </c>
      <c r="E35" s="808" t="str">
        <f ca="1">IF($C35="","",VLOOKUP($C35,Calc1!$C$17:$AF$25,27,0)&amp;Language!$E$99&amp;(VLOOKUP($C35,Calc1!$C$17:$AF$25,27,0)-$F35))</f>
        <v/>
      </c>
      <c r="F35" s="54" t="str">
        <f ca="1">IF($C35="","",VLOOKUP($C35,Calc1!$C$17:$AC$25,26,0))</f>
        <v/>
      </c>
      <c r="G35" s="377" t="str">
        <f ca="1">IF(C35="","",VLOOKUP(C35,Calc1!$C$17:$AB$25,23,0))</f>
        <v/>
      </c>
      <c r="H35" s="78"/>
      <c r="I35" s="54" t="str">
        <f ca="1">IFERROR(VLOOKUP($C35&amp;I$34,Calc1!$Z$64:$AB$207,3,0),"")</f>
        <v/>
      </c>
      <c r="J35" s="54" t="str">
        <f ca="1">IFERROR(VLOOKUP($C35&amp;J$34,Calc1!$Z$64:$AB$207,3,0),"")</f>
        <v/>
      </c>
      <c r="K35" s="54" t="str">
        <f ca="1">IFERROR(VLOOKUP($C35&amp;K$34,Calc1!$Z$64:$AB$207,3,0),"")</f>
        <v/>
      </c>
      <c r="L35" s="54" t="str">
        <f ca="1">IFERROR(VLOOKUP($C35&amp;L$34,Calc1!$Z$64:$AB$207,3,0),"")</f>
        <v/>
      </c>
      <c r="M35" s="92" t="str">
        <f ca="1">IFERROR(VLOOKUP($C35&amp;M$34,Calc1!$Z$64:$AB$207,3,0),"")</f>
        <v/>
      </c>
      <c r="N35" s="120" t="str">
        <f t="shared" ref="N35:N40" ca="1" si="3">C35</f>
        <v/>
      </c>
    </row>
    <row r="36" spans="2:14" ht="21.95" customHeight="1" x14ac:dyDescent="0.2">
      <c r="B36" s="58" t="str">
        <f ca="1">IF($C36="","",INDEX(Calc1!$E$4:$E$12,MATCH($C36,Calc1!$F$4:$F$12,0)))</f>
        <v/>
      </c>
      <c r="C36" s="67" t="str">
        <f ca="1">IF(Calc1!$K$13=0,"",Calc1!$AM5)</f>
        <v/>
      </c>
      <c r="D36" s="71" t="str">
        <f ca="1">IF($C36="","",VLOOKUP($C36,Calc1!$C$17:$AC$25,25,0))</f>
        <v/>
      </c>
      <c r="E36" s="809" t="str">
        <f ca="1">IF($C36="","",VLOOKUP($C36,Calc1!$C$17:$AF$25,27,0)&amp;Language!$E$99&amp;(VLOOKUP($C36,Calc1!$C$17:$AF$25,27,0)-$F36))</f>
        <v/>
      </c>
      <c r="F36" s="55" t="str">
        <f ca="1">IF($C36="","",VLOOKUP($C36,Calc1!$C$17:$AC$25,26,0))</f>
        <v/>
      </c>
      <c r="G36" s="378" t="str">
        <f ca="1">IF(C36="","",VLOOKUP(C36,Calc1!$C$17:$AB$25,23,0))</f>
        <v/>
      </c>
      <c r="H36" s="79" t="str">
        <f ca="1">IFERROR(VLOOKUP($C36&amp;H$34,Calc1!$Z$64:$AB$207,3,0),"")</f>
        <v/>
      </c>
      <c r="I36" s="64"/>
      <c r="J36" s="55" t="str">
        <f ca="1">IFERROR(VLOOKUP($C36&amp;J$34,Calc1!$Z$64:$AB$207,3,0),"")</f>
        <v/>
      </c>
      <c r="K36" s="55" t="str">
        <f ca="1">IFERROR(VLOOKUP($C36&amp;K$34,Calc1!$Z$64:$AB$207,3,0),"")</f>
        <v/>
      </c>
      <c r="L36" s="55" t="str">
        <f ca="1">IFERROR(VLOOKUP($C36&amp;L$34,Calc1!$Z$64:$AB$207,3,0),"")</f>
        <v/>
      </c>
      <c r="M36" s="93" t="str">
        <f ca="1">IFERROR(VLOOKUP($C36&amp;M$34,Calc1!$Z$64:$AB$207,3,0),"")</f>
        <v/>
      </c>
      <c r="N36" s="121" t="str">
        <f t="shared" ca="1" si="3"/>
        <v/>
      </c>
    </row>
    <row r="37" spans="2:14" ht="21.95" customHeight="1" x14ac:dyDescent="0.2">
      <c r="B37" s="58" t="str">
        <f ca="1">IF($C37="","",INDEX(Calc1!$E$4:$E$12,MATCH($C37,Calc1!$F$4:$F$12,0)))</f>
        <v/>
      </c>
      <c r="C37" s="67" t="str">
        <f ca="1">IF(Calc1!$K$13=0,"",Calc1!$AM6)</f>
        <v/>
      </c>
      <c r="D37" s="71" t="str">
        <f ca="1">IF($C37="","",VLOOKUP($C37,Calc1!$C$17:$AC$25,25,0))</f>
        <v/>
      </c>
      <c r="E37" s="809" t="str">
        <f ca="1">IF($C37="","",VLOOKUP($C37,Calc1!$C$17:$AF$25,27,0)&amp;Language!$E$99&amp;(VLOOKUP($C37,Calc1!$C$17:$AF$25,27,0)-$F37))</f>
        <v/>
      </c>
      <c r="F37" s="55" t="str">
        <f ca="1">IF($C37="","",VLOOKUP($C37,Calc1!$C$17:$AC$25,26,0))</f>
        <v/>
      </c>
      <c r="G37" s="378" t="str">
        <f ca="1">IF(C37="","",VLOOKUP(C37,Calc1!$C$17:$AB$25,23,0))</f>
        <v/>
      </c>
      <c r="H37" s="79" t="str">
        <f ca="1">IFERROR(VLOOKUP($C37&amp;H$34,Calc1!$Z$64:$AB$207,3,0),"")</f>
        <v/>
      </c>
      <c r="I37" s="55" t="str">
        <f ca="1">IFERROR(VLOOKUP($C37&amp;I$34,Calc1!$Z$64:$AB$207,3,0),"")</f>
        <v/>
      </c>
      <c r="J37" s="64"/>
      <c r="K37" s="55" t="str">
        <f ca="1">IFERROR(VLOOKUP($C37&amp;K$34,Calc1!$Z$64:$AB$207,3,0),"")</f>
        <v/>
      </c>
      <c r="L37" s="55" t="str">
        <f ca="1">IFERROR(VLOOKUP($C37&amp;L$34,Calc1!$Z$64:$AB$207,3,0),"")</f>
        <v/>
      </c>
      <c r="M37" s="93" t="str">
        <f ca="1">IFERROR(VLOOKUP($C37&amp;M$34,Calc1!$Z$64:$AB$207,3,0),"")</f>
        <v/>
      </c>
      <c r="N37" s="121" t="str">
        <f t="shared" ca="1" si="3"/>
        <v/>
      </c>
    </row>
    <row r="38" spans="2:14" ht="21.95" customHeight="1" x14ac:dyDescent="0.2">
      <c r="B38" s="58" t="str">
        <f ca="1">IF($C38="","",INDEX(Calc1!$E$4:$E$12,MATCH($C38,Calc1!$F$4:$F$12,0)))</f>
        <v/>
      </c>
      <c r="C38" s="67" t="str">
        <f ca="1">IF(Calc1!$K$13=0,"",Calc1!$AM7)</f>
        <v/>
      </c>
      <c r="D38" s="71" t="str">
        <f ca="1">IF($C38="","",VLOOKUP($C38,Calc1!$C$17:$AC$25,25,0))</f>
        <v/>
      </c>
      <c r="E38" s="809" t="str">
        <f ca="1">IF($C38="","",VLOOKUP($C38,Calc1!$C$17:$AF$25,27,0)&amp;Language!$E$99&amp;(VLOOKUP($C38,Calc1!$C$17:$AF$25,27,0)-$F38))</f>
        <v/>
      </c>
      <c r="F38" s="55" t="str">
        <f ca="1">IF($C38="","",VLOOKUP($C38,Calc1!$C$17:$AC$25,26,0))</f>
        <v/>
      </c>
      <c r="G38" s="378" t="str">
        <f ca="1">IF(C38="","",VLOOKUP(C38,Calc1!$C$17:$AB$25,23,0))</f>
        <v/>
      </c>
      <c r="H38" s="79" t="str">
        <f ca="1">IFERROR(VLOOKUP($C38&amp;H$34,Calc1!$Z$64:$AB$207,3,0),"")</f>
        <v/>
      </c>
      <c r="I38" s="55" t="str">
        <f ca="1">IFERROR(VLOOKUP($C38&amp;I$34,Calc1!$Z$64:$AB$207,3,0),"")</f>
        <v/>
      </c>
      <c r="J38" s="55" t="str">
        <f ca="1">IFERROR(VLOOKUP($C38&amp;J$34,Calc1!$Z$64:$AB$207,3,0),"")</f>
        <v/>
      </c>
      <c r="K38" s="64"/>
      <c r="L38" s="55" t="str">
        <f ca="1">IFERROR(VLOOKUP($C38&amp;L$34,Calc1!$Z$64:$AB$207,3,0),"")</f>
        <v/>
      </c>
      <c r="M38" s="93" t="str">
        <f ca="1">IFERROR(VLOOKUP($C38&amp;M$34,Calc1!$Z$64:$AB$207,3,0),"")</f>
        <v/>
      </c>
      <c r="N38" s="121" t="str">
        <f t="shared" ca="1" si="3"/>
        <v/>
      </c>
    </row>
    <row r="39" spans="2:14" ht="21.95" customHeight="1" x14ac:dyDescent="0.2">
      <c r="B39" s="58" t="str">
        <f ca="1">IF($C39="","",INDEX(Calc1!$E$4:$E$12,MATCH($C39,Calc1!$F$4:$F$12,0)))</f>
        <v/>
      </c>
      <c r="C39" s="67" t="str">
        <f ca="1">IF(Calc1!$K$13=0,"",Calc1!$AM8)</f>
        <v/>
      </c>
      <c r="D39" s="71" t="str">
        <f ca="1">IF($C39="","",VLOOKUP($C39,Calc1!$C$17:$AC$25,25,0))</f>
        <v/>
      </c>
      <c r="E39" s="809" t="str">
        <f ca="1">IF($C39="","",VLOOKUP($C39,Calc1!$C$17:$AF$25,27,0)&amp;Language!$E$99&amp;(VLOOKUP($C39,Calc1!$C$17:$AF$25,27,0)-$F39))</f>
        <v/>
      </c>
      <c r="F39" s="55" t="str">
        <f ca="1">IF($C39="","",VLOOKUP($C39,Calc1!$C$17:$AC$25,26,0))</f>
        <v/>
      </c>
      <c r="G39" s="378" t="str">
        <f ca="1">IF(C39="","",VLOOKUP(C39,Calc1!$C$17:$AB$25,23,0))</f>
        <v/>
      </c>
      <c r="H39" s="79" t="str">
        <f ca="1">IFERROR(VLOOKUP($C39&amp;H$34,Calc1!$Z$64:$AB$207,3,0),"")</f>
        <v/>
      </c>
      <c r="I39" s="55" t="str">
        <f ca="1">IFERROR(VLOOKUP($C39&amp;I$34,Calc1!$Z$64:$AB$207,3,0),"")</f>
        <v/>
      </c>
      <c r="J39" s="55" t="str">
        <f ca="1">IFERROR(VLOOKUP($C39&amp;J$34,Calc1!$Z$64:$AB$207,3,0),"")</f>
        <v/>
      </c>
      <c r="K39" s="55" t="str">
        <f ca="1">IFERROR(VLOOKUP($C39&amp;K$34,Calc1!$Z$64:$AB$207,3,0),"")</f>
        <v/>
      </c>
      <c r="L39" s="64"/>
      <c r="M39" s="93" t="str">
        <f ca="1">IFERROR(VLOOKUP($C39&amp;M$34,Calc1!$Z$64:$AB$207,3,0),"")</f>
        <v/>
      </c>
      <c r="N39" s="121" t="str">
        <f t="shared" ca="1" si="3"/>
        <v/>
      </c>
    </row>
    <row r="40" spans="2:14" ht="21.95" customHeight="1" thickBot="1" x14ac:dyDescent="0.25">
      <c r="B40" s="59" t="str">
        <f ca="1">IF($C40="","",INDEX(Calc1!$E$4:$E$12,MATCH($C40,Calc1!$F$4:$F$12,0)))</f>
        <v/>
      </c>
      <c r="C40" s="68" t="str">
        <f ca="1">IF(Calc1!$K$13=0,"",Calc1!$AM9)</f>
        <v/>
      </c>
      <c r="D40" s="72" t="str">
        <f ca="1">IF($C40="","",VLOOKUP($C40,Calc1!$C$17:$AC$25,25,0))</f>
        <v/>
      </c>
      <c r="E40" s="810" t="str">
        <f ca="1">IF($C40="","",VLOOKUP($C40,Calc1!$C$17:$AF$25,27,0)&amp;Language!$E$99&amp;(VLOOKUP($C40,Calc1!$C$17:$AF$25,27,0)-$F40))</f>
        <v/>
      </c>
      <c r="F40" s="56" t="str">
        <f ca="1">IF($C40="","",VLOOKUP($C40,Calc1!$C$17:$AC$25,26,0))</f>
        <v/>
      </c>
      <c r="G40" s="379" t="str">
        <f ca="1">IF(C40="","",VLOOKUP(C40,Calc1!$C$17:$AB$25,23,0))</f>
        <v/>
      </c>
      <c r="H40" s="80" t="str">
        <f ca="1">IFERROR(VLOOKUP($C40&amp;H$34,Calc1!$Z$64:$AB$207,3,0),"")</f>
        <v/>
      </c>
      <c r="I40" s="56" t="str">
        <f ca="1">IFERROR(VLOOKUP($C40&amp;I$34,Calc1!$Z$64:$AB$207,3,0),"")</f>
        <v/>
      </c>
      <c r="J40" s="56" t="str">
        <f ca="1">IFERROR(VLOOKUP($C40&amp;J$34,Calc1!$Z$64:$AB$207,3,0),"")</f>
        <v/>
      </c>
      <c r="K40" s="56" t="str">
        <f ca="1">IFERROR(VLOOKUP($C40&amp;K$34,Calc1!$Z$64:$AB$207,3,0),"")</f>
        <v/>
      </c>
      <c r="L40" s="56" t="str">
        <f ca="1">IFERROR(VLOOKUP($C40&amp;L$34,Calc1!$Z$64:$AB$207,3,0),"")</f>
        <v/>
      </c>
      <c r="M40" s="94"/>
      <c r="N40" s="122"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6"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511EC-92D8-4E4C-9F80-1D0B0CD14D5E}">
  <dimension ref="A1:O56"/>
  <sheetViews>
    <sheetView showGridLines="0" showRowColHeaders="0" zoomScaleNormal="100" workbookViewId="0">
      <selection activeCell="P1" sqref="P1:XFD1048576"/>
    </sheetView>
  </sheetViews>
  <sheetFormatPr baseColWidth="10" defaultColWidth="0" defaultRowHeight="12.75" customHeight="1" zeroHeight="1" x14ac:dyDescent="0.2"/>
  <cols>
    <col min="1" max="1" width="4.28515625" style="9" customWidth="1"/>
    <col min="2" max="2" width="4.5703125" style="9" customWidth="1"/>
    <col min="3" max="3" width="32.7109375" style="9" customWidth="1"/>
    <col min="4" max="7" width="11.7109375" style="9" customWidth="1"/>
    <col min="8" max="13" width="8.7109375" style="9" customWidth="1"/>
    <col min="14" max="14" width="32.7109375" style="9" customWidth="1"/>
    <col min="15" max="15" width="4.5703125" style="9" customWidth="1"/>
    <col min="16" max="16384" width="11.42578125" style="9" hidden="1"/>
  </cols>
  <sheetData>
    <row r="1" spans="2:14" x14ac:dyDescent="0.2"/>
    <row r="2" spans="2:14" ht="33.75" x14ac:dyDescent="0.2">
      <c r="B2" s="1003" t="str">
        <f>Language!$E$7</f>
        <v>Direct comparisons</v>
      </c>
      <c r="C2" s="1003"/>
      <c r="D2" s="1003"/>
      <c r="E2" s="1003"/>
      <c r="F2" s="1003"/>
      <c r="G2" s="1003"/>
      <c r="H2" s="1003"/>
      <c r="I2" s="1003"/>
      <c r="J2" s="1003"/>
      <c r="K2" s="1003"/>
      <c r="L2" s="1003"/>
      <c r="M2" s="1003"/>
    </row>
    <row r="3" spans="2:14" ht="42.75" customHeight="1" x14ac:dyDescent="0.2">
      <c r="B3" s="1004" t="str">
        <f>Language!$E$56&amp;" B"</f>
        <v>Preliminary round group B</v>
      </c>
      <c r="C3" s="1004"/>
      <c r="D3" s="1004"/>
      <c r="E3" s="1004"/>
      <c r="F3" s="1004"/>
      <c r="G3" s="1004"/>
      <c r="H3" s="1004"/>
      <c r="I3" s="1004"/>
      <c r="J3" s="1004"/>
      <c r="K3" s="1004"/>
      <c r="L3" s="1004"/>
      <c r="M3" s="1004"/>
    </row>
    <row r="4" spans="2:14" ht="17.25" customHeight="1" x14ac:dyDescent="0.2">
      <c r="B4" s="1005" t="str">
        <f>Language!$E$97</f>
        <v>Red font means that the ranking is not clear even with the direct comparison. A playoff match or drawing of lots must decide here.</v>
      </c>
      <c r="C4" s="1005"/>
      <c r="D4" s="1005"/>
      <c r="E4" s="1005"/>
      <c r="F4" s="1005"/>
      <c r="G4" s="1005"/>
      <c r="H4" s="1005"/>
      <c r="I4" s="1005"/>
      <c r="J4" s="1005"/>
      <c r="K4" s="1005"/>
      <c r="L4" s="1005"/>
      <c r="M4" s="1005"/>
      <c r="N4" s="1005"/>
    </row>
    <row r="5" spans="2:14" ht="17.25" customHeight="1" thickBot="1" x14ac:dyDescent="0.25">
      <c r="B5" s="62"/>
      <c r="C5" s="62"/>
      <c r="D5" s="62"/>
      <c r="E5" s="62"/>
      <c r="F5" s="62"/>
      <c r="G5" s="62"/>
      <c r="H5" s="62"/>
      <c r="I5" s="62"/>
      <c r="J5" s="62"/>
      <c r="K5" s="62"/>
      <c r="L5" s="62"/>
      <c r="M5" s="62"/>
    </row>
    <row r="6" spans="2:14" ht="21.95" customHeight="1" thickBot="1" x14ac:dyDescent="0.25">
      <c r="H6" s="84" t="str">
        <f ca="1">IF(LEN(H7)&gt;Settings!$C$11,LEFT(H7,Settings!$C$11)&amp;".",H7)</f>
        <v/>
      </c>
      <c r="I6" s="85" t="str">
        <f ca="1">IF(LEN(I7)&gt;Settings!$C$11,LEFT(I7,Settings!$C$11)&amp;".",I7)</f>
        <v/>
      </c>
      <c r="J6" s="85" t="str">
        <f ca="1">IF(LEN(J7)&gt;Settings!$C$11,LEFT(J7,Settings!$C$11)&amp;".",J7)</f>
        <v/>
      </c>
      <c r="K6" s="85" t="str">
        <f ca="1">IF(LEN(K7)&gt;Settings!$C$11,LEFT(K7,Settings!$C$11)&amp;".",K7)</f>
        <v/>
      </c>
      <c r="L6" s="85" t="str">
        <f ca="1">IF(LEN(L7)&gt;Settings!$C$11,LEFT(L7,Settings!$C$11)&amp;".",L7)</f>
        <v/>
      </c>
      <c r="M6" s="86" t="str">
        <f ca="1">IF(LEN(M7)&gt;Settings!$C$11,LEFT(M7,Settings!$C$11)&amp;".",M7)</f>
        <v/>
      </c>
    </row>
    <row r="7" spans="2:14" ht="21.95" customHeight="1" thickTop="1" thickBot="1" x14ac:dyDescent="0.25">
      <c r="B7" s="60"/>
      <c r="C7" s="65" t="str">
        <f>Language!$E$10</f>
        <v>Participant or team</v>
      </c>
      <c r="D7" s="69" t="str">
        <f>Language!$E$80</f>
        <v>Setpts.</v>
      </c>
      <c r="E7" s="57" t="str">
        <f>Language!$E$60</f>
        <v>balls</v>
      </c>
      <c r="F7" s="57" t="str">
        <f>Language!$E$26</f>
        <v>GD</v>
      </c>
      <c r="G7" s="87" t="str">
        <f>Language!$E$49</f>
        <v>Tie break</v>
      </c>
      <c r="H7" s="73" t="str">
        <f ca="1">C8</f>
        <v/>
      </c>
      <c r="I7" s="74" t="str">
        <f ca="1">C9</f>
        <v/>
      </c>
      <c r="J7" s="74" t="str">
        <f ca="1">C10</f>
        <v/>
      </c>
      <c r="K7" s="74" t="str">
        <f ca="1">C11</f>
        <v/>
      </c>
      <c r="L7" s="74" t="str">
        <f ca="1">C12</f>
        <v/>
      </c>
      <c r="M7" s="91" t="str">
        <f ca="1">C13</f>
        <v/>
      </c>
    </row>
    <row r="8" spans="2:14" ht="21.95" customHeight="1" x14ac:dyDescent="0.2">
      <c r="B8" s="58" t="str">
        <f ca="1">IF($C8="","",INDEX(Calc2!$E$4:$E$12,MATCH($C8,Calc2!$F$4:$F$12,0)))</f>
        <v/>
      </c>
      <c r="C8" s="66" t="str">
        <f ca="1">IF(Calc2!$K$13=0,"",Calc2!$X4)</f>
        <v/>
      </c>
      <c r="D8" s="70" t="str">
        <f ca="1">IF($C8="","",VLOOKUP($C8,Calc2!$C$17:$AC$25,25,0))</f>
        <v/>
      </c>
      <c r="E8" s="808" t="str">
        <f ca="1">IF($C8="","",VLOOKUP($C8,Calc2!$C$17:$AF$25,27,0)&amp;Language!$E$99&amp;(VLOOKUP($C8,Calc2!$C$17:$AF$25,27,0)-$F8))</f>
        <v/>
      </c>
      <c r="F8" s="54" t="str">
        <f ca="1">IF($C8="","",VLOOKUP($C8,Calc2!$C$17:$AC$25,26,0))</f>
        <v/>
      </c>
      <c r="G8" s="377" t="str">
        <f ca="1">IF(C8="","",VLOOKUP(C8,Calc2!$C$17:$AB$25,23,0))</f>
        <v/>
      </c>
      <c r="H8" s="78"/>
      <c r="I8" s="54" t="str">
        <f ca="1">IFERROR(VLOOKUP($C8&amp;I$7,Calc2!$Z$64:$AB$207,3,0),"")</f>
        <v/>
      </c>
      <c r="J8" s="54" t="str">
        <f ca="1">IFERROR(VLOOKUP($C8&amp;J$7,Calc2!$Z$64:$AB$207,3,0),"")</f>
        <v/>
      </c>
      <c r="K8" s="54" t="str">
        <f ca="1">IFERROR(VLOOKUP($C8&amp;K$7,Calc2!$Z$64:$AB$207,3,0),"")</f>
        <v/>
      </c>
      <c r="L8" s="54" t="str">
        <f ca="1">IFERROR(VLOOKUP($C8&amp;L$7,Calc2!$Z$64:$AB$207,3,0),"")</f>
        <v/>
      </c>
      <c r="M8" s="92" t="str">
        <f ca="1">IFERROR(VLOOKUP($C8&amp;M$7,Calc2!$Z$64:$AB$207,3,0),"")</f>
        <v/>
      </c>
      <c r="N8" s="120" t="str">
        <f t="shared" ref="N8:N13" ca="1" si="0">C8</f>
        <v/>
      </c>
    </row>
    <row r="9" spans="2:14" ht="21.95" customHeight="1" x14ac:dyDescent="0.2">
      <c r="B9" s="58" t="str">
        <f ca="1">IF($C9="","",INDEX(Calc2!$E$4:$E$12,MATCH($C9,Calc2!$F$4:$F$12,0)))</f>
        <v/>
      </c>
      <c r="C9" s="67" t="str">
        <f ca="1">IF(Calc2!$K$13=0,"",Calc2!$X5)</f>
        <v/>
      </c>
      <c r="D9" s="71" t="str">
        <f ca="1">IF($C9="","",VLOOKUP($C9,Calc2!$C$17:$AC$25,25,0))</f>
        <v/>
      </c>
      <c r="E9" s="809" t="str">
        <f ca="1">IF($C9="","",VLOOKUP($C9,Calc2!$C$17:$AF$25,27,0)&amp;Language!$E$99&amp;(VLOOKUP($C9,Calc2!$C$17:$AF$25,27,0)-$F9))</f>
        <v/>
      </c>
      <c r="F9" s="55" t="str">
        <f ca="1">IF($C9="","",VLOOKUP($C9,Calc2!$C$17:$AC$25,26,0))</f>
        <v/>
      </c>
      <c r="G9" s="378" t="str">
        <f ca="1">IF(C9="","",VLOOKUP(C9,Calc2!$C$17:$AB$25,23,0))</f>
        <v/>
      </c>
      <c r="H9" s="79" t="str">
        <f ca="1">IFERROR(VLOOKUP($C9&amp;H$7,Calc2!$Z$64:$AB$207,3,0),"")</f>
        <v/>
      </c>
      <c r="I9" s="64"/>
      <c r="J9" s="55" t="str">
        <f ca="1">IFERROR(VLOOKUP($C9&amp;J$7,Calc2!$Z$64:$AB$207,3,0),"")</f>
        <v/>
      </c>
      <c r="K9" s="55" t="str">
        <f ca="1">IFERROR(VLOOKUP($C9&amp;K$7,Calc2!$Z$64:$AB$207,3,0),"")</f>
        <v/>
      </c>
      <c r="L9" s="55" t="str">
        <f ca="1">IFERROR(VLOOKUP($C9&amp;L$7,Calc2!$Z$64:$AB$207,3,0),"")</f>
        <v/>
      </c>
      <c r="M9" s="93" t="str">
        <f ca="1">IFERROR(VLOOKUP($C9&amp;M$7,Calc2!$Z$64:$AB$207,3,0),"")</f>
        <v/>
      </c>
      <c r="N9" s="121" t="str">
        <f t="shared" ca="1" si="0"/>
        <v/>
      </c>
    </row>
    <row r="10" spans="2:14" ht="21.95" customHeight="1" x14ac:dyDescent="0.2">
      <c r="B10" s="58" t="str">
        <f ca="1">IF($C10="","",INDEX(Calc2!$E$4:$E$12,MATCH($C10,Calc2!$F$4:$F$12,0)))</f>
        <v/>
      </c>
      <c r="C10" s="67" t="str">
        <f ca="1">IF(Calc2!$K$13=0,"",Calc2!$X6)</f>
        <v/>
      </c>
      <c r="D10" s="71" t="str">
        <f ca="1">IF($C10="","",VLOOKUP($C10,Calc2!$C$17:$AC$25,25,0))</f>
        <v/>
      </c>
      <c r="E10" s="809" t="str">
        <f ca="1">IF($C10="","",VLOOKUP($C10,Calc2!$C$17:$AF$25,27,0)&amp;Language!$E$99&amp;(VLOOKUP($C10,Calc2!$C$17:$AF$25,27,0)-$F10))</f>
        <v/>
      </c>
      <c r="F10" s="55" t="str">
        <f ca="1">IF($C10="","",VLOOKUP($C10,Calc2!$C$17:$AC$25,26,0))</f>
        <v/>
      </c>
      <c r="G10" s="378" t="str">
        <f ca="1">IF(C10="","",VLOOKUP(C10,Calc2!$C$17:$AB$25,23,0))</f>
        <v/>
      </c>
      <c r="H10" s="79" t="str">
        <f ca="1">IFERROR(VLOOKUP($C10&amp;H$7,Calc2!$Z$64:$AB$207,3,0),"")</f>
        <v/>
      </c>
      <c r="I10" s="55" t="str">
        <f ca="1">IFERROR(VLOOKUP($C10&amp;I$7,Calc2!$Z$64:$AB$207,3,0),"")</f>
        <v/>
      </c>
      <c r="J10" s="64"/>
      <c r="K10" s="55" t="str">
        <f ca="1">IFERROR(VLOOKUP($C10&amp;K$7,Calc2!$Z$64:$AB$207,3,0),"")</f>
        <v/>
      </c>
      <c r="L10" s="55" t="str">
        <f ca="1">IFERROR(VLOOKUP($C10&amp;L$7,Calc2!$Z$64:$AB$207,3,0),"")</f>
        <v/>
      </c>
      <c r="M10" s="93" t="str">
        <f ca="1">IFERROR(VLOOKUP($C10&amp;M$7,Calc2!$Z$64:$AB$207,3,0),"")</f>
        <v/>
      </c>
      <c r="N10" s="121" t="str">
        <f t="shared" ca="1" si="0"/>
        <v/>
      </c>
    </row>
    <row r="11" spans="2:14" ht="21.95" customHeight="1" x14ac:dyDescent="0.2">
      <c r="B11" s="58" t="str">
        <f ca="1">IF($C11="","",INDEX(Calc2!$E$4:$E$12,MATCH($C11,Calc2!$F$4:$F$12,0)))</f>
        <v/>
      </c>
      <c r="C11" s="67" t="str">
        <f ca="1">IF(Calc2!$K$13=0,"",Calc2!$X7)</f>
        <v/>
      </c>
      <c r="D11" s="71" t="str">
        <f ca="1">IF($C11="","",VLOOKUP($C11,Calc2!$C$17:$AC$25,25,0))</f>
        <v/>
      </c>
      <c r="E11" s="809" t="str">
        <f ca="1">IF($C11="","",VLOOKUP($C11,Calc2!$C$17:$AF$25,27,0)&amp;Language!$E$99&amp;(VLOOKUP($C11,Calc2!$C$17:$AF$25,27,0)-$F11))</f>
        <v/>
      </c>
      <c r="F11" s="55" t="str">
        <f ca="1">IF($C11="","",VLOOKUP($C11,Calc2!$C$17:$AC$25,26,0))</f>
        <v/>
      </c>
      <c r="G11" s="378" t="str">
        <f ca="1">IF(C11="","",VLOOKUP(C11,Calc2!$C$17:$AB$25,23,0))</f>
        <v/>
      </c>
      <c r="H11" s="79" t="str">
        <f ca="1">IFERROR(VLOOKUP($C11&amp;H$7,Calc2!$Z$64:$AB$207,3,0),"")</f>
        <v/>
      </c>
      <c r="I11" s="55" t="str">
        <f ca="1">IFERROR(VLOOKUP($C11&amp;I$7,Calc2!$Z$64:$AB$207,3,0),"")</f>
        <v/>
      </c>
      <c r="J11" s="55" t="str">
        <f ca="1">IFERROR(VLOOKUP($C11&amp;J$7,Calc2!$Z$64:$AB$207,3,0),"")</f>
        <v/>
      </c>
      <c r="K11" s="64"/>
      <c r="L11" s="55" t="str">
        <f ca="1">IFERROR(VLOOKUP($C11&amp;L$7,Calc2!$Z$64:$AB$207,3,0),"")</f>
        <v/>
      </c>
      <c r="M11" s="93" t="str">
        <f ca="1">IFERROR(VLOOKUP($C11&amp;M$7,Calc2!$Z$64:$AB$207,3,0),"")</f>
        <v/>
      </c>
      <c r="N11" s="121" t="str">
        <f t="shared" ca="1" si="0"/>
        <v/>
      </c>
    </row>
    <row r="12" spans="2:14" ht="21.95" customHeight="1" x14ac:dyDescent="0.2">
      <c r="B12" s="58" t="str">
        <f ca="1">IF($C12="","",INDEX(Calc2!$E$4:$E$12,MATCH($C12,Calc2!$F$4:$F$12,0)))</f>
        <v/>
      </c>
      <c r="C12" s="67" t="str">
        <f ca="1">IF(Calc2!$K$13=0,"",Calc2!$X8)</f>
        <v/>
      </c>
      <c r="D12" s="71" t="str">
        <f ca="1">IF($C12="","",VLOOKUP($C12,Calc2!$C$17:$AC$25,25,0))</f>
        <v/>
      </c>
      <c r="E12" s="809" t="str">
        <f ca="1">IF($C12="","",VLOOKUP($C12,Calc2!$C$17:$AF$25,27,0)&amp;Language!$E$99&amp;(VLOOKUP($C12,Calc2!$C$17:$AF$25,27,0)-$F12))</f>
        <v/>
      </c>
      <c r="F12" s="55" t="str">
        <f ca="1">IF($C12="","",VLOOKUP($C12,Calc2!$C$17:$AC$25,26,0))</f>
        <v/>
      </c>
      <c r="G12" s="378" t="str">
        <f ca="1">IF(C12="","",VLOOKUP(C12,Calc2!$C$17:$AB$25,23,0))</f>
        <v/>
      </c>
      <c r="H12" s="79" t="str">
        <f ca="1">IFERROR(VLOOKUP($C12&amp;H$7,Calc2!$Z$64:$AB$207,3,0),"")</f>
        <v/>
      </c>
      <c r="I12" s="55" t="str">
        <f ca="1">IFERROR(VLOOKUP($C12&amp;I$7,Calc2!$Z$64:$AB$207,3,0),"")</f>
        <v/>
      </c>
      <c r="J12" s="55" t="str">
        <f ca="1">IFERROR(VLOOKUP($C12&amp;J$7,Calc2!$Z$64:$AB$207,3,0),"")</f>
        <v/>
      </c>
      <c r="K12" s="55" t="str">
        <f ca="1">IFERROR(VLOOKUP($C12&amp;K$7,Calc2!$Z$64:$AB$207,3,0),"")</f>
        <v/>
      </c>
      <c r="L12" s="64"/>
      <c r="M12" s="93" t="str">
        <f ca="1">IFERROR(VLOOKUP($C12&amp;M$7,Calc2!$Z$64:$AB$207,3,0),"")</f>
        <v/>
      </c>
      <c r="N12" s="121" t="str">
        <f t="shared" ca="1" si="0"/>
        <v/>
      </c>
    </row>
    <row r="13" spans="2:14" ht="21.95" customHeight="1" thickBot="1" x14ac:dyDescent="0.25">
      <c r="B13" s="59" t="str">
        <f ca="1">IF($C13="","",INDEX(Calc2!$E$4:$E$12,MATCH($C13,Calc2!$F$4:$F$12,0)))</f>
        <v/>
      </c>
      <c r="C13" s="68" t="str">
        <f ca="1">IF(Calc2!$K$13=0,"",Calc2!$X9)</f>
        <v/>
      </c>
      <c r="D13" s="72" t="str">
        <f ca="1">IF($C13="","",VLOOKUP($C13,Calc2!$C$17:$AC$25,25,0))</f>
        <v/>
      </c>
      <c r="E13" s="810" t="str">
        <f ca="1">IF($C13="","",VLOOKUP($C13,Calc2!$C$17:$AF$25,27,0)&amp;Language!$E$99&amp;(VLOOKUP($C13,Calc2!$C$17:$AF$25,27,0)-$F13))</f>
        <v/>
      </c>
      <c r="F13" s="56" t="str">
        <f ca="1">IF($C13="","",VLOOKUP($C13,Calc2!$C$17:$AC$25,26,0))</f>
        <v/>
      </c>
      <c r="G13" s="379" t="str">
        <f ca="1">IF(C13="","",VLOOKUP(C13,Calc2!$C$17:$AB$25,23,0))</f>
        <v/>
      </c>
      <c r="H13" s="80" t="str">
        <f ca="1">IFERROR(VLOOKUP($C13&amp;H$7,Calc2!$Z$64:$AB$207,3,0),"")</f>
        <v/>
      </c>
      <c r="I13" s="56" t="str">
        <f ca="1">IFERROR(VLOOKUP($C13&amp;I$7,Calc2!$Z$64:$AB$207,3,0),"")</f>
        <v/>
      </c>
      <c r="J13" s="56" t="str">
        <f ca="1">IFERROR(VLOOKUP($C13&amp;J$7,Calc2!$Z$64:$AB$207,3,0),"")</f>
        <v/>
      </c>
      <c r="K13" s="56" t="str">
        <f ca="1">IFERROR(VLOOKUP($C13&amp;K$7,Calc2!$Z$64:$AB$207,3,0),"")</f>
        <v/>
      </c>
      <c r="L13" s="56" t="str">
        <f ca="1">IFERROR(VLOOKUP($C13&amp;L$7,Calc2!$Z$64:$AB$207,3,0),"")</f>
        <v/>
      </c>
      <c r="M13" s="94"/>
      <c r="N13" s="122" t="str">
        <f t="shared" ca="1" si="0"/>
        <v/>
      </c>
    </row>
    <row r="14" spans="2:14" ht="42.75" customHeight="1" thickTop="1" thickBot="1" x14ac:dyDescent="0.25">
      <c r="B14" s="75"/>
      <c r="C14" s="76"/>
      <c r="D14" s="77"/>
      <c r="E14" s="77"/>
      <c r="F14" s="63"/>
      <c r="G14" s="63"/>
      <c r="H14" s="63"/>
      <c r="I14" s="63"/>
      <c r="J14" s="63"/>
      <c r="K14" s="63"/>
      <c r="L14" s="63"/>
      <c r="M14" s="63"/>
    </row>
    <row r="15" spans="2:14" ht="21.95" customHeight="1" thickBot="1" x14ac:dyDescent="0.25">
      <c r="H15" s="84" t="str">
        <f ca="1">IF(LEN(H16)&gt;Settings!$C$11,LEFT(H16,Settings!$C$11)&amp;".",H16)</f>
        <v/>
      </c>
      <c r="I15" s="85" t="str">
        <f ca="1">IF(LEN(I16)&gt;Settings!$C$11,LEFT(I16,Settings!$C$11)&amp;".",I16)</f>
        <v/>
      </c>
      <c r="J15" s="85" t="str">
        <f ca="1">IF(LEN(J16)&gt;Settings!$C$11,LEFT(J16,Settings!$C$11)&amp;".",J16)</f>
        <v/>
      </c>
      <c r="K15" s="85" t="str">
        <f ca="1">IF(LEN(K16)&gt;Settings!$C$11,LEFT(K16,Settings!$C$11)&amp;".",K16)</f>
        <v/>
      </c>
      <c r="L15" s="85" t="str">
        <f ca="1">IF(LEN(L16)&gt;Settings!$C$11,LEFT(L16,Settings!$C$11)&amp;".",L16)</f>
        <v/>
      </c>
      <c r="M15" s="86" t="str">
        <f ca="1">IF(LEN(M16)&gt;Settings!$C$11,LEFT(M16,Settings!$C$11)&amp;".",M16)</f>
        <v/>
      </c>
    </row>
    <row r="16" spans="2:14" ht="21.95" customHeight="1" thickTop="1" thickBot="1" x14ac:dyDescent="0.25">
      <c r="B16" s="60"/>
      <c r="C16" s="65" t="str">
        <f>Language!$E$10</f>
        <v>Participant or team</v>
      </c>
      <c r="D16" s="69" t="str">
        <f>Language!$E$80</f>
        <v>Setpts.</v>
      </c>
      <c r="E16" s="57" t="str">
        <f>Language!$E$60</f>
        <v>balls</v>
      </c>
      <c r="F16" s="57" t="str">
        <f>Language!$E$26</f>
        <v>GD</v>
      </c>
      <c r="G16" s="87" t="str">
        <f>Language!$E$49</f>
        <v>Tie break</v>
      </c>
      <c r="H16" s="73" t="str">
        <f ca="1">C17</f>
        <v/>
      </c>
      <c r="I16" s="74" t="str">
        <f ca="1">C18</f>
        <v/>
      </c>
      <c r="J16" s="74" t="str">
        <f ca="1">C19</f>
        <v/>
      </c>
      <c r="K16" s="74" t="str">
        <f ca="1">C20</f>
        <v/>
      </c>
      <c r="L16" s="74" t="str">
        <f ca="1">C21</f>
        <v/>
      </c>
      <c r="M16" s="91" t="str">
        <f ca="1">C22</f>
        <v/>
      </c>
    </row>
    <row r="17" spans="2:14" ht="21.95" customHeight="1" x14ac:dyDescent="0.2">
      <c r="B17" s="58" t="str">
        <f ca="1">IF($C17="","",INDEX(Calc2!$E$4:$E$12,MATCH($C17,Calc2!$F$4:$F$12,0)))</f>
        <v/>
      </c>
      <c r="C17" s="66" t="str">
        <f ca="1">IF(Calc2!$K$13=0,"",Calc2!$AC4)</f>
        <v/>
      </c>
      <c r="D17" s="70" t="str">
        <f ca="1">IF($C17="","",VLOOKUP($C17,Calc2!$C$17:$AC$25,25,0))</f>
        <v/>
      </c>
      <c r="E17" s="808" t="str">
        <f ca="1">IF($C17="","",VLOOKUP($C17,Calc2!$C$17:$AF$25,27,0)&amp;Language!$E$99&amp;(VLOOKUP($C17,Calc2!$C$17:$AF$25,27,0)-$F17))</f>
        <v/>
      </c>
      <c r="F17" s="54" t="str">
        <f ca="1">IF($C17="","",VLOOKUP($C17,Calc2!$C$17:$AC$25,26,0))</f>
        <v/>
      </c>
      <c r="G17" s="377" t="str">
        <f ca="1">IF(C17="","",VLOOKUP(C17,Calc2!$C$17:$AB$25,23,0))</f>
        <v/>
      </c>
      <c r="H17" s="78"/>
      <c r="I17" s="54" t="str">
        <f ca="1">IFERROR(VLOOKUP($C17&amp;I$16,Calc2!$Z$64:$AB$207,3,0),"")</f>
        <v/>
      </c>
      <c r="J17" s="54" t="str">
        <f ca="1">IFERROR(VLOOKUP($C17&amp;J$16,Calc2!$Z$64:$AB$207,3,0),"")</f>
        <v/>
      </c>
      <c r="K17" s="54" t="str">
        <f ca="1">IFERROR(VLOOKUP($C17&amp;K$16,Calc2!$Z$64:$AB$207,3,0),"")</f>
        <v/>
      </c>
      <c r="L17" s="54" t="str">
        <f ca="1">IFERROR(VLOOKUP($C17&amp;L$16,Calc2!$Z$64:$AB$207,3,0),"")</f>
        <v/>
      </c>
      <c r="M17" s="92" t="str">
        <f ca="1">IFERROR(VLOOKUP($C17&amp;M$16,Calc2!$Z$64:$AB$207,3,0),"")</f>
        <v/>
      </c>
      <c r="N17" s="120" t="str">
        <f t="shared" ref="N17:N22" ca="1" si="1">C17</f>
        <v/>
      </c>
    </row>
    <row r="18" spans="2:14" ht="21.95" customHeight="1" x14ac:dyDescent="0.2">
      <c r="B18" s="58" t="str">
        <f ca="1">IF($C18="","",INDEX(Calc2!$E$4:$E$12,MATCH($C18,Calc2!$F$4:$F$12,0)))</f>
        <v/>
      </c>
      <c r="C18" s="67" t="str">
        <f ca="1">IF(Calc2!$K$13=0,"",Calc2!$AC5)</f>
        <v/>
      </c>
      <c r="D18" s="71" t="str">
        <f ca="1">IF($C18="","",VLOOKUP($C18,Calc2!$C$17:$AC$25,25,0))</f>
        <v/>
      </c>
      <c r="E18" s="809" t="str">
        <f ca="1">IF($C18="","",VLOOKUP($C18,Calc2!$C$17:$AF$25,27,0)&amp;Language!$E$99&amp;(VLOOKUP($C18,Calc2!$C$17:$AF$25,27,0)-$F18))</f>
        <v/>
      </c>
      <c r="F18" s="55" t="str">
        <f ca="1">IF($C18="","",VLOOKUP($C18,Calc2!$C$17:$AC$25,26,0))</f>
        <v/>
      </c>
      <c r="G18" s="378" t="str">
        <f ca="1">IF(C18="","",VLOOKUP(C18,Calc2!$C$17:$AB$25,23,0))</f>
        <v/>
      </c>
      <c r="H18" s="79" t="str">
        <f ca="1">IFERROR(VLOOKUP($C18&amp;H$16,Calc2!$Z$64:$AB$207,3,0),"")</f>
        <v/>
      </c>
      <c r="I18" s="64"/>
      <c r="J18" s="55" t="str">
        <f ca="1">IFERROR(VLOOKUP($C18&amp;J$16,Calc2!$Z$64:$AB$207,3,0),"")</f>
        <v/>
      </c>
      <c r="K18" s="55" t="str">
        <f ca="1">IFERROR(VLOOKUP($C18&amp;K$16,Calc2!$Z$64:$AB$207,3,0),"")</f>
        <v/>
      </c>
      <c r="L18" s="55" t="str">
        <f ca="1">IFERROR(VLOOKUP($C18&amp;L$16,Calc2!$Z$64:$AB$207,3,0),"")</f>
        <v/>
      </c>
      <c r="M18" s="93" t="str">
        <f ca="1">IFERROR(VLOOKUP($C18&amp;M$16,Calc2!$Z$64:$AB$207,3,0),"")</f>
        <v/>
      </c>
      <c r="N18" s="121" t="str">
        <f t="shared" ca="1" si="1"/>
        <v/>
      </c>
    </row>
    <row r="19" spans="2:14" ht="21.95" customHeight="1" x14ac:dyDescent="0.2">
      <c r="B19" s="58" t="str">
        <f ca="1">IF($C19="","",INDEX(Calc2!$E$4:$E$12,MATCH($C19,Calc2!$F$4:$F$12,0)))</f>
        <v/>
      </c>
      <c r="C19" s="67" t="str">
        <f ca="1">IF(Calc2!$K$13=0,"",Calc2!$AC6)</f>
        <v/>
      </c>
      <c r="D19" s="71" t="str">
        <f ca="1">IF($C19="","",VLOOKUP($C19,Calc2!$C$17:$AC$25,25,0))</f>
        <v/>
      </c>
      <c r="E19" s="809" t="str">
        <f ca="1">IF($C19="","",VLOOKUP($C19,Calc2!$C$17:$AF$25,27,0)&amp;Language!$E$99&amp;(VLOOKUP($C19,Calc2!$C$17:$AF$25,27,0)-$F19))</f>
        <v/>
      </c>
      <c r="F19" s="55" t="str">
        <f ca="1">IF($C19="","",VLOOKUP($C19,Calc2!$C$17:$AC$25,26,0))</f>
        <v/>
      </c>
      <c r="G19" s="378" t="str">
        <f ca="1">IF(C19="","",VLOOKUP(C19,Calc2!$C$17:$AB$25,23,0))</f>
        <v/>
      </c>
      <c r="H19" s="79" t="str">
        <f ca="1">IFERROR(VLOOKUP($C19&amp;H$16,Calc2!$Z$64:$AB$207,3,0),"")</f>
        <v/>
      </c>
      <c r="I19" s="55" t="str">
        <f ca="1">IFERROR(VLOOKUP($C19&amp;I$16,Calc2!$Z$64:$AB$207,3,0),"")</f>
        <v/>
      </c>
      <c r="J19" s="64"/>
      <c r="K19" s="55" t="str">
        <f ca="1">IFERROR(VLOOKUP($C19&amp;K$16,Calc2!$Z$64:$AB$207,3,0),"")</f>
        <v/>
      </c>
      <c r="L19" s="55" t="str">
        <f ca="1">IFERROR(VLOOKUP($C19&amp;L$16,Calc2!$Z$64:$AB$207,3,0),"")</f>
        <v/>
      </c>
      <c r="M19" s="93" t="str">
        <f ca="1">IFERROR(VLOOKUP($C19&amp;M$16,Calc2!$Z$64:$AB$207,3,0),"")</f>
        <v/>
      </c>
      <c r="N19" s="121" t="str">
        <f t="shared" ca="1" si="1"/>
        <v/>
      </c>
    </row>
    <row r="20" spans="2:14" ht="21.95" customHeight="1" x14ac:dyDescent="0.2">
      <c r="B20" s="58" t="str">
        <f ca="1">IF($C20="","",INDEX(Calc2!$E$4:$E$12,MATCH($C20,Calc2!$F$4:$F$12,0)))</f>
        <v/>
      </c>
      <c r="C20" s="67" t="str">
        <f ca="1">IF(Calc2!$K$13=0,"",Calc2!$AC7)</f>
        <v/>
      </c>
      <c r="D20" s="71" t="str">
        <f ca="1">IF($C20="","",VLOOKUP($C20,Calc2!$C$17:$AC$25,25,0))</f>
        <v/>
      </c>
      <c r="E20" s="809" t="str">
        <f ca="1">IF($C20="","",VLOOKUP($C20,Calc2!$C$17:$AF$25,27,0)&amp;Language!$E$99&amp;(VLOOKUP($C20,Calc2!$C$17:$AF$25,27,0)-$F20))</f>
        <v/>
      </c>
      <c r="F20" s="55" t="str">
        <f ca="1">IF($C20="","",VLOOKUP($C20,Calc2!$C$17:$AC$25,26,0))</f>
        <v/>
      </c>
      <c r="G20" s="378" t="str">
        <f ca="1">IF(C20="","",VLOOKUP(C20,Calc2!$C$17:$AB$25,23,0))</f>
        <v/>
      </c>
      <c r="H20" s="79" t="str">
        <f ca="1">IFERROR(VLOOKUP($C20&amp;H$16,Calc2!$Z$64:$AB$207,3,0),"")</f>
        <v/>
      </c>
      <c r="I20" s="55" t="str">
        <f ca="1">IFERROR(VLOOKUP($C20&amp;I$16,Calc2!$Z$64:$AB$207,3,0),"")</f>
        <v/>
      </c>
      <c r="J20" s="55" t="str">
        <f ca="1">IFERROR(VLOOKUP($C20&amp;J$16,Calc2!$Z$64:$AB$207,3,0),"")</f>
        <v/>
      </c>
      <c r="K20" s="64"/>
      <c r="L20" s="55" t="str">
        <f ca="1">IFERROR(VLOOKUP($C20&amp;L$16,Calc2!$Z$64:$AB$207,3,0),"")</f>
        <v/>
      </c>
      <c r="M20" s="93" t="str">
        <f ca="1">IFERROR(VLOOKUP($C20&amp;M$16,Calc2!$Z$64:$AB$207,3,0),"")</f>
        <v/>
      </c>
      <c r="N20" s="121" t="str">
        <f t="shared" ca="1" si="1"/>
        <v/>
      </c>
    </row>
    <row r="21" spans="2:14" ht="21.95" customHeight="1" x14ac:dyDescent="0.2">
      <c r="B21" s="58" t="str">
        <f ca="1">IF($C21="","",INDEX(Calc2!$E$4:$E$12,MATCH($C21,Calc2!$F$4:$F$12,0)))</f>
        <v/>
      </c>
      <c r="C21" s="67" t="str">
        <f ca="1">IF(Calc2!$K$13=0,"",Calc2!$AC8)</f>
        <v/>
      </c>
      <c r="D21" s="71" t="str">
        <f ca="1">IF($C21="","",VLOOKUP($C21,Calc2!$C$17:$AC$25,25,0))</f>
        <v/>
      </c>
      <c r="E21" s="809" t="str">
        <f ca="1">IF($C21="","",VLOOKUP($C21,Calc2!$C$17:$AF$25,27,0)&amp;Language!$E$99&amp;(VLOOKUP($C21,Calc2!$C$17:$AF$25,27,0)-$F21))</f>
        <v/>
      </c>
      <c r="F21" s="55" t="str">
        <f ca="1">IF($C21="","",VLOOKUP($C21,Calc2!$C$17:$AC$25,26,0))</f>
        <v/>
      </c>
      <c r="G21" s="378" t="str">
        <f ca="1">IF(C21="","",VLOOKUP(C21,Calc2!$C$17:$AB$25,23,0))</f>
        <v/>
      </c>
      <c r="H21" s="79" t="str">
        <f ca="1">IFERROR(VLOOKUP($C21&amp;H$16,Calc2!$Z$64:$AB$207,3,0),"")</f>
        <v/>
      </c>
      <c r="I21" s="55" t="str">
        <f ca="1">IFERROR(VLOOKUP($C21&amp;I$16,Calc2!$Z$64:$AB$207,3,0),"")</f>
        <v/>
      </c>
      <c r="J21" s="55" t="str">
        <f ca="1">IFERROR(VLOOKUP($C21&amp;J$16,Calc2!$Z$64:$AB$207,3,0),"")</f>
        <v/>
      </c>
      <c r="K21" s="55" t="str">
        <f ca="1">IFERROR(VLOOKUP($C21&amp;K$16,Calc2!$Z$64:$AB$207,3,0),"")</f>
        <v/>
      </c>
      <c r="L21" s="64"/>
      <c r="M21" s="93" t="str">
        <f ca="1">IFERROR(VLOOKUP($C21&amp;M$16,Calc2!$Z$64:$AB$207,3,0),"")</f>
        <v/>
      </c>
      <c r="N21" s="121" t="str">
        <f t="shared" ca="1" si="1"/>
        <v/>
      </c>
    </row>
    <row r="22" spans="2:14" ht="21.95" customHeight="1" thickBot="1" x14ac:dyDescent="0.25">
      <c r="B22" s="59" t="str">
        <f ca="1">IF($C22="","",INDEX(Calc2!$E$4:$E$12,MATCH($C22,Calc2!$F$4:$F$12,0)))</f>
        <v/>
      </c>
      <c r="C22" s="68" t="str">
        <f ca="1">IF(Calc2!$K$13=0,"",Calc2!$AC9)</f>
        <v/>
      </c>
      <c r="D22" s="72" t="str">
        <f ca="1">IF($C22="","",VLOOKUP($C22,Calc2!$C$17:$AC$25,25,0))</f>
        <v/>
      </c>
      <c r="E22" s="810" t="str">
        <f ca="1">IF($C22="","",VLOOKUP($C22,Calc2!$C$17:$AF$25,27,0)&amp;Language!$E$99&amp;(VLOOKUP($C22,Calc2!$C$17:$AF$25,27,0)-$F22))</f>
        <v/>
      </c>
      <c r="F22" s="56" t="str">
        <f ca="1">IF($C22="","",VLOOKUP($C22,Calc2!$C$17:$AC$25,26,0))</f>
        <v/>
      </c>
      <c r="G22" s="379" t="str">
        <f ca="1">IF(C22="","",VLOOKUP(C22,Calc2!$C$17:$AB$25,23,0))</f>
        <v/>
      </c>
      <c r="H22" s="80" t="str">
        <f ca="1">IFERROR(VLOOKUP($C22&amp;H$16,Calc2!$Z$64:$AB$207,3,0),"")</f>
        <v/>
      </c>
      <c r="I22" s="56" t="str">
        <f ca="1">IFERROR(VLOOKUP($C22&amp;I$16,Calc2!$Z$64:$AB$207,3,0),"")</f>
        <v/>
      </c>
      <c r="J22" s="56" t="str">
        <f ca="1">IFERROR(VLOOKUP($C22&amp;J$16,Calc2!$Z$64:$AB$207,3,0),"")</f>
        <v/>
      </c>
      <c r="K22" s="56" t="str">
        <f ca="1">IFERROR(VLOOKUP($C22&amp;K$16,Calc2!$Z$64:$AB$207,3,0),"")</f>
        <v/>
      </c>
      <c r="L22" s="56" t="str">
        <f ca="1">IFERROR(VLOOKUP($C22&amp;L$16,Calc2!$Z$64:$AB$207,3,0),"")</f>
        <v/>
      </c>
      <c r="M22" s="94"/>
      <c r="N22" s="122" t="str">
        <f t="shared" ca="1" si="1"/>
        <v/>
      </c>
    </row>
    <row r="23" spans="2:14" ht="42.75" customHeight="1" thickTop="1" thickBot="1" x14ac:dyDescent="0.25">
      <c r="B23" s="75"/>
      <c r="C23" s="76"/>
      <c r="D23" s="77"/>
      <c r="E23" s="77"/>
      <c r="F23" s="63"/>
      <c r="G23" s="63"/>
      <c r="H23" s="63"/>
      <c r="I23" s="63"/>
      <c r="J23" s="63"/>
      <c r="K23" s="63"/>
      <c r="L23" s="63"/>
      <c r="M23" s="63"/>
    </row>
    <row r="24" spans="2:14" ht="21.95" customHeight="1" thickBot="1" x14ac:dyDescent="0.25">
      <c r="H24" s="84" t="str">
        <f ca="1">IF(LEN(H25)&gt;Settings!$C$11,LEFT(H25,Settings!$C$11)&amp;".",H25)</f>
        <v/>
      </c>
      <c r="I24" s="85" t="str">
        <f ca="1">IF(LEN(I25)&gt;Settings!$C$11,LEFT(I25,Settings!$C$11)&amp;".",I25)</f>
        <v/>
      </c>
      <c r="J24" s="85" t="str">
        <f ca="1">IF(LEN(J25)&gt;Settings!$C$11,LEFT(J25,Settings!$C$11)&amp;".",J25)</f>
        <v/>
      </c>
      <c r="K24" s="85" t="str">
        <f ca="1">IF(LEN(K25)&gt;Settings!$C$11,LEFT(K25,Settings!$C$11)&amp;".",K25)</f>
        <v/>
      </c>
      <c r="L24" s="85" t="str">
        <f ca="1">IF(LEN(L25)&gt;Settings!$C$11,LEFT(L25,Settings!$C$11)&amp;".",L25)</f>
        <v/>
      </c>
      <c r="M24" s="86" t="str">
        <f ca="1">IF(LEN(M25)&gt;Settings!$C$11,LEFT(M25,Settings!$C$11)&amp;".",M25)</f>
        <v/>
      </c>
    </row>
    <row r="25" spans="2:14" ht="21.95" customHeight="1" thickTop="1" thickBot="1" x14ac:dyDescent="0.25">
      <c r="B25" s="60"/>
      <c r="C25" s="65" t="str">
        <f>Language!$E$10</f>
        <v>Participant or team</v>
      </c>
      <c r="D25" s="69" t="str">
        <f>Language!$E$80</f>
        <v>Setpts.</v>
      </c>
      <c r="E25" s="57" t="str">
        <f>Language!$E$60</f>
        <v>balls</v>
      </c>
      <c r="F25" s="57" t="str">
        <f>Language!$E$26</f>
        <v>GD</v>
      </c>
      <c r="G25" s="87" t="str">
        <f>Language!$E$49</f>
        <v>Tie break</v>
      </c>
      <c r="H25" s="73" t="str">
        <f ca="1">C26</f>
        <v/>
      </c>
      <c r="I25" s="74" t="str">
        <f ca="1">C27</f>
        <v/>
      </c>
      <c r="J25" s="74" t="str">
        <f ca="1">C28</f>
        <v/>
      </c>
      <c r="K25" s="74" t="str">
        <f ca="1">C29</f>
        <v/>
      </c>
      <c r="L25" s="74" t="str">
        <f ca="1">C30</f>
        <v/>
      </c>
      <c r="M25" s="91" t="str">
        <f ca="1">C31</f>
        <v/>
      </c>
    </row>
    <row r="26" spans="2:14" ht="21.95" customHeight="1" x14ac:dyDescent="0.2">
      <c r="B26" s="58" t="str">
        <f ca="1">IF($C26="","",INDEX(Calc2!$E$4:$E$12,MATCH($C26,Calc2!$F$4:$F$12,0)))</f>
        <v/>
      </c>
      <c r="C26" s="66" t="str">
        <f ca="1">IF(Calc2!$K$13=0,"",Calc2!$AH4)</f>
        <v/>
      </c>
      <c r="D26" s="70" t="str">
        <f ca="1">IF($C26="","",VLOOKUP($C26,Calc2!$C$17:$AC$25,25,0))</f>
        <v/>
      </c>
      <c r="E26" s="808" t="str">
        <f ca="1">IF($C26="","",VLOOKUP($C26,Calc2!$C$17:$AF$25,27,0)&amp;Language!$E$99&amp;(VLOOKUP($C26,Calc2!$C$17:$AF$25,27,0)-$F26))</f>
        <v/>
      </c>
      <c r="F26" s="54" t="str">
        <f ca="1">IF($C26="","",VLOOKUP($C26,Calc2!$C$17:$AC$25,26,0))</f>
        <v/>
      </c>
      <c r="G26" s="377" t="str">
        <f ca="1">IF(C26="","",VLOOKUP(C26,Calc2!$C$17:$AB$25,23,0))</f>
        <v/>
      </c>
      <c r="H26" s="78"/>
      <c r="I26" s="54" t="str">
        <f ca="1">IFERROR(VLOOKUP($C26&amp;I$25,Calc2!$Z$64:$AB$207,3,0),"")</f>
        <v/>
      </c>
      <c r="J26" s="54" t="str">
        <f ca="1">IFERROR(VLOOKUP($C26&amp;J$25,Calc2!$Z$64:$AB$207,3,0),"")</f>
        <v/>
      </c>
      <c r="K26" s="54" t="str">
        <f ca="1">IFERROR(VLOOKUP($C26&amp;K$25,Calc2!$Z$64:$AB$207,3,0),"")</f>
        <v/>
      </c>
      <c r="L26" s="54" t="str">
        <f ca="1">IFERROR(VLOOKUP($C26&amp;L$25,Calc2!$Z$64:$AB$207,3,0),"")</f>
        <v/>
      </c>
      <c r="M26" s="92" t="str">
        <f ca="1">IFERROR(VLOOKUP($C26&amp;M$25,Calc2!$Z$64:$AB$207,3,0),"")</f>
        <v/>
      </c>
      <c r="N26" s="120" t="str">
        <f t="shared" ref="N26:N31" ca="1" si="2">C26</f>
        <v/>
      </c>
    </row>
    <row r="27" spans="2:14" ht="21.95" customHeight="1" x14ac:dyDescent="0.2">
      <c r="B27" s="58" t="str">
        <f ca="1">IF($C27="","",INDEX(Calc2!$E$4:$E$12,MATCH($C27,Calc2!$F$4:$F$12,0)))</f>
        <v/>
      </c>
      <c r="C27" s="67" t="str">
        <f ca="1">IF(Calc2!$K$13=0,"",Calc2!$AH5)</f>
        <v/>
      </c>
      <c r="D27" s="71" t="str">
        <f ca="1">IF($C27="","",VLOOKUP($C27,Calc2!$C$17:$AC$25,25,0))</f>
        <v/>
      </c>
      <c r="E27" s="809" t="str">
        <f ca="1">IF($C27="","",VLOOKUP($C27,Calc2!$C$17:$AF$25,27,0)&amp;Language!$E$99&amp;(VLOOKUP($C27,Calc2!$C$17:$AF$25,27,0)-$F27))</f>
        <v/>
      </c>
      <c r="F27" s="55" t="str">
        <f ca="1">IF($C27="","",VLOOKUP($C27,Calc2!$C$17:$AC$25,26,0))</f>
        <v/>
      </c>
      <c r="G27" s="378" t="str">
        <f ca="1">IF(C27="","",VLOOKUP(C27,Calc2!$C$17:$AB$25,23,0))</f>
        <v/>
      </c>
      <c r="H27" s="79" t="str">
        <f ca="1">IFERROR(VLOOKUP($C27&amp;H$25,Calc2!$Z$64:$AB$207,3,0),"")</f>
        <v/>
      </c>
      <c r="I27" s="64"/>
      <c r="J27" s="55" t="str">
        <f ca="1">IFERROR(VLOOKUP($C27&amp;J$25,Calc2!$Z$64:$AB$207,3,0),"")</f>
        <v/>
      </c>
      <c r="K27" s="55" t="str">
        <f ca="1">IFERROR(VLOOKUP($C27&amp;K$25,Calc2!$Z$64:$AB$207,3,0),"")</f>
        <v/>
      </c>
      <c r="L27" s="55" t="str">
        <f ca="1">IFERROR(VLOOKUP($C27&amp;L$25,Calc2!$Z$64:$AB$207,3,0),"")</f>
        <v/>
      </c>
      <c r="M27" s="93" t="str">
        <f ca="1">IFERROR(VLOOKUP($C27&amp;M$25,Calc2!$Z$64:$AB$207,3,0),"")</f>
        <v/>
      </c>
      <c r="N27" s="121" t="str">
        <f t="shared" ca="1" si="2"/>
        <v/>
      </c>
    </row>
    <row r="28" spans="2:14" ht="21.95" customHeight="1" x14ac:dyDescent="0.2">
      <c r="B28" s="58" t="str">
        <f ca="1">IF($C28="","",INDEX(Calc2!$E$4:$E$12,MATCH($C28,Calc2!$F$4:$F$12,0)))</f>
        <v/>
      </c>
      <c r="C28" s="67" t="str">
        <f ca="1">IF(Calc2!$K$13=0,"",Calc2!$AH6)</f>
        <v/>
      </c>
      <c r="D28" s="71" t="str">
        <f ca="1">IF($C28="","",VLOOKUP($C28,Calc2!$C$17:$AC$25,25,0))</f>
        <v/>
      </c>
      <c r="E28" s="809" t="str">
        <f ca="1">IF($C28="","",VLOOKUP($C28,Calc2!$C$17:$AF$25,27,0)&amp;Language!$E$99&amp;(VLOOKUP($C28,Calc2!$C$17:$AF$25,27,0)-$F28))</f>
        <v/>
      </c>
      <c r="F28" s="55" t="str">
        <f ca="1">IF($C28="","",VLOOKUP($C28,Calc2!$C$17:$AC$25,26,0))</f>
        <v/>
      </c>
      <c r="G28" s="378" t="str">
        <f ca="1">IF(C28="","",VLOOKUP(C28,Calc2!$C$17:$AB$25,23,0))</f>
        <v/>
      </c>
      <c r="H28" s="79" t="str">
        <f ca="1">IFERROR(VLOOKUP($C28&amp;H$25,Calc2!$Z$64:$AB$207,3,0),"")</f>
        <v/>
      </c>
      <c r="I28" s="55" t="str">
        <f ca="1">IFERROR(VLOOKUP($C28&amp;I$25,Calc2!$Z$64:$AB$207,3,0),"")</f>
        <v/>
      </c>
      <c r="J28" s="64"/>
      <c r="K28" s="55" t="str">
        <f ca="1">IFERROR(VLOOKUP($C28&amp;K$25,Calc2!$Z$64:$AB$207,3,0),"")</f>
        <v/>
      </c>
      <c r="L28" s="55" t="str">
        <f ca="1">IFERROR(VLOOKUP($C28&amp;L$25,Calc2!$Z$64:$AB$207,3,0),"")</f>
        <v/>
      </c>
      <c r="M28" s="93" t="str">
        <f ca="1">IFERROR(VLOOKUP($C28&amp;M$25,Calc2!$Z$64:$AB$207,3,0),"")</f>
        <v/>
      </c>
      <c r="N28" s="121" t="str">
        <f t="shared" ca="1" si="2"/>
        <v/>
      </c>
    </row>
    <row r="29" spans="2:14" ht="21.95" customHeight="1" x14ac:dyDescent="0.2">
      <c r="B29" s="58" t="str">
        <f ca="1">IF($C29="","",INDEX(Calc2!$E$4:$E$12,MATCH($C29,Calc2!$F$4:$F$12,0)))</f>
        <v/>
      </c>
      <c r="C29" s="67" t="str">
        <f ca="1">IF(Calc2!$K$13=0,"",Calc2!$AH7)</f>
        <v/>
      </c>
      <c r="D29" s="71" t="str">
        <f ca="1">IF($C29="","",VLOOKUP($C29,Calc2!$C$17:$AC$25,25,0))</f>
        <v/>
      </c>
      <c r="E29" s="809" t="str">
        <f ca="1">IF($C29="","",VLOOKUP($C29,Calc2!$C$17:$AF$25,27,0)&amp;Language!$E$99&amp;(VLOOKUP($C29,Calc2!$C$17:$AF$25,27,0)-$F29))</f>
        <v/>
      </c>
      <c r="F29" s="55" t="str">
        <f ca="1">IF($C29="","",VLOOKUP($C29,Calc2!$C$17:$AC$25,26,0))</f>
        <v/>
      </c>
      <c r="G29" s="378" t="str">
        <f ca="1">IF(C29="","",VLOOKUP(C29,Calc2!$C$17:$AB$25,23,0))</f>
        <v/>
      </c>
      <c r="H29" s="79" t="str">
        <f ca="1">IFERROR(VLOOKUP($C29&amp;H$25,Calc2!$Z$64:$AB$207,3,0),"")</f>
        <v/>
      </c>
      <c r="I29" s="55" t="str">
        <f ca="1">IFERROR(VLOOKUP($C29&amp;I$25,Calc2!$Z$64:$AB$207,3,0),"")</f>
        <v/>
      </c>
      <c r="J29" s="55" t="str">
        <f ca="1">IFERROR(VLOOKUP($C29&amp;J$25,Calc2!$Z$64:$AB$207,3,0),"")</f>
        <v/>
      </c>
      <c r="K29" s="64"/>
      <c r="L29" s="55" t="str">
        <f ca="1">IFERROR(VLOOKUP($C29&amp;L$25,Calc2!$Z$64:$AB$207,3,0),"")</f>
        <v/>
      </c>
      <c r="M29" s="93" t="str">
        <f ca="1">IFERROR(VLOOKUP($C29&amp;M$25,Calc2!$Z$64:$AB$207,3,0),"")</f>
        <v/>
      </c>
      <c r="N29" s="121" t="str">
        <f t="shared" ca="1" si="2"/>
        <v/>
      </c>
    </row>
    <row r="30" spans="2:14" ht="21.95" customHeight="1" x14ac:dyDescent="0.2">
      <c r="B30" s="58" t="str">
        <f ca="1">IF($C30="","",INDEX(Calc2!$E$4:$E$12,MATCH($C30,Calc2!$F$4:$F$12,0)))</f>
        <v/>
      </c>
      <c r="C30" s="67" t="str">
        <f ca="1">IF(Calc2!$K$13=0,"",Calc2!$AH8)</f>
        <v/>
      </c>
      <c r="D30" s="71" t="str">
        <f ca="1">IF($C30="","",VLOOKUP($C30,Calc2!$C$17:$AC$25,25,0))</f>
        <v/>
      </c>
      <c r="E30" s="809" t="str">
        <f ca="1">IF($C30="","",VLOOKUP($C30,Calc2!$C$17:$AF$25,27,0)&amp;Language!$E$99&amp;(VLOOKUP($C30,Calc2!$C$17:$AF$25,27,0)-$F30))</f>
        <v/>
      </c>
      <c r="F30" s="55" t="str">
        <f ca="1">IF($C30="","",VLOOKUP($C30,Calc2!$C$17:$AC$25,26,0))</f>
        <v/>
      </c>
      <c r="G30" s="378" t="str">
        <f ca="1">IF(C30="","",VLOOKUP(C30,Calc2!$C$17:$AB$25,23,0))</f>
        <v/>
      </c>
      <c r="H30" s="79" t="str">
        <f ca="1">IFERROR(VLOOKUP($C30&amp;H$25,Calc2!$Z$64:$AB$207,3,0),"")</f>
        <v/>
      </c>
      <c r="I30" s="55" t="str">
        <f ca="1">IFERROR(VLOOKUP($C30&amp;I$25,Calc2!$Z$64:$AB$207,3,0),"")</f>
        <v/>
      </c>
      <c r="J30" s="55" t="str">
        <f ca="1">IFERROR(VLOOKUP($C30&amp;J$25,Calc2!$Z$64:$AB$207,3,0),"")</f>
        <v/>
      </c>
      <c r="K30" s="55" t="str">
        <f ca="1">IFERROR(VLOOKUP($C30&amp;K$25,Calc2!$Z$64:$AB$207,3,0),"")</f>
        <v/>
      </c>
      <c r="L30" s="64"/>
      <c r="M30" s="93" t="str">
        <f ca="1">IFERROR(VLOOKUP($C30&amp;M$25,Calc2!$Z$64:$AB$207,3,0),"")</f>
        <v/>
      </c>
      <c r="N30" s="121" t="str">
        <f t="shared" ca="1" si="2"/>
        <v/>
      </c>
    </row>
    <row r="31" spans="2:14" ht="21.95" customHeight="1" thickBot="1" x14ac:dyDescent="0.25">
      <c r="B31" s="59" t="str">
        <f ca="1">IF($C31="","",INDEX(Calc2!$E$4:$E$12,MATCH($C31,Calc2!$F$4:$F$12,0)))</f>
        <v/>
      </c>
      <c r="C31" s="68" t="str">
        <f ca="1">IF(Calc2!$K$13=0,"",Calc2!$AH9)</f>
        <v/>
      </c>
      <c r="D31" s="72" t="str">
        <f ca="1">IF($C31="","",VLOOKUP($C31,Calc2!$C$17:$AC$25,25,0))</f>
        <v/>
      </c>
      <c r="E31" s="810" t="str">
        <f ca="1">IF($C31="","",VLOOKUP($C31,Calc2!$C$17:$AF$25,27,0)&amp;Language!$E$99&amp;(VLOOKUP($C31,Calc2!$C$17:$AF$25,27,0)-$F31))</f>
        <v/>
      </c>
      <c r="F31" s="56" t="str">
        <f ca="1">IF($C31="","",VLOOKUP($C31,Calc2!$C$17:$AC$25,26,0))</f>
        <v/>
      </c>
      <c r="G31" s="379" t="str">
        <f ca="1">IF(C31="","",VLOOKUP(C31,Calc2!$C$17:$AB$25,23,0))</f>
        <v/>
      </c>
      <c r="H31" s="80" t="str">
        <f ca="1">IFERROR(VLOOKUP($C31&amp;H$25,Calc2!$Z$64:$AB$207,3,0),"")</f>
        <v/>
      </c>
      <c r="I31" s="56" t="str">
        <f ca="1">IFERROR(VLOOKUP($C31&amp;I$25,Calc2!$Z$64:$AB$207,3,0),"")</f>
        <v/>
      </c>
      <c r="J31" s="56" t="str">
        <f ca="1">IFERROR(VLOOKUP($C31&amp;J$25,Calc2!$Z$64:$AB$207,3,0),"")</f>
        <v/>
      </c>
      <c r="K31" s="56" t="str">
        <f ca="1">IFERROR(VLOOKUP($C31&amp;K$25,Calc2!$Z$64:$AB$207,3,0),"")</f>
        <v/>
      </c>
      <c r="L31" s="56" t="str">
        <f ca="1">IFERROR(VLOOKUP($C31&amp;L$25,Calc2!$Z$64:$AB$207,3,0),"")</f>
        <v/>
      </c>
      <c r="M31" s="94"/>
      <c r="N31" s="122" t="str">
        <f t="shared" ca="1" si="2"/>
        <v/>
      </c>
    </row>
    <row r="32" spans="2:14" ht="42.75" customHeight="1" thickTop="1" thickBot="1" x14ac:dyDescent="0.25"/>
    <row r="33" spans="2:14" ht="21.95" customHeight="1" thickBot="1" x14ac:dyDescent="0.25">
      <c r="H33" s="84" t="str">
        <f ca="1">IF(LEN(H34)&gt;Settings!$C$11,LEFT(H34,Settings!$C$11)&amp;".",H34)</f>
        <v/>
      </c>
      <c r="I33" s="85" t="str">
        <f ca="1">IF(LEN(I34)&gt;Settings!$C$11,LEFT(I34,Settings!$C$11)&amp;".",I34)</f>
        <v/>
      </c>
      <c r="J33" s="85" t="str">
        <f ca="1">IF(LEN(J34)&gt;Settings!$C$11,LEFT(J34,Settings!$C$11)&amp;".",J34)</f>
        <v/>
      </c>
      <c r="K33" s="85" t="str">
        <f ca="1">IF(LEN(K34)&gt;Settings!$C$11,LEFT(K34,Settings!$C$11)&amp;".",K34)</f>
        <v/>
      </c>
      <c r="L33" s="85" t="str">
        <f ca="1">IF(LEN(L34)&gt;Settings!$C$11,LEFT(L34,Settings!$C$11)&amp;".",L34)</f>
        <v/>
      </c>
      <c r="M33" s="86" t="str">
        <f ca="1">IF(LEN(M34)&gt;Settings!$C$11,LEFT(M34,Settings!$C$11)&amp;".",M34)</f>
        <v/>
      </c>
    </row>
    <row r="34" spans="2:14" ht="21.95" customHeight="1" thickTop="1" thickBot="1" x14ac:dyDescent="0.25">
      <c r="B34" s="60"/>
      <c r="C34" s="65" t="str">
        <f>Language!$E$10</f>
        <v>Participant or team</v>
      </c>
      <c r="D34" s="69" t="str">
        <f>Language!$E$80</f>
        <v>Setpts.</v>
      </c>
      <c r="E34" s="57" t="str">
        <f>Language!$E$60</f>
        <v>balls</v>
      </c>
      <c r="F34" s="57" t="str">
        <f>Language!$E$26</f>
        <v>GD</v>
      </c>
      <c r="G34" s="87" t="str">
        <f>Language!$E$49</f>
        <v>Tie break</v>
      </c>
      <c r="H34" s="73" t="str">
        <f ca="1">C35</f>
        <v/>
      </c>
      <c r="I34" s="74" t="str">
        <f ca="1">C36</f>
        <v/>
      </c>
      <c r="J34" s="74" t="str">
        <f ca="1">C37</f>
        <v/>
      </c>
      <c r="K34" s="74" t="str">
        <f ca="1">C38</f>
        <v/>
      </c>
      <c r="L34" s="74" t="str">
        <f ca="1">C39</f>
        <v/>
      </c>
      <c r="M34" s="91" t="str">
        <f ca="1">C40</f>
        <v/>
      </c>
    </row>
    <row r="35" spans="2:14" ht="21.95" customHeight="1" x14ac:dyDescent="0.2">
      <c r="B35" s="58" t="str">
        <f ca="1">IF($C35="","",INDEX(Calc2!$E$4:$E$12,MATCH($C35,Calc2!$F$4:$F$12,0)))</f>
        <v/>
      </c>
      <c r="C35" s="66" t="str">
        <f ca="1">IF(Calc2!$K$13=0,"",Calc2!$AM4)</f>
        <v/>
      </c>
      <c r="D35" s="70" t="str">
        <f ca="1">IF($C35="","",VLOOKUP($C35,Calc2!$C$17:$AC$25,25,0))</f>
        <v/>
      </c>
      <c r="E35" s="808" t="str">
        <f ca="1">IF($C35="","",VLOOKUP($C35,Calc2!$C$17:$AF$25,27,0)&amp;Language!$E$99&amp;(VLOOKUP($C35,Calc2!$C$17:$AF$25,27,0)-$F35))</f>
        <v/>
      </c>
      <c r="F35" s="54" t="str">
        <f ca="1">IF($C35="","",VLOOKUP($C35,Calc2!$C$17:$AC$25,26,0))</f>
        <v/>
      </c>
      <c r="G35" s="377" t="str">
        <f ca="1">IF(C35="","",VLOOKUP(C35,Calc2!$C$17:$AB$25,23,0))</f>
        <v/>
      </c>
      <c r="H35" s="78"/>
      <c r="I35" s="54" t="str">
        <f ca="1">IFERROR(VLOOKUP($C35&amp;I$34,Calc2!$Z$64:$AB$207,3,0),"")</f>
        <v/>
      </c>
      <c r="J35" s="54" t="str">
        <f ca="1">IFERROR(VLOOKUP($C35&amp;J$34,Calc2!$Z$64:$AB$207,3,0),"")</f>
        <v/>
      </c>
      <c r="K35" s="54" t="str">
        <f ca="1">IFERROR(VLOOKUP($C35&amp;K$34,Calc2!$Z$64:$AB$207,3,0),"")</f>
        <v/>
      </c>
      <c r="L35" s="54" t="str">
        <f ca="1">IFERROR(VLOOKUP($C35&amp;L$34,Calc2!$Z$64:$AB$207,3,0),"")</f>
        <v/>
      </c>
      <c r="M35" s="92" t="str">
        <f ca="1">IFERROR(VLOOKUP($C35&amp;M$34,Calc2!$Z$64:$AB$207,3,0),"")</f>
        <v/>
      </c>
      <c r="N35" s="120" t="str">
        <f t="shared" ref="N35:N40" ca="1" si="3">C35</f>
        <v/>
      </c>
    </row>
    <row r="36" spans="2:14" ht="21.95" customHeight="1" x14ac:dyDescent="0.2">
      <c r="B36" s="58" t="str">
        <f ca="1">IF($C36="","",INDEX(Calc2!$E$4:$E$12,MATCH($C36,Calc2!$F$4:$F$12,0)))</f>
        <v/>
      </c>
      <c r="C36" s="67" t="str">
        <f ca="1">IF(Calc2!$K$13=0,"",Calc2!$AM5)</f>
        <v/>
      </c>
      <c r="D36" s="71" t="str">
        <f ca="1">IF($C36="","",VLOOKUP($C36,Calc2!$C$17:$AC$25,25,0))</f>
        <v/>
      </c>
      <c r="E36" s="809" t="str">
        <f ca="1">IF($C36="","",VLOOKUP($C36,Calc2!$C$17:$AF$25,27,0)&amp;Language!$E$99&amp;(VLOOKUP($C36,Calc2!$C$17:$AF$25,27,0)-$F36))</f>
        <v/>
      </c>
      <c r="F36" s="55" t="str">
        <f ca="1">IF($C36="","",VLOOKUP($C36,Calc2!$C$17:$AC$25,26,0))</f>
        <v/>
      </c>
      <c r="G36" s="378" t="str">
        <f ca="1">IF(C36="","",VLOOKUP(C36,Calc2!$C$17:$AB$25,23,0))</f>
        <v/>
      </c>
      <c r="H36" s="79" t="str">
        <f ca="1">IFERROR(VLOOKUP($C36&amp;H$34,Calc2!$Z$64:$AB$207,3,0),"")</f>
        <v/>
      </c>
      <c r="I36" s="64"/>
      <c r="J36" s="55" t="str">
        <f ca="1">IFERROR(VLOOKUP($C36&amp;J$34,Calc2!$Z$64:$AB$207,3,0),"")</f>
        <v/>
      </c>
      <c r="K36" s="55" t="str">
        <f ca="1">IFERROR(VLOOKUP($C36&amp;K$34,Calc2!$Z$64:$AB$207,3,0),"")</f>
        <v/>
      </c>
      <c r="L36" s="55" t="str">
        <f ca="1">IFERROR(VLOOKUP($C36&amp;L$34,Calc2!$Z$64:$AB$207,3,0),"")</f>
        <v/>
      </c>
      <c r="M36" s="93" t="str">
        <f ca="1">IFERROR(VLOOKUP($C36&amp;M$34,Calc2!$Z$64:$AB$207,3,0),"")</f>
        <v/>
      </c>
      <c r="N36" s="121" t="str">
        <f t="shared" ca="1" si="3"/>
        <v/>
      </c>
    </row>
    <row r="37" spans="2:14" ht="21.95" customHeight="1" x14ac:dyDescent="0.2">
      <c r="B37" s="58" t="str">
        <f ca="1">IF($C37="","",INDEX(Calc2!$E$4:$E$12,MATCH($C37,Calc2!$F$4:$F$12,0)))</f>
        <v/>
      </c>
      <c r="C37" s="67" t="str">
        <f ca="1">IF(Calc2!$K$13=0,"",Calc2!$AM6)</f>
        <v/>
      </c>
      <c r="D37" s="71" t="str">
        <f ca="1">IF($C37="","",VLOOKUP($C37,Calc2!$C$17:$AC$25,25,0))</f>
        <v/>
      </c>
      <c r="E37" s="809" t="str">
        <f ca="1">IF($C37="","",VLOOKUP($C37,Calc2!$C$17:$AF$25,27,0)&amp;Language!$E$99&amp;(VLOOKUP($C37,Calc2!$C$17:$AF$25,27,0)-$F37))</f>
        <v/>
      </c>
      <c r="F37" s="55" t="str">
        <f ca="1">IF($C37="","",VLOOKUP($C37,Calc2!$C$17:$AC$25,26,0))</f>
        <v/>
      </c>
      <c r="G37" s="378" t="str">
        <f ca="1">IF(C37="","",VLOOKUP(C37,Calc2!$C$17:$AB$25,23,0))</f>
        <v/>
      </c>
      <c r="H37" s="79" t="str">
        <f ca="1">IFERROR(VLOOKUP($C37&amp;H$34,Calc2!$Z$64:$AB$207,3,0),"")</f>
        <v/>
      </c>
      <c r="I37" s="55" t="str">
        <f ca="1">IFERROR(VLOOKUP($C37&amp;I$34,Calc2!$Z$64:$AB$207,3,0),"")</f>
        <v/>
      </c>
      <c r="J37" s="64"/>
      <c r="K37" s="55" t="str">
        <f ca="1">IFERROR(VLOOKUP($C37&amp;K$34,Calc2!$Z$64:$AB$207,3,0),"")</f>
        <v/>
      </c>
      <c r="L37" s="55" t="str">
        <f ca="1">IFERROR(VLOOKUP($C37&amp;L$34,Calc2!$Z$64:$AB$207,3,0),"")</f>
        <v/>
      </c>
      <c r="M37" s="93" t="str">
        <f ca="1">IFERROR(VLOOKUP($C37&amp;M$34,Calc2!$Z$64:$AB$207,3,0),"")</f>
        <v/>
      </c>
      <c r="N37" s="121" t="str">
        <f t="shared" ca="1" si="3"/>
        <v/>
      </c>
    </row>
    <row r="38" spans="2:14" ht="21.95" customHeight="1" x14ac:dyDescent="0.2">
      <c r="B38" s="58" t="str">
        <f ca="1">IF($C38="","",INDEX(Calc2!$E$4:$E$12,MATCH($C38,Calc2!$F$4:$F$12,0)))</f>
        <v/>
      </c>
      <c r="C38" s="67" t="str">
        <f ca="1">IF(Calc2!$K$13=0,"",Calc2!$AM7)</f>
        <v/>
      </c>
      <c r="D38" s="71" t="str">
        <f ca="1">IF($C38="","",VLOOKUP($C38,Calc2!$C$17:$AC$25,25,0))</f>
        <v/>
      </c>
      <c r="E38" s="809" t="str">
        <f ca="1">IF($C38="","",VLOOKUP($C38,Calc2!$C$17:$AF$25,27,0)&amp;Language!$E$99&amp;(VLOOKUP($C38,Calc2!$C$17:$AF$25,27,0)-$F38))</f>
        <v/>
      </c>
      <c r="F38" s="55" t="str">
        <f ca="1">IF($C38="","",VLOOKUP($C38,Calc2!$C$17:$AC$25,26,0))</f>
        <v/>
      </c>
      <c r="G38" s="378" t="str">
        <f ca="1">IF(C38="","",VLOOKUP(C38,Calc2!$C$17:$AB$25,23,0))</f>
        <v/>
      </c>
      <c r="H38" s="79" t="str">
        <f ca="1">IFERROR(VLOOKUP($C38&amp;H$34,Calc2!$Z$64:$AB$207,3,0),"")</f>
        <v/>
      </c>
      <c r="I38" s="55" t="str">
        <f ca="1">IFERROR(VLOOKUP($C38&amp;I$34,Calc2!$Z$64:$AB$207,3,0),"")</f>
        <v/>
      </c>
      <c r="J38" s="55" t="str">
        <f ca="1">IFERROR(VLOOKUP($C38&amp;J$34,Calc2!$Z$64:$AB$207,3,0),"")</f>
        <v/>
      </c>
      <c r="K38" s="64"/>
      <c r="L38" s="55" t="str">
        <f ca="1">IFERROR(VLOOKUP($C38&amp;L$34,Calc2!$Z$64:$AB$207,3,0),"")</f>
        <v/>
      </c>
      <c r="M38" s="93" t="str">
        <f ca="1">IFERROR(VLOOKUP($C38&amp;M$34,Calc2!$Z$64:$AB$207,3,0),"")</f>
        <v/>
      </c>
      <c r="N38" s="121" t="str">
        <f t="shared" ca="1" si="3"/>
        <v/>
      </c>
    </row>
    <row r="39" spans="2:14" ht="21.95" customHeight="1" x14ac:dyDescent="0.2">
      <c r="B39" s="58" t="str">
        <f ca="1">IF($C39="","",INDEX(Calc2!$E$4:$E$12,MATCH($C39,Calc2!$F$4:$F$12,0)))</f>
        <v/>
      </c>
      <c r="C39" s="67" t="str">
        <f ca="1">IF(Calc2!$K$13=0,"",Calc2!$AM8)</f>
        <v/>
      </c>
      <c r="D39" s="71" t="str">
        <f ca="1">IF($C39="","",VLOOKUP($C39,Calc2!$C$17:$AC$25,25,0))</f>
        <v/>
      </c>
      <c r="E39" s="809" t="str">
        <f ca="1">IF($C39="","",VLOOKUP($C39,Calc2!$C$17:$AF$25,27,0)&amp;Language!$E$99&amp;(VLOOKUP($C39,Calc2!$C$17:$AF$25,27,0)-$F39))</f>
        <v/>
      </c>
      <c r="F39" s="55" t="str">
        <f ca="1">IF($C39="","",VLOOKUP($C39,Calc2!$C$17:$AC$25,26,0))</f>
        <v/>
      </c>
      <c r="G39" s="378" t="str">
        <f ca="1">IF(C39="","",VLOOKUP(C39,Calc2!$C$17:$AB$25,23,0))</f>
        <v/>
      </c>
      <c r="H39" s="79" t="str">
        <f ca="1">IFERROR(VLOOKUP($C39&amp;H$34,Calc2!$Z$64:$AB$207,3,0),"")</f>
        <v/>
      </c>
      <c r="I39" s="55" t="str">
        <f ca="1">IFERROR(VLOOKUP($C39&amp;I$34,Calc2!$Z$64:$AB$207,3,0),"")</f>
        <v/>
      </c>
      <c r="J39" s="55" t="str">
        <f ca="1">IFERROR(VLOOKUP($C39&amp;J$34,Calc2!$Z$64:$AB$207,3,0),"")</f>
        <v/>
      </c>
      <c r="K39" s="55" t="str">
        <f ca="1">IFERROR(VLOOKUP($C39&amp;K$34,Calc2!$Z$64:$AB$207,3,0),"")</f>
        <v/>
      </c>
      <c r="L39" s="64"/>
      <c r="M39" s="93" t="str">
        <f ca="1">IFERROR(VLOOKUP($C39&amp;M$34,Calc2!$Z$64:$AB$207,3,0),"")</f>
        <v/>
      </c>
      <c r="N39" s="121" t="str">
        <f t="shared" ca="1" si="3"/>
        <v/>
      </c>
    </row>
    <row r="40" spans="2:14" ht="21.95" customHeight="1" thickBot="1" x14ac:dyDescent="0.25">
      <c r="B40" s="59" t="str">
        <f ca="1">IF($C40="","",INDEX(Calc2!$E$4:$E$12,MATCH($C40,Calc2!$F$4:$F$12,0)))</f>
        <v/>
      </c>
      <c r="C40" s="68" t="str">
        <f ca="1">IF(Calc2!$K$13=0,"",Calc2!$AM9)</f>
        <v/>
      </c>
      <c r="D40" s="72" t="str">
        <f ca="1">IF($C40="","",VLOOKUP($C40,Calc2!$C$17:$AC$25,25,0))</f>
        <v/>
      </c>
      <c r="E40" s="810" t="str">
        <f ca="1">IF($C40="","",VLOOKUP($C40,Calc2!$C$17:$AF$25,27,0)&amp;Language!$E$99&amp;(VLOOKUP($C40,Calc2!$C$17:$AF$25,27,0)-$F40))</f>
        <v/>
      </c>
      <c r="F40" s="56" t="str">
        <f ca="1">IF($C40="","",VLOOKUP($C40,Calc2!$C$17:$AC$25,26,0))</f>
        <v/>
      </c>
      <c r="G40" s="379" t="str">
        <f ca="1">IF(C40="","",VLOOKUP(C40,Calc2!$C$17:$AB$25,23,0))</f>
        <v/>
      </c>
      <c r="H40" s="80" t="str">
        <f ca="1">IFERROR(VLOOKUP($C40&amp;H$34,Calc2!$Z$64:$AB$207,3,0),"")</f>
        <v/>
      </c>
      <c r="I40" s="56" t="str">
        <f ca="1">IFERROR(VLOOKUP($C40&amp;I$34,Calc2!$Z$64:$AB$207,3,0),"")</f>
        <v/>
      </c>
      <c r="J40" s="56" t="str">
        <f ca="1">IFERROR(VLOOKUP($C40&amp;J$34,Calc2!$Z$64:$AB$207,3,0),"")</f>
        <v/>
      </c>
      <c r="K40" s="56" t="str">
        <f ca="1">IFERROR(VLOOKUP($C40&amp;K$34,Calc2!$Z$64:$AB$207,3,0),"")</f>
        <v/>
      </c>
      <c r="L40" s="56" t="str">
        <f ca="1">IFERROR(VLOOKUP($C40&amp;L$34,Calc2!$Z$64:$AB$207,3,0),"")</f>
        <v/>
      </c>
      <c r="M40" s="94"/>
      <c r="N40" s="122" t="str">
        <f t="shared" ca="1" si="3"/>
        <v/>
      </c>
    </row>
    <row r="41" spans="2:14" ht="13.5" thickTop="1" x14ac:dyDescent="0.2"/>
    <row r="42" spans="2:14" x14ac:dyDescent="0.2"/>
    <row r="43" spans="2:14" x14ac:dyDescent="0.2"/>
    <row r="44" spans="2:14" x14ac:dyDescent="0.2"/>
    <row r="45" spans="2:14" x14ac:dyDescent="0.2"/>
    <row r="46" spans="2:14" hidden="1" x14ac:dyDescent="0.2"/>
    <row r="47" spans="2:14" hidden="1" x14ac:dyDescent="0.2"/>
    <row r="48" spans="2:14"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sheetData>
  <sheetProtection sheet="1" selectLockedCells="1"/>
  <mergeCells count="3">
    <mergeCell ref="B2:M2"/>
    <mergeCell ref="B3:M3"/>
    <mergeCell ref="B4:N4"/>
  </mergeCells>
  <conditionalFormatting sqref="B8:N13 B17:N22 B26:N31 B35:N40">
    <cfRule type="expression" dxfId="5" priority="1">
      <formula>OR(AND($B8=$B7,$C7&lt;&gt;""),AND($B8=$B9,$C9&lt;&gt;""))</formula>
    </cfRule>
  </conditionalFormatting>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D364-8FB8-428D-B6BE-2D82659729A8}">
  <sheetPr>
    <pageSetUpPr fitToPage="1"/>
  </sheetPr>
  <dimension ref="A1:BT64"/>
  <sheetViews>
    <sheetView showGridLines="0" showRowColHeaders="0" zoomScaleNormal="100" workbookViewId="0">
      <selection activeCell="J1" sqref="J1:XFD1048576"/>
    </sheetView>
  </sheetViews>
  <sheetFormatPr baseColWidth="10" defaultColWidth="0" defaultRowHeight="12.75" zeroHeight="1" x14ac:dyDescent="0.2"/>
  <cols>
    <col min="1" max="1" width="6.140625" customWidth="1"/>
    <col min="2" max="2" width="5" style="560" customWidth="1"/>
    <col min="3" max="3" width="18.140625" style="561" customWidth="1"/>
    <col min="4" max="4" width="8.28515625" style="183" customWidth="1"/>
    <col min="5" max="5" width="8.85546875" customWidth="1"/>
    <col min="6" max="6" width="8.42578125" customWidth="1"/>
    <col min="7" max="7" width="7.7109375" customWidth="1"/>
    <col min="8" max="8" width="18.42578125" customWidth="1"/>
    <col min="9" max="9" width="6.28515625" customWidth="1"/>
    <col min="10" max="10" width="5.7109375" style="559" hidden="1" customWidth="1"/>
    <col min="11" max="11" width="15.7109375" style="559" hidden="1" customWidth="1"/>
    <col min="12" max="13" width="7.85546875" hidden="1" customWidth="1"/>
    <col min="14" max="14" width="10.7109375" hidden="1" customWidth="1"/>
    <col min="15" max="15" width="5.42578125" hidden="1" customWidth="1"/>
    <col min="16" max="16" width="12.7109375" hidden="1" customWidth="1"/>
    <col min="17" max="18" width="9.5703125" hidden="1" customWidth="1"/>
    <col min="19" max="19" width="10.7109375" hidden="1" customWidth="1"/>
    <col min="20" max="20" width="5.42578125" hidden="1" customWidth="1"/>
    <col min="21" max="21" width="12.7109375" hidden="1" customWidth="1"/>
    <col min="22" max="23" width="9.5703125" hidden="1" customWidth="1"/>
    <col min="24" max="24" width="10.7109375" hidden="1" customWidth="1"/>
    <col min="25" max="25" width="5.42578125" hidden="1" customWidth="1"/>
    <col min="26" max="26" width="12.7109375" hidden="1" customWidth="1"/>
    <col min="27" max="28" width="9.5703125" hidden="1" customWidth="1"/>
    <col min="29" max="29" width="10.7109375" hidden="1" customWidth="1"/>
    <col min="30" max="30" width="5.42578125" hidden="1" customWidth="1"/>
    <col min="31" max="31" width="12.7109375" hidden="1" customWidth="1"/>
    <col min="32" max="33" width="9.5703125" hidden="1" customWidth="1"/>
    <col min="34" max="34" width="10.7109375" hidden="1" customWidth="1"/>
    <col min="35" max="35" width="5.42578125" hidden="1" customWidth="1"/>
    <col min="36" max="36" width="12.7109375" hidden="1" customWidth="1"/>
    <col min="37" max="38" width="9.5703125" hidden="1" customWidth="1"/>
    <col min="39" max="39" width="10.7109375" hidden="1" customWidth="1"/>
    <col min="40" max="40" width="5.42578125" hidden="1" customWidth="1"/>
    <col min="41" max="41" width="12.7109375" hidden="1" customWidth="1"/>
    <col min="42" max="43" width="9.5703125" hidden="1" customWidth="1"/>
    <col min="44" max="44" width="10.7109375" hidden="1" customWidth="1"/>
    <col min="45" max="45" width="5.42578125" hidden="1" customWidth="1"/>
    <col min="46" max="46" width="12.7109375" hidden="1" customWidth="1"/>
    <col min="47" max="48" width="9.5703125" hidden="1" customWidth="1"/>
    <col min="49" max="49" width="10.7109375" hidden="1" customWidth="1"/>
    <col min="50" max="50" width="5.42578125" hidden="1" customWidth="1"/>
    <col min="51" max="51" width="12.7109375" hidden="1" customWidth="1"/>
    <col min="52" max="53" width="9.5703125" hidden="1" customWidth="1"/>
    <col min="54" max="54" width="10.7109375" hidden="1" customWidth="1"/>
    <col min="55" max="55" width="5.42578125" hidden="1" customWidth="1"/>
    <col min="56" max="56" width="12.7109375" hidden="1" customWidth="1"/>
    <col min="57" max="58" width="9.5703125" hidden="1" customWidth="1"/>
    <col min="59" max="59" width="10.7109375" hidden="1" customWidth="1"/>
    <col min="60" max="60" width="5.42578125" hidden="1" customWidth="1"/>
    <col min="61" max="61" width="12.7109375" hidden="1" customWidth="1"/>
    <col min="62" max="63" width="9.5703125" hidden="1" customWidth="1"/>
    <col min="64" max="64" width="10.7109375" hidden="1" customWidth="1"/>
    <col min="65" max="65" width="5.42578125" hidden="1" customWidth="1"/>
    <col min="66" max="66" width="12.7109375" hidden="1" customWidth="1"/>
    <col min="67" max="68" width="9.5703125" hidden="1" customWidth="1"/>
    <col min="69" max="69" width="10.7109375" hidden="1" customWidth="1"/>
    <col min="70" max="70" width="5.42578125" hidden="1" customWidth="1"/>
    <col min="71" max="71" width="12.7109375" hidden="1" customWidth="1"/>
    <col min="72" max="72" width="9.5703125" hidden="1" customWidth="1"/>
    <col min="73" max="16384" width="11.42578125" hidden="1"/>
  </cols>
  <sheetData>
    <row r="1" spans="2:72" ht="33" customHeight="1" x14ac:dyDescent="0.2">
      <c r="B1" s="1006" t="str">
        <f>Language!$E$115</f>
        <v>End of tournament (final round 4):</v>
      </c>
      <c r="C1" s="1006"/>
      <c r="D1" s="1006"/>
      <c r="E1" s="1006"/>
      <c r="F1" s="1006"/>
      <c r="G1" s="1006"/>
      <c r="H1" s="1006"/>
    </row>
    <row r="2" spans="2:72" ht="15.95" customHeight="1" x14ac:dyDescent="0.2"/>
    <row r="3" spans="2:72" ht="15.95" customHeight="1" thickBot="1" x14ac:dyDescent="0.25"/>
    <row r="4" spans="2:72" ht="15.95" customHeight="1" x14ac:dyDescent="0.2">
      <c r="B4" s="560" t="s">
        <v>186</v>
      </c>
      <c r="C4" s="561" t="str">
        <f>IF(Planning!$C$7="","",Planning!$C$7)</f>
        <v>1. FC Riedwald</v>
      </c>
      <c r="E4" s="562" t="str">
        <f>Language!$E$60</f>
        <v>balls</v>
      </c>
      <c r="F4" s="563" t="str">
        <f>Language!$E$39</f>
        <v>Start</v>
      </c>
      <c r="G4" s="564" t="str">
        <f>Language!$E$48</f>
        <v>Field</v>
      </c>
      <c r="H4" s="565" t="str">
        <f>Language!$E$46</f>
        <v>Match against</v>
      </c>
    </row>
    <row r="5" spans="2:72" ht="15.95" customHeight="1" x14ac:dyDescent="0.2">
      <c r="E5" s="566">
        <f ca="1">IF($Q$12&lt;99999,INDEX($L$12:$L$29,MATCH($Q$12,$M$12:$M$29,0)),"")</f>
        <v>21</v>
      </c>
      <c r="F5" s="567">
        <f ca="1">IF($Q$12&lt;99999,VLOOKUP($Q$12,$M$12:$P$29,2,0),"")</f>
        <v>0.49652777777777779</v>
      </c>
      <c r="G5" s="568">
        <f ca="1">IF($Q$12&lt;99999,VLOOKUP($Q$12,$M$12:$P$29,3,0),"")</f>
        <v>1</v>
      </c>
      <c r="H5" s="569" t="str">
        <f ca="1">IF($Q$12&lt;99999,VLOOKUP($Q$12,$M$12:$P$29,4,0),"")</f>
        <v>FC Grönlingen</v>
      </c>
      <c r="J5" s="559">
        <f t="shared" ref="J5:J14" ca="1" si="0">IF(AND(F5&lt;&gt;"",OR(F5=F4,F5=F6)),E5,0)</f>
        <v>0</v>
      </c>
      <c r="K5" s="559" t="str">
        <f ca="1">IF(J5=0,"",$C$4)</f>
        <v/>
      </c>
    </row>
    <row r="6" spans="2:72" ht="15.95" customHeight="1" x14ac:dyDescent="0.2">
      <c r="E6" s="566">
        <f ca="1">IF($Q$13&lt;99999,INDEX($L$12:$L$29,MATCH($Q$13,$M$12:$M$29,0)),"")</f>
        <v>25</v>
      </c>
      <c r="F6" s="570">
        <f ca="1">IF($Q$13&lt;99999,VLOOKUP($Q$13,$M$12:$P$29,2,0),"")</f>
        <v>0.52083333333333337</v>
      </c>
      <c r="G6" s="571">
        <f ca="1">IF($Q$13&lt;99999,VLOOKUP($Q$13,$M$12:$P$29,3,0),"")</f>
        <v>1</v>
      </c>
      <c r="H6" s="572" t="str">
        <f ca="1">IF($Q$13&lt;99999,VLOOKUP($Q$13,$M$12:$P$29,4,0),"")</f>
        <v>Eintracht Frankfurt</v>
      </c>
      <c r="J6" s="559">
        <f t="shared" ca="1" si="0"/>
        <v>0</v>
      </c>
      <c r="K6" s="559" t="str">
        <f t="shared" ref="K6:K7" ca="1" si="1">IF(J6=0,"",$C$4)</f>
        <v/>
      </c>
    </row>
    <row r="7" spans="2:72" ht="15.95" customHeight="1" thickBot="1" x14ac:dyDescent="0.25">
      <c r="E7" s="573">
        <f ca="1">IF($Q$14&lt;99999,INDEX($L$12:$L$29,MATCH($Q$14,$M$12:$M$29,0)),"")</f>
        <v>32</v>
      </c>
      <c r="F7" s="574">
        <f ca="1">IF($Q$14&lt;99999,VLOOKUP($Q$14,$M$12:$P$29,2,0),"")</f>
        <v>0.54513888888888895</v>
      </c>
      <c r="G7" s="575">
        <f ca="1">IF($Q$14&lt;99999,VLOOKUP($Q$14,$M$12:$P$29,3,0),"")</f>
        <v>4</v>
      </c>
      <c r="H7" s="576" t="str">
        <f ca="1">IF($Q$14&lt;99999,VLOOKUP($Q$14,$M$12:$P$29,4,0),"")</f>
        <v>SSV Wildbach</v>
      </c>
      <c r="J7" s="559">
        <f t="shared" ca="1" si="0"/>
        <v>0</v>
      </c>
      <c r="K7" s="559" t="str">
        <f t="shared" ca="1" si="1"/>
        <v/>
      </c>
    </row>
    <row r="8" spans="2:72" ht="30" customHeight="1" thickBot="1" x14ac:dyDescent="0.25">
      <c r="J8" s="559">
        <f t="shared" ca="1" si="0"/>
        <v>0</v>
      </c>
    </row>
    <row r="9" spans="2:72" ht="15.95" customHeight="1" x14ac:dyDescent="0.2">
      <c r="B9" s="560" t="s">
        <v>188</v>
      </c>
      <c r="C9" s="561" t="str">
        <f>IF(Planning!$C$9="","",Planning!$C$9)</f>
        <v>FC Barcelona</v>
      </c>
      <c r="E9" s="562" t="str">
        <f>Language!$E$60</f>
        <v>balls</v>
      </c>
      <c r="F9" s="563" t="str">
        <f>Language!$E$39</f>
        <v>Start</v>
      </c>
      <c r="G9" s="564" t="str">
        <f>Language!$E$48</f>
        <v>Field</v>
      </c>
      <c r="H9" s="565" t="str">
        <f>Language!$E$46</f>
        <v>Match against</v>
      </c>
      <c r="J9" s="559">
        <f t="shared" ca="1" si="0"/>
        <v>0</v>
      </c>
    </row>
    <row r="10" spans="2:72" ht="15.95" customHeight="1" x14ac:dyDescent="0.2">
      <c r="E10" s="566">
        <f ca="1">IF($V$12&lt;99999,INDEX($L$12:$L$29,MATCH($V$12,$R$12:$R$29,0)),"")</f>
        <v>31</v>
      </c>
      <c r="F10" s="567">
        <f ca="1">IF($V$12&lt;99999,VLOOKUP($V$12,$R$12:$U$29,2,0),"")</f>
        <v>0.54513888888888895</v>
      </c>
      <c r="G10" s="568">
        <f ca="1">IF($V$12&lt;99999,VLOOKUP($V$12,$R$12:$U$29,3,0),"")</f>
        <v>3</v>
      </c>
      <c r="H10" s="569" t="str">
        <f ca="1">IF($V$12&lt;99999,VLOOKUP($V$12,$R$12:$U$29,4,0),"")</f>
        <v>Mainz 05</v>
      </c>
      <c r="J10" s="559">
        <f t="shared" ca="1" si="0"/>
        <v>0</v>
      </c>
      <c r="K10" s="559" t="str">
        <f ca="1">IF(J10=0,"",$C$9)</f>
        <v/>
      </c>
    </row>
    <row r="11" spans="2:72" ht="15.95" customHeight="1" x14ac:dyDescent="0.2">
      <c r="E11" s="566" t="str">
        <f ca="1">IF($V$13&lt;99999,INDEX($L$12:$L$29,MATCH($V$13,$R$12:$R$29,0)),"")</f>
        <v/>
      </c>
      <c r="F11" s="570" t="str">
        <f ca="1">IF($V$13&lt;99999,VLOOKUP($V$13,$R$12:$U$29,2,0),"")</f>
        <v/>
      </c>
      <c r="G11" s="571" t="str">
        <f ca="1">IF($V$13&lt;99999,VLOOKUP($V$13,$R$12:$U$29,3,0),"")</f>
        <v/>
      </c>
      <c r="H11" s="572" t="str">
        <f ca="1">IF($V$13&lt;99999,VLOOKUP($V$13,$R$12:$U$29,4,0),"")</f>
        <v/>
      </c>
      <c r="J11" s="559">
        <f t="shared" ca="1" si="0"/>
        <v>0</v>
      </c>
      <c r="K11" s="559" t="str">
        <f t="shared" ref="K11:K12" ca="1" si="2">IF(J11=0,"",$C$9)</f>
        <v/>
      </c>
      <c r="L11" s="577" t="str">
        <f>Language!$E$9</f>
        <v>No.</v>
      </c>
      <c r="M11" s="577"/>
      <c r="N11" s="183"/>
      <c r="O11" s="183"/>
      <c r="P11" s="183" t="str">
        <f>$C$4</f>
        <v>1. FC Riedwald</v>
      </c>
      <c r="Q11" s="183"/>
      <c r="R11" s="183"/>
      <c r="S11" s="183"/>
      <c r="T11" s="183"/>
      <c r="U11" s="183" t="str">
        <f>$C$9</f>
        <v>FC Barcelona</v>
      </c>
      <c r="V11" s="183"/>
      <c r="W11" s="183"/>
      <c r="X11" s="183"/>
      <c r="Y11" s="183"/>
      <c r="Z11" s="183" t="str">
        <f>$C$14</f>
        <v>Eintracht Frankfurt</v>
      </c>
      <c r="AA11" s="183"/>
      <c r="AB11" s="183"/>
      <c r="AC11" s="183"/>
      <c r="AD11" s="183"/>
      <c r="AE11" s="183" t="str">
        <f>$C$19</f>
        <v>Maibach 1822 eV</v>
      </c>
      <c r="AF11" s="183"/>
      <c r="AG11" s="183"/>
      <c r="AH11" s="183"/>
      <c r="AI11" s="183"/>
      <c r="AJ11" s="183" t="str">
        <f>$C$24</f>
        <v>VFB Essenheim</v>
      </c>
      <c r="AK11" s="183"/>
      <c r="AL11" s="183"/>
      <c r="AM11" s="183"/>
      <c r="AN11" s="183"/>
      <c r="AO11" s="183" t="str">
        <f>$C$29</f>
        <v/>
      </c>
      <c r="AP11" s="183"/>
      <c r="AQ11" s="183"/>
      <c r="AR11" s="183"/>
      <c r="AS11" s="183"/>
      <c r="AT11" s="183" t="str">
        <f>$C$34</f>
        <v>Mainz 05</v>
      </c>
      <c r="AU11" s="183"/>
      <c r="AV11" s="183"/>
      <c r="AW11" s="183"/>
      <c r="AX11" s="183"/>
      <c r="AY11" s="183" t="str">
        <f>$C$39</f>
        <v>Inter Mailand</v>
      </c>
      <c r="AZ11" s="183"/>
      <c r="BA11" s="183"/>
      <c r="BB11" s="183"/>
      <c r="BC11" s="183"/>
      <c r="BD11" s="183" t="str">
        <f>$C$44</f>
        <v>SSV Wildbach</v>
      </c>
      <c r="BE11" s="183"/>
      <c r="BF11" s="183"/>
      <c r="BG11" s="183"/>
      <c r="BH11" s="183"/>
      <c r="BI11" s="183" t="str">
        <f>$C$49</f>
        <v>Manchester City</v>
      </c>
      <c r="BJ11" s="183"/>
      <c r="BK11" s="183"/>
      <c r="BL11" s="183"/>
      <c r="BM11" s="183"/>
      <c r="BN11" s="183" t="str">
        <f>$C$54</f>
        <v>FC Grönlingen</v>
      </c>
      <c r="BO11" s="183"/>
      <c r="BP11" s="183"/>
      <c r="BQ11" s="183"/>
      <c r="BR11" s="183"/>
      <c r="BS11" s="183" t="str">
        <f>$C$59</f>
        <v/>
      </c>
      <c r="BT11" s="183"/>
    </row>
    <row r="12" spans="2:72" ht="15.95" customHeight="1" thickBot="1" x14ac:dyDescent="0.25">
      <c r="E12" s="573" t="str">
        <f ca="1">IF($V$14&lt;99999,INDEX($L$12:$L$29,MATCH($V$14,$R$12:$R$29,0)),"")</f>
        <v/>
      </c>
      <c r="F12" s="574" t="str">
        <f ca="1">IF($V$14&lt;99999,VLOOKUP($V$14,$R$12:$U$29,2,0),"")</f>
        <v/>
      </c>
      <c r="G12" s="575" t="str">
        <f ca="1">IF($V$14&lt;99999,VLOOKUP($V$14,$R$12:$U$29,3,0),"")</f>
        <v/>
      </c>
      <c r="H12" s="576" t="str">
        <f ca="1">IF($V$14&lt;99999,VLOOKUP($V$14,$R$12:$U$29,4,0),"")</f>
        <v/>
      </c>
      <c r="J12" s="559">
        <f t="shared" ca="1" si="0"/>
        <v>0</v>
      </c>
      <c r="K12" s="559" t="str">
        <f t="shared" ca="1" si="2"/>
        <v/>
      </c>
      <c r="L12" s="99">
        <f ca="1">'Finals 4'!$C12</f>
        <v>21</v>
      </c>
      <c r="M12" s="578">
        <f ca="1">N12+ROW(N12)</f>
        <v>100011</v>
      </c>
      <c r="N12" s="579">
        <f ca="1">IF(P12="",99999,'Finals 4'!$D12)</f>
        <v>99999</v>
      </c>
      <c r="O12" s="580" t="str">
        <f ca="1">IF(P12="","",'Finals 4'!$E12)</f>
        <v/>
      </c>
      <c r="P12" s="581" t="str">
        <f ca="1">IF($C$4="","",IF('Finals 4'!$I12=$C$4,'Finals 4'!$K12,IF('Finals 4'!$K12=$C$4,'Finals 4'!$I12,"")))</f>
        <v/>
      </c>
      <c r="Q12" s="582">
        <f ca="1">SMALL(M$12:M$29,ROW(M12)-11)</f>
        <v>13.496527777777779</v>
      </c>
      <c r="R12" s="578">
        <f ca="1">S12+ROW(S12)</f>
        <v>100011</v>
      </c>
      <c r="S12" s="579">
        <f ca="1">IF(U12="",99999,'Finals 4'!$D12)</f>
        <v>99999</v>
      </c>
      <c r="T12" s="580" t="str">
        <f ca="1">IF(U12="","",'Finals 4'!$E12)</f>
        <v/>
      </c>
      <c r="U12" s="581" t="str">
        <f ca="1">IF($C$9="","",IF('Finals 4'!$I12=$C$9,'Finals 4'!$K12,IF('Finals 4'!$K12=$C$9,'Finals 4'!$I12,"")))</f>
        <v/>
      </c>
      <c r="V12" s="582">
        <f ca="1">SMALL(R$12:R$29,ROW(R12)-11)</f>
        <v>27.545138888888889</v>
      </c>
      <c r="W12" s="578">
        <f ca="1">X12+ROW(X12)</f>
        <v>100011</v>
      </c>
      <c r="X12" s="579">
        <f ca="1">IF(Z12="",99999,'Finals 4'!$D12)</f>
        <v>99999</v>
      </c>
      <c r="Y12" s="580" t="str">
        <f ca="1">IF(Z12="","",'Finals 4'!$E12)</f>
        <v/>
      </c>
      <c r="Z12" s="581" t="str">
        <f ca="1">IF($C$14="","",IF('Finals 4'!$I12=$C$14,'Finals 4'!$K12,IF('Finals 4'!$K12=$C$14,'Finals 4'!$I12,"")))</f>
        <v/>
      </c>
      <c r="AA12" s="582">
        <f ca="1">SMALL(W$12:W$29,ROW(W12)-11)</f>
        <v>16.496527777777779</v>
      </c>
      <c r="AB12" s="578">
        <f ca="1">AC12+ROW(AC12)</f>
        <v>100011</v>
      </c>
      <c r="AC12" s="579">
        <f ca="1">IF(AE12="",99999,'Finals 4'!$D12)</f>
        <v>99999</v>
      </c>
      <c r="AD12" s="580" t="str">
        <f ca="1">IF(AE12="","",'Finals 4'!$E12)</f>
        <v/>
      </c>
      <c r="AE12" s="581" t="str">
        <f ca="1">IF($C$19="","",IF('Finals 4'!$I12=$C$19,'Finals 4'!$K12,IF('Finals 4'!$K12=$C$19,'Finals 4'!$I12,"")))</f>
        <v/>
      </c>
      <c r="AF12" s="582">
        <f ca="1">SMALL(AB$12:AB$29,ROW(AB12)-11)</f>
        <v>14.496527777777779</v>
      </c>
      <c r="AG12" s="578">
        <f ca="1">AH12+ROW(AH12)</f>
        <v>100011</v>
      </c>
      <c r="AH12" s="579">
        <f ca="1">IF(AJ12="",99999,'Finals 4'!$D12)</f>
        <v>99999</v>
      </c>
      <c r="AI12" s="580" t="str">
        <f ca="1">IF(AJ12="","",'Finals 4'!$E12)</f>
        <v/>
      </c>
      <c r="AJ12" s="581" t="str">
        <f ca="1">IF($C$24="","",IF('Finals 4'!$I12=$C$24,'Finals 4'!$K12,IF('Finals 4'!$K12=$C$24,'Finals 4'!$I12,"")))</f>
        <v/>
      </c>
      <c r="AK12" s="582">
        <f ca="1">SMALL(AG$12:AG$29,ROW(AG12)-11)</f>
        <v>17.496527777777779</v>
      </c>
      <c r="AL12" s="578">
        <f>AM12+ROW(AM12)</f>
        <v>100011</v>
      </c>
      <c r="AM12" s="579">
        <f>IF(AO12="",99999,'Finals 4'!$D12)</f>
        <v>99999</v>
      </c>
      <c r="AN12" s="580" t="str">
        <f>IF(AO12="","",'Finals 4'!$E12)</f>
        <v/>
      </c>
      <c r="AO12" s="581" t="str">
        <f>IF($C$29="","",IF('Finals 4'!$I12=$C$29,'Finals 4'!$K12,IF('Finals 4'!$K12=$C$29,'Finals 4'!$I12,"")))</f>
        <v/>
      </c>
      <c r="AP12" s="582">
        <f>SMALL(AL$12:AL$29,ROW(AL12)-11)</f>
        <v>100011</v>
      </c>
      <c r="AQ12" s="578">
        <f ca="1">AR12+ROW(AR12)</f>
        <v>100011</v>
      </c>
      <c r="AR12" s="579">
        <f ca="1">IF(AT12="",99999,'Finals 4'!$D12)</f>
        <v>99999</v>
      </c>
      <c r="AS12" s="580" t="str">
        <f ca="1">IF(AT12="","",'Finals 4'!$E12)</f>
        <v/>
      </c>
      <c r="AT12" s="581" t="str">
        <f ca="1">IF($C$34="","",IF('Finals 4'!$I12=$C$34,'Finals 4'!$K12,IF('Finals 4'!$K12=$C$34,'Finals 4'!$I12,"")))</f>
        <v/>
      </c>
      <c r="AU12" s="582">
        <f ca="1">SMALL(AQ$12:AQ$29,ROW(AQ12)-11)</f>
        <v>27.545138888888889</v>
      </c>
      <c r="AV12" s="578">
        <f ca="1">AW12+ROW(AW12)</f>
        <v>100011</v>
      </c>
      <c r="AW12" s="579">
        <f ca="1">IF(AY12="",99999,'Finals 4'!$D12)</f>
        <v>99999</v>
      </c>
      <c r="AX12" s="580" t="str">
        <f ca="1">IF(AY12="","",'Finals 4'!$E12)</f>
        <v/>
      </c>
      <c r="AY12" s="581" t="str">
        <f ca="1">IF($C$39="","",IF('Finals 4'!$I12=$C$39,'Finals 4'!$K12,IF('Finals 4'!$K12=$C$39,'Finals 4'!$I12,"")))</f>
        <v/>
      </c>
      <c r="AZ12" s="582">
        <f ca="1">SMALL(AV$12:AV$29,ROW(AV12)-11)</f>
        <v>17.496527777777779</v>
      </c>
      <c r="BA12" s="578">
        <f ca="1">BB12+ROW(BB12)</f>
        <v>100011</v>
      </c>
      <c r="BB12" s="579">
        <f ca="1">IF(BD12="",99999,'Finals 4'!$D12)</f>
        <v>99999</v>
      </c>
      <c r="BC12" s="580" t="str">
        <f ca="1">IF(BD12="","",'Finals 4'!$E12)</f>
        <v/>
      </c>
      <c r="BD12" s="581" t="str">
        <f ca="1">IF($C$44="","",IF('Finals 4'!$I12=$C$44,'Finals 4'!$K12,IF('Finals 4'!$K12=$C$44,'Finals 4'!$I12,"")))</f>
        <v/>
      </c>
      <c r="BE12" s="582">
        <f ca="1">SMALL(BA$12:BA$29,ROW(BA12)-11)</f>
        <v>16.496527777777779</v>
      </c>
      <c r="BF12" s="578">
        <f ca="1">BG12+ROW(BG12)</f>
        <v>100011</v>
      </c>
      <c r="BG12" s="579">
        <f ca="1">IF(BI12="",99999,'Finals 4'!$D12)</f>
        <v>99999</v>
      </c>
      <c r="BH12" s="580" t="str">
        <f ca="1">IF(BI12="","",'Finals 4'!$E12)</f>
        <v/>
      </c>
      <c r="BI12" s="581" t="str">
        <f ca="1">IF($C$49="","",IF('Finals 4'!$I12=$C$49,'Finals 4'!$K12,IF('Finals 4'!$K12=$C$49,'Finals 4'!$I12,"")))</f>
        <v/>
      </c>
      <c r="BJ12" s="582">
        <f ca="1">SMALL(BF$12:BF$29,ROW(BF12)-11)</f>
        <v>14.496527777777779</v>
      </c>
      <c r="BK12" s="578">
        <f ca="1">BL12+ROW(BL12)</f>
        <v>100011</v>
      </c>
      <c r="BL12" s="579">
        <f ca="1">IF(BN12="",99999,'Finals 4'!$D12)</f>
        <v>99999</v>
      </c>
      <c r="BM12" s="580" t="str">
        <f ca="1">IF(BN12="","",'Finals 4'!$E12)</f>
        <v/>
      </c>
      <c r="BN12" s="581" t="str">
        <f ca="1">IF($C$54="","",IF('Finals 4'!$I12=$C$54,'Finals 4'!$K12,IF('Finals 4'!$K12=$C$54,'Finals 4'!$I12,"")))</f>
        <v/>
      </c>
      <c r="BO12" s="582">
        <f ca="1">SMALL(BK$12:BK$29,ROW(BK12)-11)</f>
        <v>13.496527777777779</v>
      </c>
      <c r="BP12" s="578">
        <f>BQ12+ROW(BQ12)</f>
        <v>100011</v>
      </c>
      <c r="BQ12" s="579">
        <f>IF(BS12="",99999,'Finals 4'!$D12)</f>
        <v>99999</v>
      </c>
      <c r="BR12" s="580" t="str">
        <f>IF(BS12="","",'Finals 4'!$E12)</f>
        <v/>
      </c>
      <c r="BS12" s="581" t="str">
        <f>IF($C$59="","",IF('Finals 4'!$I12=$C$59,'Finals 4'!$K12,IF('Finals 4'!$K12=$C$59,'Finals 4'!$I12,"")))</f>
        <v/>
      </c>
      <c r="BT12" s="582">
        <f>SMALL(BP$12:BP$29,ROW(BP12)-11)</f>
        <v>100011</v>
      </c>
    </row>
    <row r="13" spans="2:72" ht="30" customHeight="1" thickBot="1" x14ac:dyDescent="0.25">
      <c r="J13" s="559">
        <f t="shared" ca="1" si="0"/>
        <v>0</v>
      </c>
      <c r="L13" s="99">
        <f ca="1">'Finals 4'!$C13</f>
        <v>21</v>
      </c>
      <c r="M13" s="583">
        <f t="shared" ref="M13:M29" ca="1" si="3">N13+ROW(N13)</f>
        <v>13.496527777777779</v>
      </c>
      <c r="N13" s="584">
        <f ca="1">IF(P13="",99999,'Finals 4'!$D13)</f>
        <v>0.49652777777777779</v>
      </c>
      <c r="O13" s="224">
        <f ca="1">IF(P13="","",'Finals 4'!$E13)</f>
        <v>1</v>
      </c>
      <c r="P13" s="225" t="str">
        <f ca="1">IF($C$4="","",IF('Finals 4'!$I13=$C$4,'Finals 4'!$K13,IF('Finals 4'!$K13=$C$4,'Finals 4'!$I13,"")))</f>
        <v>FC Grönlingen</v>
      </c>
      <c r="Q13" s="585">
        <f t="shared" ref="Q13:Q29" ca="1" si="4">SMALL(M$12:M$29,ROW(M13)-11)</f>
        <v>19.520833333333332</v>
      </c>
      <c r="R13" s="583">
        <f t="shared" ref="R13:R29" ca="1" si="5">S13+ROW(S13)</f>
        <v>100012</v>
      </c>
      <c r="S13" s="584">
        <f ca="1">IF(U13="",99999,'Finals 4'!$D13)</f>
        <v>99999</v>
      </c>
      <c r="T13" s="224" t="str">
        <f ca="1">IF(U13="","",'Finals 4'!$E13)</f>
        <v/>
      </c>
      <c r="U13" s="225" t="str">
        <f ca="1">IF($C$9="","",IF('Finals 4'!$I13=$C$9,'Finals 4'!$K13,IF('Finals 4'!$K13=$C$9,'Finals 4'!$I13,"")))</f>
        <v/>
      </c>
      <c r="V13" s="585">
        <f t="shared" ref="V13:V29" ca="1" si="6">SMALL(R$12:R$29,ROW(R13)-11)</f>
        <v>100011</v>
      </c>
      <c r="W13" s="583">
        <f t="shared" ref="W13:W29" ca="1" si="7">X13+ROW(X13)</f>
        <v>100012</v>
      </c>
      <c r="X13" s="584">
        <f ca="1">IF(Z13="",99999,'Finals 4'!$D13)</f>
        <v>99999</v>
      </c>
      <c r="Y13" s="224" t="str">
        <f ca="1">IF(Z13="","",'Finals 4'!$E13)</f>
        <v/>
      </c>
      <c r="Z13" s="225" t="str">
        <f ca="1">IF($C$14="","",IF('Finals 4'!$I13=$C$14,'Finals 4'!$K13,IF('Finals 4'!$K13=$C$14,'Finals 4'!$I13,"")))</f>
        <v/>
      </c>
      <c r="AA13" s="585">
        <f t="shared" ref="AA13:AA29" ca="1" si="8">SMALL(W$12:W$29,ROW(W13)-11)</f>
        <v>19.520833333333332</v>
      </c>
      <c r="AB13" s="583">
        <f t="shared" ref="AB13:AB29" ca="1" si="9">AC13+ROW(AC13)</f>
        <v>100012</v>
      </c>
      <c r="AC13" s="584">
        <f ca="1">IF(AE13="",99999,'Finals 4'!$D13)</f>
        <v>99999</v>
      </c>
      <c r="AD13" s="224" t="str">
        <f ca="1">IF(AE13="","",'Finals 4'!$E13)</f>
        <v/>
      </c>
      <c r="AE13" s="225" t="str">
        <f ca="1">IF($C$19="","",IF('Finals 4'!$I13=$C$19,'Finals 4'!$K13,IF('Finals 4'!$K13=$C$19,'Finals 4'!$I13,"")))</f>
        <v/>
      </c>
      <c r="AF13" s="585">
        <f t="shared" ref="AF13:AF29" ca="1" si="10">SMALL(AB$12:AB$29,ROW(AB13)-11)</f>
        <v>20.520833333333332</v>
      </c>
      <c r="AG13" s="583">
        <f t="shared" ref="AG13:AG29" ca="1" si="11">AH13+ROW(AH13)</f>
        <v>100012</v>
      </c>
      <c r="AH13" s="584">
        <f ca="1">IF(AJ13="",99999,'Finals 4'!$D13)</f>
        <v>99999</v>
      </c>
      <c r="AI13" s="224" t="str">
        <f ca="1">IF(AJ13="","",'Finals 4'!$E13)</f>
        <v/>
      </c>
      <c r="AJ13" s="225" t="str">
        <f ca="1">IF($C$24="","",IF('Finals 4'!$I13=$C$24,'Finals 4'!$K13,IF('Finals 4'!$K13=$C$24,'Finals 4'!$I13,"")))</f>
        <v/>
      </c>
      <c r="AK13" s="585">
        <f t="shared" ref="AK13:AK29" ca="1" si="12">SMALL(AG$12:AG$29,ROW(AG13)-11)</f>
        <v>20.520833333333332</v>
      </c>
      <c r="AL13" s="583">
        <f t="shared" ref="AL13:AL29" si="13">AM13+ROW(AM13)</f>
        <v>100012</v>
      </c>
      <c r="AM13" s="584">
        <f>IF(AO13="",99999,'Finals 4'!$D13)</f>
        <v>99999</v>
      </c>
      <c r="AN13" s="224" t="str">
        <f>IF(AO13="","",'Finals 4'!$E13)</f>
        <v/>
      </c>
      <c r="AO13" s="225" t="str">
        <f>IF($C$29="","",IF('Finals 4'!$I13=$C$29,'Finals 4'!$K13,IF('Finals 4'!$K13=$C$29,'Finals 4'!$I13,"")))</f>
        <v/>
      </c>
      <c r="AP13" s="585">
        <f t="shared" ref="AP13:AP29" si="14">SMALL(AL$12:AL$29,ROW(AL13)-11)</f>
        <v>100012</v>
      </c>
      <c r="AQ13" s="583">
        <f t="shared" ref="AQ13:AQ29" ca="1" si="15">AR13+ROW(AR13)</f>
        <v>100012</v>
      </c>
      <c r="AR13" s="584">
        <f ca="1">IF(AT13="",99999,'Finals 4'!$D13)</f>
        <v>99999</v>
      </c>
      <c r="AS13" s="224" t="str">
        <f ca="1">IF(AT13="","",'Finals 4'!$E13)</f>
        <v/>
      </c>
      <c r="AT13" s="225" t="str">
        <f ca="1">IF($C$34="","",IF('Finals 4'!$I13=$C$34,'Finals 4'!$K13,IF('Finals 4'!$K13=$C$34,'Finals 4'!$I13,"")))</f>
        <v/>
      </c>
      <c r="AU13" s="585">
        <f t="shared" ref="AU13:AU29" ca="1" si="16">SMALL(AQ$12:AQ$29,ROW(AQ13)-11)</f>
        <v>100011</v>
      </c>
      <c r="AV13" s="583">
        <f t="shared" ref="AV13:AV29" ca="1" si="17">AW13+ROW(AW13)</f>
        <v>100012</v>
      </c>
      <c r="AW13" s="584">
        <f ca="1">IF(AY13="",99999,'Finals 4'!$D13)</f>
        <v>99999</v>
      </c>
      <c r="AX13" s="224" t="str">
        <f ca="1">IF(AY13="","",'Finals 4'!$E13)</f>
        <v/>
      </c>
      <c r="AY13" s="225" t="str">
        <f ca="1">IF($C$39="","",IF('Finals 4'!$I13=$C$39,'Finals 4'!$K13,IF('Finals 4'!$K13=$C$39,'Finals 4'!$I13,"")))</f>
        <v/>
      </c>
      <c r="AZ13" s="585">
        <f t="shared" ref="AZ13:AZ29" ca="1" si="18">SMALL(AV$12:AV$29,ROW(AV13)-11)</f>
        <v>23.520833333333332</v>
      </c>
      <c r="BA13" s="583">
        <f t="shared" ref="BA13:BA29" ca="1" si="19">BB13+ROW(BB13)</f>
        <v>100012</v>
      </c>
      <c r="BB13" s="584">
        <f ca="1">IF(BD13="",99999,'Finals 4'!$D13)</f>
        <v>99999</v>
      </c>
      <c r="BC13" s="224" t="str">
        <f ca="1">IF(BD13="","",'Finals 4'!$E13)</f>
        <v/>
      </c>
      <c r="BD13" s="225" t="str">
        <f ca="1">IF($C$44="","",IF('Finals 4'!$I13=$C$44,'Finals 4'!$K13,IF('Finals 4'!$K13=$C$44,'Finals 4'!$I13,"")))</f>
        <v/>
      </c>
      <c r="BE13" s="585">
        <f t="shared" ref="BE13:BE29" ca="1" si="20">SMALL(BA$12:BA$29,ROW(BA13)-11)</f>
        <v>22.520833333333332</v>
      </c>
      <c r="BF13" s="583">
        <f t="shared" ref="BF13:BF29" ca="1" si="21">BG13+ROW(BG13)</f>
        <v>100012</v>
      </c>
      <c r="BG13" s="584">
        <f ca="1">IF(BI13="",99999,'Finals 4'!$D13)</f>
        <v>99999</v>
      </c>
      <c r="BH13" s="224" t="str">
        <f ca="1">IF(BI13="","",'Finals 4'!$E13)</f>
        <v/>
      </c>
      <c r="BI13" s="225" t="str">
        <f ca="1">IF($C$49="","",IF('Finals 4'!$I13=$C$49,'Finals 4'!$K13,IF('Finals 4'!$K13=$C$49,'Finals 4'!$I13,"")))</f>
        <v/>
      </c>
      <c r="BJ13" s="585">
        <f t="shared" ref="BJ13:BJ29" ca="1" si="22">SMALL(BF$12:BF$29,ROW(BF13)-11)</f>
        <v>23.520833333333332</v>
      </c>
      <c r="BK13" s="583">
        <f t="shared" ref="BK13:BK29" ca="1" si="23">BL13+ROW(BL13)</f>
        <v>13.496527777777779</v>
      </c>
      <c r="BL13" s="584">
        <f ca="1">IF(BN13="",99999,'Finals 4'!$D13)</f>
        <v>0.49652777777777779</v>
      </c>
      <c r="BM13" s="224">
        <f ca="1">IF(BN13="","",'Finals 4'!$E13)</f>
        <v>1</v>
      </c>
      <c r="BN13" s="225" t="str">
        <f ca="1">IF($C$54="","",IF('Finals 4'!$I13=$C$54,'Finals 4'!$K13,IF('Finals 4'!$K13=$C$54,'Finals 4'!$I13,"")))</f>
        <v>1. FC Riedwald</v>
      </c>
      <c r="BO13" s="585">
        <f t="shared" ref="BO13:BO29" ca="1" si="24">SMALL(BK$12:BK$29,ROW(BK13)-11)</f>
        <v>22.520833333333332</v>
      </c>
      <c r="BP13" s="583">
        <f t="shared" ref="BP13:BP29" si="25">BQ13+ROW(BQ13)</f>
        <v>100012</v>
      </c>
      <c r="BQ13" s="584">
        <f>IF(BS13="",99999,'Finals 4'!$D13)</f>
        <v>99999</v>
      </c>
      <c r="BR13" s="224" t="str">
        <f>IF(BS13="","",'Finals 4'!$E13)</f>
        <v/>
      </c>
      <c r="BS13" s="225" t="str">
        <f>IF($C$59="","",IF('Finals 4'!$I13=$C$59,'Finals 4'!$K13,IF('Finals 4'!$K13=$C$59,'Finals 4'!$I13,"")))</f>
        <v/>
      </c>
      <c r="BT13" s="585">
        <f t="shared" ref="BT13:BT29" si="26">SMALL(BP$12:BP$29,ROW(BP13)-11)</f>
        <v>100012</v>
      </c>
    </row>
    <row r="14" spans="2:72" ht="15.95" customHeight="1" x14ac:dyDescent="0.2">
      <c r="B14" s="560" t="s">
        <v>184</v>
      </c>
      <c r="C14" s="561" t="str">
        <f>IF(Planning!$C$11="","",Planning!$C$11)</f>
        <v>Eintracht Frankfurt</v>
      </c>
      <c r="E14" s="562" t="str">
        <f>Language!$E$60</f>
        <v>balls</v>
      </c>
      <c r="F14" s="563" t="str">
        <f>Language!$E$39</f>
        <v>Start</v>
      </c>
      <c r="G14" s="564" t="str">
        <f>Language!$E$48</f>
        <v>Field</v>
      </c>
      <c r="H14" s="565" t="str">
        <f>Language!$E$46</f>
        <v>Match against</v>
      </c>
      <c r="J14" s="559">
        <f t="shared" ca="1" si="0"/>
        <v>0</v>
      </c>
      <c r="L14" s="99">
        <f ca="1">'Finals 4'!$C14</f>
        <v>22</v>
      </c>
      <c r="M14" s="583">
        <f t="shared" ca="1" si="3"/>
        <v>100013</v>
      </c>
      <c r="N14" s="584">
        <f ca="1">IF(P14="",99999,'Finals 4'!$D14)</f>
        <v>99999</v>
      </c>
      <c r="O14" s="224" t="str">
        <f ca="1">IF(P14="","",'Finals 4'!$E14)</f>
        <v/>
      </c>
      <c r="P14" s="225" t="str">
        <f ca="1">IF($C$4="","",IF('Finals 4'!$I14=$C$4,'Finals 4'!$K14,IF('Finals 4'!$K14=$C$4,'Finals 4'!$I14,"")))</f>
        <v/>
      </c>
      <c r="Q14" s="585">
        <f t="shared" ca="1" si="4"/>
        <v>28.545138888888889</v>
      </c>
      <c r="R14" s="583">
        <f t="shared" ca="1" si="5"/>
        <v>100013</v>
      </c>
      <c r="S14" s="584">
        <f ca="1">IF(U14="",99999,'Finals 4'!$D14)</f>
        <v>99999</v>
      </c>
      <c r="T14" s="224" t="str">
        <f ca="1">IF(U14="","",'Finals 4'!$E14)</f>
        <v/>
      </c>
      <c r="U14" s="225" t="str">
        <f ca="1">IF($C$9="","",IF('Finals 4'!$I14=$C$9,'Finals 4'!$K14,IF('Finals 4'!$K14=$C$9,'Finals 4'!$I14,"")))</f>
        <v/>
      </c>
      <c r="V14" s="585">
        <f t="shared" ca="1" si="6"/>
        <v>100012</v>
      </c>
      <c r="W14" s="583">
        <f t="shared" ca="1" si="7"/>
        <v>100013</v>
      </c>
      <c r="X14" s="584">
        <f ca="1">IF(Z14="",99999,'Finals 4'!$D14)</f>
        <v>99999</v>
      </c>
      <c r="Y14" s="224" t="str">
        <f ca="1">IF(Z14="","",'Finals 4'!$E14)</f>
        <v/>
      </c>
      <c r="Z14" s="225" t="str">
        <f ca="1">IF($C$14="","",IF('Finals 4'!$I14=$C$14,'Finals 4'!$K14,IF('Finals 4'!$K14=$C$14,'Finals 4'!$I14,"")))</f>
        <v/>
      </c>
      <c r="AA14" s="585">
        <f t="shared" ca="1" si="8"/>
        <v>25.545138888888889</v>
      </c>
      <c r="AB14" s="583">
        <f t="shared" ca="1" si="9"/>
        <v>14.496527777777779</v>
      </c>
      <c r="AC14" s="584">
        <f ca="1">IF(AE14="",99999,'Finals 4'!$D14)</f>
        <v>0.49652777777777779</v>
      </c>
      <c r="AD14" s="224">
        <f ca="1">IF(AE14="","",'Finals 4'!$E14)</f>
        <v>2</v>
      </c>
      <c r="AE14" s="225" t="str">
        <f ca="1">IF($C$19="","",IF('Finals 4'!$I14=$C$19,'Finals 4'!$K14,IF('Finals 4'!$K14=$C$19,'Finals 4'!$I14,"")))</f>
        <v>Manchester City</v>
      </c>
      <c r="AF14" s="585">
        <f t="shared" ca="1" si="10"/>
        <v>29.569444444444443</v>
      </c>
      <c r="AG14" s="583">
        <f t="shared" ca="1" si="11"/>
        <v>100013</v>
      </c>
      <c r="AH14" s="584">
        <f ca="1">IF(AJ14="",99999,'Finals 4'!$D14)</f>
        <v>99999</v>
      </c>
      <c r="AI14" s="224" t="str">
        <f ca="1">IF(AJ14="","",'Finals 4'!$E14)</f>
        <v/>
      </c>
      <c r="AJ14" s="225" t="str">
        <f ca="1">IF($C$24="","",IF('Finals 4'!$I14=$C$24,'Finals 4'!$K14,IF('Finals 4'!$K14=$C$24,'Finals 4'!$I14,"")))</f>
        <v/>
      </c>
      <c r="AK14" s="585">
        <f t="shared" ca="1" si="12"/>
        <v>26.545138888888889</v>
      </c>
      <c r="AL14" s="583">
        <f t="shared" si="13"/>
        <v>100013</v>
      </c>
      <c r="AM14" s="584">
        <f>IF(AO14="",99999,'Finals 4'!$D14)</f>
        <v>99999</v>
      </c>
      <c r="AN14" s="224" t="str">
        <f>IF(AO14="","",'Finals 4'!$E14)</f>
        <v/>
      </c>
      <c r="AO14" s="225" t="str">
        <f>IF($C$29="","",IF('Finals 4'!$I14=$C$29,'Finals 4'!$K14,IF('Finals 4'!$K14=$C$29,'Finals 4'!$I14,"")))</f>
        <v/>
      </c>
      <c r="AP14" s="585">
        <f t="shared" si="14"/>
        <v>100013</v>
      </c>
      <c r="AQ14" s="583">
        <f t="shared" ca="1" si="15"/>
        <v>100013</v>
      </c>
      <c r="AR14" s="584">
        <f ca="1">IF(AT14="",99999,'Finals 4'!$D14)</f>
        <v>99999</v>
      </c>
      <c r="AS14" s="224" t="str">
        <f ca="1">IF(AT14="","",'Finals 4'!$E14)</f>
        <v/>
      </c>
      <c r="AT14" s="225" t="str">
        <f ca="1">IF($C$34="","",IF('Finals 4'!$I14=$C$34,'Finals 4'!$K14,IF('Finals 4'!$K14=$C$34,'Finals 4'!$I14,"")))</f>
        <v/>
      </c>
      <c r="AU14" s="585">
        <f t="shared" ca="1" si="16"/>
        <v>100012</v>
      </c>
      <c r="AV14" s="583">
        <f t="shared" ca="1" si="17"/>
        <v>100013</v>
      </c>
      <c r="AW14" s="584">
        <f ca="1">IF(AY14="",99999,'Finals 4'!$D14)</f>
        <v>99999</v>
      </c>
      <c r="AX14" s="224" t="str">
        <f ca="1">IF(AY14="","",'Finals 4'!$E14)</f>
        <v/>
      </c>
      <c r="AY14" s="225" t="str">
        <f ca="1">IF($C$39="","",IF('Finals 4'!$I14=$C$39,'Finals 4'!$K14,IF('Finals 4'!$K14=$C$39,'Finals 4'!$I14,"")))</f>
        <v/>
      </c>
      <c r="AZ14" s="585">
        <f t="shared" ca="1" si="18"/>
        <v>29.569444444444443</v>
      </c>
      <c r="BA14" s="583">
        <f t="shared" ca="1" si="19"/>
        <v>100013</v>
      </c>
      <c r="BB14" s="584">
        <f ca="1">IF(BD14="",99999,'Finals 4'!$D14)</f>
        <v>99999</v>
      </c>
      <c r="BC14" s="224" t="str">
        <f ca="1">IF(BD14="","",'Finals 4'!$E14)</f>
        <v/>
      </c>
      <c r="BD14" s="225" t="str">
        <f ca="1">IF($C$44="","",IF('Finals 4'!$I14=$C$44,'Finals 4'!$K14,IF('Finals 4'!$K14=$C$44,'Finals 4'!$I14,"")))</f>
        <v/>
      </c>
      <c r="BE14" s="585">
        <f t="shared" ca="1" si="20"/>
        <v>28.545138888888889</v>
      </c>
      <c r="BF14" s="583">
        <f t="shared" ca="1" si="21"/>
        <v>14.496527777777779</v>
      </c>
      <c r="BG14" s="584">
        <f ca="1">IF(BI14="",99999,'Finals 4'!$D14)</f>
        <v>0.49652777777777779</v>
      </c>
      <c r="BH14" s="224">
        <f ca="1">IF(BI14="","",'Finals 4'!$E14)</f>
        <v>2</v>
      </c>
      <c r="BI14" s="225" t="str">
        <f ca="1">IF($C$49="","",IF('Finals 4'!$I14=$C$49,'Finals 4'!$K14,IF('Finals 4'!$K14=$C$49,'Finals 4'!$I14,"")))</f>
        <v>Maibach 1822 eV</v>
      </c>
      <c r="BJ14" s="585">
        <f t="shared" ca="1" si="22"/>
        <v>26.545138888888889</v>
      </c>
      <c r="BK14" s="583">
        <f t="shared" ca="1" si="23"/>
        <v>100013</v>
      </c>
      <c r="BL14" s="584">
        <f ca="1">IF(BN14="",99999,'Finals 4'!$D14)</f>
        <v>99999</v>
      </c>
      <c r="BM14" s="224" t="str">
        <f ca="1">IF(BN14="","",'Finals 4'!$E14)</f>
        <v/>
      </c>
      <c r="BN14" s="225" t="str">
        <f ca="1">IF($C$54="","",IF('Finals 4'!$I14=$C$54,'Finals 4'!$K14,IF('Finals 4'!$K14=$C$54,'Finals 4'!$I14,"")))</f>
        <v/>
      </c>
      <c r="BO14" s="585">
        <f t="shared" ca="1" si="24"/>
        <v>25.545138888888889</v>
      </c>
      <c r="BP14" s="583">
        <f t="shared" si="25"/>
        <v>100013</v>
      </c>
      <c r="BQ14" s="584">
        <f>IF(BS14="",99999,'Finals 4'!$D14)</f>
        <v>99999</v>
      </c>
      <c r="BR14" s="224" t="str">
        <f>IF(BS14="","",'Finals 4'!$E14)</f>
        <v/>
      </c>
      <c r="BS14" s="225" t="str">
        <f>IF($C$59="","",IF('Finals 4'!$I14=$C$59,'Finals 4'!$K14,IF('Finals 4'!$K14=$C$59,'Finals 4'!$I14,"")))</f>
        <v/>
      </c>
      <c r="BT14" s="585">
        <f t="shared" si="26"/>
        <v>100013</v>
      </c>
    </row>
    <row r="15" spans="2:72" ht="15.95" customHeight="1" x14ac:dyDescent="0.2">
      <c r="E15" s="566">
        <f ca="1">IF($AA$12&lt;99999,INDEX($L$12:$L$29,MATCH($AA$12,$W$12:$W$29,0)),"")</f>
        <v>23</v>
      </c>
      <c r="F15" s="567">
        <f ca="1">IF($AA$12&lt;99999,VLOOKUP($AA$12,$W$12:$Z$29,2,0),"")</f>
        <v>0.49652777777777779</v>
      </c>
      <c r="G15" s="568">
        <f ca="1">IF($AA$12&lt;99999,VLOOKUP($AA$12,$W$12:$Z$29,3,0),"")</f>
        <v>3</v>
      </c>
      <c r="H15" s="569" t="str">
        <f ca="1">IF($AA$12&lt;99999,VLOOKUP($AA$12,$W$12:$Z$29,4,0),"")</f>
        <v>SSV Wildbach</v>
      </c>
      <c r="J15" s="559">
        <f ca="1">IF(AND(F15&lt;&gt;"",OR(F15=F14,F15=F16)),E15,0)</f>
        <v>0</v>
      </c>
      <c r="K15" s="559" t="str">
        <f ca="1">IF(J15=0,"",$C$14)</f>
        <v/>
      </c>
      <c r="L15" s="99">
        <f ca="1">'Finals 4'!$C15</f>
        <v>23</v>
      </c>
      <c r="M15" s="583">
        <f t="shared" ca="1" si="3"/>
        <v>100014</v>
      </c>
      <c r="N15" s="584">
        <f ca="1">IF(P15="",99999,'Finals 4'!$D15)</f>
        <v>99999</v>
      </c>
      <c r="O15" s="224" t="str">
        <f ca="1">IF(P15="","",'Finals 4'!$E15)</f>
        <v/>
      </c>
      <c r="P15" s="225" t="str">
        <f ca="1">IF($C$4="","",IF('Finals 4'!$I15=$C$4,'Finals 4'!$K15,IF('Finals 4'!$K15=$C$4,'Finals 4'!$I15,"")))</f>
        <v/>
      </c>
      <c r="Q15" s="585">
        <f t="shared" ca="1" si="4"/>
        <v>100011</v>
      </c>
      <c r="R15" s="583">
        <f t="shared" ca="1" si="5"/>
        <v>100014</v>
      </c>
      <c r="S15" s="584">
        <f ca="1">IF(U15="",99999,'Finals 4'!$D15)</f>
        <v>99999</v>
      </c>
      <c r="T15" s="224" t="str">
        <f ca="1">IF(U15="","",'Finals 4'!$E15)</f>
        <v/>
      </c>
      <c r="U15" s="225" t="str">
        <f ca="1">IF($C$9="","",IF('Finals 4'!$I15=$C$9,'Finals 4'!$K15,IF('Finals 4'!$K15=$C$9,'Finals 4'!$I15,"")))</f>
        <v/>
      </c>
      <c r="V15" s="585">
        <f t="shared" ca="1" si="6"/>
        <v>100013</v>
      </c>
      <c r="W15" s="583">
        <f t="shared" ca="1" si="7"/>
        <v>100014</v>
      </c>
      <c r="X15" s="584">
        <f ca="1">IF(Z15="",99999,'Finals 4'!$D15)</f>
        <v>99999</v>
      </c>
      <c r="Y15" s="224" t="str">
        <f ca="1">IF(Z15="","",'Finals 4'!$E15)</f>
        <v/>
      </c>
      <c r="Z15" s="225" t="str">
        <f ca="1">IF($C$14="","",IF('Finals 4'!$I15=$C$14,'Finals 4'!$K15,IF('Finals 4'!$K15=$C$14,'Finals 4'!$I15,"")))</f>
        <v/>
      </c>
      <c r="AA15" s="585">
        <f t="shared" ca="1" si="8"/>
        <v>100011</v>
      </c>
      <c r="AB15" s="583">
        <f t="shared" ca="1" si="9"/>
        <v>100014</v>
      </c>
      <c r="AC15" s="584">
        <f ca="1">IF(AE15="",99999,'Finals 4'!$D15)</f>
        <v>99999</v>
      </c>
      <c r="AD15" s="224" t="str">
        <f ca="1">IF(AE15="","",'Finals 4'!$E15)</f>
        <v/>
      </c>
      <c r="AE15" s="225" t="str">
        <f ca="1">IF($C$19="","",IF('Finals 4'!$I15=$C$19,'Finals 4'!$K15,IF('Finals 4'!$K15=$C$19,'Finals 4'!$I15,"")))</f>
        <v/>
      </c>
      <c r="AF15" s="585">
        <f t="shared" ca="1" si="10"/>
        <v>100011</v>
      </c>
      <c r="AG15" s="583">
        <f t="shared" ca="1" si="11"/>
        <v>100014</v>
      </c>
      <c r="AH15" s="584">
        <f ca="1">IF(AJ15="",99999,'Finals 4'!$D15)</f>
        <v>99999</v>
      </c>
      <c r="AI15" s="224" t="str">
        <f ca="1">IF(AJ15="","",'Finals 4'!$E15)</f>
        <v/>
      </c>
      <c r="AJ15" s="225" t="str">
        <f ca="1">IF($C$24="","",IF('Finals 4'!$I15=$C$24,'Finals 4'!$K15,IF('Finals 4'!$K15=$C$24,'Finals 4'!$I15,"")))</f>
        <v/>
      </c>
      <c r="AK15" s="585">
        <f t="shared" ca="1" si="12"/>
        <v>100011</v>
      </c>
      <c r="AL15" s="583">
        <f t="shared" si="13"/>
        <v>100014</v>
      </c>
      <c r="AM15" s="584">
        <f>IF(AO15="",99999,'Finals 4'!$D15)</f>
        <v>99999</v>
      </c>
      <c r="AN15" s="224" t="str">
        <f>IF(AO15="","",'Finals 4'!$E15)</f>
        <v/>
      </c>
      <c r="AO15" s="225" t="str">
        <f>IF($C$29="","",IF('Finals 4'!$I15=$C$29,'Finals 4'!$K15,IF('Finals 4'!$K15=$C$29,'Finals 4'!$I15,"")))</f>
        <v/>
      </c>
      <c r="AP15" s="585">
        <f t="shared" si="14"/>
        <v>100014</v>
      </c>
      <c r="AQ15" s="583">
        <f t="shared" ca="1" si="15"/>
        <v>100014</v>
      </c>
      <c r="AR15" s="584">
        <f ca="1">IF(AT15="",99999,'Finals 4'!$D15)</f>
        <v>99999</v>
      </c>
      <c r="AS15" s="224" t="str">
        <f ca="1">IF(AT15="","",'Finals 4'!$E15)</f>
        <v/>
      </c>
      <c r="AT15" s="225" t="str">
        <f ca="1">IF($C$34="","",IF('Finals 4'!$I15=$C$34,'Finals 4'!$K15,IF('Finals 4'!$K15=$C$34,'Finals 4'!$I15,"")))</f>
        <v/>
      </c>
      <c r="AU15" s="585">
        <f t="shared" ca="1" si="16"/>
        <v>100013</v>
      </c>
      <c r="AV15" s="583">
        <f t="shared" ca="1" si="17"/>
        <v>100014</v>
      </c>
      <c r="AW15" s="584">
        <f ca="1">IF(AY15="",99999,'Finals 4'!$D15)</f>
        <v>99999</v>
      </c>
      <c r="AX15" s="224" t="str">
        <f ca="1">IF(AY15="","",'Finals 4'!$E15)</f>
        <v/>
      </c>
      <c r="AY15" s="225" t="str">
        <f ca="1">IF($C$39="","",IF('Finals 4'!$I15=$C$39,'Finals 4'!$K15,IF('Finals 4'!$K15=$C$39,'Finals 4'!$I15,"")))</f>
        <v/>
      </c>
      <c r="AZ15" s="585">
        <f t="shared" ca="1" si="18"/>
        <v>100011</v>
      </c>
      <c r="BA15" s="583">
        <f t="shared" ca="1" si="19"/>
        <v>100014</v>
      </c>
      <c r="BB15" s="584">
        <f ca="1">IF(BD15="",99999,'Finals 4'!$D15)</f>
        <v>99999</v>
      </c>
      <c r="BC15" s="224" t="str">
        <f ca="1">IF(BD15="","",'Finals 4'!$E15)</f>
        <v/>
      </c>
      <c r="BD15" s="225" t="str">
        <f ca="1">IF($C$44="","",IF('Finals 4'!$I15=$C$44,'Finals 4'!$K15,IF('Finals 4'!$K15=$C$44,'Finals 4'!$I15,"")))</f>
        <v/>
      </c>
      <c r="BE15" s="585">
        <f t="shared" ca="1" si="20"/>
        <v>100011</v>
      </c>
      <c r="BF15" s="583">
        <f t="shared" ca="1" si="21"/>
        <v>100014</v>
      </c>
      <c r="BG15" s="584">
        <f ca="1">IF(BI15="",99999,'Finals 4'!$D15)</f>
        <v>99999</v>
      </c>
      <c r="BH15" s="224" t="str">
        <f ca="1">IF(BI15="","",'Finals 4'!$E15)</f>
        <v/>
      </c>
      <c r="BI15" s="225" t="str">
        <f ca="1">IF($C$49="","",IF('Finals 4'!$I15=$C$49,'Finals 4'!$K15,IF('Finals 4'!$K15=$C$49,'Finals 4'!$I15,"")))</f>
        <v/>
      </c>
      <c r="BJ15" s="585">
        <f t="shared" ca="1" si="22"/>
        <v>100011</v>
      </c>
      <c r="BK15" s="583">
        <f t="shared" ca="1" si="23"/>
        <v>100014</v>
      </c>
      <c r="BL15" s="584">
        <f ca="1">IF(BN15="",99999,'Finals 4'!$D15)</f>
        <v>99999</v>
      </c>
      <c r="BM15" s="224" t="str">
        <f ca="1">IF(BN15="","",'Finals 4'!$E15)</f>
        <v/>
      </c>
      <c r="BN15" s="225" t="str">
        <f ca="1">IF($C$54="","",IF('Finals 4'!$I15=$C$54,'Finals 4'!$K15,IF('Finals 4'!$K15=$C$54,'Finals 4'!$I15,"")))</f>
        <v/>
      </c>
      <c r="BO15" s="585">
        <f t="shared" ca="1" si="24"/>
        <v>100011</v>
      </c>
      <c r="BP15" s="583">
        <f t="shared" si="25"/>
        <v>100014</v>
      </c>
      <c r="BQ15" s="584">
        <f>IF(BS15="",99999,'Finals 4'!$D15)</f>
        <v>99999</v>
      </c>
      <c r="BR15" s="224" t="str">
        <f>IF(BS15="","",'Finals 4'!$E15)</f>
        <v/>
      </c>
      <c r="BS15" s="225" t="str">
        <f>IF($C$59="","",IF('Finals 4'!$I15=$C$59,'Finals 4'!$K15,IF('Finals 4'!$K15=$C$59,'Finals 4'!$I15,"")))</f>
        <v/>
      </c>
      <c r="BT15" s="585">
        <f t="shared" si="26"/>
        <v>100014</v>
      </c>
    </row>
    <row r="16" spans="2:72" ht="15.95" customHeight="1" x14ac:dyDescent="0.2">
      <c r="E16" s="566">
        <f ca="1">IF($AA$13&lt;99999,INDEX($L$12:$L$29,MATCH($AA$13,$W$12:$W$29,0)),"")</f>
        <v>25</v>
      </c>
      <c r="F16" s="570">
        <f ca="1">IF($AA$13&lt;99999,VLOOKUP($AA$13,$W$12:$Z$29,2,0),"")</f>
        <v>0.52083333333333337</v>
      </c>
      <c r="G16" s="571">
        <f ca="1">IF($AA$13&lt;99999,VLOOKUP($AA$13,$W$12:$Z$29,3,0),"")</f>
        <v>1</v>
      </c>
      <c r="H16" s="572" t="str">
        <f ca="1">IF($AA$13&lt;99999,VLOOKUP($AA$13,$W$12:$Z$29,4,0),"")</f>
        <v>1. FC Riedwald</v>
      </c>
      <c r="J16" s="559">
        <f t="shared" ref="J16:J62" ca="1" si="27">IF(AND(F16&lt;&gt;"",OR(F16=F15,F16=F17)),E16,0)</f>
        <v>0</v>
      </c>
      <c r="K16" s="559" t="str">
        <f t="shared" ref="K16:K17" ca="1" si="28">IF(J16=0,"",$C$14)</f>
        <v/>
      </c>
      <c r="L16" s="99">
        <f ca="1">'Finals 4'!$C16</f>
        <v>23</v>
      </c>
      <c r="M16" s="583">
        <f t="shared" ca="1" si="3"/>
        <v>100015</v>
      </c>
      <c r="N16" s="584">
        <f ca="1">IF(P16="",99999,'Finals 4'!$D16)</f>
        <v>99999</v>
      </c>
      <c r="O16" s="224" t="str">
        <f ca="1">IF(P16="","",'Finals 4'!$E16)</f>
        <v/>
      </c>
      <c r="P16" s="225" t="str">
        <f ca="1">IF($C$4="","",IF('Finals 4'!$I16=$C$4,'Finals 4'!$K16,IF('Finals 4'!$K16=$C$4,'Finals 4'!$I16,"")))</f>
        <v/>
      </c>
      <c r="Q16" s="585">
        <f t="shared" ca="1" si="4"/>
        <v>100013</v>
      </c>
      <c r="R16" s="583">
        <f t="shared" ca="1" si="5"/>
        <v>100015</v>
      </c>
      <c r="S16" s="584">
        <f ca="1">IF(U16="",99999,'Finals 4'!$D16)</f>
        <v>99999</v>
      </c>
      <c r="T16" s="224" t="str">
        <f ca="1">IF(U16="","",'Finals 4'!$E16)</f>
        <v/>
      </c>
      <c r="U16" s="225" t="str">
        <f ca="1">IF($C$9="","",IF('Finals 4'!$I16=$C$9,'Finals 4'!$K16,IF('Finals 4'!$K16=$C$9,'Finals 4'!$I16,"")))</f>
        <v/>
      </c>
      <c r="V16" s="585">
        <f t="shared" ca="1" si="6"/>
        <v>100014</v>
      </c>
      <c r="W16" s="583">
        <f t="shared" ca="1" si="7"/>
        <v>16.496527777777779</v>
      </c>
      <c r="X16" s="584">
        <f ca="1">IF(Z16="",99999,'Finals 4'!$D16)</f>
        <v>0.49652777777777779</v>
      </c>
      <c r="Y16" s="224">
        <f ca="1">IF(Z16="","",'Finals 4'!$E16)</f>
        <v>3</v>
      </c>
      <c r="Z16" s="225" t="str">
        <f ca="1">IF($C$14="","",IF('Finals 4'!$I16=$C$14,'Finals 4'!$K16,IF('Finals 4'!$K16=$C$14,'Finals 4'!$I16,"")))</f>
        <v>SSV Wildbach</v>
      </c>
      <c r="AA16" s="585">
        <f t="shared" ca="1" si="8"/>
        <v>100012</v>
      </c>
      <c r="AB16" s="583">
        <f t="shared" ca="1" si="9"/>
        <v>100015</v>
      </c>
      <c r="AC16" s="584">
        <f ca="1">IF(AE16="",99999,'Finals 4'!$D16)</f>
        <v>99999</v>
      </c>
      <c r="AD16" s="224" t="str">
        <f ca="1">IF(AE16="","",'Finals 4'!$E16)</f>
        <v/>
      </c>
      <c r="AE16" s="225" t="str">
        <f ca="1">IF($C$19="","",IF('Finals 4'!$I16=$C$19,'Finals 4'!$K16,IF('Finals 4'!$K16=$C$19,'Finals 4'!$I16,"")))</f>
        <v/>
      </c>
      <c r="AF16" s="585">
        <f t="shared" ca="1" si="10"/>
        <v>100012</v>
      </c>
      <c r="AG16" s="583">
        <f t="shared" ca="1" si="11"/>
        <v>100015</v>
      </c>
      <c r="AH16" s="584">
        <f ca="1">IF(AJ16="",99999,'Finals 4'!$D16)</f>
        <v>99999</v>
      </c>
      <c r="AI16" s="224" t="str">
        <f ca="1">IF(AJ16="","",'Finals 4'!$E16)</f>
        <v/>
      </c>
      <c r="AJ16" s="225" t="str">
        <f ca="1">IF($C$24="","",IF('Finals 4'!$I16=$C$24,'Finals 4'!$K16,IF('Finals 4'!$K16=$C$24,'Finals 4'!$I16,"")))</f>
        <v/>
      </c>
      <c r="AK16" s="585">
        <f t="shared" ca="1" si="12"/>
        <v>100012</v>
      </c>
      <c r="AL16" s="583">
        <f t="shared" si="13"/>
        <v>100015</v>
      </c>
      <c r="AM16" s="584">
        <f>IF(AO16="",99999,'Finals 4'!$D16)</f>
        <v>99999</v>
      </c>
      <c r="AN16" s="224" t="str">
        <f>IF(AO16="","",'Finals 4'!$E16)</f>
        <v/>
      </c>
      <c r="AO16" s="225" t="str">
        <f>IF($C$29="","",IF('Finals 4'!$I16=$C$29,'Finals 4'!$K16,IF('Finals 4'!$K16=$C$29,'Finals 4'!$I16,"")))</f>
        <v/>
      </c>
      <c r="AP16" s="585">
        <f t="shared" si="14"/>
        <v>100015</v>
      </c>
      <c r="AQ16" s="583">
        <f t="shared" ca="1" si="15"/>
        <v>100015</v>
      </c>
      <c r="AR16" s="584">
        <f ca="1">IF(AT16="",99999,'Finals 4'!$D16)</f>
        <v>99999</v>
      </c>
      <c r="AS16" s="224" t="str">
        <f ca="1">IF(AT16="","",'Finals 4'!$E16)</f>
        <v/>
      </c>
      <c r="AT16" s="225" t="str">
        <f ca="1">IF($C$34="","",IF('Finals 4'!$I16=$C$34,'Finals 4'!$K16,IF('Finals 4'!$K16=$C$34,'Finals 4'!$I16,"")))</f>
        <v/>
      </c>
      <c r="AU16" s="585">
        <f t="shared" ca="1" si="16"/>
        <v>100014</v>
      </c>
      <c r="AV16" s="583">
        <f t="shared" ca="1" si="17"/>
        <v>100015</v>
      </c>
      <c r="AW16" s="584">
        <f ca="1">IF(AY16="",99999,'Finals 4'!$D16)</f>
        <v>99999</v>
      </c>
      <c r="AX16" s="224" t="str">
        <f ca="1">IF(AY16="","",'Finals 4'!$E16)</f>
        <v/>
      </c>
      <c r="AY16" s="225" t="str">
        <f ca="1">IF($C$39="","",IF('Finals 4'!$I16=$C$39,'Finals 4'!$K16,IF('Finals 4'!$K16=$C$39,'Finals 4'!$I16,"")))</f>
        <v/>
      </c>
      <c r="AZ16" s="585">
        <f t="shared" ca="1" si="18"/>
        <v>100012</v>
      </c>
      <c r="BA16" s="583">
        <f t="shared" ca="1" si="19"/>
        <v>16.496527777777779</v>
      </c>
      <c r="BB16" s="584">
        <f ca="1">IF(BD16="",99999,'Finals 4'!$D16)</f>
        <v>0.49652777777777779</v>
      </c>
      <c r="BC16" s="224">
        <f ca="1">IF(BD16="","",'Finals 4'!$E16)</f>
        <v>3</v>
      </c>
      <c r="BD16" s="225" t="str">
        <f ca="1">IF($C$44="","",IF('Finals 4'!$I16=$C$44,'Finals 4'!$K16,IF('Finals 4'!$K16=$C$44,'Finals 4'!$I16,"")))</f>
        <v>Eintracht Frankfurt</v>
      </c>
      <c r="BE16" s="585">
        <f t="shared" ca="1" si="20"/>
        <v>100012</v>
      </c>
      <c r="BF16" s="583">
        <f t="shared" ca="1" si="21"/>
        <v>100015</v>
      </c>
      <c r="BG16" s="584">
        <f ca="1">IF(BI16="",99999,'Finals 4'!$D16)</f>
        <v>99999</v>
      </c>
      <c r="BH16" s="224" t="str">
        <f ca="1">IF(BI16="","",'Finals 4'!$E16)</f>
        <v/>
      </c>
      <c r="BI16" s="225" t="str">
        <f ca="1">IF($C$49="","",IF('Finals 4'!$I16=$C$49,'Finals 4'!$K16,IF('Finals 4'!$K16=$C$49,'Finals 4'!$I16,"")))</f>
        <v/>
      </c>
      <c r="BJ16" s="585">
        <f t="shared" ca="1" si="22"/>
        <v>100012</v>
      </c>
      <c r="BK16" s="583">
        <f t="shared" ca="1" si="23"/>
        <v>100015</v>
      </c>
      <c r="BL16" s="584">
        <f ca="1">IF(BN16="",99999,'Finals 4'!$D16)</f>
        <v>99999</v>
      </c>
      <c r="BM16" s="224" t="str">
        <f ca="1">IF(BN16="","",'Finals 4'!$E16)</f>
        <v/>
      </c>
      <c r="BN16" s="225" t="str">
        <f ca="1">IF($C$54="","",IF('Finals 4'!$I16=$C$54,'Finals 4'!$K16,IF('Finals 4'!$K16=$C$54,'Finals 4'!$I16,"")))</f>
        <v/>
      </c>
      <c r="BO16" s="585">
        <f t="shared" ca="1" si="24"/>
        <v>100013</v>
      </c>
      <c r="BP16" s="583">
        <f t="shared" si="25"/>
        <v>100015</v>
      </c>
      <c r="BQ16" s="584">
        <f>IF(BS16="",99999,'Finals 4'!$D16)</f>
        <v>99999</v>
      </c>
      <c r="BR16" s="224" t="str">
        <f>IF(BS16="","",'Finals 4'!$E16)</f>
        <v/>
      </c>
      <c r="BS16" s="225" t="str">
        <f>IF($C$59="","",IF('Finals 4'!$I16=$C$59,'Finals 4'!$K16,IF('Finals 4'!$K16=$C$59,'Finals 4'!$I16,"")))</f>
        <v/>
      </c>
      <c r="BT16" s="585">
        <f t="shared" si="26"/>
        <v>100015</v>
      </c>
    </row>
    <row r="17" spans="2:72" ht="15.95" customHeight="1" thickBot="1" x14ac:dyDescent="0.25">
      <c r="E17" s="573">
        <f ca="1">IF($AA$14&lt;99999,INDEX($L$12:$L$29,MATCH($AA$14,$W$12:$W$29,0)),"")</f>
        <v>29</v>
      </c>
      <c r="F17" s="574">
        <f ca="1">IF($AA$14&lt;99999,VLOOKUP($AA$14,$W$12:$Z$29,2,0),"")</f>
        <v>0.54513888888888895</v>
      </c>
      <c r="G17" s="575">
        <f ca="1">IF($AA$14&lt;99999,VLOOKUP($AA$14,$W$12:$Z$29,3,0),"")</f>
        <v>1</v>
      </c>
      <c r="H17" s="576" t="str">
        <f ca="1">IF($AA$14&lt;99999,VLOOKUP($AA$14,$W$12:$Z$29,4,0),"")</f>
        <v>FC Grönlingen</v>
      </c>
      <c r="J17" s="559">
        <f t="shared" ca="1" si="27"/>
        <v>0</v>
      </c>
      <c r="K17" s="559" t="str">
        <f t="shared" ca="1" si="28"/>
        <v/>
      </c>
      <c r="L17" s="99">
        <f ca="1">'Finals 4'!$C17</f>
        <v>24</v>
      </c>
      <c r="M17" s="583">
        <f t="shared" ca="1" si="3"/>
        <v>100016</v>
      </c>
      <c r="N17" s="584">
        <f ca="1">IF(P17="",99999,'Finals 4'!$D17)</f>
        <v>99999</v>
      </c>
      <c r="O17" s="224" t="str">
        <f ca="1">IF(P17="","",'Finals 4'!$E17)</f>
        <v/>
      </c>
      <c r="P17" s="225" t="str">
        <f ca="1">IF($C$4="","",IF('Finals 4'!$I17=$C$4,'Finals 4'!$K17,IF('Finals 4'!$K17=$C$4,'Finals 4'!$I17,"")))</f>
        <v/>
      </c>
      <c r="Q17" s="585">
        <f t="shared" ca="1" si="4"/>
        <v>100014</v>
      </c>
      <c r="R17" s="583">
        <f t="shared" ca="1" si="5"/>
        <v>100016</v>
      </c>
      <c r="S17" s="584">
        <f ca="1">IF(U17="",99999,'Finals 4'!$D17)</f>
        <v>99999</v>
      </c>
      <c r="T17" s="224" t="str">
        <f ca="1">IF(U17="","",'Finals 4'!$E17)</f>
        <v/>
      </c>
      <c r="U17" s="225" t="str">
        <f ca="1">IF($C$9="","",IF('Finals 4'!$I17=$C$9,'Finals 4'!$K17,IF('Finals 4'!$K17=$C$9,'Finals 4'!$I17,"")))</f>
        <v/>
      </c>
      <c r="V17" s="585">
        <f t="shared" ca="1" si="6"/>
        <v>100015</v>
      </c>
      <c r="W17" s="583">
        <f t="shared" ca="1" si="7"/>
        <v>100016</v>
      </c>
      <c r="X17" s="584">
        <f ca="1">IF(Z17="",99999,'Finals 4'!$D17)</f>
        <v>99999</v>
      </c>
      <c r="Y17" s="224" t="str">
        <f ca="1">IF(Z17="","",'Finals 4'!$E17)</f>
        <v/>
      </c>
      <c r="Z17" s="225" t="str">
        <f ca="1">IF($C$14="","",IF('Finals 4'!$I17=$C$14,'Finals 4'!$K17,IF('Finals 4'!$K17=$C$14,'Finals 4'!$I17,"")))</f>
        <v/>
      </c>
      <c r="AA17" s="585">
        <f t="shared" ca="1" si="8"/>
        <v>100013</v>
      </c>
      <c r="AB17" s="583">
        <f t="shared" ca="1" si="9"/>
        <v>100016</v>
      </c>
      <c r="AC17" s="584">
        <f ca="1">IF(AE17="",99999,'Finals 4'!$D17)</f>
        <v>99999</v>
      </c>
      <c r="AD17" s="224" t="str">
        <f ca="1">IF(AE17="","",'Finals 4'!$E17)</f>
        <v/>
      </c>
      <c r="AE17" s="225" t="str">
        <f ca="1">IF($C$19="","",IF('Finals 4'!$I17=$C$19,'Finals 4'!$K17,IF('Finals 4'!$K17=$C$19,'Finals 4'!$I17,"")))</f>
        <v/>
      </c>
      <c r="AF17" s="585">
        <f t="shared" ca="1" si="10"/>
        <v>100014</v>
      </c>
      <c r="AG17" s="583">
        <f t="shared" ca="1" si="11"/>
        <v>17.496527777777779</v>
      </c>
      <c r="AH17" s="584">
        <f ca="1">IF(AJ17="",99999,'Finals 4'!$D17)</f>
        <v>0.49652777777777779</v>
      </c>
      <c r="AI17" s="224">
        <f ca="1">IF(AJ17="","",'Finals 4'!$E17)</f>
        <v>4</v>
      </c>
      <c r="AJ17" s="225" t="str">
        <f ca="1">IF($C$24="","",IF('Finals 4'!$I17=$C$24,'Finals 4'!$K17,IF('Finals 4'!$K17=$C$24,'Finals 4'!$I17,"")))</f>
        <v>Inter Mailand</v>
      </c>
      <c r="AK17" s="585">
        <f t="shared" ca="1" si="12"/>
        <v>100013</v>
      </c>
      <c r="AL17" s="583">
        <f t="shared" si="13"/>
        <v>100016</v>
      </c>
      <c r="AM17" s="584">
        <f>IF(AO17="",99999,'Finals 4'!$D17)</f>
        <v>99999</v>
      </c>
      <c r="AN17" s="224" t="str">
        <f>IF(AO17="","",'Finals 4'!$E17)</f>
        <v/>
      </c>
      <c r="AO17" s="225" t="str">
        <f>IF($C$29="","",IF('Finals 4'!$I17=$C$29,'Finals 4'!$K17,IF('Finals 4'!$K17=$C$29,'Finals 4'!$I17,"")))</f>
        <v/>
      </c>
      <c r="AP17" s="585">
        <f t="shared" si="14"/>
        <v>100016</v>
      </c>
      <c r="AQ17" s="583">
        <f t="shared" ca="1" si="15"/>
        <v>100016</v>
      </c>
      <c r="AR17" s="584">
        <f ca="1">IF(AT17="",99999,'Finals 4'!$D17)</f>
        <v>99999</v>
      </c>
      <c r="AS17" s="224" t="str">
        <f ca="1">IF(AT17="","",'Finals 4'!$E17)</f>
        <v/>
      </c>
      <c r="AT17" s="225" t="str">
        <f ca="1">IF($C$34="","",IF('Finals 4'!$I17=$C$34,'Finals 4'!$K17,IF('Finals 4'!$K17=$C$34,'Finals 4'!$I17,"")))</f>
        <v/>
      </c>
      <c r="AU17" s="585">
        <f t="shared" ca="1" si="16"/>
        <v>100015</v>
      </c>
      <c r="AV17" s="583">
        <f t="shared" ca="1" si="17"/>
        <v>17.496527777777779</v>
      </c>
      <c r="AW17" s="584">
        <f ca="1">IF(AY17="",99999,'Finals 4'!$D17)</f>
        <v>0.49652777777777779</v>
      </c>
      <c r="AX17" s="224">
        <f ca="1">IF(AY17="","",'Finals 4'!$E17)</f>
        <v>4</v>
      </c>
      <c r="AY17" s="225" t="str">
        <f ca="1">IF($C$39="","",IF('Finals 4'!$I17=$C$39,'Finals 4'!$K17,IF('Finals 4'!$K17=$C$39,'Finals 4'!$I17,"")))</f>
        <v>VFB Essenheim</v>
      </c>
      <c r="AZ17" s="585">
        <f t="shared" ca="1" si="18"/>
        <v>100013</v>
      </c>
      <c r="BA17" s="583">
        <f t="shared" ca="1" si="19"/>
        <v>100016</v>
      </c>
      <c r="BB17" s="584">
        <f ca="1">IF(BD17="",99999,'Finals 4'!$D17)</f>
        <v>99999</v>
      </c>
      <c r="BC17" s="224" t="str">
        <f ca="1">IF(BD17="","",'Finals 4'!$E17)</f>
        <v/>
      </c>
      <c r="BD17" s="225" t="str">
        <f ca="1">IF($C$44="","",IF('Finals 4'!$I17=$C$44,'Finals 4'!$K17,IF('Finals 4'!$K17=$C$44,'Finals 4'!$I17,"")))</f>
        <v/>
      </c>
      <c r="BE17" s="585">
        <f t="shared" ca="1" si="20"/>
        <v>100013</v>
      </c>
      <c r="BF17" s="583">
        <f t="shared" ca="1" si="21"/>
        <v>100016</v>
      </c>
      <c r="BG17" s="584">
        <f ca="1">IF(BI17="",99999,'Finals 4'!$D17)</f>
        <v>99999</v>
      </c>
      <c r="BH17" s="224" t="str">
        <f ca="1">IF(BI17="","",'Finals 4'!$E17)</f>
        <v/>
      </c>
      <c r="BI17" s="225" t="str">
        <f ca="1">IF($C$49="","",IF('Finals 4'!$I17=$C$49,'Finals 4'!$K17,IF('Finals 4'!$K17=$C$49,'Finals 4'!$I17,"")))</f>
        <v/>
      </c>
      <c r="BJ17" s="585">
        <f t="shared" ca="1" si="22"/>
        <v>100014</v>
      </c>
      <c r="BK17" s="583">
        <f t="shared" ca="1" si="23"/>
        <v>100016</v>
      </c>
      <c r="BL17" s="584">
        <f ca="1">IF(BN17="",99999,'Finals 4'!$D17)</f>
        <v>99999</v>
      </c>
      <c r="BM17" s="224" t="str">
        <f ca="1">IF(BN17="","",'Finals 4'!$E17)</f>
        <v/>
      </c>
      <c r="BN17" s="225" t="str">
        <f ca="1">IF($C$54="","",IF('Finals 4'!$I17=$C$54,'Finals 4'!$K17,IF('Finals 4'!$K17=$C$54,'Finals 4'!$I17,"")))</f>
        <v/>
      </c>
      <c r="BO17" s="585">
        <f t="shared" ca="1" si="24"/>
        <v>100014</v>
      </c>
      <c r="BP17" s="583">
        <f t="shared" si="25"/>
        <v>100016</v>
      </c>
      <c r="BQ17" s="584">
        <f>IF(BS17="",99999,'Finals 4'!$D17)</f>
        <v>99999</v>
      </c>
      <c r="BR17" s="224" t="str">
        <f>IF(BS17="","",'Finals 4'!$E17)</f>
        <v/>
      </c>
      <c r="BS17" s="225" t="str">
        <f>IF($C$59="","",IF('Finals 4'!$I17=$C$59,'Finals 4'!$K17,IF('Finals 4'!$K17=$C$59,'Finals 4'!$I17,"")))</f>
        <v/>
      </c>
      <c r="BT17" s="585">
        <f t="shared" si="26"/>
        <v>100016</v>
      </c>
    </row>
    <row r="18" spans="2:72" ht="30" customHeight="1" thickBot="1" x14ac:dyDescent="0.25">
      <c r="J18" s="559">
        <f t="shared" ca="1" si="27"/>
        <v>0</v>
      </c>
      <c r="L18" s="99">
        <f ca="1">'Finals 4'!$C18</f>
        <v>25</v>
      </c>
      <c r="M18" s="583">
        <f t="shared" ca="1" si="3"/>
        <v>100017</v>
      </c>
      <c r="N18" s="584">
        <f ca="1">IF(P18="",99999,'Finals 4'!$D18)</f>
        <v>99999</v>
      </c>
      <c r="O18" s="224" t="str">
        <f ca="1">IF(P18="","",'Finals 4'!$E18)</f>
        <v/>
      </c>
      <c r="P18" s="225" t="str">
        <f ca="1">IF($C$4="","",IF('Finals 4'!$I18=$C$4,'Finals 4'!$K18,IF('Finals 4'!$K18=$C$4,'Finals 4'!$I18,"")))</f>
        <v/>
      </c>
      <c r="Q18" s="585">
        <f t="shared" ca="1" si="4"/>
        <v>100015</v>
      </c>
      <c r="R18" s="583">
        <f t="shared" ca="1" si="5"/>
        <v>100017</v>
      </c>
      <c r="S18" s="584">
        <f ca="1">IF(U18="",99999,'Finals 4'!$D18)</f>
        <v>99999</v>
      </c>
      <c r="T18" s="224" t="str">
        <f ca="1">IF(U18="","",'Finals 4'!$E18)</f>
        <v/>
      </c>
      <c r="U18" s="225" t="str">
        <f ca="1">IF($C$9="","",IF('Finals 4'!$I18=$C$9,'Finals 4'!$K18,IF('Finals 4'!$K18=$C$9,'Finals 4'!$I18,"")))</f>
        <v/>
      </c>
      <c r="V18" s="585">
        <f t="shared" ca="1" si="6"/>
        <v>100016</v>
      </c>
      <c r="W18" s="583">
        <f t="shared" ca="1" si="7"/>
        <v>100017</v>
      </c>
      <c r="X18" s="584">
        <f ca="1">IF(Z18="",99999,'Finals 4'!$D18)</f>
        <v>99999</v>
      </c>
      <c r="Y18" s="224" t="str">
        <f ca="1">IF(Z18="","",'Finals 4'!$E18)</f>
        <v/>
      </c>
      <c r="Z18" s="225" t="str">
        <f ca="1">IF($C$14="","",IF('Finals 4'!$I18=$C$14,'Finals 4'!$K18,IF('Finals 4'!$K18=$C$14,'Finals 4'!$I18,"")))</f>
        <v/>
      </c>
      <c r="AA18" s="585">
        <f t="shared" ca="1" si="8"/>
        <v>100014</v>
      </c>
      <c r="AB18" s="583">
        <f t="shared" ca="1" si="9"/>
        <v>100017</v>
      </c>
      <c r="AC18" s="584">
        <f ca="1">IF(AE18="",99999,'Finals 4'!$D18)</f>
        <v>99999</v>
      </c>
      <c r="AD18" s="224" t="str">
        <f ca="1">IF(AE18="","",'Finals 4'!$E18)</f>
        <v/>
      </c>
      <c r="AE18" s="225" t="str">
        <f ca="1">IF($C$19="","",IF('Finals 4'!$I18=$C$19,'Finals 4'!$K18,IF('Finals 4'!$K18=$C$19,'Finals 4'!$I18,"")))</f>
        <v/>
      </c>
      <c r="AF18" s="585">
        <f t="shared" ca="1" si="10"/>
        <v>100015</v>
      </c>
      <c r="AG18" s="583">
        <f t="shared" ca="1" si="11"/>
        <v>100017</v>
      </c>
      <c r="AH18" s="584">
        <f ca="1">IF(AJ18="",99999,'Finals 4'!$D18)</f>
        <v>99999</v>
      </c>
      <c r="AI18" s="224" t="str">
        <f ca="1">IF(AJ18="","",'Finals 4'!$E18)</f>
        <v/>
      </c>
      <c r="AJ18" s="225" t="str">
        <f ca="1">IF($C$24="","",IF('Finals 4'!$I18=$C$24,'Finals 4'!$K18,IF('Finals 4'!$K18=$C$24,'Finals 4'!$I18,"")))</f>
        <v/>
      </c>
      <c r="AK18" s="585">
        <f t="shared" ca="1" si="12"/>
        <v>100014</v>
      </c>
      <c r="AL18" s="583">
        <f t="shared" si="13"/>
        <v>100017</v>
      </c>
      <c r="AM18" s="584">
        <f>IF(AO18="",99999,'Finals 4'!$D18)</f>
        <v>99999</v>
      </c>
      <c r="AN18" s="224" t="str">
        <f>IF(AO18="","",'Finals 4'!$E18)</f>
        <v/>
      </c>
      <c r="AO18" s="225" t="str">
        <f>IF($C$29="","",IF('Finals 4'!$I18=$C$29,'Finals 4'!$K18,IF('Finals 4'!$K18=$C$29,'Finals 4'!$I18,"")))</f>
        <v/>
      </c>
      <c r="AP18" s="585">
        <f t="shared" si="14"/>
        <v>100017</v>
      </c>
      <c r="AQ18" s="583">
        <f t="shared" ca="1" si="15"/>
        <v>100017</v>
      </c>
      <c r="AR18" s="584">
        <f ca="1">IF(AT18="",99999,'Finals 4'!$D18)</f>
        <v>99999</v>
      </c>
      <c r="AS18" s="224" t="str">
        <f ca="1">IF(AT18="","",'Finals 4'!$E18)</f>
        <v/>
      </c>
      <c r="AT18" s="225" t="str">
        <f ca="1">IF($C$34="","",IF('Finals 4'!$I18=$C$34,'Finals 4'!$K18,IF('Finals 4'!$K18=$C$34,'Finals 4'!$I18,"")))</f>
        <v/>
      </c>
      <c r="AU18" s="585">
        <f t="shared" ca="1" si="16"/>
        <v>100016</v>
      </c>
      <c r="AV18" s="583">
        <f t="shared" ca="1" si="17"/>
        <v>100017</v>
      </c>
      <c r="AW18" s="584">
        <f ca="1">IF(AY18="",99999,'Finals 4'!$D18)</f>
        <v>99999</v>
      </c>
      <c r="AX18" s="224" t="str">
        <f ca="1">IF(AY18="","",'Finals 4'!$E18)</f>
        <v/>
      </c>
      <c r="AY18" s="225" t="str">
        <f ca="1">IF($C$39="","",IF('Finals 4'!$I18=$C$39,'Finals 4'!$K18,IF('Finals 4'!$K18=$C$39,'Finals 4'!$I18,"")))</f>
        <v/>
      </c>
      <c r="AZ18" s="585">
        <f t="shared" ca="1" si="18"/>
        <v>100014</v>
      </c>
      <c r="BA18" s="583">
        <f t="shared" ca="1" si="19"/>
        <v>100017</v>
      </c>
      <c r="BB18" s="584">
        <f ca="1">IF(BD18="",99999,'Finals 4'!$D18)</f>
        <v>99999</v>
      </c>
      <c r="BC18" s="224" t="str">
        <f ca="1">IF(BD18="","",'Finals 4'!$E18)</f>
        <v/>
      </c>
      <c r="BD18" s="225" t="str">
        <f ca="1">IF($C$44="","",IF('Finals 4'!$I18=$C$44,'Finals 4'!$K18,IF('Finals 4'!$K18=$C$44,'Finals 4'!$I18,"")))</f>
        <v/>
      </c>
      <c r="BE18" s="585">
        <f t="shared" ca="1" si="20"/>
        <v>100014</v>
      </c>
      <c r="BF18" s="583">
        <f t="shared" ca="1" si="21"/>
        <v>100017</v>
      </c>
      <c r="BG18" s="584">
        <f ca="1">IF(BI18="",99999,'Finals 4'!$D18)</f>
        <v>99999</v>
      </c>
      <c r="BH18" s="224" t="str">
        <f ca="1">IF(BI18="","",'Finals 4'!$E18)</f>
        <v/>
      </c>
      <c r="BI18" s="225" t="str">
        <f ca="1">IF($C$49="","",IF('Finals 4'!$I18=$C$49,'Finals 4'!$K18,IF('Finals 4'!$K18=$C$49,'Finals 4'!$I18,"")))</f>
        <v/>
      </c>
      <c r="BJ18" s="585">
        <f t="shared" ca="1" si="22"/>
        <v>100015</v>
      </c>
      <c r="BK18" s="583">
        <f t="shared" ca="1" si="23"/>
        <v>100017</v>
      </c>
      <c r="BL18" s="584">
        <f ca="1">IF(BN18="",99999,'Finals 4'!$D18)</f>
        <v>99999</v>
      </c>
      <c r="BM18" s="224" t="str">
        <f ca="1">IF(BN18="","",'Finals 4'!$E18)</f>
        <v/>
      </c>
      <c r="BN18" s="225" t="str">
        <f ca="1">IF($C$54="","",IF('Finals 4'!$I18=$C$54,'Finals 4'!$K18,IF('Finals 4'!$K18=$C$54,'Finals 4'!$I18,"")))</f>
        <v/>
      </c>
      <c r="BO18" s="585">
        <f t="shared" ca="1" si="24"/>
        <v>100015</v>
      </c>
      <c r="BP18" s="583">
        <f t="shared" si="25"/>
        <v>100017</v>
      </c>
      <c r="BQ18" s="584">
        <f>IF(BS18="",99999,'Finals 4'!$D18)</f>
        <v>99999</v>
      </c>
      <c r="BR18" s="224" t="str">
        <f>IF(BS18="","",'Finals 4'!$E18)</f>
        <v/>
      </c>
      <c r="BS18" s="225" t="str">
        <f>IF($C$59="","",IF('Finals 4'!$I18=$C$59,'Finals 4'!$K18,IF('Finals 4'!$K18=$C$59,'Finals 4'!$I18,"")))</f>
        <v/>
      </c>
      <c r="BT18" s="585">
        <f t="shared" si="26"/>
        <v>100017</v>
      </c>
    </row>
    <row r="19" spans="2:72" ht="15.95" customHeight="1" x14ac:dyDescent="0.2">
      <c r="B19" s="560" t="s">
        <v>190</v>
      </c>
      <c r="C19" s="561" t="str">
        <f>IF(Planning!$C$13="","",Planning!$C$13)</f>
        <v>Maibach 1822 eV</v>
      </c>
      <c r="E19" s="562" t="str">
        <f>Language!$E$60</f>
        <v>balls</v>
      </c>
      <c r="F19" s="563" t="str">
        <f>Language!$E$39</f>
        <v>Start</v>
      </c>
      <c r="G19" s="564" t="str">
        <f>Language!$E$48</f>
        <v>Field</v>
      </c>
      <c r="H19" s="565" t="str">
        <f>Language!$E$46</f>
        <v>Match against</v>
      </c>
      <c r="J19" s="559">
        <f t="shared" ca="1" si="27"/>
        <v>0</v>
      </c>
      <c r="L19" s="99">
        <f ca="1">'Finals 4'!$C19</f>
        <v>25</v>
      </c>
      <c r="M19" s="583">
        <f t="shared" ca="1" si="3"/>
        <v>19.520833333333332</v>
      </c>
      <c r="N19" s="584">
        <f ca="1">IF(P19="",99999,'Finals 4'!$D19)</f>
        <v>0.52083333333333337</v>
      </c>
      <c r="O19" s="224">
        <f ca="1">IF(P19="","",'Finals 4'!$E19)</f>
        <v>1</v>
      </c>
      <c r="P19" s="225" t="str">
        <f ca="1">IF($C$4="","",IF('Finals 4'!$I19=$C$4,'Finals 4'!$K19,IF('Finals 4'!$K19=$C$4,'Finals 4'!$I19,"")))</f>
        <v>Eintracht Frankfurt</v>
      </c>
      <c r="Q19" s="585">
        <f t="shared" ca="1" si="4"/>
        <v>100016</v>
      </c>
      <c r="R19" s="583">
        <f t="shared" ca="1" si="5"/>
        <v>100018</v>
      </c>
      <c r="S19" s="584">
        <f ca="1">IF(U19="",99999,'Finals 4'!$D19)</f>
        <v>99999</v>
      </c>
      <c r="T19" s="224" t="str">
        <f ca="1">IF(U19="","",'Finals 4'!$E19)</f>
        <v/>
      </c>
      <c r="U19" s="225" t="str">
        <f ca="1">IF($C$9="","",IF('Finals 4'!$I19=$C$9,'Finals 4'!$K19,IF('Finals 4'!$K19=$C$9,'Finals 4'!$I19,"")))</f>
        <v/>
      </c>
      <c r="V19" s="585">
        <f t="shared" ca="1" si="6"/>
        <v>100017</v>
      </c>
      <c r="W19" s="583">
        <f t="shared" ca="1" si="7"/>
        <v>19.520833333333332</v>
      </c>
      <c r="X19" s="584">
        <f ca="1">IF(Z19="",99999,'Finals 4'!$D19)</f>
        <v>0.52083333333333337</v>
      </c>
      <c r="Y19" s="224">
        <f ca="1">IF(Z19="","",'Finals 4'!$E19)</f>
        <v>1</v>
      </c>
      <c r="Z19" s="225" t="str">
        <f ca="1">IF($C$14="","",IF('Finals 4'!$I19=$C$14,'Finals 4'!$K19,IF('Finals 4'!$K19=$C$14,'Finals 4'!$I19,"")))</f>
        <v>1. FC Riedwald</v>
      </c>
      <c r="AA19" s="585">
        <f t="shared" ca="1" si="8"/>
        <v>100016</v>
      </c>
      <c r="AB19" s="583">
        <f t="shared" ca="1" si="9"/>
        <v>100018</v>
      </c>
      <c r="AC19" s="584">
        <f ca="1">IF(AE19="",99999,'Finals 4'!$D19)</f>
        <v>99999</v>
      </c>
      <c r="AD19" s="224" t="str">
        <f ca="1">IF(AE19="","",'Finals 4'!$E19)</f>
        <v/>
      </c>
      <c r="AE19" s="225" t="str">
        <f ca="1">IF($C$19="","",IF('Finals 4'!$I19=$C$19,'Finals 4'!$K19,IF('Finals 4'!$K19=$C$19,'Finals 4'!$I19,"")))</f>
        <v/>
      </c>
      <c r="AF19" s="585">
        <f t="shared" ca="1" si="10"/>
        <v>100016</v>
      </c>
      <c r="AG19" s="583">
        <f t="shared" ca="1" si="11"/>
        <v>100018</v>
      </c>
      <c r="AH19" s="584">
        <f ca="1">IF(AJ19="",99999,'Finals 4'!$D19)</f>
        <v>99999</v>
      </c>
      <c r="AI19" s="224" t="str">
        <f ca="1">IF(AJ19="","",'Finals 4'!$E19)</f>
        <v/>
      </c>
      <c r="AJ19" s="225" t="str">
        <f ca="1">IF($C$24="","",IF('Finals 4'!$I19=$C$24,'Finals 4'!$K19,IF('Finals 4'!$K19=$C$24,'Finals 4'!$I19,"")))</f>
        <v/>
      </c>
      <c r="AK19" s="585">
        <f t="shared" ca="1" si="12"/>
        <v>100015</v>
      </c>
      <c r="AL19" s="583">
        <f t="shared" si="13"/>
        <v>100018</v>
      </c>
      <c r="AM19" s="584">
        <f>IF(AO19="",99999,'Finals 4'!$D19)</f>
        <v>99999</v>
      </c>
      <c r="AN19" s="224" t="str">
        <f>IF(AO19="","",'Finals 4'!$E19)</f>
        <v/>
      </c>
      <c r="AO19" s="225" t="str">
        <f>IF($C$29="","",IF('Finals 4'!$I19=$C$29,'Finals 4'!$K19,IF('Finals 4'!$K19=$C$29,'Finals 4'!$I19,"")))</f>
        <v/>
      </c>
      <c r="AP19" s="585">
        <f t="shared" si="14"/>
        <v>100018</v>
      </c>
      <c r="AQ19" s="583">
        <f t="shared" ca="1" si="15"/>
        <v>100018</v>
      </c>
      <c r="AR19" s="584">
        <f ca="1">IF(AT19="",99999,'Finals 4'!$D19)</f>
        <v>99999</v>
      </c>
      <c r="AS19" s="224" t="str">
        <f ca="1">IF(AT19="","",'Finals 4'!$E19)</f>
        <v/>
      </c>
      <c r="AT19" s="225" t="str">
        <f ca="1">IF($C$34="","",IF('Finals 4'!$I19=$C$34,'Finals 4'!$K19,IF('Finals 4'!$K19=$C$34,'Finals 4'!$I19,"")))</f>
        <v/>
      </c>
      <c r="AU19" s="585">
        <f t="shared" ca="1" si="16"/>
        <v>100017</v>
      </c>
      <c r="AV19" s="583">
        <f t="shared" ca="1" si="17"/>
        <v>100018</v>
      </c>
      <c r="AW19" s="584">
        <f ca="1">IF(AY19="",99999,'Finals 4'!$D19)</f>
        <v>99999</v>
      </c>
      <c r="AX19" s="224" t="str">
        <f ca="1">IF(AY19="","",'Finals 4'!$E19)</f>
        <v/>
      </c>
      <c r="AY19" s="225" t="str">
        <f ca="1">IF($C$39="","",IF('Finals 4'!$I19=$C$39,'Finals 4'!$K19,IF('Finals 4'!$K19=$C$39,'Finals 4'!$I19,"")))</f>
        <v/>
      </c>
      <c r="AZ19" s="585">
        <f t="shared" ca="1" si="18"/>
        <v>100015</v>
      </c>
      <c r="BA19" s="583">
        <f t="shared" ca="1" si="19"/>
        <v>100018</v>
      </c>
      <c r="BB19" s="584">
        <f ca="1">IF(BD19="",99999,'Finals 4'!$D19)</f>
        <v>99999</v>
      </c>
      <c r="BC19" s="224" t="str">
        <f ca="1">IF(BD19="","",'Finals 4'!$E19)</f>
        <v/>
      </c>
      <c r="BD19" s="225" t="str">
        <f ca="1">IF($C$44="","",IF('Finals 4'!$I19=$C$44,'Finals 4'!$K19,IF('Finals 4'!$K19=$C$44,'Finals 4'!$I19,"")))</f>
        <v/>
      </c>
      <c r="BE19" s="585">
        <f t="shared" ca="1" si="20"/>
        <v>100016</v>
      </c>
      <c r="BF19" s="583">
        <f t="shared" ca="1" si="21"/>
        <v>100018</v>
      </c>
      <c r="BG19" s="584">
        <f ca="1">IF(BI19="",99999,'Finals 4'!$D19)</f>
        <v>99999</v>
      </c>
      <c r="BH19" s="224" t="str">
        <f ca="1">IF(BI19="","",'Finals 4'!$E19)</f>
        <v/>
      </c>
      <c r="BI19" s="225" t="str">
        <f ca="1">IF($C$49="","",IF('Finals 4'!$I19=$C$49,'Finals 4'!$K19,IF('Finals 4'!$K19=$C$49,'Finals 4'!$I19,"")))</f>
        <v/>
      </c>
      <c r="BJ19" s="585">
        <f t="shared" ca="1" si="22"/>
        <v>100016</v>
      </c>
      <c r="BK19" s="583">
        <f t="shared" ca="1" si="23"/>
        <v>100018</v>
      </c>
      <c r="BL19" s="584">
        <f ca="1">IF(BN19="",99999,'Finals 4'!$D19)</f>
        <v>99999</v>
      </c>
      <c r="BM19" s="224" t="str">
        <f ca="1">IF(BN19="","",'Finals 4'!$E19)</f>
        <v/>
      </c>
      <c r="BN19" s="225" t="str">
        <f ca="1">IF($C$54="","",IF('Finals 4'!$I19=$C$54,'Finals 4'!$K19,IF('Finals 4'!$K19=$C$54,'Finals 4'!$I19,"")))</f>
        <v/>
      </c>
      <c r="BO19" s="585">
        <f t="shared" ca="1" si="24"/>
        <v>100016</v>
      </c>
      <c r="BP19" s="583">
        <f t="shared" si="25"/>
        <v>100018</v>
      </c>
      <c r="BQ19" s="584">
        <f>IF(BS19="",99999,'Finals 4'!$D19)</f>
        <v>99999</v>
      </c>
      <c r="BR19" s="224" t="str">
        <f>IF(BS19="","",'Finals 4'!$E19)</f>
        <v/>
      </c>
      <c r="BS19" s="225" t="str">
        <f>IF($C$59="","",IF('Finals 4'!$I19=$C$59,'Finals 4'!$K19,IF('Finals 4'!$K19=$C$59,'Finals 4'!$I19,"")))</f>
        <v/>
      </c>
      <c r="BT19" s="585">
        <f t="shared" si="26"/>
        <v>100018</v>
      </c>
    </row>
    <row r="20" spans="2:72" ht="15.95" customHeight="1" x14ac:dyDescent="0.2">
      <c r="E20" s="566">
        <f ca="1">IF($AF$12&lt;99999,INDEX($L$12:$L$29,MATCH($AF$12,$AB$12:$AB$29,0)),"")</f>
        <v>22</v>
      </c>
      <c r="F20" s="567">
        <f ca="1">IF($AF$12&lt;99999,VLOOKUP($AF$12,$AB$12:$AE$29,2,0),"")</f>
        <v>0.49652777777777779</v>
      </c>
      <c r="G20" s="568">
        <f ca="1">IF($AF$12&lt;99999,VLOOKUP($AF$12,$AB$12:$AE$29,3,0),"")</f>
        <v>2</v>
      </c>
      <c r="H20" s="569" t="str">
        <f ca="1">IF($AF$12&lt;99999,VLOOKUP($AF$12,$AB$12:$AE$29,4,0),"")</f>
        <v>Manchester City</v>
      </c>
      <c r="J20" s="559">
        <f t="shared" ca="1" si="27"/>
        <v>0</v>
      </c>
      <c r="K20" s="559" t="str">
        <f ca="1">IF(J20=0,"",$C$19)</f>
        <v/>
      </c>
      <c r="L20" s="99">
        <f ca="1">'Finals 4'!$C20</f>
        <v>26</v>
      </c>
      <c r="M20" s="583">
        <f t="shared" ca="1" si="3"/>
        <v>100019</v>
      </c>
      <c r="N20" s="584">
        <f ca="1">IF(P20="",99999,'Finals 4'!$D20)</f>
        <v>99999</v>
      </c>
      <c r="O20" s="224" t="str">
        <f ca="1">IF(P20="","",'Finals 4'!$E20)</f>
        <v/>
      </c>
      <c r="P20" s="225" t="str">
        <f ca="1">IF($C$4="","",IF('Finals 4'!$I20=$C$4,'Finals 4'!$K20,IF('Finals 4'!$K20=$C$4,'Finals 4'!$I20,"")))</f>
        <v/>
      </c>
      <c r="Q20" s="585">
        <f t="shared" ca="1" si="4"/>
        <v>100017</v>
      </c>
      <c r="R20" s="583">
        <f t="shared" ca="1" si="5"/>
        <v>100019</v>
      </c>
      <c r="S20" s="584">
        <f ca="1">IF(U20="",99999,'Finals 4'!$D20)</f>
        <v>99999</v>
      </c>
      <c r="T20" s="224" t="str">
        <f ca="1">IF(U20="","",'Finals 4'!$E20)</f>
        <v/>
      </c>
      <c r="U20" s="225" t="str">
        <f ca="1">IF($C$9="","",IF('Finals 4'!$I20=$C$9,'Finals 4'!$K20,IF('Finals 4'!$K20=$C$9,'Finals 4'!$I20,"")))</f>
        <v/>
      </c>
      <c r="V20" s="585">
        <f t="shared" ca="1" si="6"/>
        <v>100018</v>
      </c>
      <c r="W20" s="583">
        <f t="shared" ca="1" si="7"/>
        <v>100019</v>
      </c>
      <c r="X20" s="584">
        <f ca="1">IF(Z20="",99999,'Finals 4'!$D20)</f>
        <v>99999</v>
      </c>
      <c r="Y20" s="224" t="str">
        <f ca="1">IF(Z20="","",'Finals 4'!$E20)</f>
        <v/>
      </c>
      <c r="Z20" s="225" t="str">
        <f ca="1">IF($C$14="","",IF('Finals 4'!$I20=$C$14,'Finals 4'!$K20,IF('Finals 4'!$K20=$C$14,'Finals 4'!$I20,"")))</f>
        <v/>
      </c>
      <c r="AA20" s="585">
        <f t="shared" ca="1" si="8"/>
        <v>100017</v>
      </c>
      <c r="AB20" s="583">
        <f t="shared" ca="1" si="9"/>
        <v>20.520833333333332</v>
      </c>
      <c r="AC20" s="584">
        <f ca="1">IF(AE20="",99999,'Finals 4'!$D20)</f>
        <v>0.52083333333333337</v>
      </c>
      <c r="AD20" s="224">
        <f ca="1">IF(AE20="","",'Finals 4'!$E20)</f>
        <v>2</v>
      </c>
      <c r="AE20" s="225" t="str">
        <f ca="1">IF($C$19="","",IF('Finals 4'!$I20=$C$19,'Finals 4'!$K20,IF('Finals 4'!$K20=$C$19,'Finals 4'!$I20,"")))</f>
        <v>VFB Essenheim</v>
      </c>
      <c r="AF20" s="585">
        <f t="shared" ca="1" si="10"/>
        <v>100017</v>
      </c>
      <c r="AG20" s="583">
        <f t="shared" ca="1" si="11"/>
        <v>20.520833333333332</v>
      </c>
      <c r="AH20" s="584">
        <f ca="1">IF(AJ20="",99999,'Finals 4'!$D20)</f>
        <v>0.52083333333333337</v>
      </c>
      <c r="AI20" s="224">
        <f ca="1">IF(AJ20="","",'Finals 4'!$E20)</f>
        <v>2</v>
      </c>
      <c r="AJ20" s="225" t="str">
        <f ca="1">IF($C$24="","",IF('Finals 4'!$I20=$C$24,'Finals 4'!$K20,IF('Finals 4'!$K20=$C$24,'Finals 4'!$I20,"")))</f>
        <v>Maibach 1822 eV</v>
      </c>
      <c r="AK20" s="585">
        <f t="shared" ca="1" si="12"/>
        <v>100017</v>
      </c>
      <c r="AL20" s="583">
        <f t="shared" si="13"/>
        <v>100019</v>
      </c>
      <c r="AM20" s="584">
        <f>IF(AO20="",99999,'Finals 4'!$D20)</f>
        <v>99999</v>
      </c>
      <c r="AN20" s="224" t="str">
        <f>IF(AO20="","",'Finals 4'!$E20)</f>
        <v/>
      </c>
      <c r="AO20" s="225" t="str">
        <f>IF($C$29="","",IF('Finals 4'!$I20=$C$29,'Finals 4'!$K20,IF('Finals 4'!$K20=$C$29,'Finals 4'!$I20,"")))</f>
        <v/>
      </c>
      <c r="AP20" s="585">
        <f t="shared" si="14"/>
        <v>100019</v>
      </c>
      <c r="AQ20" s="583">
        <f t="shared" ca="1" si="15"/>
        <v>100019</v>
      </c>
      <c r="AR20" s="584">
        <f ca="1">IF(AT20="",99999,'Finals 4'!$D20)</f>
        <v>99999</v>
      </c>
      <c r="AS20" s="224" t="str">
        <f ca="1">IF(AT20="","",'Finals 4'!$E20)</f>
        <v/>
      </c>
      <c r="AT20" s="225" t="str">
        <f ca="1">IF($C$34="","",IF('Finals 4'!$I20=$C$34,'Finals 4'!$K20,IF('Finals 4'!$K20=$C$34,'Finals 4'!$I20,"")))</f>
        <v/>
      </c>
      <c r="AU20" s="585">
        <f t="shared" ca="1" si="16"/>
        <v>100018</v>
      </c>
      <c r="AV20" s="583">
        <f t="shared" ca="1" si="17"/>
        <v>100019</v>
      </c>
      <c r="AW20" s="584">
        <f ca="1">IF(AY20="",99999,'Finals 4'!$D20)</f>
        <v>99999</v>
      </c>
      <c r="AX20" s="224" t="str">
        <f ca="1">IF(AY20="","",'Finals 4'!$E20)</f>
        <v/>
      </c>
      <c r="AY20" s="225" t="str">
        <f ca="1">IF($C$39="","",IF('Finals 4'!$I20=$C$39,'Finals 4'!$K20,IF('Finals 4'!$K20=$C$39,'Finals 4'!$I20,"")))</f>
        <v/>
      </c>
      <c r="AZ20" s="585">
        <f t="shared" ca="1" si="18"/>
        <v>100017</v>
      </c>
      <c r="BA20" s="583">
        <f t="shared" ca="1" si="19"/>
        <v>100019</v>
      </c>
      <c r="BB20" s="584">
        <f ca="1">IF(BD20="",99999,'Finals 4'!$D20)</f>
        <v>99999</v>
      </c>
      <c r="BC20" s="224" t="str">
        <f ca="1">IF(BD20="","",'Finals 4'!$E20)</f>
        <v/>
      </c>
      <c r="BD20" s="225" t="str">
        <f ca="1">IF($C$44="","",IF('Finals 4'!$I20=$C$44,'Finals 4'!$K20,IF('Finals 4'!$K20=$C$44,'Finals 4'!$I20,"")))</f>
        <v/>
      </c>
      <c r="BE20" s="585">
        <f t="shared" ca="1" si="20"/>
        <v>100017</v>
      </c>
      <c r="BF20" s="583">
        <f t="shared" ca="1" si="21"/>
        <v>100019</v>
      </c>
      <c r="BG20" s="584">
        <f ca="1">IF(BI20="",99999,'Finals 4'!$D20)</f>
        <v>99999</v>
      </c>
      <c r="BH20" s="224" t="str">
        <f ca="1">IF(BI20="","",'Finals 4'!$E20)</f>
        <v/>
      </c>
      <c r="BI20" s="225" t="str">
        <f ca="1">IF($C$49="","",IF('Finals 4'!$I20=$C$49,'Finals 4'!$K20,IF('Finals 4'!$K20=$C$49,'Finals 4'!$I20,"")))</f>
        <v/>
      </c>
      <c r="BJ20" s="585">
        <f t="shared" ca="1" si="22"/>
        <v>100017</v>
      </c>
      <c r="BK20" s="583">
        <f t="shared" ca="1" si="23"/>
        <v>100019</v>
      </c>
      <c r="BL20" s="584">
        <f ca="1">IF(BN20="",99999,'Finals 4'!$D20)</f>
        <v>99999</v>
      </c>
      <c r="BM20" s="224" t="str">
        <f ca="1">IF(BN20="","",'Finals 4'!$E20)</f>
        <v/>
      </c>
      <c r="BN20" s="225" t="str">
        <f ca="1">IF($C$54="","",IF('Finals 4'!$I20=$C$54,'Finals 4'!$K20,IF('Finals 4'!$K20=$C$54,'Finals 4'!$I20,"")))</f>
        <v/>
      </c>
      <c r="BO20" s="585">
        <f t="shared" ca="1" si="24"/>
        <v>100017</v>
      </c>
      <c r="BP20" s="583">
        <f t="shared" si="25"/>
        <v>100019</v>
      </c>
      <c r="BQ20" s="584">
        <f>IF(BS20="",99999,'Finals 4'!$D20)</f>
        <v>99999</v>
      </c>
      <c r="BR20" s="224" t="str">
        <f>IF(BS20="","",'Finals 4'!$E20)</f>
        <v/>
      </c>
      <c r="BS20" s="225" t="str">
        <f>IF($C$59="","",IF('Finals 4'!$I20=$C$59,'Finals 4'!$K20,IF('Finals 4'!$K20=$C$59,'Finals 4'!$I20,"")))</f>
        <v/>
      </c>
      <c r="BT20" s="585">
        <f t="shared" si="26"/>
        <v>100019</v>
      </c>
    </row>
    <row r="21" spans="2:72" ht="15.95" customHeight="1" x14ac:dyDescent="0.2">
      <c r="E21" s="566">
        <f ca="1">IF($AF$13&lt;99999,INDEX($L$12:$L$29,MATCH($AF$13,$AB$12:$AB$29,0)),"")</f>
        <v>26</v>
      </c>
      <c r="F21" s="570">
        <f ca="1">IF($AF$13&lt;99999,VLOOKUP($AF$13,$AB$12:$AE$29,2,0),"")</f>
        <v>0.52083333333333337</v>
      </c>
      <c r="G21" s="571">
        <f ca="1">IF($AF$13&lt;99999,VLOOKUP($AF$13,$AB$12:$AE$29,3,0),"")</f>
        <v>2</v>
      </c>
      <c r="H21" s="572" t="str">
        <f ca="1">IF($AF$13&lt;99999,VLOOKUP($AF$13,$AB$12:$AE$29,4,0),"")</f>
        <v>VFB Essenheim</v>
      </c>
      <c r="J21" s="559">
        <f t="shared" ca="1" si="27"/>
        <v>0</v>
      </c>
      <c r="K21" s="559" t="str">
        <f t="shared" ref="K21:K22" ca="1" si="29">IF(J21=0,"",$C$19)</f>
        <v/>
      </c>
      <c r="L21" s="99">
        <f ca="1">'Finals 4'!$C21</f>
        <v>27</v>
      </c>
      <c r="M21" s="583">
        <f t="shared" ca="1" si="3"/>
        <v>100020</v>
      </c>
      <c r="N21" s="584">
        <f ca="1">IF(P21="",99999,'Finals 4'!$D21)</f>
        <v>99999</v>
      </c>
      <c r="O21" s="224" t="str">
        <f ca="1">IF(P21="","",'Finals 4'!$E21)</f>
        <v/>
      </c>
      <c r="P21" s="225" t="str">
        <f ca="1">IF($C$4="","",IF('Finals 4'!$I21=$C$4,'Finals 4'!$K21,IF('Finals 4'!$K21=$C$4,'Finals 4'!$I21,"")))</f>
        <v/>
      </c>
      <c r="Q21" s="585">
        <f t="shared" ca="1" si="4"/>
        <v>100019</v>
      </c>
      <c r="R21" s="583">
        <f t="shared" ca="1" si="5"/>
        <v>100020</v>
      </c>
      <c r="S21" s="584">
        <f ca="1">IF(U21="",99999,'Finals 4'!$D21)</f>
        <v>99999</v>
      </c>
      <c r="T21" s="224" t="str">
        <f ca="1">IF(U21="","",'Finals 4'!$E21)</f>
        <v/>
      </c>
      <c r="U21" s="225" t="str">
        <f ca="1">IF($C$9="","",IF('Finals 4'!$I21=$C$9,'Finals 4'!$K21,IF('Finals 4'!$K21=$C$9,'Finals 4'!$I21,"")))</f>
        <v/>
      </c>
      <c r="V21" s="585">
        <f t="shared" ca="1" si="6"/>
        <v>100019</v>
      </c>
      <c r="W21" s="583">
        <f t="shared" ca="1" si="7"/>
        <v>100020</v>
      </c>
      <c r="X21" s="584">
        <f ca="1">IF(Z21="",99999,'Finals 4'!$D21)</f>
        <v>99999</v>
      </c>
      <c r="Y21" s="224" t="str">
        <f ca="1">IF(Z21="","",'Finals 4'!$E21)</f>
        <v/>
      </c>
      <c r="Z21" s="225" t="str">
        <f ca="1">IF($C$14="","",IF('Finals 4'!$I21=$C$14,'Finals 4'!$K21,IF('Finals 4'!$K21=$C$14,'Finals 4'!$I21,"")))</f>
        <v/>
      </c>
      <c r="AA21" s="585">
        <f t="shared" ca="1" si="8"/>
        <v>100019</v>
      </c>
      <c r="AB21" s="583">
        <f t="shared" ca="1" si="9"/>
        <v>100020</v>
      </c>
      <c r="AC21" s="584">
        <f ca="1">IF(AE21="",99999,'Finals 4'!$D21)</f>
        <v>99999</v>
      </c>
      <c r="AD21" s="224" t="str">
        <f ca="1">IF(AE21="","",'Finals 4'!$E21)</f>
        <v/>
      </c>
      <c r="AE21" s="225" t="str">
        <f ca="1">IF($C$19="","",IF('Finals 4'!$I21=$C$19,'Finals 4'!$K21,IF('Finals 4'!$K21=$C$19,'Finals 4'!$I21,"")))</f>
        <v/>
      </c>
      <c r="AF21" s="585">
        <f t="shared" ca="1" si="10"/>
        <v>100018</v>
      </c>
      <c r="AG21" s="583">
        <f t="shared" ca="1" si="11"/>
        <v>100020</v>
      </c>
      <c r="AH21" s="584">
        <f ca="1">IF(AJ21="",99999,'Finals 4'!$D21)</f>
        <v>99999</v>
      </c>
      <c r="AI21" s="224" t="str">
        <f ca="1">IF(AJ21="","",'Finals 4'!$E21)</f>
        <v/>
      </c>
      <c r="AJ21" s="225" t="str">
        <f ca="1">IF($C$24="","",IF('Finals 4'!$I21=$C$24,'Finals 4'!$K21,IF('Finals 4'!$K21=$C$24,'Finals 4'!$I21,"")))</f>
        <v/>
      </c>
      <c r="AK21" s="585">
        <f t="shared" ca="1" si="12"/>
        <v>100018</v>
      </c>
      <c r="AL21" s="583">
        <f t="shared" si="13"/>
        <v>100020</v>
      </c>
      <c r="AM21" s="584">
        <f>IF(AO21="",99999,'Finals 4'!$D21)</f>
        <v>99999</v>
      </c>
      <c r="AN21" s="224" t="str">
        <f>IF(AO21="","",'Finals 4'!$E21)</f>
        <v/>
      </c>
      <c r="AO21" s="225" t="str">
        <f>IF($C$29="","",IF('Finals 4'!$I21=$C$29,'Finals 4'!$K21,IF('Finals 4'!$K21=$C$29,'Finals 4'!$I21,"")))</f>
        <v/>
      </c>
      <c r="AP21" s="585">
        <f t="shared" si="14"/>
        <v>100020</v>
      </c>
      <c r="AQ21" s="583">
        <f t="shared" ca="1" si="15"/>
        <v>100020</v>
      </c>
      <c r="AR21" s="584">
        <f ca="1">IF(AT21="",99999,'Finals 4'!$D21)</f>
        <v>99999</v>
      </c>
      <c r="AS21" s="224" t="str">
        <f ca="1">IF(AT21="","",'Finals 4'!$E21)</f>
        <v/>
      </c>
      <c r="AT21" s="225" t="str">
        <f ca="1">IF($C$34="","",IF('Finals 4'!$I21=$C$34,'Finals 4'!$K21,IF('Finals 4'!$K21=$C$34,'Finals 4'!$I21,"")))</f>
        <v/>
      </c>
      <c r="AU21" s="585">
        <f t="shared" ca="1" si="16"/>
        <v>100019</v>
      </c>
      <c r="AV21" s="583">
        <f t="shared" ca="1" si="17"/>
        <v>100020</v>
      </c>
      <c r="AW21" s="584">
        <f ca="1">IF(AY21="",99999,'Finals 4'!$D21)</f>
        <v>99999</v>
      </c>
      <c r="AX21" s="224" t="str">
        <f ca="1">IF(AY21="","",'Finals 4'!$E21)</f>
        <v/>
      </c>
      <c r="AY21" s="225" t="str">
        <f ca="1">IF($C$39="","",IF('Finals 4'!$I21=$C$39,'Finals 4'!$K21,IF('Finals 4'!$K21=$C$39,'Finals 4'!$I21,"")))</f>
        <v/>
      </c>
      <c r="AZ21" s="585">
        <f t="shared" ca="1" si="18"/>
        <v>100018</v>
      </c>
      <c r="BA21" s="583">
        <f t="shared" ca="1" si="19"/>
        <v>100020</v>
      </c>
      <c r="BB21" s="584">
        <f ca="1">IF(BD21="",99999,'Finals 4'!$D21)</f>
        <v>99999</v>
      </c>
      <c r="BC21" s="224" t="str">
        <f ca="1">IF(BD21="","",'Finals 4'!$E21)</f>
        <v/>
      </c>
      <c r="BD21" s="225" t="str">
        <f ca="1">IF($C$44="","",IF('Finals 4'!$I21=$C$44,'Finals 4'!$K21,IF('Finals 4'!$K21=$C$44,'Finals 4'!$I21,"")))</f>
        <v/>
      </c>
      <c r="BE21" s="585">
        <f t="shared" ca="1" si="20"/>
        <v>100018</v>
      </c>
      <c r="BF21" s="583">
        <f t="shared" ca="1" si="21"/>
        <v>100020</v>
      </c>
      <c r="BG21" s="584">
        <f ca="1">IF(BI21="",99999,'Finals 4'!$D21)</f>
        <v>99999</v>
      </c>
      <c r="BH21" s="224" t="str">
        <f ca="1">IF(BI21="","",'Finals 4'!$E21)</f>
        <v/>
      </c>
      <c r="BI21" s="225" t="str">
        <f ca="1">IF($C$49="","",IF('Finals 4'!$I21=$C$49,'Finals 4'!$K21,IF('Finals 4'!$K21=$C$49,'Finals 4'!$I21,"")))</f>
        <v/>
      </c>
      <c r="BJ21" s="585">
        <f t="shared" ca="1" si="22"/>
        <v>100018</v>
      </c>
      <c r="BK21" s="583">
        <f t="shared" ca="1" si="23"/>
        <v>100020</v>
      </c>
      <c r="BL21" s="584">
        <f ca="1">IF(BN21="",99999,'Finals 4'!$D21)</f>
        <v>99999</v>
      </c>
      <c r="BM21" s="224" t="str">
        <f ca="1">IF(BN21="","",'Finals 4'!$E21)</f>
        <v/>
      </c>
      <c r="BN21" s="225" t="str">
        <f ca="1">IF($C$54="","",IF('Finals 4'!$I21=$C$54,'Finals 4'!$K21,IF('Finals 4'!$K21=$C$54,'Finals 4'!$I21,"")))</f>
        <v/>
      </c>
      <c r="BO21" s="585">
        <f t="shared" ca="1" si="24"/>
        <v>100018</v>
      </c>
      <c r="BP21" s="583">
        <f t="shared" si="25"/>
        <v>100020</v>
      </c>
      <c r="BQ21" s="584">
        <f>IF(BS21="",99999,'Finals 4'!$D21)</f>
        <v>99999</v>
      </c>
      <c r="BR21" s="224" t="str">
        <f>IF(BS21="","",'Finals 4'!$E21)</f>
        <v/>
      </c>
      <c r="BS21" s="225" t="str">
        <f>IF($C$59="","",IF('Finals 4'!$I21=$C$59,'Finals 4'!$K21,IF('Finals 4'!$K21=$C$59,'Finals 4'!$I21,"")))</f>
        <v/>
      </c>
      <c r="BT21" s="585">
        <f t="shared" si="26"/>
        <v>100020</v>
      </c>
    </row>
    <row r="22" spans="2:72" ht="15.95" customHeight="1" thickBot="1" x14ac:dyDescent="0.25">
      <c r="E22" s="573">
        <f ca="1">IF($AF$14&lt;99999,INDEX($L$12:$L$29,MATCH($AF$14,$AB$12:$AB$29,0)),"")</f>
        <v>33</v>
      </c>
      <c r="F22" s="574">
        <f ca="1">IF($AF$14&lt;99999,VLOOKUP($AF$14,$AB$12:$AE$29,2,0),"")</f>
        <v>0.56944444444444442</v>
      </c>
      <c r="G22" s="575">
        <f ca="1">IF($AF$14&lt;99999,VLOOKUP($AF$14,$AB$12:$AE$29,3,0),"")</f>
        <v>1</v>
      </c>
      <c r="H22" s="576" t="str">
        <f ca="1">IF($AF$14&lt;99999,VLOOKUP($AF$14,$AB$12:$AE$29,4,0),"")</f>
        <v>Inter Mailand</v>
      </c>
      <c r="J22" s="559">
        <f t="shared" ca="1" si="27"/>
        <v>0</v>
      </c>
      <c r="K22" s="559" t="str">
        <f t="shared" ca="1" si="29"/>
        <v/>
      </c>
      <c r="L22" s="99">
        <f ca="1">'Finals 4'!$C22</f>
        <v>27</v>
      </c>
      <c r="M22" s="583">
        <f t="shared" ca="1" si="3"/>
        <v>100021</v>
      </c>
      <c r="N22" s="584">
        <f ca="1">IF(P22="",99999,'Finals 4'!$D22)</f>
        <v>99999</v>
      </c>
      <c r="O22" s="224" t="str">
        <f ca="1">IF(P22="","",'Finals 4'!$E22)</f>
        <v/>
      </c>
      <c r="P22" s="225" t="str">
        <f ca="1">IF($C$4="","",IF('Finals 4'!$I22=$C$4,'Finals 4'!$K22,IF('Finals 4'!$K22=$C$4,'Finals 4'!$I22,"")))</f>
        <v/>
      </c>
      <c r="Q22" s="585">
        <f t="shared" ca="1" si="4"/>
        <v>100020</v>
      </c>
      <c r="R22" s="583">
        <f t="shared" ca="1" si="5"/>
        <v>100021</v>
      </c>
      <c r="S22" s="584">
        <f ca="1">IF(U22="",99999,'Finals 4'!$D22)</f>
        <v>99999</v>
      </c>
      <c r="T22" s="224" t="str">
        <f ca="1">IF(U22="","",'Finals 4'!$E22)</f>
        <v/>
      </c>
      <c r="U22" s="225" t="str">
        <f ca="1">IF($C$9="","",IF('Finals 4'!$I22=$C$9,'Finals 4'!$K22,IF('Finals 4'!$K22=$C$9,'Finals 4'!$I22,"")))</f>
        <v/>
      </c>
      <c r="V22" s="585">
        <f t="shared" ca="1" si="6"/>
        <v>100020</v>
      </c>
      <c r="W22" s="583">
        <f t="shared" ca="1" si="7"/>
        <v>100021</v>
      </c>
      <c r="X22" s="584">
        <f ca="1">IF(Z22="",99999,'Finals 4'!$D22)</f>
        <v>99999</v>
      </c>
      <c r="Y22" s="224" t="str">
        <f ca="1">IF(Z22="","",'Finals 4'!$E22)</f>
        <v/>
      </c>
      <c r="Z22" s="225" t="str">
        <f ca="1">IF($C$14="","",IF('Finals 4'!$I22=$C$14,'Finals 4'!$K22,IF('Finals 4'!$K22=$C$14,'Finals 4'!$I22,"")))</f>
        <v/>
      </c>
      <c r="AA22" s="585">
        <f t="shared" ca="1" si="8"/>
        <v>100020</v>
      </c>
      <c r="AB22" s="583">
        <f t="shared" ca="1" si="9"/>
        <v>100021</v>
      </c>
      <c r="AC22" s="584">
        <f ca="1">IF(AE22="",99999,'Finals 4'!$D22)</f>
        <v>99999</v>
      </c>
      <c r="AD22" s="224" t="str">
        <f ca="1">IF(AE22="","",'Finals 4'!$E22)</f>
        <v/>
      </c>
      <c r="AE22" s="225" t="str">
        <f ca="1">IF($C$19="","",IF('Finals 4'!$I22=$C$19,'Finals 4'!$K22,IF('Finals 4'!$K22=$C$19,'Finals 4'!$I22,"")))</f>
        <v/>
      </c>
      <c r="AF22" s="585">
        <f t="shared" ca="1" si="10"/>
        <v>100020</v>
      </c>
      <c r="AG22" s="583">
        <f t="shared" ca="1" si="11"/>
        <v>100021</v>
      </c>
      <c r="AH22" s="584">
        <f ca="1">IF(AJ22="",99999,'Finals 4'!$D22)</f>
        <v>99999</v>
      </c>
      <c r="AI22" s="224" t="str">
        <f ca="1">IF(AJ22="","",'Finals 4'!$E22)</f>
        <v/>
      </c>
      <c r="AJ22" s="225" t="str">
        <f ca="1">IF($C$24="","",IF('Finals 4'!$I22=$C$24,'Finals 4'!$K22,IF('Finals 4'!$K22=$C$24,'Finals 4'!$I22,"")))</f>
        <v/>
      </c>
      <c r="AK22" s="585">
        <f t="shared" ca="1" si="12"/>
        <v>100020</v>
      </c>
      <c r="AL22" s="583">
        <f t="shared" si="13"/>
        <v>100021</v>
      </c>
      <c r="AM22" s="584">
        <f>IF(AO22="",99999,'Finals 4'!$D22)</f>
        <v>99999</v>
      </c>
      <c r="AN22" s="224" t="str">
        <f>IF(AO22="","",'Finals 4'!$E22)</f>
        <v/>
      </c>
      <c r="AO22" s="225" t="str">
        <f>IF($C$29="","",IF('Finals 4'!$I22=$C$29,'Finals 4'!$K22,IF('Finals 4'!$K22=$C$29,'Finals 4'!$I22,"")))</f>
        <v/>
      </c>
      <c r="AP22" s="585">
        <f t="shared" si="14"/>
        <v>100021</v>
      </c>
      <c r="AQ22" s="583">
        <f t="shared" ca="1" si="15"/>
        <v>100021</v>
      </c>
      <c r="AR22" s="584">
        <f ca="1">IF(AT22="",99999,'Finals 4'!$D22)</f>
        <v>99999</v>
      </c>
      <c r="AS22" s="224" t="str">
        <f ca="1">IF(AT22="","",'Finals 4'!$E22)</f>
        <v/>
      </c>
      <c r="AT22" s="225" t="str">
        <f ca="1">IF($C$34="","",IF('Finals 4'!$I22=$C$34,'Finals 4'!$K22,IF('Finals 4'!$K22=$C$34,'Finals 4'!$I22,"")))</f>
        <v/>
      </c>
      <c r="AU22" s="585">
        <f t="shared" ca="1" si="16"/>
        <v>100020</v>
      </c>
      <c r="AV22" s="583">
        <f t="shared" ca="1" si="17"/>
        <v>100021</v>
      </c>
      <c r="AW22" s="584">
        <f ca="1">IF(AY22="",99999,'Finals 4'!$D22)</f>
        <v>99999</v>
      </c>
      <c r="AX22" s="224" t="str">
        <f ca="1">IF(AY22="","",'Finals 4'!$E22)</f>
        <v/>
      </c>
      <c r="AY22" s="225" t="str">
        <f ca="1">IF($C$39="","",IF('Finals 4'!$I22=$C$39,'Finals 4'!$K22,IF('Finals 4'!$K22=$C$39,'Finals 4'!$I22,"")))</f>
        <v/>
      </c>
      <c r="AZ22" s="585">
        <f t="shared" ca="1" si="18"/>
        <v>100019</v>
      </c>
      <c r="BA22" s="583">
        <f t="shared" ca="1" si="19"/>
        <v>22.520833333333332</v>
      </c>
      <c r="BB22" s="584">
        <f ca="1">IF(BD22="",99999,'Finals 4'!$D22)</f>
        <v>0.52083333333333337</v>
      </c>
      <c r="BC22" s="224">
        <f ca="1">IF(BD22="","",'Finals 4'!$E22)</f>
        <v>3</v>
      </c>
      <c r="BD22" s="225" t="str">
        <f ca="1">IF($C$44="","",IF('Finals 4'!$I22=$C$44,'Finals 4'!$K22,IF('Finals 4'!$K22=$C$44,'Finals 4'!$I22,"")))</f>
        <v>FC Grönlingen</v>
      </c>
      <c r="BE22" s="585">
        <f t="shared" ca="1" si="20"/>
        <v>100019</v>
      </c>
      <c r="BF22" s="583">
        <f t="shared" ca="1" si="21"/>
        <v>100021</v>
      </c>
      <c r="BG22" s="584">
        <f ca="1">IF(BI22="",99999,'Finals 4'!$D22)</f>
        <v>99999</v>
      </c>
      <c r="BH22" s="224" t="str">
        <f ca="1">IF(BI22="","",'Finals 4'!$E22)</f>
        <v/>
      </c>
      <c r="BI22" s="225" t="str">
        <f ca="1">IF($C$49="","",IF('Finals 4'!$I22=$C$49,'Finals 4'!$K22,IF('Finals 4'!$K22=$C$49,'Finals 4'!$I22,"")))</f>
        <v/>
      </c>
      <c r="BJ22" s="585">
        <f t="shared" ca="1" si="22"/>
        <v>100019</v>
      </c>
      <c r="BK22" s="583">
        <f t="shared" ca="1" si="23"/>
        <v>22.520833333333332</v>
      </c>
      <c r="BL22" s="584">
        <f ca="1">IF(BN22="",99999,'Finals 4'!$D22)</f>
        <v>0.52083333333333337</v>
      </c>
      <c r="BM22" s="224">
        <f ca="1">IF(BN22="","",'Finals 4'!$E22)</f>
        <v>3</v>
      </c>
      <c r="BN22" s="225" t="str">
        <f ca="1">IF($C$54="","",IF('Finals 4'!$I22=$C$54,'Finals 4'!$K22,IF('Finals 4'!$K22=$C$54,'Finals 4'!$I22,"")))</f>
        <v>SSV Wildbach</v>
      </c>
      <c r="BO22" s="585">
        <f t="shared" ca="1" si="24"/>
        <v>100019</v>
      </c>
      <c r="BP22" s="583">
        <f t="shared" si="25"/>
        <v>100021</v>
      </c>
      <c r="BQ22" s="584">
        <f>IF(BS22="",99999,'Finals 4'!$D22)</f>
        <v>99999</v>
      </c>
      <c r="BR22" s="224" t="str">
        <f>IF(BS22="","",'Finals 4'!$E22)</f>
        <v/>
      </c>
      <c r="BS22" s="225" t="str">
        <f>IF($C$59="","",IF('Finals 4'!$I22=$C$59,'Finals 4'!$K22,IF('Finals 4'!$K22=$C$59,'Finals 4'!$I22,"")))</f>
        <v/>
      </c>
      <c r="BT22" s="585">
        <f t="shared" si="26"/>
        <v>100021</v>
      </c>
    </row>
    <row r="23" spans="2:72" ht="30" customHeight="1" thickBot="1" x14ac:dyDescent="0.25">
      <c r="J23" s="559">
        <f t="shared" ca="1" si="27"/>
        <v>0</v>
      </c>
      <c r="L23" s="99">
        <f ca="1">'Finals 4'!$C23</f>
        <v>28</v>
      </c>
      <c r="M23" s="583">
        <f t="shared" ca="1" si="3"/>
        <v>100022</v>
      </c>
      <c r="N23" s="584">
        <f ca="1">IF(P23="",99999,'Finals 4'!$D23)</f>
        <v>99999</v>
      </c>
      <c r="O23" s="224" t="str">
        <f ca="1">IF(P23="","",'Finals 4'!$E23)</f>
        <v/>
      </c>
      <c r="P23" s="225" t="str">
        <f ca="1">IF($C$4="","",IF('Finals 4'!$I23=$C$4,'Finals 4'!$K23,IF('Finals 4'!$K23=$C$4,'Finals 4'!$I23,"")))</f>
        <v/>
      </c>
      <c r="Q23" s="585">
        <f t="shared" ca="1" si="4"/>
        <v>100021</v>
      </c>
      <c r="R23" s="583">
        <f t="shared" ca="1" si="5"/>
        <v>100022</v>
      </c>
      <c r="S23" s="584">
        <f ca="1">IF(U23="",99999,'Finals 4'!$D23)</f>
        <v>99999</v>
      </c>
      <c r="T23" s="224" t="str">
        <f ca="1">IF(U23="","",'Finals 4'!$E23)</f>
        <v/>
      </c>
      <c r="U23" s="225" t="str">
        <f ca="1">IF($C$9="","",IF('Finals 4'!$I23=$C$9,'Finals 4'!$K23,IF('Finals 4'!$K23=$C$9,'Finals 4'!$I23,"")))</f>
        <v/>
      </c>
      <c r="V23" s="585">
        <f t="shared" ca="1" si="6"/>
        <v>100021</v>
      </c>
      <c r="W23" s="583">
        <f t="shared" ca="1" si="7"/>
        <v>100022</v>
      </c>
      <c r="X23" s="584">
        <f ca="1">IF(Z23="",99999,'Finals 4'!$D23)</f>
        <v>99999</v>
      </c>
      <c r="Y23" s="224" t="str">
        <f ca="1">IF(Z23="","",'Finals 4'!$E23)</f>
        <v/>
      </c>
      <c r="Z23" s="225" t="str">
        <f ca="1">IF($C$14="","",IF('Finals 4'!$I23=$C$14,'Finals 4'!$K23,IF('Finals 4'!$K23=$C$14,'Finals 4'!$I23,"")))</f>
        <v/>
      </c>
      <c r="AA23" s="585">
        <f t="shared" ca="1" si="8"/>
        <v>100021</v>
      </c>
      <c r="AB23" s="583">
        <f t="shared" ca="1" si="9"/>
        <v>100022</v>
      </c>
      <c r="AC23" s="584">
        <f ca="1">IF(AE23="",99999,'Finals 4'!$D23)</f>
        <v>99999</v>
      </c>
      <c r="AD23" s="224" t="str">
        <f ca="1">IF(AE23="","",'Finals 4'!$E23)</f>
        <v/>
      </c>
      <c r="AE23" s="225" t="str">
        <f ca="1">IF($C$19="","",IF('Finals 4'!$I23=$C$19,'Finals 4'!$K23,IF('Finals 4'!$K23=$C$19,'Finals 4'!$I23,"")))</f>
        <v/>
      </c>
      <c r="AF23" s="585">
        <f t="shared" ca="1" si="10"/>
        <v>100021</v>
      </c>
      <c r="AG23" s="583">
        <f t="shared" ca="1" si="11"/>
        <v>100022</v>
      </c>
      <c r="AH23" s="584">
        <f ca="1">IF(AJ23="",99999,'Finals 4'!$D23)</f>
        <v>99999</v>
      </c>
      <c r="AI23" s="224" t="str">
        <f ca="1">IF(AJ23="","",'Finals 4'!$E23)</f>
        <v/>
      </c>
      <c r="AJ23" s="225" t="str">
        <f ca="1">IF($C$24="","",IF('Finals 4'!$I23=$C$24,'Finals 4'!$K23,IF('Finals 4'!$K23=$C$24,'Finals 4'!$I23,"")))</f>
        <v/>
      </c>
      <c r="AK23" s="585">
        <f t="shared" ca="1" si="12"/>
        <v>100021</v>
      </c>
      <c r="AL23" s="583">
        <f t="shared" si="13"/>
        <v>100022</v>
      </c>
      <c r="AM23" s="584">
        <f>IF(AO23="",99999,'Finals 4'!$D23)</f>
        <v>99999</v>
      </c>
      <c r="AN23" s="224" t="str">
        <f>IF(AO23="","",'Finals 4'!$E23)</f>
        <v/>
      </c>
      <c r="AO23" s="225" t="str">
        <f>IF($C$29="","",IF('Finals 4'!$I23=$C$29,'Finals 4'!$K23,IF('Finals 4'!$K23=$C$29,'Finals 4'!$I23,"")))</f>
        <v/>
      </c>
      <c r="AP23" s="585">
        <f t="shared" si="14"/>
        <v>100022</v>
      </c>
      <c r="AQ23" s="583">
        <f t="shared" ca="1" si="15"/>
        <v>100022</v>
      </c>
      <c r="AR23" s="584">
        <f ca="1">IF(AT23="",99999,'Finals 4'!$D23)</f>
        <v>99999</v>
      </c>
      <c r="AS23" s="224" t="str">
        <f ca="1">IF(AT23="","",'Finals 4'!$E23)</f>
        <v/>
      </c>
      <c r="AT23" s="225" t="str">
        <f ca="1">IF($C$34="","",IF('Finals 4'!$I23=$C$34,'Finals 4'!$K23,IF('Finals 4'!$K23=$C$34,'Finals 4'!$I23,"")))</f>
        <v/>
      </c>
      <c r="AU23" s="585">
        <f t="shared" ca="1" si="16"/>
        <v>100021</v>
      </c>
      <c r="AV23" s="583">
        <f t="shared" ca="1" si="17"/>
        <v>23.520833333333332</v>
      </c>
      <c r="AW23" s="584">
        <f ca="1">IF(AY23="",99999,'Finals 4'!$D23)</f>
        <v>0.52083333333333337</v>
      </c>
      <c r="AX23" s="224">
        <f ca="1">IF(AY23="","",'Finals 4'!$E23)</f>
        <v>4</v>
      </c>
      <c r="AY23" s="225" t="str">
        <f ca="1">IF($C$39="","",IF('Finals 4'!$I23=$C$39,'Finals 4'!$K23,IF('Finals 4'!$K23=$C$39,'Finals 4'!$I23,"")))</f>
        <v>Manchester City</v>
      </c>
      <c r="AZ23" s="585">
        <f t="shared" ca="1" si="18"/>
        <v>100020</v>
      </c>
      <c r="BA23" s="583">
        <f t="shared" ca="1" si="19"/>
        <v>100022</v>
      </c>
      <c r="BB23" s="584">
        <f ca="1">IF(BD23="",99999,'Finals 4'!$D23)</f>
        <v>99999</v>
      </c>
      <c r="BC23" s="224" t="str">
        <f ca="1">IF(BD23="","",'Finals 4'!$E23)</f>
        <v/>
      </c>
      <c r="BD23" s="225" t="str">
        <f ca="1">IF($C$44="","",IF('Finals 4'!$I23=$C$44,'Finals 4'!$K23,IF('Finals 4'!$K23=$C$44,'Finals 4'!$I23,"")))</f>
        <v/>
      </c>
      <c r="BE23" s="585">
        <f t="shared" ca="1" si="20"/>
        <v>100020</v>
      </c>
      <c r="BF23" s="583">
        <f t="shared" ca="1" si="21"/>
        <v>23.520833333333332</v>
      </c>
      <c r="BG23" s="584">
        <f ca="1">IF(BI23="",99999,'Finals 4'!$D23)</f>
        <v>0.52083333333333337</v>
      </c>
      <c r="BH23" s="224">
        <f ca="1">IF(BI23="","",'Finals 4'!$E23)</f>
        <v>4</v>
      </c>
      <c r="BI23" s="225" t="str">
        <f ca="1">IF($C$49="","",IF('Finals 4'!$I23=$C$49,'Finals 4'!$K23,IF('Finals 4'!$K23=$C$49,'Finals 4'!$I23,"")))</f>
        <v>Inter Mailand</v>
      </c>
      <c r="BJ23" s="585">
        <f t="shared" ca="1" si="22"/>
        <v>100020</v>
      </c>
      <c r="BK23" s="583">
        <f t="shared" ca="1" si="23"/>
        <v>100022</v>
      </c>
      <c r="BL23" s="584">
        <f ca="1">IF(BN23="",99999,'Finals 4'!$D23)</f>
        <v>99999</v>
      </c>
      <c r="BM23" s="224" t="str">
        <f ca="1">IF(BN23="","",'Finals 4'!$E23)</f>
        <v/>
      </c>
      <c r="BN23" s="225" t="str">
        <f ca="1">IF($C$54="","",IF('Finals 4'!$I23=$C$54,'Finals 4'!$K23,IF('Finals 4'!$K23=$C$54,'Finals 4'!$I23,"")))</f>
        <v/>
      </c>
      <c r="BO23" s="585">
        <f t="shared" ca="1" si="24"/>
        <v>100020</v>
      </c>
      <c r="BP23" s="583">
        <f t="shared" si="25"/>
        <v>100022</v>
      </c>
      <c r="BQ23" s="584">
        <f>IF(BS23="",99999,'Finals 4'!$D23)</f>
        <v>99999</v>
      </c>
      <c r="BR23" s="224" t="str">
        <f>IF(BS23="","",'Finals 4'!$E23)</f>
        <v/>
      </c>
      <c r="BS23" s="225" t="str">
        <f>IF($C$59="","",IF('Finals 4'!$I23=$C$59,'Finals 4'!$K23,IF('Finals 4'!$K23=$C$59,'Finals 4'!$I23,"")))</f>
        <v/>
      </c>
      <c r="BT23" s="585">
        <f t="shared" si="26"/>
        <v>100022</v>
      </c>
    </row>
    <row r="24" spans="2:72" ht="15.95" customHeight="1" x14ac:dyDescent="0.2">
      <c r="B24" s="560" t="s">
        <v>192</v>
      </c>
      <c r="C24" s="561" t="str">
        <f>IF(Planning!$C$15="","",Planning!$C$15)</f>
        <v>VFB Essenheim</v>
      </c>
      <c r="E24" s="562" t="str">
        <f>Language!$E$60</f>
        <v>balls</v>
      </c>
      <c r="F24" s="563" t="str">
        <f>Language!$E$39</f>
        <v>Start</v>
      </c>
      <c r="G24" s="564" t="str">
        <f>Language!$E$48</f>
        <v>Field</v>
      </c>
      <c r="H24" s="565" t="str">
        <f>Language!$E$46</f>
        <v>Match against</v>
      </c>
      <c r="J24" s="559">
        <f t="shared" ca="1" si="27"/>
        <v>0</v>
      </c>
      <c r="L24" s="99">
        <f ca="1">'Finals 4'!$C24</f>
        <v>29</v>
      </c>
      <c r="M24" s="583">
        <f t="shared" ca="1" si="3"/>
        <v>100023</v>
      </c>
      <c r="N24" s="584">
        <f ca="1">IF(P24="",99999,'Finals 4'!$D24)</f>
        <v>99999</v>
      </c>
      <c r="O24" s="224" t="str">
        <f ca="1">IF(P24="","",'Finals 4'!$E24)</f>
        <v/>
      </c>
      <c r="P24" s="225" t="str">
        <f ca="1">IF($C$4="","",IF('Finals 4'!$I24=$C$4,'Finals 4'!$K24,IF('Finals 4'!$K24=$C$4,'Finals 4'!$I24,"")))</f>
        <v/>
      </c>
      <c r="Q24" s="585">
        <f t="shared" ca="1" si="4"/>
        <v>100022</v>
      </c>
      <c r="R24" s="583">
        <f t="shared" ca="1" si="5"/>
        <v>100023</v>
      </c>
      <c r="S24" s="584">
        <f ca="1">IF(U24="",99999,'Finals 4'!$D24)</f>
        <v>99999</v>
      </c>
      <c r="T24" s="224" t="str">
        <f ca="1">IF(U24="","",'Finals 4'!$E24)</f>
        <v/>
      </c>
      <c r="U24" s="225" t="str">
        <f ca="1">IF($C$9="","",IF('Finals 4'!$I24=$C$9,'Finals 4'!$K24,IF('Finals 4'!$K24=$C$9,'Finals 4'!$I24,"")))</f>
        <v/>
      </c>
      <c r="V24" s="585">
        <f t="shared" ca="1" si="6"/>
        <v>100022</v>
      </c>
      <c r="W24" s="583">
        <f t="shared" ca="1" si="7"/>
        <v>100023</v>
      </c>
      <c r="X24" s="584">
        <f ca="1">IF(Z24="",99999,'Finals 4'!$D24)</f>
        <v>99999</v>
      </c>
      <c r="Y24" s="224" t="str">
        <f ca="1">IF(Z24="","",'Finals 4'!$E24)</f>
        <v/>
      </c>
      <c r="Z24" s="225" t="str">
        <f ca="1">IF($C$14="","",IF('Finals 4'!$I24=$C$14,'Finals 4'!$K24,IF('Finals 4'!$K24=$C$14,'Finals 4'!$I24,"")))</f>
        <v/>
      </c>
      <c r="AA24" s="585">
        <f t="shared" ca="1" si="8"/>
        <v>100022</v>
      </c>
      <c r="AB24" s="583">
        <f t="shared" ca="1" si="9"/>
        <v>100023</v>
      </c>
      <c r="AC24" s="584">
        <f ca="1">IF(AE24="",99999,'Finals 4'!$D24)</f>
        <v>99999</v>
      </c>
      <c r="AD24" s="224" t="str">
        <f ca="1">IF(AE24="","",'Finals 4'!$E24)</f>
        <v/>
      </c>
      <c r="AE24" s="225" t="str">
        <f ca="1">IF($C$19="","",IF('Finals 4'!$I24=$C$19,'Finals 4'!$K24,IF('Finals 4'!$K24=$C$19,'Finals 4'!$I24,"")))</f>
        <v/>
      </c>
      <c r="AF24" s="585">
        <f t="shared" ca="1" si="10"/>
        <v>100022</v>
      </c>
      <c r="AG24" s="583">
        <f t="shared" ca="1" si="11"/>
        <v>100023</v>
      </c>
      <c r="AH24" s="584">
        <f ca="1">IF(AJ24="",99999,'Finals 4'!$D24)</f>
        <v>99999</v>
      </c>
      <c r="AI24" s="224" t="str">
        <f ca="1">IF(AJ24="","",'Finals 4'!$E24)</f>
        <v/>
      </c>
      <c r="AJ24" s="225" t="str">
        <f ca="1">IF($C$24="","",IF('Finals 4'!$I24=$C$24,'Finals 4'!$K24,IF('Finals 4'!$K24=$C$24,'Finals 4'!$I24,"")))</f>
        <v/>
      </c>
      <c r="AK24" s="585">
        <f t="shared" ca="1" si="12"/>
        <v>100022</v>
      </c>
      <c r="AL24" s="583">
        <f t="shared" si="13"/>
        <v>100023</v>
      </c>
      <c r="AM24" s="584">
        <f>IF(AO24="",99999,'Finals 4'!$D24)</f>
        <v>99999</v>
      </c>
      <c r="AN24" s="224" t="str">
        <f>IF(AO24="","",'Finals 4'!$E24)</f>
        <v/>
      </c>
      <c r="AO24" s="225" t="str">
        <f>IF($C$29="","",IF('Finals 4'!$I24=$C$29,'Finals 4'!$K24,IF('Finals 4'!$K24=$C$29,'Finals 4'!$I24,"")))</f>
        <v/>
      </c>
      <c r="AP24" s="585">
        <f t="shared" si="14"/>
        <v>100023</v>
      </c>
      <c r="AQ24" s="583">
        <f t="shared" ca="1" si="15"/>
        <v>100023</v>
      </c>
      <c r="AR24" s="584">
        <f ca="1">IF(AT24="",99999,'Finals 4'!$D24)</f>
        <v>99999</v>
      </c>
      <c r="AS24" s="224" t="str">
        <f ca="1">IF(AT24="","",'Finals 4'!$E24)</f>
        <v/>
      </c>
      <c r="AT24" s="225" t="str">
        <f ca="1">IF($C$34="","",IF('Finals 4'!$I24=$C$34,'Finals 4'!$K24,IF('Finals 4'!$K24=$C$34,'Finals 4'!$I24,"")))</f>
        <v/>
      </c>
      <c r="AU24" s="585">
        <f t="shared" ca="1" si="16"/>
        <v>100022</v>
      </c>
      <c r="AV24" s="583">
        <f t="shared" ca="1" si="17"/>
        <v>100023</v>
      </c>
      <c r="AW24" s="584">
        <f ca="1">IF(AY24="",99999,'Finals 4'!$D24)</f>
        <v>99999</v>
      </c>
      <c r="AX24" s="224" t="str">
        <f ca="1">IF(AY24="","",'Finals 4'!$E24)</f>
        <v/>
      </c>
      <c r="AY24" s="225" t="str">
        <f ca="1">IF($C$39="","",IF('Finals 4'!$I24=$C$39,'Finals 4'!$K24,IF('Finals 4'!$K24=$C$39,'Finals 4'!$I24,"")))</f>
        <v/>
      </c>
      <c r="AZ24" s="585">
        <f t="shared" ca="1" si="18"/>
        <v>100021</v>
      </c>
      <c r="BA24" s="583">
        <f t="shared" ca="1" si="19"/>
        <v>100023</v>
      </c>
      <c r="BB24" s="584">
        <f ca="1">IF(BD24="",99999,'Finals 4'!$D24)</f>
        <v>99999</v>
      </c>
      <c r="BC24" s="224" t="str">
        <f ca="1">IF(BD24="","",'Finals 4'!$E24)</f>
        <v/>
      </c>
      <c r="BD24" s="225" t="str">
        <f ca="1">IF($C$44="","",IF('Finals 4'!$I24=$C$44,'Finals 4'!$K24,IF('Finals 4'!$K24=$C$44,'Finals 4'!$I24,"")))</f>
        <v/>
      </c>
      <c r="BE24" s="585">
        <f t="shared" ca="1" si="20"/>
        <v>100022</v>
      </c>
      <c r="BF24" s="583">
        <f t="shared" ca="1" si="21"/>
        <v>100023</v>
      </c>
      <c r="BG24" s="584">
        <f ca="1">IF(BI24="",99999,'Finals 4'!$D24)</f>
        <v>99999</v>
      </c>
      <c r="BH24" s="224" t="str">
        <f ca="1">IF(BI24="","",'Finals 4'!$E24)</f>
        <v/>
      </c>
      <c r="BI24" s="225" t="str">
        <f ca="1">IF($C$49="","",IF('Finals 4'!$I24=$C$49,'Finals 4'!$K24,IF('Finals 4'!$K24=$C$49,'Finals 4'!$I24,"")))</f>
        <v/>
      </c>
      <c r="BJ24" s="585">
        <f t="shared" ca="1" si="22"/>
        <v>100021</v>
      </c>
      <c r="BK24" s="583">
        <f t="shared" ca="1" si="23"/>
        <v>100023</v>
      </c>
      <c r="BL24" s="584">
        <f ca="1">IF(BN24="",99999,'Finals 4'!$D24)</f>
        <v>99999</v>
      </c>
      <c r="BM24" s="224" t="str">
        <f ca="1">IF(BN24="","",'Finals 4'!$E24)</f>
        <v/>
      </c>
      <c r="BN24" s="225" t="str">
        <f ca="1">IF($C$54="","",IF('Finals 4'!$I24=$C$54,'Finals 4'!$K24,IF('Finals 4'!$K24=$C$54,'Finals 4'!$I24,"")))</f>
        <v/>
      </c>
      <c r="BO24" s="585">
        <f t="shared" ca="1" si="24"/>
        <v>100022</v>
      </c>
      <c r="BP24" s="583">
        <f t="shared" si="25"/>
        <v>100023</v>
      </c>
      <c r="BQ24" s="584">
        <f>IF(BS24="",99999,'Finals 4'!$D24)</f>
        <v>99999</v>
      </c>
      <c r="BR24" s="224" t="str">
        <f>IF(BS24="","",'Finals 4'!$E24)</f>
        <v/>
      </c>
      <c r="BS24" s="225" t="str">
        <f>IF($C$59="","",IF('Finals 4'!$I24=$C$59,'Finals 4'!$K24,IF('Finals 4'!$K24=$C$59,'Finals 4'!$I24,"")))</f>
        <v/>
      </c>
      <c r="BT24" s="585">
        <f t="shared" si="26"/>
        <v>100023</v>
      </c>
    </row>
    <row r="25" spans="2:72" ht="15.95" customHeight="1" x14ac:dyDescent="0.2">
      <c r="E25" s="566">
        <f ca="1">IF($AK$12&lt;99999,INDEX($L$12:$L$29,MATCH($AK$12,$AG$12:$AG$29,0)),"")</f>
        <v>24</v>
      </c>
      <c r="F25" s="567">
        <f ca="1">IF($AK$12&lt;99999,VLOOKUP($AK$12,$AG$12:$AJ$29,2,0),"")</f>
        <v>0.49652777777777779</v>
      </c>
      <c r="G25" s="568">
        <f ca="1">IF($AK$12&lt;99999,VLOOKUP($AK$12,$AG$12:$AJ$29,3,0),"")</f>
        <v>4</v>
      </c>
      <c r="H25" s="569" t="str">
        <f ca="1">IF($AK$12&lt;99999,VLOOKUP($AK$12,$AG$12:$AJ$29,4,0),"")</f>
        <v>Inter Mailand</v>
      </c>
      <c r="J25" s="559">
        <f t="shared" ca="1" si="27"/>
        <v>0</v>
      </c>
      <c r="K25" s="559" t="str">
        <f ca="1">IF(J25=0,"",$C$24)</f>
        <v/>
      </c>
      <c r="L25" s="99">
        <f ca="1">'Finals 4'!$C25</f>
        <v>29</v>
      </c>
      <c r="M25" s="583">
        <f t="shared" ca="1" si="3"/>
        <v>100024</v>
      </c>
      <c r="N25" s="584">
        <f ca="1">IF(P25="",99999,'Finals 4'!$D25)</f>
        <v>99999</v>
      </c>
      <c r="O25" s="224" t="str">
        <f ca="1">IF(P25="","",'Finals 4'!$E25)</f>
        <v/>
      </c>
      <c r="P25" s="225" t="str">
        <f ca="1">IF($C$4="","",IF('Finals 4'!$I25=$C$4,'Finals 4'!$K25,IF('Finals 4'!$K25=$C$4,'Finals 4'!$I25,"")))</f>
        <v/>
      </c>
      <c r="Q25" s="585">
        <f t="shared" ca="1" si="4"/>
        <v>100023</v>
      </c>
      <c r="R25" s="583">
        <f t="shared" ca="1" si="5"/>
        <v>100024</v>
      </c>
      <c r="S25" s="584">
        <f ca="1">IF(U25="",99999,'Finals 4'!$D25)</f>
        <v>99999</v>
      </c>
      <c r="T25" s="224" t="str">
        <f ca="1">IF(U25="","",'Finals 4'!$E25)</f>
        <v/>
      </c>
      <c r="U25" s="225" t="str">
        <f ca="1">IF($C$9="","",IF('Finals 4'!$I25=$C$9,'Finals 4'!$K25,IF('Finals 4'!$K25=$C$9,'Finals 4'!$I25,"")))</f>
        <v/>
      </c>
      <c r="V25" s="585">
        <f t="shared" ca="1" si="6"/>
        <v>100023</v>
      </c>
      <c r="W25" s="583">
        <f t="shared" ca="1" si="7"/>
        <v>25.545138888888889</v>
      </c>
      <c r="X25" s="584">
        <f ca="1">IF(Z25="",99999,'Finals 4'!$D25)</f>
        <v>0.54513888888888895</v>
      </c>
      <c r="Y25" s="224">
        <f ca="1">IF(Z25="","",'Finals 4'!$E25)</f>
        <v>1</v>
      </c>
      <c r="Z25" s="225" t="str">
        <f ca="1">IF($C$14="","",IF('Finals 4'!$I25=$C$14,'Finals 4'!$K25,IF('Finals 4'!$K25=$C$14,'Finals 4'!$I25,"")))</f>
        <v>FC Grönlingen</v>
      </c>
      <c r="AA25" s="585">
        <f t="shared" ca="1" si="8"/>
        <v>100023</v>
      </c>
      <c r="AB25" s="583">
        <f t="shared" ca="1" si="9"/>
        <v>100024</v>
      </c>
      <c r="AC25" s="584">
        <f ca="1">IF(AE25="",99999,'Finals 4'!$D25)</f>
        <v>99999</v>
      </c>
      <c r="AD25" s="224" t="str">
        <f ca="1">IF(AE25="","",'Finals 4'!$E25)</f>
        <v/>
      </c>
      <c r="AE25" s="225" t="str">
        <f ca="1">IF($C$19="","",IF('Finals 4'!$I25=$C$19,'Finals 4'!$K25,IF('Finals 4'!$K25=$C$19,'Finals 4'!$I25,"")))</f>
        <v/>
      </c>
      <c r="AF25" s="585">
        <f t="shared" ca="1" si="10"/>
        <v>100023</v>
      </c>
      <c r="AG25" s="583">
        <f t="shared" ca="1" si="11"/>
        <v>100024</v>
      </c>
      <c r="AH25" s="584">
        <f ca="1">IF(AJ25="",99999,'Finals 4'!$D25)</f>
        <v>99999</v>
      </c>
      <c r="AI25" s="224" t="str">
        <f ca="1">IF(AJ25="","",'Finals 4'!$E25)</f>
        <v/>
      </c>
      <c r="AJ25" s="225" t="str">
        <f ca="1">IF($C$24="","",IF('Finals 4'!$I25=$C$24,'Finals 4'!$K25,IF('Finals 4'!$K25=$C$24,'Finals 4'!$I25,"")))</f>
        <v/>
      </c>
      <c r="AK25" s="585">
        <f t="shared" ca="1" si="12"/>
        <v>100023</v>
      </c>
      <c r="AL25" s="583">
        <f t="shared" si="13"/>
        <v>100024</v>
      </c>
      <c r="AM25" s="584">
        <f>IF(AO25="",99999,'Finals 4'!$D25)</f>
        <v>99999</v>
      </c>
      <c r="AN25" s="224" t="str">
        <f>IF(AO25="","",'Finals 4'!$E25)</f>
        <v/>
      </c>
      <c r="AO25" s="225" t="str">
        <f>IF($C$29="","",IF('Finals 4'!$I25=$C$29,'Finals 4'!$K25,IF('Finals 4'!$K25=$C$29,'Finals 4'!$I25,"")))</f>
        <v/>
      </c>
      <c r="AP25" s="585">
        <f t="shared" si="14"/>
        <v>100024</v>
      </c>
      <c r="AQ25" s="583">
        <f t="shared" ca="1" si="15"/>
        <v>100024</v>
      </c>
      <c r="AR25" s="584">
        <f ca="1">IF(AT25="",99999,'Finals 4'!$D25)</f>
        <v>99999</v>
      </c>
      <c r="AS25" s="224" t="str">
        <f ca="1">IF(AT25="","",'Finals 4'!$E25)</f>
        <v/>
      </c>
      <c r="AT25" s="225" t="str">
        <f ca="1">IF($C$34="","",IF('Finals 4'!$I25=$C$34,'Finals 4'!$K25,IF('Finals 4'!$K25=$C$34,'Finals 4'!$I25,"")))</f>
        <v/>
      </c>
      <c r="AU25" s="585">
        <f t="shared" ca="1" si="16"/>
        <v>100023</v>
      </c>
      <c r="AV25" s="583">
        <f t="shared" ca="1" si="17"/>
        <v>100024</v>
      </c>
      <c r="AW25" s="584">
        <f ca="1">IF(AY25="",99999,'Finals 4'!$D25)</f>
        <v>99999</v>
      </c>
      <c r="AX25" s="224" t="str">
        <f ca="1">IF(AY25="","",'Finals 4'!$E25)</f>
        <v/>
      </c>
      <c r="AY25" s="225" t="str">
        <f ca="1">IF($C$39="","",IF('Finals 4'!$I25=$C$39,'Finals 4'!$K25,IF('Finals 4'!$K25=$C$39,'Finals 4'!$I25,"")))</f>
        <v/>
      </c>
      <c r="AZ25" s="585">
        <f t="shared" ca="1" si="18"/>
        <v>100023</v>
      </c>
      <c r="BA25" s="583">
        <f t="shared" ca="1" si="19"/>
        <v>100024</v>
      </c>
      <c r="BB25" s="584">
        <f ca="1">IF(BD25="",99999,'Finals 4'!$D25)</f>
        <v>99999</v>
      </c>
      <c r="BC25" s="224" t="str">
        <f ca="1">IF(BD25="","",'Finals 4'!$E25)</f>
        <v/>
      </c>
      <c r="BD25" s="225" t="str">
        <f ca="1">IF($C$44="","",IF('Finals 4'!$I25=$C$44,'Finals 4'!$K25,IF('Finals 4'!$K25=$C$44,'Finals 4'!$I25,"")))</f>
        <v/>
      </c>
      <c r="BE25" s="585">
        <f t="shared" ca="1" si="20"/>
        <v>100023</v>
      </c>
      <c r="BF25" s="583">
        <f t="shared" ca="1" si="21"/>
        <v>100024</v>
      </c>
      <c r="BG25" s="584">
        <f ca="1">IF(BI25="",99999,'Finals 4'!$D25)</f>
        <v>99999</v>
      </c>
      <c r="BH25" s="224" t="str">
        <f ca="1">IF(BI25="","",'Finals 4'!$E25)</f>
        <v/>
      </c>
      <c r="BI25" s="225" t="str">
        <f ca="1">IF($C$49="","",IF('Finals 4'!$I25=$C$49,'Finals 4'!$K25,IF('Finals 4'!$K25=$C$49,'Finals 4'!$I25,"")))</f>
        <v/>
      </c>
      <c r="BJ25" s="585">
        <f t="shared" ca="1" si="22"/>
        <v>100023</v>
      </c>
      <c r="BK25" s="583">
        <f t="shared" ca="1" si="23"/>
        <v>25.545138888888889</v>
      </c>
      <c r="BL25" s="584">
        <f ca="1">IF(BN25="",99999,'Finals 4'!$D25)</f>
        <v>0.54513888888888895</v>
      </c>
      <c r="BM25" s="224">
        <f ca="1">IF(BN25="","",'Finals 4'!$E25)</f>
        <v>1</v>
      </c>
      <c r="BN25" s="225" t="str">
        <f ca="1">IF($C$54="","",IF('Finals 4'!$I25=$C$54,'Finals 4'!$K25,IF('Finals 4'!$K25=$C$54,'Finals 4'!$I25,"")))</f>
        <v>Eintracht Frankfurt</v>
      </c>
      <c r="BO25" s="585">
        <f t="shared" ca="1" si="24"/>
        <v>100023</v>
      </c>
      <c r="BP25" s="583">
        <f t="shared" si="25"/>
        <v>100024</v>
      </c>
      <c r="BQ25" s="584">
        <f>IF(BS25="",99999,'Finals 4'!$D25)</f>
        <v>99999</v>
      </c>
      <c r="BR25" s="224" t="str">
        <f>IF(BS25="","",'Finals 4'!$E25)</f>
        <v/>
      </c>
      <c r="BS25" s="225" t="str">
        <f>IF($C$59="","",IF('Finals 4'!$I25=$C$59,'Finals 4'!$K25,IF('Finals 4'!$K25=$C$59,'Finals 4'!$I25,"")))</f>
        <v/>
      </c>
      <c r="BT25" s="585">
        <f t="shared" si="26"/>
        <v>100024</v>
      </c>
    </row>
    <row r="26" spans="2:72" ht="15.95" customHeight="1" x14ac:dyDescent="0.2">
      <c r="E26" s="566">
        <f ca="1">IF($AK$13&lt;99999,INDEX($L$12:$L$29,MATCH($AK$13,$AG$12:$AG$29,0)),"")</f>
        <v>26</v>
      </c>
      <c r="F26" s="570">
        <f ca="1">IF($AK$13&lt;99999,VLOOKUP($AK$13,$AG$12:$AJ$29,2,0),"")</f>
        <v>0.52083333333333337</v>
      </c>
      <c r="G26" s="571">
        <f ca="1">IF($AK$13&lt;99999,VLOOKUP($AK$13,$AG$12:$AJ$29,3,0),"")</f>
        <v>2</v>
      </c>
      <c r="H26" s="572" t="str">
        <f ca="1">IF($AK$13&lt;99999,VLOOKUP($AK$13,$AG$12:$AJ$29,4,0),"")</f>
        <v>Maibach 1822 eV</v>
      </c>
      <c r="J26" s="559">
        <f t="shared" ca="1" si="27"/>
        <v>0</v>
      </c>
      <c r="K26" s="559" t="str">
        <f t="shared" ref="K26:K27" ca="1" si="30">IF(J26=0,"",$C$24)</f>
        <v/>
      </c>
      <c r="L26" s="99">
        <f ca="1">'Finals 4'!$C26</f>
        <v>30</v>
      </c>
      <c r="M26" s="583">
        <f t="shared" ca="1" si="3"/>
        <v>100025</v>
      </c>
      <c r="N26" s="584">
        <f ca="1">IF(P26="",99999,'Finals 4'!$D26)</f>
        <v>99999</v>
      </c>
      <c r="O26" s="224" t="str">
        <f ca="1">IF(P26="","",'Finals 4'!$E26)</f>
        <v/>
      </c>
      <c r="P26" s="225" t="str">
        <f ca="1">IF($C$4="","",IF('Finals 4'!$I26=$C$4,'Finals 4'!$K26,IF('Finals 4'!$K26=$C$4,'Finals 4'!$I26,"")))</f>
        <v/>
      </c>
      <c r="Q26" s="585">
        <f t="shared" ca="1" si="4"/>
        <v>100024</v>
      </c>
      <c r="R26" s="583">
        <f t="shared" ca="1" si="5"/>
        <v>100025</v>
      </c>
      <c r="S26" s="584">
        <f ca="1">IF(U26="",99999,'Finals 4'!$D26)</f>
        <v>99999</v>
      </c>
      <c r="T26" s="224" t="str">
        <f ca="1">IF(U26="","",'Finals 4'!$E26)</f>
        <v/>
      </c>
      <c r="U26" s="225" t="str">
        <f ca="1">IF($C$9="","",IF('Finals 4'!$I26=$C$9,'Finals 4'!$K26,IF('Finals 4'!$K26=$C$9,'Finals 4'!$I26,"")))</f>
        <v/>
      </c>
      <c r="V26" s="585">
        <f t="shared" ca="1" si="6"/>
        <v>100024</v>
      </c>
      <c r="W26" s="583">
        <f t="shared" ca="1" si="7"/>
        <v>100025</v>
      </c>
      <c r="X26" s="584">
        <f ca="1">IF(Z26="",99999,'Finals 4'!$D26)</f>
        <v>99999</v>
      </c>
      <c r="Y26" s="224" t="str">
        <f ca="1">IF(Z26="","",'Finals 4'!$E26)</f>
        <v/>
      </c>
      <c r="Z26" s="225" t="str">
        <f ca="1">IF($C$14="","",IF('Finals 4'!$I26=$C$14,'Finals 4'!$K26,IF('Finals 4'!$K26=$C$14,'Finals 4'!$I26,"")))</f>
        <v/>
      </c>
      <c r="AA26" s="585">
        <f t="shared" ca="1" si="8"/>
        <v>100025</v>
      </c>
      <c r="AB26" s="583">
        <f t="shared" ca="1" si="9"/>
        <v>100025</v>
      </c>
      <c r="AC26" s="584">
        <f ca="1">IF(AE26="",99999,'Finals 4'!$D26)</f>
        <v>99999</v>
      </c>
      <c r="AD26" s="224" t="str">
        <f ca="1">IF(AE26="","",'Finals 4'!$E26)</f>
        <v/>
      </c>
      <c r="AE26" s="225" t="str">
        <f ca="1">IF($C$19="","",IF('Finals 4'!$I26=$C$19,'Finals 4'!$K26,IF('Finals 4'!$K26=$C$19,'Finals 4'!$I26,"")))</f>
        <v/>
      </c>
      <c r="AF26" s="585">
        <f t="shared" ca="1" si="10"/>
        <v>100024</v>
      </c>
      <c r="AG26" s="583">
        <f t="shared" ca="1" si="11"/>
        <v>26.545138888888889</v>
      </c>
      <c r="AH26" s="584">
        <f ca="1">IF(AJ26="",99999,'Finals 4'!$D26)</f>
        <v>0.54513888888888895</v>
      </c>
      <c r="AI26" s="224">
        <f ca="1">IF(AJ26="","",'Finals 4'!$E26)</f>
        <v>2</v>
      </c>
      <c r="AJ26" s="225" t="str">
        <f ca="1">IF($C$24="","",IF('Finals 4'!$I26=$C$24,'Finals 4'!$K26,IF('Finals 4'!$K26=$C$24,'Finals 4'!$I26,"")))</f>
        <v>Manchester City</v>
      </c>
      <c r="AK26" s="585">
        <f t="shared" ca="1" si="12"/>
        <v>100024</v>
      </c>
      <c r="AL26" s="583">
        <f t="shared" si="13"/>
        <v>100025</v>
      </c>
      <c r="AM26" s="584">
        <f>IF(AO26="",99999,'Finals 4'!$D26)</f>
        <v>99999</v>
      </c>
      <c r="AN26" s="224" t="str">
        <f>IF(AO26="","",'Finals 4'!$E26)</f>
        <v/>
      </c>
      <c r="AO26" s="225" t="str">
        <f>IF($C$29="","",IF('Finals 4'!$I26=$C$29,'Finals 4'!$K26,IF('Finals 4'!$K26=$C$29,'Finals 4'!$I26,"")))</f>
        <v/>
      </c>
      <c r="AP26" s="585">
        <f t="shared" si="14"/>
        <v>100025</v>
      </c>
      <c r="AQ26" s="583">
        <f t="shared" ca="1" si="15"/>
        <v>100025</v>
      </c>
      <c r="AR26" s="584">
        <f ca="1">IF(AT26="",99999,'Finals 4'!$D26)</f>
        <v>99999</v>
      </c>
      <c r="AS26" s="224" t="str">
        <f ca="1">IF(AT26="","",'Finals 4'!$E26)</f>
        <v/>
      </c>
      <c r="AT26" s="225" t="str">
        <f ca="1">IF($C$34="","",IF('Finals 4'!$I26=$C$34,'Finals 4'!$K26,IF('Finals 4'!$K26=$C$34,'Finals 4'!$I26,"")))</f>
        <v/>
      </c>
      <c r="AU26" s="585">
        <f t="shared" ca="1" si="16"/>
        <v>100024</v>
      </c>
      <c r="AV26" s="583">
        <f t="shared" ca="1" si="17"/>
        <v>100025</v>
      </c>
      <c r="AW26" s="584">
        <f ca="1">IF(AY26="",99999,'Finals 4'!$D26)</f>
        <v>99999</v>
      </c>
      <c r="AX26" s="224" t="str">
        <f ca="1">IF(AY26="","",'Finals 4'!$E26)</f>
        <v/>
      </c>
      <c r="AY26" s="225" t="str">
        <f ca="1">IF($C$39="","",IF('Finals 4'!$I26=$C$39,'Finals 4'!$K26,IF('Finals 4'!$K26=$C$39,'Finals 4'!$I26,"")))</f>
        <v/>
      </c>
      <c r="AZ26" s="585">
        <f t="shared" ca="1" si="18"/>
        <v>100024</v>
      </c>
      <c r="BA26" s="583">
        <f t="shared" ca="1" si="19"/>
        <v>100025</v>
      </c>
      <c r="BB26" s="584">
        <f ca="1">IF(BD26="",99999,'Finals 4'!$D26)</f>
        <v>99999</v>
      </c>
      <c r="BC26" s="224" t="str">
        <f ca="1">IF(BD26="","",'Finals 4'!$E26)</f>
        <v/>
      </c>
      <c r="BD26" s="225" t="str">
        <f ca="1">IF($C$44="","",IF('Finals 4'!$I26=$C$44,'Finals 4'!$K26,IF('Finals 4'!$K26=$C$44,'Finals 4'!$I26,"")))</f>
        <v/>
      </c>
      <c r="BE26" s="585">
        <f t="shared" ca="1" si="20"/>
        <v>100024</v>
      </c>
      <c r="BF26" s="583">
        <f t="shared" ca="1" si="21"/>
        <v>26.545138888888889</v>
      </c>
      <c r="BG26" s="584">
        <f ca="1">IF(BI26="",99999,'Finals 4'!$D26)</f>
        <v>0.54513888888888895</v>
      </c>
      <c r="BH26" s="224">
        <f ca="1">IF(BI26="","",'Finals 4'!$E26)</f>
        <v>2</v>
      </c>
      <c r="BI26" s="225" t="str">
        <f ca="1">IF($C$49="","",IF('Finals 4'!$I26=$C$49,'Finals 4'!$K26,IF('Finals 4'!$K26=$C$49,'Finals 4'!$I26,"")))</f>
        <v>VFB Essenheim</v>
      </c>
      <c r="BJ26" s="585">
        <f t="shared" ca="1" si="22"/>
        <v>100024</v>
      </c>
      <c r="BK26" s="583">
        <f t="shared" ca="1" si="23"/>
        <v>100025</v>
      </c>
      <c r="BL26" s="584">
        <f ca="1">IF(BN26="",99999,'Finals 4'!$D26)</f>
        <v>99999</v>
      </c>
      <c r="BM26" s="224" t="str">
        <f ca="1">IF(BN26="","",'Finals 4'!$E26)</f>
        <v/>
      </c>
      <c r="BN26" s="225" t="str">
        <f ca="1">IF($C$54="","",IF('Finals 4'!$I26=$C$54,'Finals 4'!$K26,IF('Finals 4'!$K26=$C$54,'Finals 4'!$I26,"")))</f>
        <v/>
      </c>
      <c r="BO26" s="585">
        <f t="shared" ca="1" si="24"/>
        <v>100025</v>
      </c>
      <c r="BP26" s="583">
        <f t="shared" si="25"/>
        <v>100025</v>
      </c>
      <c r="BQ26" s="584">
        <f>IF(BS26="",99999,'Finals 4'!$D26)</f>
        <v>99999</v>
      </c>
      <c r="BR26" s="224" t="str">
        <f>IF(BS26="","",'Finals 4'!$E26)</f>
        <v/>
      </c>
      <c r="BS26" s="225" t="str">
        <f>IF($C$59="","",IF('Finals 4'!$I26=$C$59,'Finals 4'!$K26,IF('Finals 4'!$K26=$C$59,'Finals 4'!$I26,"")))</f>
        <v/>
      </c>
      <c r="BT26" s="585">
        <f t="shared" si="26"/>
        <v>100025</v>
      </c>
    </row>
    <row r="27" spans="2:72" ht="15.95" customHeight="1" thickBot="1" x14ac:dyDescent="0.25">
      <c r="E27" s="573">
        <f ca="1">IF($AK$14&lt;99999,INDEX($L$12:$L$29,MATCH($AK$14,$AG$12:$AG$29,0)),"")</f>
        <v>30</v>
      </c>
      <c r="F27" s="574">
        <f ca="1">IF($AK$14&lt;99999,VLOOKUP($AK$14,$AG$12:$AJ$29,2,0),"")</f>
        <v>0.54513888888888895</v>
      </c>
      <c r="G27" s="575">
        <f ca="1">IF($AK$14&lt;99999,VLOOKUP($AK$14,$AG$12:$AJ$29,3,0),"")</f>
        <v>2</v>
      </c>
      <c r="H27" s="576" t="str">
        <f ca="1">IF($AK$14&lt;99999,VLOOKUP($AK$14,$AG$12:$AJ$29,4,0),"")</f>
        <v>Manchester City</v>
      </c>
      <c r="J27" s="559">
        <f t="shared" ca="1" si="27"/>
        <v>0</v>
      </c>
      <c r="K27" s="559" t="str">
        <f t="shared" ca="1" si="30"/>
        <v/>
      </c>
      <c r="L27" s="99">
        <f ca="1">'Finals 4'!$C27</f>
        <v>31</v>
      </c>
      <c r="M27" s="583">
        <f t="shared" ca="1" si="3"/>
        <v>100026</v>
      </c>
      <c r="N27" s="584">
        <f ca="1">IF(P27="",99999,'Finals 4'!$D27)</f>
        <v>99999</v>
      </c>
      <c r="O27" s="224" t="str">
        <f ca="1">IF(P27="","",'Finals 4'!$E27)</f>
        <v/>
      </c>
      <c r="P27" s="225" t="str">
        <f ca="1">IF($C$4="","",IF('Finals 4'!$I27=$C$4,'Finals 4'!$K27,IF('Finals 4'!$K27=$C$4,'Finals 4'!$I27,"")))</f>
        <v/>
      </c>
      <c r="Q27" s="585">
        <f t="shared" ca="1" si="4"/>
        <v>100025</v>
      </c>
      <c r="R27" s="583">
        <f t="shared" ca="1" si="5"/>
        <v>27.545138888888889</v>
      </c>
      <c r="S27" s="584">
        <f ca="1">IF(U27="",99999,'Finals 4'!$D27)</f>
        <v>0.54513888888888895</v>
      </c>
      <c r="T27" s="224">
        <f ca="1">IF(U27="","",'Finals 4'!$E27)</f>
        <v>3</v>
      </c>
      <c r="U27" s="225" t="str">
        <f ca="1">IF($C$9="","",IF('Finals 4'!$I27=$C$9,'Finals 4'!$K27,IF('Finals 4'!$K27=$C$9,'Finals 4'!$I27,"")))</f>
        <v>Mainz 05</v>
      </c>
      <c r="V27" s="585">
        <f t="shared" ca="1" si="6"/>
        <v>100025</v>
      </c>
      <c r="W27" s="583">
        <f t="shared" ca="1" si="7"/>
        <v>100026</v>
      </c>
      <c r="X27" s="584">
        <f ca="1">IF(Z27="",99999,'Finals 4'!$D27)</f>
        <v>99999</v>
      </c>
      <c r="Y27" s="224" t="str">
        <f ca="1">IF(Z27="","",'Finals 4'!$E27)</f>
        <v/>
      </c>
      <c r="Z27" s="225" t="str">
        <f ca="1">IF($C$14="","",IF('Finals 4'!$I27=$C$14,'Finals 4'!$K27,IF('Finals 4'!$K27=$C$14,'Finals 4'!$I27,"")))</f>
        <v/>
      </c>
      <c r="AA27" s="585">
        <f t="shared" ca="1" si="8"/>
        <v>100026</v>
      </c>
      <c r="AB27" s="583">
        <f t="shared" ca="1" si="9"/>
        <v>100026</v>
      </c>
      <c r="AC27" s="584">
        <f ca="1">IF(AE27="",99999,'Finals 4'!$D27)</f>
        <v>99999</v>
      </c>
      <c r="AD27" s="224" t="str">
        <f ca="1">IF(AE27="","",'Finals 4'!$E27)</f>
        <v/>
      </c>
      <c r="AE27" s="225" t="str">
        <f ca="1">IF($C$19="","",IF('Finals 4'!$I27=$C$19,'Finals 4'!$K27,IF('Finals 4'!$K27=$C$19,'Finals 4'!$I27,"")))</f>
        <v/>
      </c>
      <c r="AF27" s="585">
        <f t="shared" ca="1" si="10"/>
        <v>100025</v>
      </c>
      <c r="AG27" s="583">
        <f t="shared" ca="1" si="11"/>
        <v>100026</v>
      </c>
      <c r="AH27" s="584">
        <f ca="1">IF(AJ27="",99999,'Finals 4'!$D27)</f>
        <v>99999</v>
      </c>
      <c r="AI27" s="224" t="str">
        <f ca="1">IF(AJ27="","",'Finals 4'!$E27)</f>
        <v/>
      </c>
      <c r="AJ27" s="225" t="str">
        <f ca="1">IF($C$24="","",IF('Finals 4'!$I27=$C$24,'Finals 4'!$K27,IF('Finals 4'!$K27=$C$24,'Finals 4'!$I27,"")))</f>
        <v/>
      </c>
      <c r="AK27" s="585">
        <f t="shared" ca="1" si="12"/>
        <v>100026</v>
      </c>
      <c r="AL27" s="583">
        <f t="shared" si="13"/>
        <v>100026</v>
      </c>
      <c r="AM27" s="584">
        <f>IF(AO27="",99999,'Finals 4'!$D27)</f>
        <v>99999</v>
      </c>
      <c r="AN27" s="224" t="str">
        <f>IF(AO27="","",'Finals 4'!$E27)</f>
        <v/>
      </c>
      <c r="AO27" s="225" t="str">
        <f>IF($C$29="","",IF('Finals 4'!$I27=$C$29,'Finals 4'!$K27,IF('Finals 4'!$K27=$C$29,'Finals 4'!$I27,"")))</f>
        <v/>
      </c>
      <c r="AP27" s="585">
        <f t="shared" si="14"/>
        <v>100026</v>
      </c>
      <c r="AQ27" s="583">
        <f t="shared" ca="1" si="15"/>
        <v>27.545138888888889</v>
      </c>
      <c r="AR27" s="584">
        <f ca="1">IF(AT27="",99999,'Finals 4'!$D27)</f>
        <v>0.54513888888888895</v>
      </c>
      <c r="AS27" s="224">
        <f ca="1">IF(AT27="","",'Finals 4'!$E27)</f>
        <v>3</v>
      </c>
      <c r="AT27" s="225" t="str">
        <f ca="1">IF($C$34="","",IF('Finals 4'!$I27=$C$34,'Finals 4'!$K27,IF('Finals 4'!$K27=$C$34,'Finals 4'!$I27,"")))</f>
        <v>FC Barcelona</v>
      </c>
      <c r="AU27" s="585">
        <f t="shared" ca="1" si="16"/>
        <v>100025</v>
      </c>
      <c r="AV27" s="583">
        <f t="shared" ca="1" si="17"/>
        <v>100026</v>
      </c>
      <c r="AW27" s="584">
        <f ca="1">IF(AY27="",99999,'Finals 4'!$D27)</f>
        <v>99999</v>
      </c>
      <c r="AX27" s="224" t="str">
        <f ca="1">IF(AY27="","",'Finals 4'!$E27)</f>
        <v/>
      </c>
      <c r="AY27" s="225" t="str">
        <f ca="1">IF($C$39="","",IF('Finals 4'!$I27=$C$39,'Finals 4'!$K27,IF('Finals 4'!$K27=$C$39,'Finals 4'!$I27,"")))</f>
        <v/>
      </c>
      <c r="AZ27" s="585">
        <f t="shared" ca="1" si="18"/>
        <v>100025</v>
      </c>
      <c r="BA27" s="583">
        <f t="shared" ca="1" si="19"/>
        <v>100026</v>
      </c>
      <c r="BB27" s="584">
        <f ca="1">IF(BD27="",99999,'Finals 4'!$D27)</f>
        <v>99999</v>
      </c>
      <c r="BC27" s="224" t="str">
        <f ca="1">IF(BD27="","",'Finals 4'!$E27)</f>
        <v/>
      </c>
      <c r="BD27" s="225" t="str">
        <f ca="1">IF($C$44="","",IF('Finals 4'!$I27=$C$44,'Finals 4'!$K27,IF('Finals 4'!$K27=$C$44,'Finals 4'!$I27,"")))</f>
        <v/>
      </c>
      <c r="BE27" s="585">
        <f t="shared" ca="1" si="20"/>
        <v>100025</v>
      </c>
      <c r="BF27" s="583">
        <f t="shared" ca="1" si="21"/>
        <v>100026</v>
      </c>
      <c r="BG27" s="584">
        <f ca="1">IF(BI27="",99999,'Finals 4'!$D27)</f>
        <v>99999</v>
      </c>
      <c r="BH27" s="224" t="str">
        <f ca="1">IF(BI27="","",'Finals 4'!$E27)</f>
        <v/>
      </c>
      <c r="BI27" s="225" t="str">
        <f ca="1">IF($C$49="","",IF('Finals 4'!$I27=$C$49,'Finals 4'!$K27,IF('Finals 4'!$K27=$C$49,'Finals 4'!$I27,"")))</f>
        <v/>
      </c>
      <c r="BJ27" s="585">
        <f t="shared" ca="1" si="22"/>
        <v>100026</v>
      </c>
      <c r="BK27" s="583">
        <f t="shared" ca="1" si="23"/>
        <v>100026</v>
      </c>
      <c r="BL27" s="584">
        <f ca="1">IF(BN27="",99999,'Finals 4'!$D27)</f>
        <v>99999</v>
      </c>
      <c r="BM27" s="224" t="str">
        <f ca="1">IF(BN27="","",'Finals 4'!$E27)</f>
        <v/>
      </c>
      <c r="BN27" s="225" t="str">
        <f ca="1">IF($C$54="","",IF('Finals 4'!$I27=$C$54,'Finals 4'!$K27,IF('Finals 4'!$K27=$C$54,'Finals 4'!$I27,"")))</f>
        <v/>
      </c>
      <c r="BO27" s="585">
        <f t="shared" ca="1" si="24"/>
        <v>100026</v>
      </c>
      <c r="BP27" s="583">
        <f t="shared" si="25"/>
        <v>100026</v>
      </c>
      <c r="BQ27" s="584">
        <f>IF(BS27="",99999,'Finals 4'!$D27)</f>
        <v>99999</v>
      </c>
      <c r="BR27" s="224" t="str">
        <f>IF(BS27="","",'Finals 4'!$E27)</f>
        <v/>
      </c>
      <c r="BS27" s="225" t="str">
        <f>IF($C$59="","",IF('Finals 4'!$I27=$C$59,'Finals 4'!$K27,IF('Finals 4'!$K27=$C$59,'Finals 4'!$I27,"")))</f>
        <v/>
      </c>
      <c r="BT27" s="585">
        <f t="shared" si="26"/>
        <v>100026</v>
      </c>
    </row>
    <row r="28" spans="2:72" ht="30" customHeight="1" thickBot="1" x14ac:dyDescent="0.25">
      <c r="J28" s="559">
        <f t="shared" ca="1" si="27"/>
        <v>0</v>
      </c>
      <c r="L28" s="99">
        <f ca="1">'Finals 4'!$C28</f>
        <v>32</v>
      </c>
      <c r="M28" s="583">
        <f t="shared" ca="1" si="3"/>
        <v>28.545138888888889</v>
      </c>
      <c r="N28" s="584">
        <f ca="1">IF(P28="",99999,'Finals 4'!$D28)</f>
        <v>0.54513888888888895</v>
      </c>
      <c r="O28" s="224">
        <f ca="1">IF(P28="","",'Finals 4'!$E28)</f>
        <v>4</v>
      </c>
      <c r="P28" s="225" t="str">
        <f ca="1">IF($C$4="","",IF('Finals 4'!$I28=$C$4,'Finals 4'!$K28,IF('Finals 4'!$K28=$C$4,'Finals 4'!$I28,"")))</f>
        <v>SSV Wildbach</v>
      </c>
      <c r="Q28" s="585">
        <f t="shared" ca="1" si="4"/>
        <v>100026</v>
      </c>
      <c r="R28" s="583">
        <f t="shared" ca="1" si="5"/>
        <v>100027</v>
      </c>
      <c r="S28" s="584">
        <f ca="1">IF(U28="",99999,'Finals 4'!$D28)</f>
        <v>99999</v>
      </c>
      <c r="T28" s="224" t="str">
        <f ca="1">IF(U28="","",'Finals 4'!$E28)</f>
        <v/>
      </c>
      <c r="U28" s="225" t="str">
        <f ca="1">IF($C$9="","",IF('Finals 4'!$I28=$C$9,'Finals 4'!$K28,IF('Finals 4'!$K28=$C$9,'Finals 4'!$I28,"")))</f>
        <v/>
      </c>
      <c r="V28" s="585">
        <f t="shared" ca="1" si="6"/>
        <v>100027</v>
      </c>
      <c r="W28" s="583">
        <f t="shared" ca="1" si="7"/>
        <v>100027</v>
      </c>
      <c r="X28" s="584">
        <f ca="1">IF(Z28="",99999,'Finals 4'!$D28)</f>
        <v>99999</v>
      </c>
      <c r="Y28" s="224" t="str">
        <f ca="1">IF(Z28="","",'Finals 4'!$E28)</f>
        <v/>
      </c>
      <c r="Z28" s="225" t="str">
        <f ca="1">IF($C$14="","",IF('Finals 4'!$I28=$C$14,'Finals 4'!$K28,IF('Finals 4'!$K28=$C$14,'Finals 4'!$I28,"")))</f>
        <v/>
      </c>
      <c r="AA28" s="585">
        <f t="shared" ca="1" si="8"/>
        <v>100027</v>
      </c>
      <c r="AB28" s="583">
        <f t="shared" ca="1" si="9"/>
        <v>100027</v>
      </c>
      <c r="AC28" s="584">
        <f ca="1">IF(AE28="",99999,'Finals 4'!$D28)</f>
        <v>99999</v>
      </c>
      <c r="AD28" s="224" t="str">
        <f ca="1">IF(AE28="","",'Finals 4'!$E28)</f>
        <v/>
      </c>
      <c r="AE28" s="225" t="str">
        <f ca="1">IF($C$19="","",IF('Finals 4'!$I28=$C$19,'Finals 4'!$K28,IF('Finals 4'!$K28=$C$19,'Finals 4'!$I28,"")))</f>
        <v/>
      </c>
      <c r="AF28" s="585">
        <f t="shared" ca="1" si="10"/>
        <v>100026</v>
      </c>
      <c r="AG28" s="583">
        <f t="shared" ca="1" si="11"/>
        <v>100027</v>
      </c>
      <c r="AH28" s="584">
        <f ca="1">IF(AJ28="",99999,'Finals 4'!$D28)</f>
        <v>99999</v>
      </c>
      <c r="AI28" s="224" t="str">
        <f ca="1">IF(AJ28="","",'Finals 4'!$E28)</f>
        <v/>
      </c>
      <c r="AJ28" s="225" t="str">
        <f ca="1">IF($C$24="","",IF('Finals 4'!$I28=$C$24,'Finals 4'!$K28,IF('Finals 4'!$K28=$C$24,'Finals 4'!$I28,"")))</f>
        <v/>
      </c>
      <c r="AK28" s="585">
        <f t="shared" ca="1" si="12"/>
        <v>100027</v>
      </c>
      <c r="AL28" s="583">
        <f t="shared" si="13"/>
        <v>100027</v>
      </c>
      <c r="AM28" s="584">
        <f>IF(AO28="",99999,'Finals 4'!$D28)</f>
        <v>99999</v>
      </c>
      <c r="AN28" s="224" t="str">
        <f>IF(AO28="","",'Finals 4'!$E28)</f>
        <v/>
      </c>
      <c r="AO28" s="225" t="str">
        <f>IF($C$29="","",IF('Finals 4'!$I28=$C$29,'Finals 4'!$K28,IF('Finals 4'!$K28=$C$29,'Finals 4'!$I28,"")))</f>
        <v/>
      </c>
      <c r="AP28" s="585">
        <f t="shared" si="14"/>
        <v>100027</v>
      </c>
      <c r="AQ28" s="583">
        <f t="shared" ca="1" si="15"/>
        <v>100027</v>
      </c>
      <c r="AR28" s="584">
        <f ca="1">IF(AT28="",99999,'Finals 4'!$D28)</f>
        <v>99999</v>
      </c>
      <c r="AS28" s="224" t="str">
        <f ca="1">IF(AT28="","",'Finals 4'!$E28)</f>
        <v/>
      </c>
      <c r="AT28" s="225" t="str">
        <f ca="1">IF($C$34="","",IF('Finals 4'!$I28=$C$34,'Finals 4'!$K28,IF('Finals 4'!$K28=$C$34,'Finals 4'!$I28,"")))</f>
        <v/>
      </c>
      <c r="AU28" s="585">
        <f t="shared" ca="1" si="16"/>
        <v>100027</v>
      </c>
      <c r="AV28" s="583">
        <f t="shared" ca="1" si="17"/>
        <v>100027</v>
      </c>
      <c r="AW28" s="584">
        <f ca="1">IF(AY28="",99999,'Finals 4'!$D28)</f>
        <v>99999</v>
      </c>
      <c r="AX28" s="224" t="str">
        <f ca="1">IF(AY28="","",'Finals 4'!$E28)</f>
        <v/>
      </c>
      <c r="AY28" s="225" t="str">
        <f ca="1">IF($C$39="","",IF('Finals 4'!$I28=$C$39,'Finals 4'!$K28,IF('Finals 4'!$K28=$C$39,'Finals 4'!$I28,"")))</f>
        <v/>
      </c>
      <c r="AZ28" s="585">
        <f t="shared" ca="1" si="18"/>
        <v>100026</v>
      </c>
      <c r="BA28" s="583">
        <f t="shared" ca="1" si="19"/>
        <v>28.545138888888889</v>
      </c>
      <c r="BB28" s="584">
        <f ca="1">IF(BD28="",99999,'Finals 4'!$D28)</f>
        <v>0.54513888888888895</v>
      </c>
      <c r="BC28" s="224">
        <f ca="1">IF(BD28="","",'Finals 4'!$E28)</f>
        <v>4</v>
      </c>
      <c r="BD28" s="225" t="str">
        <f ca="1">IF($C$44="","",IF('Finals 4'!$I28=$C$44,'Finals 4'!$K28,IF('Finals 4'!$K28=$C$44,'Finals 4'!$I28,"")))</f>
        <v>1. FC Riedwald</v>
      </c>
      <c r="BE28" s="585">
        <f t="shared" ca="1" si="20"/>
        <v>100026</v>
      </c>
      <c r="BF28" s="583">
        <f t="shared" ca="1" si="21"/>
        <v>100027</v>
      </c>
      <c r="BG28" s="584">
        <f ca="1">IF(BI28="",99999,'Finals 4'!$D28)</f>
        <v>99999</v>
      </c>
      <c r="BH28" s="224" t="str">
        <f ca="1">IF(BI28="","",'Finals 4'!$E28)</f>
        <v/>
      </c>
      <c r="BI28" s="225" t="str">
        <f ca="1">IF($C$49="","",IF('Finals 4'!$I28=$C$49,'Finals 4'!$K28,IF('Finals 4'!$K28=$C$49,'Finals 4'!$I28,"")))</f>
        <v/>
      </c>
      <c r="BJ28" s="585">
        <f t="shared" ca="1" si="22"/>
        <v>100027</v>
      </c>
      <c r="BK28" s="583">
        <f t="shared" ca="1" si="23"/>
        <v>100027</v>
      </c>
      <c r="BL28" s="584">
        <f ca="1">IF(BN28="",99999,'Finals 4'!$D28)</f>
        <v>99999</v>
      </c>
      <c r="BM28" s="224" t="str">
        <f ca="1">IF(BN28="","",'Finals 4'!$E28)</f>
        <v/>
      </c>
      <c r="BN28" s="225" t="str">
        <f ca="1">IF($C$54="","",IF('Finals 4'!$I28=$C$54,'Finals 4'!$K28,IF('Finals 4'!$K28=$C$54,'Finals 4'!$I28,"")))</f>
        <v/>
      </c>
      <c r="BO28" s="585">
        <f t="shared" ca="1" si="24"/>
        <v>100027</v>
      </c>
      <c r="BP28" s="583">
        <f t="shared" si="25"/>
        <v>100027</v>
      </c>
      <c r="BQ28" s="584">
        <f>IF(BS28="",99999,'Finals 4'!$D28)</f>
        <v>99999</v>
      </c>
      <c r="BR28" s="224" t="str">
        <f>IF(BS28="","",'Finals 4'!$E28)</f>
        <v/>
      </c>
      <c r="BS28" s="225" t="str">
        <f>IF($C$59="","",IF('Finals 4'!$I28=$C$59,'Finals 4'!$K28,IF('Finals 4'!$K28=$C$59,'Finals 4'!$I28,"")))</f>
        <v/>
      </c>
      <c r="BT28" s="585">
        <f t="shared" si="26"/>
        <v>100027</v>
      </c>
    </row>
    <row r="29" spans="2:72" ht="15.95" customHeight="1" x14ac:dyDescent="0.2">
      <c r="B29" s="560" t="s">
        <v>194</v>
      </c>
      <c r="C29" s="561" t="str">
        <f>IF(Planning!$C$17="","",Planning!$C$17)</f>
        <v/>
      </c>
      <c r="E29" s="562" t="str">
        <f>Language!$E$60</f>
        <v>balls</v>
      </c>
      <c r="F29" s="563" t="str">
        <f>Language!$E$39</f>
        <v>Start</v>
      </c>
      <c r="G29" s="564" t="str">
        <f>Language!$E$48</f>
        <v>Field</v>
      </c>
      <c r="H29" s="565" t="str">
        <f>Language!$E$46</f>
        <v>Match against</v>
      </c>
      <c r="J29" s="559">
        <f t="shared" si="27"/>
        <v>0</v>
      </c>
      <c r="L29" s="99">
        <f ca="1">'Finals 4'!$C29</f>
        <v>33</v>
      </c>
      <c r="M29" s="586">
        <f t="shared" ca="1" si="3"/>
        <v>100028</v>
      </c>
      <c r="N29" s="587">
        <f ca="1">IF(P29="",99999,'Finals 4'!$D29)</f>
        <v>99999</v>
      </c>
      <c r="O29" s="588" t="str">
        <f ca="1">IF(P29="","",'Finals 4'!$E29)</f>
        <v/>
      </c>
      <c r="P29" s="589" t="str">
        <f ca="1">IF($C$4="","",IF('Finals 4'!$I29=$C$4,'Finals 4'!$K29,IF('Finals 4'!$K29=$C$4,'Finals 4'!$I29,"")))</f>
        <v/>
      </c>
      <c r="Q29" s="590">
        <f t="shared" ca="1" si="4"/>
        <v>100028</v>
      </c>
      <c r="R29" s="586">
        <f t="shared" ca="1" si="5"/>
        <v>100028</v>
      </c>
      <c r="S29" s="587">
        <f ca="1">IF(U29="",99999,'Finals 4'!$D29)</f>
        <v>99999</v>
      </c>
      <c r="T29" s="588" t="str">
        <f ca="1">IF(U29="","",'Finals 4'!$E29)</f>
        <v/>
      </c>
      <c r="U29" s="589" t="str">
        <f ca="1">IF($C$9="","",IF('Finals 4'!$I29=$C$9,'Finals 4'!$K29,IF('Finals 4'!$K29=$C$9,'Finals 4'!$I29,"")))</f>
        <v/>
      </c>
      <c r="V29" s="590">
        <f t="shared" ca="1" si="6"/>
        <v>100028</v>
      </c>
      <c r="W29" s="586">
        <f t="shared" ca="1" si="7"/>
        <v>100028</v>
      </c>
      <c r="X29" s="587">
        <f ca="1">IF(Z29="",99999,'Finals 4'!$D29)</f>
        <v>99999</v>
      </c>
      <c r="Y29" s="588" t="str">
        <f ca="1">IF(Z29="","",'Finals 4'!$E29)</f>
        <v/>
      </c>
      <c r="Z29" s="589" t="str">
        <f ca="1">IF($C$14="","",IF('Finals 4'!$I29=$C$14,'Finals 4'!$K29,IF('Finals 4'!$K29=$C$14,'Finals 4'!$I29,"")))</f>
        <v/>
      </c>
      <c r="AA29" s="590">
        <f t="shared" ca="1" si="8"/>
        <v>100028</v>
      </c>
      <c r="AB29" s="586">
        <f t="shared" ca="1" si="9"/>
        <v>29.569444444444443</v>
      </c>
      <c r="AC29" s="587">
        <f ca="1">IF(AE29="",99999,'Finals 4'!$D29)</f>
        <v>0.56944444444444442</v>
      </c>
      <c r="AD29" s="588">
        <f ca="1">IF(AE29="","",'Finals 4'!$E29)</f>
        <v>1</v>
      </c>
      <c r="AE29" s="589" t="str">
        <f ca="1">IF($C$19="","",IF('Finals 4'!$I29=$C$19,'Finals 4'!$K29,IF('Finals 4'!$K29=$C$19,'Finals 4'!$I29,"")))</f>
        <v>Inter Mailand</v>
      </c>
      <c r="AF29" s="590">
        <f t="shared" ca="1" si="10"/>
        <v>100027</v>
      </c>
      <c r="AG29" s="586">
        <f t="shared" ca="1" si="11"/>
        <v>100028</v>
      </c>
      <c r="AH29" s="587">
        <f ca="1">IF(AJ29="",99999,'Finals 4'!$D29)</f>
        <v>99999</v>
      </c>
      <c r="AI29" s="588" t="str">
        <f ca="1">IF(AJ29="","",'Finals 4'!$E29)</f>
        <v/>
      </c>
      <c r="AJ29" s="589" t="str">
        <f ca="1">IF($C$24="","",IF('Finals 4'!$I29=$C$24,'Finals 4'!$K29,IF('Finals 4'!$K29=$C$24,'Finals 4'!$I29,"")))</f>
        <v/>
      </c>
      <c r="AK29" s="590">
        <f t="shared" ca="1" si="12"/>
        <v>100028</v>
      </c>
      <c r="AL29" s="586">
        <f t="shared" si="13"/>
        <v>100028</v>
      </c>
      <c r="AM29" s="587">
        <f>IF(AO29="",99999,'Finals 4'!$D29)</f>
        <v>99999</v>
      </c>
      <c r="AN29" s="588" t="str">
        <f>IF(AO29="","",'Finals 4'!$E29)</f>
        <v/>
      </c>
      <c r="AO29" s="589" t="str">
        <f>IF($C$29="","",IF('Finals 4'!$I29=$C$29,'Finals 4'!$K29,IF('Finals 4'!$K29=$C$29,'Finals 4'!$I29,"")))</f>
        <v/>
      </c>
      <c r="AP29" s="590">
        <f t="shared" si="14"/>
        <v>100028</v>
      </c>
      <c r="AQ29" s="586">
        <f t="shared" ca="1" si="15"/>
        <v>100028</v>
      </c>
      <c r="AR29" s="587">
        <f ca="1">IF(AT29="",99999,'Finals 4'!$D29)</f>
        <v>99999</v>
      </c>
      <c r="AS29" s="588" t="str">
        <f ca="1">IF(AT29="","",'Finals 4'!$E29)</f>
        <v/>
      </c>
      <c r="AT29" s="589" t="str">
        <f ca="1">IF($C$34="","",IF('Finals 4'!$I29=$C$34,'Finals 4'!$K29,IF('Finals 4'!$K29=$C$34,'Finals 4'!$I29,"")))</f>
        <v/>
      </c>
      <c r="AU29" s="590">
        <f t="shared" ca="1" si="16"/>
        <v>100028</v>
      </c>
      <c r="AV29" s="586">
        <f t="shared" ca="1" si="17"/>
        <v>29.569444444444443</v>
      </c>
      <c r="AW29" s="587">
        <f ca="1">IF(AY29="",99999,'Finals 4'!$D29)</f>
        <v>0.56944444444444442</v>
      </c>
      <c r="AX29" s="588">
        <f ca="1">IF(AY29="","",'Finals 4'!$E29)</f>
        <v>1</v>
      </c>
      <c r="AY29" s="589" t="str">
        <f ca="1">IF($C$39="","",IF('Finals 4'!$I29=$C$39,'Finals 4'!$K29,IF('Finals 4'!$K29=$C$39,'Finals 4'!$I29,"")))</f>
        <v>Maibach 1822 eV</v>
      </c>
      <c r="AZ29" s="590">
        <f t="shared" ca="1" si="18"/>
        <v>100027</v>
      </c>
      <c r="BA29" s="586">
        <f t="shared" ca="1" si="19"/>
        <v>100028</v>
      </c>
      <c r="BB29" s="587">
        <f ca="1">IF(BD29="",99999,'Finals 4'!$D29)</f>
        <v>99999</v>
      </c>
      <c r="BC29" s="588" t="str">
        <f ca="1">IF(BD29="","",'Finals 4'!$E29)</f>
        <v/>
      </c>
      <c r="BD29" s="589" t="str">
        <f ca="1">IF($C$44="","",IF('Finals 4'!$I29=$C$44,'Finals 4'!$K29,IF('Finals 4'!$K29=$C$44,'Finals 4'!$I29,"")))</f>
        <v/>
      </c>
      <c r="BE29" s="590">
        <f t="shared" ca="1" si="20"/>
        <v>100028</v>
      </c>
      <c r="BF29" s="586">
        <f t="shared" ca="1" si="21"/>
        <v>100028</v>
      </c>
      <c r="BG29" s="587">
        <f ca="1">IF(BI29="",99999,'Finals 4'!$D29)</f>
        <v>99999</v>
      </c>
      <c r="BH29" s="588" t="str">
        <f ca="1">IF(BI29="","",'Finals 4'!$E29)</f>
        <v/>
      </c>
      <c r="BI29" s="589" t="str">
        <f ca="1">IF($C$49="","",IF('Finals 4'!$I29=$C$49,'Finals 4'!$K29,IF('Finals 4'!$K29=$C$49,'Finals 4'!$I29,"")))</f>
        <v/>
      </c>
      <c r="BJ29" s="590">
        <f t="shared" ca="1" si="22"/>
        <v>100028</v>
      </c>
      <c r="BK29" s="586">
        <f t="shared" ca="1" si="23"/>
        <v>100028</v>
      </c>
      <c r="BL29" s="587">
        <f ca="1">IF(BN29="",99999,'Finals 4'!$D29)</f>
        <v>99999</v>
      </c>
      <c r="BM29" s="588" t="str">
        <f ca="1">IF(BN29="","",'Finals 4'!$E29)</f>
        <v/>
      </c>
      <c r="BN29" s="589" t="str">
        <f ca="1">IF($C$54="","",IF('Finals 4'!$I29=$C$54,'Finals 4'!$K29,IF('Finals 4'!$K29=$C$54,'Finals 4'!$I29,"")))</f>
        <v/>
      </c>
      <c r="BO29" s="590">
        <f t="shared" ca="1" si="24"/>
        <v>100028</v>
      </c>
      <c r="BP29" s="586">
        <f t="shared" si="25"/>
        <v>100028</v>
      </c>
      <c r="BQ29" s="587">
        <f>IF(BS29="",99999,'Finals 4'!$D29)</f>
        <v>99999</v>
      </c>
      <c r="BR29" s="588" t="str">
        <f>IF(BS29="","",'Finals 4'!$E29)</f>
        <v/>
      </c>
      <c r="BS29" s="589" t="str">
        <f>IF($C$59="","",IF('Finals 4'!$I29=$C$59,'Finals 4'!$K29,IF('Finals 4'!$K29=$C$59,'Finals 4'!$I29,"")))</f>
        <v/>
      </c>
      <c r="BT29" s="590">
        <f t="shared" si="26"/>
        <v>100028</v>
      </c>
    </row>
    <row r="30" spans="2:72" ht="15.95" customHeight="1" x14ac:dyDescent="0.2">
      <c r="E30" s="566" t="str">
        <f>IF($AP$12&lt;99999,INDEX($L$12:$L$29,MATCH($AP$12,$AL$12:$AL$29,0)),"")</f>
        <v/>
      </c>
      <c r="F30" s="567" t="str">
        <f>IF($AP$12&lt;99999,VLOOKUP($AP$12,$AL$12:$AO$29,2,0),"")</f>
        <v/>
      </c>
      <c r="G30" s="568" t="str">
        <f>IF($AP$12&lt;99999,VLOOKUP($AP$12,$AL$12:$AO$29,3,0),"")</f>
        <v/>
      </c>
      <c r="H30" s="569" t="str">
        <f>IF($AP$12&lt;99999,VLOOKUP($AP$12,$AL$12:$AO$29,4,0),"")</f>
        <v/>
      </c>
      <c r="J30" s="559">
        <f t="shared" si="27"/>
        <v>0</v>
      </c>
      <c r="K30" s="559" t="str">
        <f>IF(J30=0,"",$C$29)</f>
        <v/>
      </c>
    </row>
    <row r="31" spans="2:72" ht="15.95" customHeight="1" x14ac:dyDescent="0.2">
      <c r="E31" s="566" t="str">
        <f>IF($AP$13&lt;99999,INDEX($L$12:$L$29,MATCH($AP$13,$AL$12:$AL$29,0)),"")</f>
        <v/>
      </c>
      <c r="F31" s="570" t="str">
        <f>IF($AP$13&lt;99999,VLOOKUP($AP$13,$AL$12:$AO$29,2,0),"")</f>
        <v/>
      </c>
      <c r="G31" s="571" t="str">
        <f>IF($AP$13&lt;99999,VLOOKUP($AP$13,$AL$12:$AO$29,3,0),"")</f>
        <v/>
      </c>
      <c r="H31" s="572" t="str">
        <f>IF($AP$13&lt;99999,VLOOKUP($AP$13,$AL$12:$AO$29,4,0),"")</f>
        <v/>
      </c>
      <c r="J31" s="559">
        <f t="shared" si="27"/>
        <v>0</v>
      </c>
      <c r="K31" s="559" t="str">
        <f t="shared" ref="K31:K32" si="31">IF(J31=0,"",$C$29)</f>
        <v/>
      </c>
    </row>
    <row r="32" spans="2:72" ht="15.95" customHeight="1" thickBot="1" x14ac:dyDescent="0.25">
      <c r="E32" s="573" t="str">
        <f>IF($AP$14&lt;99999,INDEX($L$12:$L$29,MATCH($AP$14,$AL$12:$AL$29,0)),"")</f>
        <v/>
      </c>
      <c r="F32" s="574" t="str">
        <f>IF($AP$14&lt;99999,VLOOKUP($AP$14,$AL$12:$AO$29,2,0),"")</f>
        <v/>
      </c>
      <c r="G32" s="575" t="str">
        <f>IF($AP$14&lt;99999,VLOOKUP($AP$14,$AL$12:$AO$29,3,0),"")</f>
        <v/>
      </c>
      <c r="H32" s="576" t="str">
        <f>IF($AP$14&lt;99999,VLOOKUP($AP$14,$AL$12:$AO$29,4,0),"")</f>
        <v/>
      </c>
      <c r="J32" s="559">
        <f t="shared" si="27"/>
        <v>0</v>
      </c>
      <c r="K32" s="559" t="str">
        <f t="shared" si="31"/>
        <v/>
      </c>
    </row>
    <row r="33" spans="2:11" ht="30" customHeight="1" thickBot="1" x14ac:dyDescent="0.25">
      <c r="J33" s="559">
        <f t="shared" si="27"/>
        <v>0</v>
      </c>
    </row>
    <row r="34" spans="2:11" ht="15.95" customHeight="1" x14ac:dyDescent="0.2">
      <c r="B34" s="560" t="s">
        <v>187</v>
      </c>
      <c r="C34" s="561" t="str">
        <f>IF(Planning!$C$24="","",Planning!$C$24)</f>
        <v>Mainz 05</v>
      </c>
      <c r="E34" s="562" t="str">
        <f>Language!$E$60</f>
        <v>balls</v>
      </c>
      <c r="F34" s="563" t="str">
        <f>Language!$E$39</f>
        <v>Start</v>
      </c>
      <c r="G34" s="564" t="str">
        <f>Language!$E$48</f>
        <v>Field</v>
      </c>
      <c r="H34" s="565" t="str">
        <f>Language!$E$46</f>
        <v>Match against</v>
      </c>
      <c r="J34" s="559">
        <f t="shared" ca="1" si="27"/>
        <v>0</v>
      </c>
    </row>
    <row r="35" spans="2:11" ht="15.95" customHeight="1" x14ac:dyDescent="0.2">
      <c r="E35" s="566">
        <f ca="1">IF($AU$12&lt;99999,INDEX($L$12:$L$29,MATCH($AU$12,$AQ$12:$AQ$29,0)),"")</f>
        <v>31</v>
      </c>
      <c r="F35" s="567">
        <f ca="1">IF($AU$12&lt;99999,VLOOKUP($AU$12,$AQ$12:$AT$29,2,0),"")</f>
        <v>0.54513888888888895</v>
      </c>
      <c r="G35" s="568">
        <f ca="1">IF($AU$12&lt;99999,VLOOKUP($AU$12,$AQ$12:$AT$29,3,0),"")</f>
        <v>3</v>
      </c>
      <c r="H35" s="569" t="str">
        <f ca="1">IF($AU$12&lt;99999,VLOOKUP($AU$12,$AQ$12:$AT$29,4,0),"")</f>
        <v>FC Barcelona</v>
      </c>
      <c r="J35" s="559">
        <f t="shared" ca="1" si="27"/>
        <v>0</v>
      </c>
      <c r="K35" s="559" t="str">
        <f ca="1">IF(J35=0,"",$C$34)</f>
        <v/>
      </c>
    </row>
    <row r="36" spans="2:11" ht="15.95" customHeight="1" x14ac:dyDescent="0.2">
      <c r="E36" s="566" t="str">
        <f ca="1">IF($AU$13&lt;99999,INDEX($L$12:$L$29,MATCH($AU$13,$AQ$12:$AQ$29,0)),"")</f>
        <v/>
      </c>
      <c r="F36" s="570" t="str">
        <f ca="1">IF($AU$13&lt;99999,VLOOKUP($AU$13,$AQ$12:$AT$29,2,0),"")</f>
        <v/>
      </c>
      <c r="G36" s="571" t="str">
        <f ca="1">IF($AU$13&lt;99999,VLOOKUP($AU$13,$AQ$12:$AT$29,3,0),"")</f>
        <v/>
      </c>
      <c r="H36" s="572" t="str">
        <f ca="1">IF($AU$13&lt;99999,VLOOKUP($AU$13,$AQ$12:$AT$29,4,0),"")</f>
        <v/>
      </c>
      <c r="J36" s="559">
        <f t="shared" ca="1" si="27"/>
        <v>0</v>
      </c>
      <c r="K36" s="559" t="str">
        <f t="shared" ref="K36:K37" ca="1" si="32">IF(J36=0,"",$C$34)</f>
        <v/>
      </c>
    </row>
    <row r="37" spans="2:11" ht="15.95" customHeight="1" thickBot="1" x14ac:dyDescent="0.25">
      <c r="E37" s="573" t="str">
        <f ca="1">IF($AU$14&lt;99999,INDEX($L$12:$L$29,MATCH($AU$14,$AQ$12:$AQ$29,0)),"")</f>
        <v/>
      </c>
      <c r="F37" s="574" t="str">
        <f ca="1">IF($AU$14&lt;99999,VLOOKUP($AU$14,$AQ$12:$AT$29,2,0),"")</f>
        <v/>
      </c>
      <c r="G37" s="575" t="str">
        <f ca="1">IF($AU$14&lt;99999,VLOOKUP($AU$14,$AQ$12:$AT$29,3,0),"")</f>
        <v/>
      </c>
      <c r="H37" s="576" t="str">
        <f ca="1">IF($AU$14&lt;99999,VLOOKUP($AU$14,$AQ$12:$AT$29,4,0),"")</f>
        <v/>
      </c>
      <c r="J37" s="559">
        <f t="shared" ca="1" si="27"/>
        <v>0</v>
      </c>
      <c r="K37" s="559" t="str">
        <f t="shared" ca="1" si="32"/>
        <v/>
      </c>
    </row>
    <row r="38" spans="2:11" ht="30" customHeight="1" thickBot="1" x14ac:dyDescent="0.25">
      <c r="J38" s="559">
        <f t="shared" ca="1" si="27"/>
        <v>0</v>
      </c>
    </row>
    <row r="39" spans="2:11" ht="15.95" customHeight="1" x14ac:dyDescent="0.2">
      <c r="B39" s="560" t="s">
        <v>189</v>
      </c>
      <c r="C39" s="561" t="str">
        <f>IF(Planning!$C$26="","",Planning!$C$26)</f>
        <v>Inter Mailand</v>
      </c>
      <c r="E39" s="562" t="str">
        <f>Language!$E$60</f>
        <v>balls</v>
      </c>
      <c r="F39" s="563" t="str">
        <f>Language!$E$39</f>
        <v>Start</v>
      </c>
      <c r="G39" s="564" t="str">
        <f>Language!$E$48</f>
        <v>Field</v>
      </c>
      <c r="H39" s="565" t="str">
        <f>Language!$E$46</f>
        <v>Match against</v>
      </c>
      <c r="J39" s="559">
        <f t="shared" ca="1" si="27"/>
        <v>0</v>
      </c>
    </row>
    <row r="40" spans="2:11" ht="15.95" customHeight="1" x14ac:dyDescent="0.2">
      <c r="E40" s="566">
        <f ca="1">IF($AZ$12&lt;99999,INDEX($L$12:$L$29,MATCH($AZ$12,$AV$12:$AV$29,0)),"")</f>
        <v>24</v>
      </c>
      <c r="F40" s="567">
        <f ca="1">IF($AZ$12&lt;99999,VLOOKUP($AZ$12,$AV$12:$AY$29,2,0),"")</f>
        <v>0.49652777777777779</v>
      </c>
      <c r="G40" s="568">
        <f ca="1">IF($AZ$12&lt;99999,VLOOKUP($AZ$12,$AV$12:$AY$29,3,0),"")</f>
        <v>4</v>
      </c>
      <c r="H40" s="569" t="str">
        <f ca="1">IF($AZ$12&lt;99999,VLOOKUP($AZ$12,$AV$12:$AY$29,4,0),"")</f>
        <v>VFB Essenheim</v>
      </c>
      <c r="J40" s="559">
        <f t="shared" ca="1" si="27"/>
        <v>0</v>
      </c>
      <c r="K40" s="559" t="str">
        <f ca="1">IF(J40=0,"",$C$39)</f>
        <v/>
      </c>
    </row>
    <row r="41" spans="2:11" ht="15.95" customHeight="1" x14ac:dyDescent="0.2">
      <c r="E41" s="566">
        <f ca="1">IF($AZ$13&lt;99999,INDEX($L$12:$L$29,MATCH($AZ$13,$AV$12:$AV$29,0)),"")</f>
        <v>28</v>
      </c>
      <c r="F41" s="570">
        <f ca="1">IF($AZ$13&lt;99999,VLOOKUP($AZ$13,$AV$12:$AY$29,2,0),"")</f>
        <v>0.52083333333333337</v>
      </c>
      <c r="G41" s="571">
        <f ca="1">IF($AZ$13&lt;99999,VLOOKUP($AZ$13,$AV$12:$AY$29,3,0),"")</f>
        <v>4</v>
      </c>
      <c r="H41" s="572" t="str">
        <f ca="1">IF($AZ$13&lt;99999,VLOOKUP($AZ$13,$AV$12:$AY$29,4,0),"")</f>
        <v>Manchester City</v>
      </c>
      <c r="J41" s="559">
        <f t="shared" ca="1" si="27"/>
        <v>0</v>
      </c>
      <c r="K41" s="559" t="str">
        <f t="shared" ref="K41:K42" ca="1" si="33">IF(J41=0,"",$C$39)</f>
        <v/>
      </c>
    </row>
    <row r="42" spans="2:11" ht="15.95" customHeight="1" thickBot="1" x14ac:dyDescent="0.25">
      <c r="E42" s="573">
        <f ca="1">IF($AZ$14&lt;99999,INDEX($L$12:$L$29,MATCH($AZ$14,$AV$12:$AV$29,0)),"")</f>
        <v>33</v>
      </c>
      <c r="F42" s="574">
        <f ca="1">IF($AZ$14&lt;99999,VLOOKUP($AZ$14,$AV$12:$AY$29,2,0),"")</f>
        <v>0.56944444444444442</v>
      </c>
      <c r="G42" s="575">
        <f ca="1">IF($AZ$14&lt;99999,VLOOKUP($AZ$14,$AV$12:$AY$29,3,0),"")</f>
        <v>1</v>
      </c>
      <c r="H42" s="576" t="str">
        <f ca="1">IF($AZ$14&lt;99999,VLOOKUP($AZ$14,$AV$12:$AY$29,4,0),"")</f>
        <v>Maibach 1822 eV</v>
      </c>
      <c r="J42" s="559">
        <f t="shared" ca="1" si="27"/>
        <v>0</v>
      </c>
      <c r="K42" s="559" t="str">
        <f t="shared" ca="1" si="33"/>
        <v/>
      </c>
    </row>
    <row r="43" spans="2:11" ht="30" customHeight="1" thickBot="1" x14ac:dyDescent="0.25">
      <c r="J43" s="559">
        <f t="shared" ca="1" si="27"/>
        <v>0</v>
      </c>
    </row>
    <row r="44" spans="2:11" ht="15.95" customHeight="1" x14ac:dyDescent="0.2">
      <c r="B44" s="560" t="s">
        <v>185</v>
      </c>
      <c r="C44" s="561" t="str">
        <f>IF(Planning!$C$28="","",Planning!$C$28)</f>
        <v>SSV Wildbach</v>
      </c>
      <c r="E44" s="562" t="str">
        <f>Language!$E$60</f>
        <v>balls</v>
      </c>
      <c r="F44" s="563" t="str">
        <f>Language!$E$39</f>
        <v>Start</v>
      </c>
      <c r="G44" s="564" t="str">
        <f>Language!$E$48</f>
        <v>Field</v>
      </c>
      <c r="H44" s="565" t="str">
        <f>Language!$E$46</f>
        <v>Match against</v>
      </c>
      <c r="J44" s="559">
        <f t="shared" ca="1" si="27"/>
        <v>0</v>
      </c>
    </row>
    <row r="45" spans="2:11" ht="15.95" customHeight="1" x14ac:dyDescent="0.2">
      <c r="E45" s="566">
        <f ca="1">IF($BE$12&lt;99999,INDEX($L$12:$L$29,MATCH($BE$12,$BA$12:$BA$29,0)),"")</f>
        <v>23</v>
      </c>
      <c r="F45" s="567">
        <f ca="1">IF($BE$12&lt;99999,VLOOKUP($BE$12,$BA$12:$BD$29,2,0),"")</f>
        <v>0.49652777777777779</v>
      </c>
      <c r="G45" s="568">
        <f ca="1">IF($BE$12&lt;99999,VLOOKUP($BE$12,$BA$12:$BD$29,3,0),"")</f>
        <v>3</v>
      </c>
      <c r="H45" s="569" t="str">
        <f ca="1">IF($BE$12&lt;99999,VLOOKUP($BE$12,$BA$12:$BD$29,4,0),"")</f>
        <v>Eintracht Frankfurt</v>
      </c>
      <c r="J45" s="559">
        <f t="shared" ca="1" si="27"/>
        <v>0</v>
      </c>
      <c r="K45" s="559" t="str">
        <f ca="1">IF(J45=0,"",$C$44)</f>
        <v/>
      </c>
    </row>
    <row r="46" spans="2:11" ht="15.95" customHeight="1" x14ac:dyDescent="0.2">
      <c r="E46" s="566">
        <f ca="1">IF($BE$13&lt;99999,INDEX($L$12:$L$29,MATCH($BE$13,$BA$12:$BA$29,0)),"")</f>
        <v>27</v>
      </c>
      <c r="F46" s="570">
        <f ca="1">IF($BE$13&lt;99999,VLOOKUP($BE$13,$BA$12:$BD$29,2,0),"")</f>
        <v>0.52083333333333337</v>
      </c>
      <c r="G46" s="571">
        <f ca="1">IF($BE$13&lt;99999,VLOOKUP($BE$13,$BA$12:$BD$29,3,0),"")</f>
        <v>3</v>
      </c>
      <c r="H46" s="572" t="str">
        <f ca="1">IF($BE$13&lt;99999,VLOOKUP($BE$13,$BA$12:$BD$29,4,0),"")</f>
        <v>FC Grönlingen</v>
      </c>
      <c r="J46" s="559">
        <f t="shared" ca="1" si="27"/>
        <v>0</v>
      </c>
      <c r="K46" s="559" t="str">
        <f t="shared" ref="K46:K47" ca="1" si="34">IF(J46=0,"",$C$44)</f>
        <v/>
      </c>
    </row>
    <row r="47" spans="2:11" ht="15.95" customHeight="1" thickBot="1" x14ac:dyDescent="0.25">
      <c r="E47" s="573">
        <f ca="1">IF($BE$14&lt;99999,INDEX($L$12:$L$29,MATCH($BE$14,$BA$12:$BA$29,0)),"")</f>
        <v>32</v>
      </c>
      <c r="F47" s="574">
        <f ca="1">IF($BE$14&lt;99999,VLOOKUP($BE$14,$BA$12:$BD$29,2,0),"")</f>
        <v>0.54513888888888895</v>
      </c>
      <c r="G47" s="575">
        <f ca="1">IF($BE$14&lt;99999,VLOOKUP($BE$14,$BA$12:$BD$29,3,0),"")</f>
        <v>4</v>
      </c>
      <c r="H47" s="576" t="str">
        <f ca="1">IF($BE$14&lt;99999,VLOOKUP($BE$14,$BA$12:$BD$29,4,0),"")</f>
        <v>1. FC Riedwald</v>
      </c>
      <c r="J47" s="559">
        <f t="shared" ca="1" si="27"/>
        <v>0</v>
      </c>
      <c r="K47" s="559" t="str">
        <f t="shared" ca="1" si="34"/>
        <v/>
      </c>
    </row>
    <row r="48" spans="2:11" ht="30" customHeight="1" thickBot="1" x14ac:dyDescent="0.25">
      <c r="J48" s="559">
        <f t="shared" ca="1" si="27"/>
        <v>0</v>
      </c>
    </row>
    <row r="49" spans="2:11" ht="15.95" customHeight="1" x14ac:dyDescent="0.2">
      <c r="B49" s="560" t="s">
        <v>191</v>
      </c>
      <c r="C49" s="561" t="str">
        <f>IF(Planning!$C$30="","",Planning!$C$30)</f>
        <v>Manchester City</v>
      </c>
      <c r="E49" s="562" t="str">
        <f>Language!$E$60</f>
        <v>balls</v>
      </c>
      <c r="F49" s="563" t="str">
        <f>Language!$E$39</f>
        <v>Start</v>
      </c>
      <c r="G49" s="564" t="str">
        <f>Language!$E$48</f>
        <v>Field</v>
      </c>
      <c r="H49" s="565" t="str">
        <f>Language!$E$46</f>
        <v>Match against</v>
      </c>
      <c r="J49" s="559">
        <f t="shared" ca="1" si="27"/>
        <v>0</v>
      </c>
    </row>
    <row r="50" spans="2:11" ht="15.95" customHeight="1" x14ac:dyDescent="0.2">
      <c r="E50" s="566">
        <f ca="1">IF($BJ$12&lt;99999,INDEX($L$12:$L$29,MATCH($BJ$12,$BF$12:$BF$29,0)),"")</f>
        <v>22</v>
      </c>
      <c r="F50" s="567">
        <f ca="1">IF($BJ$12&lt;99999,VLOOKUP($BJ$12,$BF$12:$BI$29,2,0),"")</f>
        <v>0.49652777777777779</v>
      </c>
      <c r="G50" s="568">
        <f ca="1">IF($BJ$12&lt;99999,VLOOKUP($BJ$12,$BF$12:$BI$29,3,0),"")</f>
        <v>2</v>
      </c>
      <c r="H50" s="569" t="str">
        <f ca="1">IF($BJ$12&lt;99999,VLOOKUP($BJ$12,$BF$12:$BI$29,4,0),"")</f>
        <v>Maibach 1822 eV</v>
      </c>
      <c r="J50" s="559">
        <f t="shared" ca="1" si="27"/>
        <v>0</v>
      </c>
      <c r="K50" s="559" t="str">
        <f ca="1">IF(J50=0,"",$C$49)</f>
        <v/>
      </c>
    </row>
    <row r="51" spans="2:11" ht="15.95" customHeight="1" x14ac:dyDescent="0.2">
      <c r="E51" s="566">
        <f ca="1">IF($BJ$13&lt;99999,INDEX($L$12:$L$29,MATCH($BJ$13,$BF$12:$BF$29,0)),"")</f>
        <v>28</v>
      </c>
      <c r="F51" s="570">
        <f ca="1">IF($BJ$13&lt;99999,VLOOKUP($BJ$13,$BF$12:$BI$29,2,0),"")</f>
        <v>0.52083333333333337</v>
      </c>
      <c r="G51" s="571">
        <f ca="1">IF($BJ$13&lt;99999,VLOOKUP($BJ$13,$BF$12:$BI$29,3,0),"")</f>
        <v>4</v>
      </c>
      <c r="H51" s="572" t="str">
        <f ca="1">IF($BJ$13&lt;99999,VLOOKUP($BJ$13,$BF$12:$BI$29,4,0),"")</f>
        <v>Inter Mailand</v>
      </c>
      <c r="J51" s="559">
        <f t="shared" ca="1" si="27"/>
        <v>0</v>
      </c>
      <c r="K51" s="559" t="str">
        <f t="shared" ref="K51:K52" ca="1" si="35">IF(J51=0,"",$C$49)</f>
        <v/>
      </c>
    </row>
    <row r="52" spans="2:11" ht="15.95" customHeight="1" thickBot="1" x14ac:dyDescent="0.25">
      <c r="E52" s="573">
        <f ca="1">IF($BJ$14&lt;99999,INDEX($L$12:$L$29,MATCH($BJ$14,$BF$12:$BF$29,0)),"")</f>
        <v>30</v>
      </c>
      <c r="F52" s="574">
        <f ca="1">IF($BJ$14&lt;99999,VLOOKUP($BJ$14,$BF$12:$BI$29,2,0),"")</f>
        <v>0.54513888888888895</v>
      </c>
      <c r="G52" s="575">
        <f ca="1">IF($BJ$14&lt;99999,VLOOKUP($BJ$14,$BF$12:$BI$29,3,0),"")</f>
        <v>2</v>
      </c>
      <c r="H52" s="576" t="str">
        <f ca="1">IF($BJ$14&lt;99999,VLOOKUP($BJ$14,$BF$12:$BI$29,4,0),"")</f>
        <v>VFB Essenheim</v>
      </c>
      <c r="J52" s="559">
        <f t="shared" ca="1" si="27"/>
        <v>0</v>
      </c>
      <c r="K52" s="559" t="str">
        <f t="shared" ca="1" si="35"/>
        <v/>
      </c>
    </row>
    <row r="53" spans="2:11" ht="30" customHeight="1" thickBot="1" x14ac:dyDescent="0.25">
      <c r="J53" s="559">
        <f t="shared" ca="1" si="27"/>
        <v>0</v>
      </c>
    </row>
    <row r="54" spans="2:11" ht="15.95" customHeight="1" x14ac:dyDescent="0.2">
      <c r="B54" s="560" t="s">
        <v>193</v>
      </c>
      <c r="C54" s="561" t="str">
        <f>IF(Planning!$C$32="","",Planning!$C$32)</f>
        <v>FC Grönlingen</v>
      </c>
      <c r="E54" s="562" t="str">
        <f>Language!$E$60</f>
        <v>balls</v>
      </c>
      <c r="F54" s="563" t="str">
        <f>Language!$E$39</f>
        <v>Start</v>
      </c>
      <c r="G54" s="564" t="str">
        <f>Language!$E$48</f>
        <v>Field</v>
      </c>
      <c r="H54" s="565" t="str">
        <f>Language!$E$46</f>
        <v>Match against</v>
      </c>
      <c r="J54" s="559">
        <f t="shared" ca="1" si="27"/>
        <v>0</v>
      </c>
    </row>
    <row r="55" spans="2:11" ht="15.95" customHeight="1" x14ac:dyDescent="0.2">
      <c r="E55" s="566">
        <f ca="1">IF($BO$12&lt;99999,INDEX($L$12:$L$29,MATCH($BO$12,$BK$12:$BK$29,0)),"")</f>
        <v>21</v>
      </c>
      <c r="F55" s="567">
        <f ca="1">IF($BO$12&lt;99999,VLOOKUP($BO$12,$BK$12:$BN$29,2,0),"")</f>
        <v>0.49652777777777779</v>
      </c>
      <c r="G55" s="568">
        <f ca="1">IF($BO$12&lt;99999,VLOOKUP($BO$12,$BK$12:$BN$29,3,0),"")</f>
        <v>1</v>
      </c>
      <c r="H55" s="569" t="str">
        <f ca="1">IF($BO$12&lt;99999,VLOOKUP($BO$12,$BK$12:$BN$29,4,0),"")</f>
        <v>1. FC Riedwald</v>
      </c>
      <c r="J55" s="559">
        <f t="shared" ca="1" si="27"/>
        <v>0</v>
      </c>
      <c r="K55" s="559" t="str">
        <f ca="1">IF(J55=0,"",$C$54)</f>
        <v/>
      </c>
    </row>
    <row r="56" spans="2:11" ht="15.95" customHeight="1" x14ac:dyDescent="0.2">
      <c r="E56" s="566">
        <f ca="1">IF($BO$13&lt;99999,INDEX($L$12:$L$29,MATCH($BO$13,$BK$12:$BK$29,0)),"")</f>
        <v>27</v>
      </c>
      <c r="F56" s="570">
        <f ca="1">IF($BO$13&lt;99999,VLOOKUP($BO$13,$BK$12:$BN$29,2,0),"")</f>
        <v>0.52083333333333337</v>
      </c>
      <c r="G56" s="571">
        <f ca="1">IF($BO$13&lt;99999,VLOOKUP($BO$13,$BK$12:$BN$29,3,0),"")</f>
        <v>3</v>
      </c>
      <c r="H56" s="572" t="str">
        <f ca="1">IF($BO$13&lt;99999,VLOOKUP($BO$13,$BK$12:$BN$29,4,0),"")</f>
        <v>SSV Wildbach</v>
      </c>
      <c r="J56" s="559">
        <f t="shared" ca="1" si="27"/>
        <v>0</v>
      </c>
      <c r="K56" s="559" t="str">
        <f t="shared" ref="K56:K57" ca="1" si="36">IF(J56=0,"",$C$54)</f>
        <v/>
      </c>
    </row>
    <row r="57" spans="2:11" ht="15.95" customHeight="1" thickBot="1" x14ac:dyDescent="0.25">
      <c r="E57" s="573">
        <f ca="1">IF($BO$14&lt;99999,INDEX($L$12:$L$29,MATCH($BO$14,$BK$12:$BK$29,0)),"")</f>
        <v>29</v>
      </c>
      <c r="F57" s="574">
        <f ca="1">IF($BO$14&lt;99999,VLOOKUP($BO$14,$BK$12:$BN$29,2,0),"")</f>
        <v>0.54513888888888895</v>
      </c>
      <c r="G57" s="575">
        <f ca="1">IF($BO$14&lt;99999,VLOOKUP($BO$14,$BK$12:$BN$29,3,0),"")</f>
        <v>1</v>
      </c>
      <c r="H57" s="576" t="str">
        <f ca="1">IF($BO$14&lt;99999,VLOOKUP($BO$14,$BK$12:$BN$29,4,0),"")</f>
        <v>Eintracht Frankfurt</v>
      </c>
      <c r="J57" s="559">
        <f t="shared" ca="1" si="27"/>
        <v>0</v>
      </c>
      <c r="K57" s="559" t="str">
        <f t="shared" ca="1" si="36"/>
        <v/>
      </c>
    </row>
    <row r="58" spans="2:11" ht="30" customHeight="1" thickBot="1" x14ac:dyDescent="0.25">
      <c r="J58" s="559">
        <f t="shared" ca="1" si="27"/>
        <v>0</v>
      </c>
    </row>
    <row r="59" spans="2:11" ht="15.95" customHeight="1" x14ac:dyDescent="0.2">
      <c r="B59" s="560" t="s">
        <v>195</v>
      </c>
      <c r="C59" s="561" t="str">
        <f>IF(Planning!$C$34="","",Planning!$C$34)</f>
        <v/>
      </c>
      <c r="E59" s="562" t="str">
        <f>Language!$E$60</f>
        <v>balls</v>
      </c>
      <c r="F59" s="563" t="str">
        <f>Language!$E$39</f>
        <v>Start</v>
      </c>
      <c r="G59" s="564" t="str">
        <f>Language!$E$48</f>
        <v>Field</v>
      </c>
      <c r="H59" s="565" t="str">
        <f>Language!$E$46</f>
        <v>Match against</v>
      </c>
      <c r="J59" s="559">
        <f t="shared" si="27"/>
        <v>0</v>
      </c>
    </row>
    <row r="60" spans="2:11" ht="15.95" customHeight="1" x14ac:dyDescent="0.2">
      <c r="E60" s="566" t="str">
        <f>IF($BT$12&lt;99999,INDEX($L$12:$L$29,MATCH($BT$12,$BP$12:$BP$29,0)),"")</f>
        <v/>
      </c>
      <c r="F60" s="567" t="str">
        <f>IF($BT$12&lt;99999,VLOOKUP($BT$12,$BP$12:$BS$29,2,0),"")</f>
        <v/>
      </c>
      <c r="G60" s="568" t="str">
        <f>IF($BT$12&lt;99999,VLOOKUP($BT$12,$BP$12:$BS$29,3,0),"")</f>
        <v/>
      </c>
      <c r="H60" s="569" t="str">
        <f>IF($BT$12&lt;99999,VLOOKUP($BT$12,$BP$12:$BS$29,4,0),"")</f>
        <v/>
      </c>
      <c r="J60" s="559">
        <f t="shared" si="27"/>
        <v>0</v>
      </c>
      <c r="K60" s="559" t="str">
        <f>IF(J60=0,"",$C$59)</f>
        <v/>
      </c>
    </row>
    <row r="61" spans="2:11" ht="15.95" customHeight="1" x14ac:dyDescent="0.2">
      <c r="E61" s="566" t="str">
        <f>IF($BT$13&lt;99999,INDEX($L$12:$L$29,MATCH($BT$13,$BP$12:$BP$29,0)),"")</f>
        <v/>
      </c>
      <c r="F61" s="570" t="str">
        <f>IF($BT$13&lt;99999,VLOOKUP($BT$13,$BP$12:$BS$29,2,0),"")</f>
        <v/>
      </c>
      <c r="G61" s="571" t="str">
        <f>IF($BT$13&lt;99999,VLOOKUP($BT$13,$BP$12:$BS$29,3,0),"")</f>
        <v/>
      </c>
      <c r="H61" s="572" t="str">
        <f>IF($BT$13&lt;99999,VLOOKUP($BT$13,$BP$12:$BS$29,4,0),"")</f>
        <v/>
      </c>
      <c r="J61" s="559">
        <f t="shared" si="27"/>
        <v>0</v>
      </c>
      <c r="K61" s="559" t="str">
        <f t="shared" ref="K61:K62" si="37">IF(J61=0,"",$C$59)</f>
        <v/>
      </c>
    </row>
    <row r="62" spans="2:11" ht="15.95" customHeight="1" thickBot="1" x14ac:dyDescent="0.25">
      <c r="E62" s="573" t="str">
        <f>IF($BT$14&lt;99999,INDEX($L$12:$L$29,MATCH($BT$14,$BP$12:$BP$29,0)),"")</f>
        <v/>
      </c>
      <c r="F62" s="574" t="str">
        <f>IF($BT$14&lt;99999,VLOOKUP($BT$14,$BP$12:$BS$29,2,0),"")</f>
        <v/>
      </c>
      <c r="G62" s="575" t="str">
        <f>IF($BT$14&lt;99999,VLOOKUP($BT$14,$BP$12:$BS$29,3,0),"")</f>
        <v/>
      </c>
      <c r="H62" s="576" t="str">
        <f>IF($BT$14&lt;99999,VLOOKUP($BT$14,$BP$12:$BS$29,4,0),"")</f>
        <v/>
      </c>
      <c r="J62" s="559">
        <f t="shared" si="27"/>
        <v>0</v>
      </c>
      <c r="K62" s="559" t="str">
        <f t="shared" si="37"/>
        <v/>
      </c>
    </row>
    <row r="63" spans="2:11" ht="15.95" customHeight="1" x14ac:dyDescent="0.2"/>
    <row r="64" spans="2:11" x14ac:dyDescent="0.2"/>
  </sheetData>
  <sheetProtection sheet="1" selectLockedCells="1"/>
  <mergeCells count="1">
    <mergeCell ref="B1:H1"/>
  </mergeCells>
  <conditionalFormatting sqref="E5:F62">
    <cfRule type="expression" dxfId="4" priority="1">
      <formula>AND($F5&lt;&gt;"",OR($F5=$F4,$F5=$F6))</formula>
    </cfRule>
  </conditionalFormatting>
  <pageMargins left="0.70866141732283472" right="0.31496062992125984" top="0.39370078740157483" bottom="0.39370078740157483" header="0.31496062992125984" footer="0.31496062992125984"/>
  <pageSetup paperSize="9" scale="72"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9FB76-691C-4935-A7AE-5AD94D84567E}">
  <sheetPr codeName="Tabelle6"/>
  <dimension ref="A1:M135"/>
  <sheetViews>
    <sheetView showGridLines="0" showRowColHeaders="0" workbookViewId="0">
      <selection activeCell="J1" sqref="J1"/>
    </sheetView>
  </sheetViews>
  <sheetFormatPr baseColWidth="10" defaultColWidth="0" defaultRowHeight="12.75" zeroHeight="1" x14ac:dyDescent="0.2"/>
  <cols>
    <col min="1" max="1" width="11.42578125" customWidth="1"/>
    <col min="2" max="2" width="19.28515625" hidden="1" customWidth="1"/>
    <col min="3" max="3" width="11.42578125" hidden="1" customWidth="1"/>
    <col min="4" max="4" width="7" style="15" hidden="1" customWidth="1"/>
    <col min="5" max="5" width="44.7109375" hidden="1" customWidth="1"/>
    <col min="6" max="8" width="44.7109375" customWidth="1"/>
    <col min="9" max="9" width="3.42578125" customWidth="1"/>
    <col min="10" max="10" width="17.7109375" customWidth="1"/>
    <col min="11" max="11" width="9.140625" customWidth="1"/>
    <col min="12" max="12" width="19.7109375" customWidth="1"/>
    <col min="13" max="13" width="0" hidden="1" customWidth="1"/>
    <col min="14" max="16384" width="11.42578125" hidden="1"/>
  </cols>
  <sheetData>
    <row r="1" spans="2:12" ht="34.5" thickBot="1" x14ac:dyDescent="0.55000000000000004">
      <c r="B1" s="34"/>
      <c r="F1" s="847" t="str">
        <f>$E$35</f>
        <v>Choose language</v>
      </c>
      <c r="G1" s="847"/>
      <c r="H1" s="847"/>
      <c r="I1" s="50"/>
      <c r="J1" s="52" t="s">
        <v>111</v>
      </c>
      <c r="K1" s="107" t="str">
        <f>_xlfn.UNICHAR(8592)</f>
        <v>←</v>
      </c>
      <c r="L1" s="106" t="str">
        <f>$E$95</f>
        <v>Click here and choose language</v>
      </c>
    </row>
    <row r="2" spans="2:12" ht="11.25" customHeight="1" thickBot="1" x14ac:dyDescent="0.25">
      <c r="F2" s="1009"/>
      <c r="G2" s="1009"/>
      <c r="I2" s="16"/>
      <c r="J2" s="17"/>
    </row>
    <row r="3" spans="2:12" ht="13.5" thickTop="1" x14ac:dyDescent="0.2">
      <c r="B3" s="18" t="s">
        <v>111</v>
      </c>
      <c r="C3" s="19">
        <f>IF(AND($J$1&lt;&gt;B4,$J$1&lt;&gt;B5),1,0)</f>
        <v>1</v>
      </c>
      <c r="D3" s="1010"/>
      <c r="E3" s="1012"/>
      <c r="F3" s="1013" t="s">
        <v>111</v>
      </c>
      <c r="G3" s="1015" t="s">
        <v>144</v>
      </c>
      <c r="H3" s="1007" t="s">
        <v>110</v>
      </c>
      <c r="I3" s="20"/>
    </row>
    <row r="4" spans="2:12" ht="13.5" thickBot="1" x14ac:dyDescent="0.25">
      <c r="B4" s="18" t="s">
        <v>144</v>
      </c>
      <c r="C4" s="19">
        <f>IF($J$1=B4,1,0)</f>
        <v>0</v>
      </c>
      <c r="D4" s="1011"/>
      <c r="E4" s="1012"/>
      <c r="F4" s="1014"/>
      <c r="G4" s="1016"/>
      <c r="H4" s="1008"/>
      <c r="I4" s="21"/>
      <c r="J4" s="22"/>
    </row>
    <row r="5" spans="2:12" ht="29.25" thickTop="1" x14ac:dyDescent="0.45">
      <c r="B5" s="18" t="s">
        <v>110</v>
      </c>
      <c r="C5" s="19">
        <f>IF($J$1=B5,1,0)</f>
        <v>0</v>
      </c>
      <c r="E5" s="18"/>
      <c r="F5" s="26" t="str">
        <f>$E$36</f>
        <v>Captions</v>
      </c>
      <c r="G5" s="27"/>
      <c r="H5" s="28"/>
      <c r="I5" s="21"/>
      <c r="J5" s="22"/>
    </row>
    <row r="6" spans="2:12" x14ac:dyDescent="0.2">
      <c r="E6" s="18" t="str">
        <f>IF($C$3,F6,IF($C$4,G6,IF($H6&lt;&gt;"",$H6,$F6)))</f>
        <v>Tie break preliminary round</v>
      </c>
      <c r="F6" s="25" t="s">
        <v>201</v>
      </c>
      <c r="G6" s="23" t="s">
        <v>200</v>
      </c>
      <c r="H6" s="46"/>
    </row>
    <row r="7" spans="2:12" x14ac:dyDescent="0.2">
      <c r="E7" s="18" t="str">
        <f t="shared" ref="E7:E130" si="0">IF($C$3,F7,IF($C$4,G7,IF($H7&lt;&gt;"",$H7,$F7)))</f>
        <v>Direct comparisons</v>
      </c>
      <c r="F7" s="25" t="s">
        <v>112</v>
      </c>
      <c r="G7" s="23" t="s">
        <v>12</v>
      </c>
      <c r="H7" s="24"/>
    </row>
    <row r="8" spans="2:12" x14ac:dyDescent="0.2">
      <c r="E8" s="18" t="str">
        <f t="shared" si="0"/>
        <v>Your date</v>
      </c>
      <c r="F8" s="44" t="s">
        <v>139</v>
      </c>
      <c r="G8" s="43" t="s">
        <v>138</v>
      </c>
      <c r="H8" s="24"/>
    </row>
    <row r="9" spans="2:12" ht="15" customHeight="1" x14ac:dyDescent="0.45">
      <c r="E9" s="18" t="str">
        <f t="shared" si="0"/>
        <v>No.</v>
      </c>
      <c r="F9" s="41" t="s">
        <v>114</v>
      </c>
      <c r="G9" s="40" t="s">
        <v>0</v>
      </c>
      <c r="H9" s="24"/>
      <c r="I9" s="32"/>
    </row>
    <row r="10" spans="2:12" ht="15" customHeight="1" x14ac:dyDescent="0.45">
      <c r="E10" s="18" t="str">
        <f t="shared" si="0"/>
        <v>Participant or team</v>
      </c>
      <c r="F10" s="41" t="s">
        <v>115</v>
      </c>
      <c r="G10" s="40" t="s">
        <v>21</v>
      </c>
      <c r="H10" s="24"/>
      <c r="I10" s="32"/>
    </row>
    <row r="11" spans="2:12" ht="15" customHeight="1" x14ac:dyDescent="0.45">
      <c r="E11" s="18" t="str">
        <f t="shared" si="0"/>
        <v>Results</v>
      </c>
      <c r="F11" s="41" t="s">
        <v>116</v>
      </c>
      <c r="G11" s="40" t="s">
        <v>22</v>
      </c>
      <c r="H11" s="24"/>
      <c r="I11" s="32"/>
    </row>
    <row r="12" spans="2:12" ht="15" customHeight="1" x14ac:dyDescent="0.45">
      <c r="E12" s="18" t="str">
        <f t="shared" si="0"/>
        <v>Total table</v>
      </c>
      <c r="F12" s="41" t="s">
        <v>117</v>
      </c>
      <c r="G12" s="40" t="s">
        <v>13</v>
      </c>
      <c r="H12" s="24"/>
      <c r="I12" s="32"/>
    </row>
    <row r="13" spans="2:12" ht="15" customHeight="1" x14ac:dyDescent="0.45">
      <c r="E13" s="18" t="str">
        <f t="shared" si="0"/>
        <v>Total table (copy)</v>
      </c>
      <c r="F13" s="41" t="s">
        <v>118</v>
      </c>
      <c r="G13" s="40" t="s">
        <v>52</v>
      </c>
      <c r="H13" s="24"/>
      <c r="I13" s="32"/>
    </row>
    <row r="14" spans="2:12" ht="15" customHeight="1" x14ac:dyDescent="0.45">
      <c r="E14" s="18" t="str">
        <f t="shared" si="0"/>
        <v>Match pairing</v>
      </c>
      <c r="F14" s="41" t="s">
        <v>121</v>
      </c>
      <c r="G14" s="40" t="s">
        <v>1</v>
      </c>
      <c r="H14" s="24"/>
      <c r="I14" s="32"/>
    </row>
    <row r="15" spans="2:12" ht="15" customHeight="1" x14ac:dyDescent="0.45">
      <c r="E15" s="18" t="str">
        <f t="shared" si="0"/>
        <v>Result</v>
      </c>
      <c r="F15" s="41" t="s">
        <v>122</v>
      </c>
      <c r="G15" s="40" t="s">
        <v>2</v>
      </c>
      <c r="H15" s="24"/>
      <c r="I15" s="32"/>
    </row>
    <row r="16" spans="2:12" ht="15" customHeight="1" x14ac:dyDescent="0.45">
      <c r="E16" s="18" t="str">
        <f t="shared" si="0"/>
        <v>Group</v>
      </c>
      <c r="F16" s="41" t="s">
        <v>182</v>
      </c>
      <c r="G16" s="40" t="s">
        <v>181</v>
      </c>
      <c r="H16" s="24"/>
      <c r="I16" s="32"/>
    </row>
    <row r="17" spans="5:13" ht="15" customHeight="1" x14ac:dyDescent="0.45">
      <c r="E17" s="18" t="str">
        <f t="shared" si="0"/>
        <v>Grp</v>
      </c>
      <c r="F17" s="41" t="s">
        <v>183</v>
      </c>
      <c r="G17" s="40" t="s">
        <v>183</v>
      </c>
      <c r="H17" s="24"/>
      <c r="I17" s="32"/>
    </row>
    <row r="18" spans="5:13" ht="15" customHeight="1" x14ac:dyDescent="0.45">
      <c r="E18" s="18" t="str">
        <f t="shared" si="0"/>
        <v>Preliminary round</v>
      </c>
      <c r="F18" s="41" t="s">
        <v>198</v>
      </c>
      <c r="G18" s="40" t="s">
        <v>196</v>
      </c>
      <c r="H18" s="24"/>
      <c r="I18" s="32"/>
    </row>
    <row r="19" spans="5:13" ht="15" customHeight="1" x14ac:dyDescent="0.45">
      <c r="E19" s="18" t="str">
        <f t="shared" si="0"/>
        <v>Final round</v>
      </c>
      <c r="F19" s="41" t="s">
        <v>199</v>
      </c>
      <c r="G19" s="40" t="s">
        <v>197</v>
      </c>
      <c r="H19" s="24"/>
      <c r="I19" s="32"/>
    </row>
    <row r="20" spans="5:13" ht="15" x14ac:dyDescent="0.25">
      <c r="E20" s="18" t="str">
        <f t="shared" si="0"/>
        <v>Addit. Pause (min)</v>
      </c>
      <c r="F20" s="44" t="s">
        <v>209</v>
      </c>
      <c r="G20" s="43" t="s">
        <v>208</v>
      </c>
      <c r="H20" s="24"/>
      <c r="I20" s="33"/>
      <c r="J20" s="33"/>
      <c r="K20" s="33"/>
      <c r="L20" s="33"/>
      <c r="M20" s="33"/>
    </row>
    <row r="21" spans="5:13" ht="15" x14ac:dyDescent="0.25">
      <c r="E21" s="18" t="str">
        <f t="shared" si="0"/>
        <v>Pld</v>
      </c>
      <c r="F21" s="44" t="s">
        <v>101</v>
      </c>
      <c r="G21" s="43" t="s">
        <v>123</v>
      </c>
      <c r="H21" s="24"/>
      <c r="I21" s="33"/>
      <c r="J21" s="33"/>
      <c r="K21" s="33"/>
      <c r="L21" s="33"/>
      <c r="M21" s="33"/>
    </row>
    <row r="22" spans="5:13" ht="15" x14ac:dyDescent="0.25">
      <c r="E22" s="18" t="str">
        <f t="shared" si="0"/>
        <v>W</v>
      </c>
      <c r="F22" s="44" t="s">
        <v>102</v>
      </c>
      <c r="G22" s="43" t="s">
        <v>124</v>
      </c>
      <c r="H22" s="24"/>
      <c r="I22" s="33"/>
      <c r="J22" s="33"/>
      <c r="K22" s="33"/>
      <c r="L22" s="33"/>
      <c r="M22" s="33"/>
    </row>
    <row r="23" spans="5:13" ht="15" x14ac:dyDescent="0.25">
      <c r="E23" s="18" t="str">
        <f t="shared" si="0"/>
        <v>D</v>
      </c>
      <c r="F23" s="44" t="s">
        <v>103</v>
      </c>
      <c r="G23" s="43" t="s">
        <v>125</v>
      </c>
      <c r="H23" s="24"/>
      <c r="I23" s="33"/>
      <c r="J23" s="33"/>
      <c r="K23" s="33"/>
      <c r="L23" s="33"/>
      <c r="M23" s="33"/>
    </row>
    <row r="24" spans="5:13" ht="15" x14ac:dyDescent="0.25">
      <c r="E24" s="18" t="str">
        <f t="shared" si="0"/>
        <v>L</v>
      </c>
      <c r="F24" s="44" t="s">
        <v>104</v>
      </c>
      <c r="G24" s="43" t="s">
        <v>126</v>
      </c>
      <c r="H24" s="24"/>
      <c r="I24" s="33"/>
      <c r="J24" s="33"/>
      <c r="K24" s="33"/>
      <c r="L24" s="33"/>
      <c r="M24" s="33"/>
    </row>
    <row r="25" spans="5:13" ht="15" x14ac:dyDescent="0.25">
      <c r="E25" s="18" t="str">
        <f t="shared" si="0"/>
        <v>sets</v>
      </c>
      <c r="F25" s="44" t="s">
        <v>359</v>
      </c>
      <c r="G25" s="43" t="s">
        <v>360</v>
      </c>
      <c r="H25" s="24"/>
      <c r="I25" s="33"/>
      <c r="J25" s="33"/>
      <c r="K25" s="33"/>
      <c r="L25" s="33"/>
      <c r="M25" s="33"/>
    </row>
    <row r="26" spans="5:13" ht="15" x14ac:dyDescent="0.25">
      <c r="E26" s="18" t="str">
        <f t="shared" si="0"/>
        <v>GD</v>
      </c>
      <c r="F26" s="44" t="s">
        <v>107</v>
      </c>
      <c r="G26" s="43" t="s">
        <v>3</v>
      </c>
      <c r="H26" s="24"/>
      <c r="I26" s="33"/>
      <c r="J26" s="33"/>
      <c r="K26" s="33"/>
      <c r="L26" s="33"/>
      <c r="M26" s="33"/>
    </row>
    <row r="27" spans="5:13" ht="15" x14ac:dyDescent="0.25">
      <c r="E27" s="18" t="str">
        <f t="shared" si="0"/>
        <v>Pts</v>
      </c>
      <c r="F27" s="44" t="s">
        <v>108</v>
      </c>
      <c r="G27" s="43" t="s">
        <v>127</v>
      </c>
      <c r="H27" s="24"/>
      <c r="I27" s="33"/>
      <c r="J27" s="33"/>
      <c r="K27" s="33"/>
      <c r="L27" s="33"/>
      <c r="M27" s="33"/>
    </row>
    <row r="28" spans="5:13" ht="15" x14ac:dyDescent="0.25">
      <c r="E28" s="18" t="str">
        <f t="shared" si="0"/>
        <v>GF</v>
      </c>
      <c r="F28" s="44" t="s">
        <v>105</v>
      </c>
      <c r="G28" s="43" t="s">
        <v>148</v>
      </c>
      <c r="H28" s="24"/>
      <c r="I28" s="33"/>
      <c r="J28" s="33"/>
      <c r="K28" s="33"/>
      <c r="L28" s="33"/>
      <c r="M28" s="33"/>
    </row>
    <row r="29" spans="5:13" x14ac:dyDescent="0.2">
      <c r="E29" s="18" t="str">
        <f t="shared" si="0"/>
        <v>Tournament end:</v>
      </c>
      <c r="F29" s="44" t="s">
        <v>211</v>
      </c>
      <c r="G29" s="43" t="s">
        <v>210</v>
      </c>
      <c r="H29" s="24"/>
    </row>
    <row r="30" spans="5:13" x14ac:dyDescent="0.2">
      <c r="E30" s="18" t="str">
        <f t="shared" si="0"/>
        <v>Participants and schedule</v>
      </c>
      <c r="F30" s="44" t="s">
        <v>128</v>
      </c>
      <c r="G30" s="43" t="s">
        <v>19</v>
      </c>
      <c r="H30" s="24"/>
    </row>
    <row r="31" spans="5:13" x14ac:dyDescent="0.2">
      <c r="E31" s="18" t="str">
        <f t="shared" si="0"/>
        <v>Participants</v>
      </c>
      <c r="F31" s="45" t="s">
        <v>129</v>
      </c>
      <c r="G31" s="43" t="s">
        <v>20</v>
      </c>
      <c r="H31" s="24"/>
    </row>
    <row r="32" spans="5:13" x14ac:dyDescent="0.2">
      <c r="E32" s="18" t="str">
        <f t="shared" si="0"/>
        <v>Schedule</v>
      </c>
      <c r="F32" s="45" t="s">
        <v>130</v>
      </c>
      <c r="G32" s="43" t="s">
        <v>23</v>
      </c>
      <c r="H32" s="24"/>
    </row>
    <row r="33" spans="5:8" x14ac:dyDescent="0.2">
      <c r="E33" s="18" t="str">
        <f t="shared" si="0"/>
        <v>Game no.</v>
      </c>
      <c r="F33" s="45" t="s">
        <v>131</v>
      </c>
      <c r="G33" s="43" t="s">
        <v>51</v>
      </c>
      <c r="H33" s="24"/>
    </row>
    <row r="34" spans="5:8" x14ac:dyDescent="0.2">
      <c r="E34" s="18" t="str">
        <f t="shared" si="0"/>
        <v>Pairings</v>
      </c>
      <c r="F34" s="45" t="s">
        <v>132</v>
      </c>
      <c r="G34" s="43" t="s">
        <v>53</v>
      </c>
      <c r="H34" s="24"/>
    </row>
    <row r="35" spans="5:8" x14ac:dyDescent="0.2">
      <c r="E35" s="18" t="str">
        <f t="shared" si="0"/>
        <v>Choose language</v>
      </c>
      <c r="F35" s="44" t="s">
        <v>109</v>
      </c>
      <c r="G35" s="43" t="s">
        <v>137</v>
      </c>
      <c r="H35" s="24"/>
    </row>
    <row r="36" spans="5:8" x14ac:dyDescent="0.2">
      <c r="E36" s="18" t="str">
        <f t="shared" si="0"/>
        <v>Captions</v>
      </c>
      <c r="F36" s="44" t="s">
        <v>113</v>
      </c>
      <c r="G36" s="43" t="s">
        <v>134</v>
      </c>
      <c r="H36" s="24"/>
    </row>
    <row r="37" spans="5:8" x14ac:dyDescent="0.2">
      <c r="E37" s="18" t="str">
        <f t="shared" si="0"/>
        <v>Messages</v>
      </c>
      <c r="F37" s="44" t="s">
        <v>135</v>
      </c>
      <c r="G37" s="43" t="s">
        <v>136</v>
      </c>
      <c r="H37" s="24"/>
    </row>
    <row r="38" spans="5:8" x14ac:dyDescent="0.2">
      <c r="E38" s="18" t="str">
        <f t="shared" si="0"/>
        <v>Your captions</v>
      </c>
      <c r="F38" s="44" t="s">
        <v>142</v>
      </c>
      <c r="G38" s="43" t="s">
        <v>141</v>
      </c>
      <c r="H38" s="24"/>
    </row>
    <row r="39" spans="5:8" x14ac:dyDescent="0.2">
      <c r="E39" s="18" t="str">
        <f t="shared" si="0"/>
        <v>Start</v>
      </c>
      <c r="F39" s="44" t="s">
        <v>284</v>
      </c>
      <c r="G39" s="43" t="s">
        <v>285</v>
      </c>
      <c r="H39" s="24"/>
    </row>
    <row r="40" spans="5:8" x14ac:dyDescent="0.2">
      <c r="E40" s="18" t="str">
        <f t="shared" si="0"/>
        <v>End of preliminary round:</v>
      </c>
      <c r="F40" s="44" t="s">
        <v>212</v>
      </c>
      <c r="G40" s="43" t="s">
        <v>213</v>
      </c>
      <c r="H40" s="24"/>
    </row>
    <row r="41" spans="5:8" x14ac:dyDescent="0.2">
      <c r="E41" s="18" t="str">
        <f t="shared" si="0"/>
        <v>Playing times</v>
      </c>
      <c r="F41" s="44" t="s">
        <v>162</v>
      </c>
      <c r="G41" s="43" t="s">
        <v>161</v>
      </c>
      <c r="H41" s="24"/>
    </row>
    <row r="42" spans="5:8" x14ac:dyDescent="0.2">
      <c r="E42" s="18" t="str">
        <f t="shared" si="0"/>
        <v>Playing time per match:</v>
      </c>
      <c r="F42" s="44" t="s">
        <v>214</v>
      </c>
      <c r="G42" s="43" t="s">
        <v>215</v>
      </c>
      <c r="H42" s="24"/>
    </row>
    <row r="43" spans="5:8" x14ac:dyDescent="0.2">
      <c r="E43" s="18" t="str">
        <f t="shared" si="0"/>
        <v>Change time:</v>
      </c>
      <c r="F43" s="44" t="s">
        <v>216</v>
      </c>
      <c r="G43" s="43" t="s">
        <v>217</v>
      </c>
      <c r="H43" s="24"/>
    </row>
    <row r="44" spans="5:8" x14ac:dyDescent="0.2">
      <c r="E44" s="18" t="str">
        <f t="shared" si="0"/>
        <v>Number of fields:</v>
      </c>
      <c r="F44" s="44" t="s">
        <v>282</v>
      </c>
      <c r="G44" s="43" t="s">
        <v>281</v>
      </c>
      <c r="H44" s="24"/>
    </row>
    <row r="45" spans="5:8" x14ac:dyDescent="0.2">
      <c r="E45" s="18" t="str">
        <f t="shared" si="0"/>
        <v xml:space="preserve"> </v>
      </c>
      <c r="F45" s="44" t="s">
        <v>154</v>
      </c>
      <c r="G45" s="43" t="s">
        <v>153</v>
      </c>
      <c r="H45" s="24"/>
    </row>
    <row r="46" spans="5:8" x14ac:dyDescent="0.2">
      <c r="E46" s="18" t="str">
        <f t="shared" si="0"/>
        <v>Match against</v>
      </c>
      <c r="F46" s="44" t="s">
        <v>158</v>
      </c>
      <c r="G46" s="43" t="s">
        <v>157</v>
      </c>
      <c r="H46" s="24"/>
    </row>
    <row r="47" spans="5:8" x14ac:dyDescent="0.2">
      <c r="E47" s="18" t="str">
        <f t="shared" si="0"/>
        <v>Note</v>
      </c>
      <c r="F47" s="44" t="s">
        <v>159</v>
      </c>
      <c r="G47" s="43" t="s">
        <v>160</v>
      </c>
      <c r="H47" s="24"/>
    </row>
    <row r="48" spans="5:8" x14ac:dyDescent="0.2">
      <c r="E48" s="18" t="str">
        <f t="shared" si="0"/>
        <v>Field</v>
      </c>
      <c r="F48" s="44" t="s">
        <v>218</v>
      </c>
      <c r="G48" s="43" t="s">
        <v>283</v>
      </c>
      <c r="H48" s="24"/>
    </row>
    <row r="49" spans="5:8" x14ac:dyDescent="0.2">
      <c r="E49" s="18" t="str">
        <f t="shared" si="0"/>
        <v>Tie break</v>
      </c>
      <c r="F49" s="25" t="s">
        <v>321</v>
      </c>
      <c r="G49" s="23" t="s">
        <v>320</v>
      </c>
      <c r="H49" s="24"/>
    </row>
    <row r="50" spans="5:8" x14ac:dyDescent="0.2">
      <c r="E50" s="18" t="str">
        <f t="shared" si="0"/>
        <v>Matchups</v>
      </c>
      <c r="F50" s="41" t="s">
        <v>168</v>
      </c>
      <c r="G50" s="40" t="s">
        <v>169</v>
      </c>
      <c r="H50" s="163"/>
    </row>
    <row r="51" spans="5:8" x14ac:dyDescent="0.2">
      <c r="E51" s="18" t="str">
        <f t="shared" si="0"/>
        <v>Settings</v>
      </c>
      <c r="F51" s="41" t="s">
        <v>171</v>
      </c>
      <c r="G51" s="40" t="s">
        <v>170</v>
      </c>
      <c r="H51" s="163"/>
    </row>
    <row r="52" spans="5:8" x14ac:dyDescent="0.2">
      <c r="E52" s="18" t="str">
        <f t="shared" si="0"/>
        <v>Number of points for a win:</v>
      </c>
      <c r="F52" s="41" t="s">
        <v>173</v>
      </c>
      <c r="G52" s="40" t="s">
        <v>172</v>
      </c>
      <c r="H52" s="163"/>
    </row>
    <row r="53" spans="5:8" x14ac:dyDescent="0.2">
      <c r="E53" s="18" t="str">
        <f t="shared" si="0"/>
        <v>Semi-finals</v>
      </c>
      <c r="F53" s="41" t="s">
        <v>230</v>
      </c>
      <c r="G53" s="40" t="s">
        <v>227</v>
      </c>
      <c r="H53" s="163"/>
    </row>
    <row r="54" spans="5:8" x14ac:dyDescent="0.2">
      <c r="E54" s="18" t="str">
        <f t="shared" si="0"/>
        <v>Finals</v>
      </c>
      <c r="F54" s="41" t="s">
        <v>229</v>
      </c>
      <c r="G54" s="40" t="s">
        <v>228</v>
      </c>
      <c r="H54" s="163"/>
    </row>
    <row r="55" spans="5:8" x14ac:dyDescent="0.2">
      <c r="E55" s="18" t="str">
        <f t="shared" si="0"/>
        <v xml:space="preserve">Games for places </v>
      </c>
      <c r="F55" s="41" t="s">
        <v>232</v>
      </c>
      <c r="G55" s="40" t="s">
        <v>231</v>
      </c>
      <c r="H55" s="163"/>
    </row>
    <row r="56" spans="5:8" x14ac:dyDescent="0.2">
      <c r="E56" s="18" t="str">
        <f t="shared" si="0"/>
        <v>Preliminary round group</v>
      </c>
      <c r="F56" s="41" t="s">
        <v>234</v>
      </c>
      <c r="G56" s="40" t="s">
        <v>233</v>
      </c>
      <c r="H56" s="163"/>
    </row>
    <row r="57" spans="5:8" x14ac:dyDescent="0.2">
      <c r="E57" s="18" t="str">
        <f t="shared" si="0"/>
        <v>First and second in the group</v>
      </c>
      <c r="F57" s="41" t="s">
        <v>290</v>
      </c>
      <c r="G57" s="40" t="s">
        <v>291</v>
      </c>
      <c r="H57" s="163"/>
    </row>
    <row r="58" spans="5:8" x14ac:dyDescent="0.2">
      <c r="E58" s="18" t="str">
        <f t="shared" si="0"/>
        <v>Third and fourth in the group</v>
      </c>
      <c r="F58" s="41" t="s">
        <v>292</v>
      </c>
      <c r="G58" s="40" t="s">
        <v>293</v>
      </c>
      <c r="H58" s="163"/>
    </row>
    <row r="59" spans="5:8" x14ac:dyDescent="0.2">
      <c r="E59" s="18" t="str">
        <f t="shared" si="0"/>
        <v>Fifth and sixth in the group</v>
      </c>
      <c r="F59" s="41" t="s">
        <v>294</v>
      </c>
      <c r="G59" s="40" t="s">
        <v>295</v>
      </c>
      <c r="H59" s="163"/>
    </row>
    <row r="60" spans="5:8" x14ac:dyDescent="0.2">
      <c r="E60" s="18" t="str">
        <f t="shared" si="0"/>
        <v>balls</v>
      </c>
      <c r="F60" s="41" t="s">
        <v>313</v>
      </c>
      <c r="G60" s="40" t="s">
        <v>314</v>
      </c>
      <c r="H60" s="163"/>
    </row>
    <row r="61" spans="5:8" x14ac:dyDescent="0.2">
      <c r="E61" s="18" t="str">
        <f t="shared" si="0"/>
        <v>1st set</v>
      </c>
      <c r="F61" s="41" t="s">
        <v>309</v>
      </c>
      <c r="G61" s="40" t="s">
        <v>310</v>
      </c>
      <c r="H61" s="163"/>
    </row>
    <row r="62" spans="5:8" x14ac:dyDescent="0.2">
      <c r="E62" s="18" t="str">
        <f t="shared" si="0"/>
        <v>2nd set</v>
      </c>
      <c r="F62" s="41" t="s">
        <v>311</v>
      </c>
      <c r="G62" s="40" t="s">
        <v>312</v>
      </c>
      <c r="H62" s="163"/>
    </row>
    <row r="63" spans="5:8" x14ac:dyDescent="0.2">
      <c r="E63" s="18" t="str">
        <f t="shared" si="0"/>
        <v>3rd set</v>
      </c>
      <c r="F63" s="41" t="s">
        <v>315</v>
      </c>
      <c r="G63" s="40" t="s">
        <v>316</v>
      </c>
      <c r="H63" s="163"/>
    </row>
    <row r="64" spans="5:8" x14ac:dyDescent="0.2">
      <c r="E64" s="18" t="str">
        <f t="shared" si="0"/>
        <v>Tie break final round 4</v>
      </c>
      <c r="F64" s="41" t="s">
        <v>325</v>
      </c>
      <c r="G64" s="40" t="s">
        <v>326</v>
      </c>
      <c r="H64" s="163"/>
    </row>
    <row r="65" spans="5:8" x14ac:dyDescent="0.2">
      <c r="E65" s="18" t="str">
        <f t="shared" si="0"/>
        <v>Team IDs</v>
      </c>
      <c r="F65" s="41" t="s">
        <v>327</v>
      </c>
      <c r="G65" s="40" t="s">
        <v>328</v>
      </c>
      <c r="H65" s="163"/>
    </row>
    <row r="66" spans="5:8" x14ac:dyDescent="0.2">
      <c r="E66" s="18" t="str">
        <f t="shared" si="0"/>
        <v>e.g.  A2 - A4</v>
      </c>
      <c r="F66" s="41" t="s">
        <v>329</v>
      </c>
      <c r="G66" s="40" t="s">
        <v>330</v>
      </c>
      <c r="H66" s="163"/>
    </row>
    <row r="67" spans="5:8" x14ac:dyDescent="0.2">
      <c r="E67" s="18" t="str">
        <f t="shared" si="0"/>
        <v>Quot.</v>
      </c>
      <c r="F67" s="25" t="s">
        <v>343</v>
      </c>
      <c r="G67" s="23" t="s">
        <v>343</v>
      </c>
      <c r="H67" s="163"/>
    </row>
    <row r="68" spans="5:8" x14ac:dyDescent="0.2">
      <c r="E68" s="18" t="str">
        <f t="shared" si="0"/>
        <v>Referee</v>
      </c>
      <c r="F68" s="41" t="s">
        <v>362</v>
      </c>
      <c r="G68" s="40" t="s">
        <v>361</v>
      </c>
      <c r="H68" s="163"/>
    </row>
    <row r="69" spans="5:8" x14ac:dyDescent="0.2">
      <c r="E69" s="18" t="str">
        <f t="shared" si="0"/>
        <v>e.g.  1A - 2B</v>
      </c>
      <c r="F69" s="41" t="s">
        <v>408</v>
      </c>
      <c r="G69" s="40" t="s">
        <v>407</v>
      </c>
      <c r="H69" s="163"/>
    </row>
    <row r="70" spans="5:8" x14ac:dyDescent="0.2">
      <c r="E70" s="18">
        <f t="shared" si="0"/>
        <v>0</v>
      </c>
      <c r="F70" s="41"/>
      <c r="G70" s="40"/>
      <c r="H70" s="163"/>
    </row>
    <row r="71" spans="5:8" x14ac:dyDescent="0.2">
      <c r="E71" s="18" t="str">
        <f t="shared" si="0"/>
        <v>bonus</v>
      </c>
      <c r="F71" s="41" t="s">
        <v>363</v>
      </c>
      <c r="G71" s="40" t="s">
        <v>364</v>
      </c>
      <c r="H71" s="163"/>
    </row>
    <row r="72" spans="5:8" x14ac:dyDescent="0.2">
      <c r="E72" s="18" t="str">
        <f t="shared" si="0"/>
        <v>Ball difference or ball quotient:</v>
      </c>
      <c r="F72" s="41" t="s">
        <v>406</v>
      </c>
      <c r="G72" s="40" t="s">
        <v>405</v>
      </c>
      <c r="H72" s="163"/>
    </row>
    <row r="73" spans="5:8" x14ac:dyDescent="0.2">
      <c r="E73" s="18" t="str">
        <f t="shared" si="0"/>
        <v>Ball difference</v>
      </c>
      <c r="F73" s="41" t="s">
        <v>337</v>
      </c>
      <c r="G73" s="40" t="s">
        <v>338</v>
      </c>
      <c r="H73" s="163"/>
    </row>
    <row r="74" spans="5:8" x14ac:dyDescent="0.2">
      <c r="E74" s="18" t="str">
        <f t="shared" si="0"/>
        <v>Ball quotient</v>
      </c>
      <c r="F74" s="41" t="s">
        <v>339</v>
      </c>
      <c r="G74" s="40" t="s">
        <v>340</v>
      </c>
      <c r="H74" s="163"/>
    </row>
    <row r="75" spans="5:8" x14ac:dyDescent="0.2">
      <c r="E75" s="18" t="str">
        <f t="shared" si="0"/>
        <v>Ball points</v>
      </c>
      <c r="F75" s="41" t="s">
        <v>347</v>
      </c>
      <c r="G75" s="40" t="s">
        <v>348</v>
      </c>
      <c r="H75" s="163"/>
    </row>
    <row r="76" spans="5:8" x14ac:dyDescent="0.2">
      <c r="E76" s="18" t="str">
        <f t="shared" si="0"/>
        <v>Set points</v>
      </c>
      <c r="F76" s="41" t="s">
        <v>349</v>
      </c>
      <c r="G76" s="40" t="s">
        <v>350</v>
      </c>
      <c r="H76" s="163"/>
    </row>
    <row r="77" spans="5:8" x14ac:dyDescent="0.2">
      <c r="E77" s="18" t="str">
        <f t="shared" si="0"/>
        <v>Set difference as the second criterion?</v>
      </c>
      <c r="F77" s="41" t="s">
        <v>365</v>
      </c>
      <c r="G77" s="40" t="s">
        <v>366</v>
      </c>
      <c r="H77" s="163"/>
    </row>
    <row r="78" spans="5:8" x14ac:dyDescent="0.2">
      <c r="E78" s="18" t="str">
        <f t="shared" si="0"/>
        <v>Yes</v>
      </c>
      <c r="F78" s="41" t="s">
        <v>367</v>
      </c>
      <c r="G78" s="40" t="s">
        <v>368</v>
      </c>
      <c r="H78" s="163"/>
    </row>
    <row r="79" spans="5:8" x14ac:dyDescent="0.2">
      <c r="E79" s="18" t="str">
        <f t="shared" si="0"/>
        <v>No</v>
      </c>
      <c r="F79" s="41" t="s">
        <v>369</v>
      </c>
      <c r="G79" s="40" t="s">
        <v>370</v>
      </c>
      <c r="H79" s="163"/>
    </row>
    <row r="80" spans="5:8" x14ac:dyDescent="0.2">
      <c r="E80" s="18" t="str">
        <f t="shared" si="0"/>
        <v>Setpts.</v>
      </c>
      <c r="F80" s="41" t="s">
        <v>371</v>
      </c>
      <c r="G80" s="40" t="s">
        <v>372</v>
      </c>
      <c r="H80" s="163"/>
    </row>
    <row r="81" spans="5:8" x14ac:dyDescent="0.2">
      <c r="E81" s="18" t="str">
        <f t="shared" si="0"/>
        <v>First criterion for the ranking:</v>
      </c>
      <c r="F81" s="41" t="s">
        <v>373</v>
      </c>
      <c r="G81" s="40" t="s">
        <v>374</v>
      </c>
      <c r="H81" s="163"/>
    </row>
    <row r="82" spans="5:8" x14ac:dyDescent="0.2">
      <c r="E82" s="18" t="str">
        <f t="shared" si="0"/>
        <v>Number of (victory) points</v>
      </c>
      <c r="F82" s="41" t="s">
        <v>375</v>
      </c>
      <c r="G82" s="40" t="s">
        <v>376</v>
      </c>
      <c r="H82" s="163"/>
    </row>
    <row r="83" spans="5:8" x14ac:dyDescent="0.2">
      <c r="E83" s="18" t="str">
        <f t="shared" si="0"/>
        <v>Number of sets won</v>
      </c>
      <c r="F83" s="41" t="s">
        <v>377</v>
      </c>
      <c r="G83" s="40" t="s">
        <v>378</v>
      </c>
      <c r="H83" s="163"/>
    </row>
    <row r="84" spans="5:8" x14ac:dyDescent="0.2">
      <c r="E84" s="18" t="str">
        <f t="shared" si="0"/>
        <v>Sets won as the third criterion?</v>
      </c>
      <c r="F84" s="41" t="s">
        <v>379</v>
      </c>
      <c r="G84" s="40" t="s">
        <v>380</v>
      </c>
      <c r="H84" s="163"/>
    </row>
    <row r="85" spans="5:8" x14ac:dyDescent="0.2">
      <c r="E85" s="18" t="str">
        <f t="shared" si="0"/>
        <v>Only makes sense if the number of (victory) points is the first criterion</v>
      </c>
      <c r="F85" s="41" t="s">
        <v>381</v>
      </c>
      <c r="G85" s="40" t="s">
        <v>382</v>
      </c>
      <c r="H85" s="163"/>
    </row>
    <row r="86" spans="5:8" x14ac:dyDescent="0.2">
      <c r="E86" s="18" t="str">
        <f t="shared" si="0"/>
        <v>Team numbers</v>
      </c>
      <c r="F86" s="41" t="s">
        <v>383</v>
      </c>
      <c r="G86" s="40" t="s">
        <v>384</v>
      </c>
      <c r="H86" s="163"/>
    </row>
    <row r="87" spans="5:8" x14ac:dyDescent="0.2">
      <c r="E87" s="18" t="str">
        <f t="shared" si="0"/>
        <v>Winner</v>
      </c>
      <c r="F87" s="41" t="s">
        <v>331</v>
      </c>
      <c r="G87" s="40" t="s">
        <v>332</v>
      </c>
      <c r="H87" s="163"/>
    </row>
    <row r="88" spans="5:8" x14ac:dyDescent="0.2">
      <c r="E88" s="18" t="str">
        <f t="shared" si="0"/>
        <v>Display in the crosstabs of the preliminary round:</v>
      </c>
      <c r="F88" s="41" t="s">
        <v>345</v>
      </c>
      <c r="G88" s="40" t="s">
        <v>346</v>
      </c>
      <c r="H88" s="163"/>
    </row>
    <row r="89" spans="5:8" x14ac:dyDescent="0.2">
      <c r="E89" s="18">
        <f t="shared" si="0"/>
        <v>0</v>
      </c>
      <c r="F89" s="41"/>
      <c r="G89" s="40"/>
      <c r="H89" s="163"/>
    </row>
    <row r="90" spans="5:8" ht="28.5" x14ac:dyDescent="0.45">
      <c r="E90" s="18"/>
      <c r="F90" s="29" t="str">
        <f>$E$37</f>
        <v>Messages</v>
      </c>
      <c r="G90" s="30"/>
      <c r="H90" s="31"/>
    </row>
    <row r="91" spans="5:8" ht="79.5" customHeight="1" x14ac:dyDescent="0.2">
      <c r="E91" s="18" t="str">
        <f t="shared" si="0"/>
        <v>If two or more teams cannot be distinguished and a decision is made, for example, through drawing lots, it is sufficient to enter a bonus point for the preferred team.</v>
      </c>
      <c r="F91" s="35" t="s">
        <v>386</v>
      </c>
      <c r="G91" s="36" t="s">
        <v>385</v>
      </c>
      <c r="H91" s="37"/>
    </row>
    <row r="92" spans="5:8" ht="51.75" customHeight="1" x14ac:dyDescent="0.2">
      <c r="E92" s="18" t="str">
        <f t="shared" si="0"/>
        <v>Double match pairings and matches against oneself
lead to incorrect values in the overall table!</v>
      </c>
      <c r="F92" s="42" t="s">
        <v>149</v>
      </c>
      <c r="G92" s="81" t="s">
        <v>55</v>
      </c>
      <c r="H92" s="37"/>
    </row>
    <row r="93" spans="5:8" ht="51.75" customHeight="1" x14ac:dyDescent="0.2">
      <c r="E93" s="18" t="str">
        <f t="shared" si="0"/>
        <v>Change of the fixtures only on the sheet 'Planning'! Just enter the results here!</v>
      </c>
      <c r="F93" s="42" t="s">
        <v>120</v>
      </c>
      <c r="G93" s="36" t="s">
        <v>119</v>
      </c>
      <c r="H93" s="37"/>
    </row>
    <row r="94" spans="5:8" ht="16.5" customHeight="1" x14ac:dyDescent="0.2">
      <c r="E94" s="18" t="str">
        <f t="shared" si="0"/>
        <v>Hint may be deleted   →</v>
      </c>
      <c r="F94" s="48" t="s">
        <v>143</v>
      </c>
      <c r="G94" s="47" t="s">
        <v>140</v>
      </c>
      <c r="H94" s="38"/>
    </row>
    <row r="95" spans="5:8" ht="20.25" customHeight="1" x14ac:dyDescent="0.2">
      <c r="E95" s="18" t="str">
        <f t="shared" si="0"/>
        <v>Click here and choose language</v>
      </c>
      <c r="F95" s="53" t="s">
        <v>146</v>
      </c>
      <c r="G95" s="51" t="s">
        <v>145</v>
      </c>
      <c r="H95" s="39"/>
    </row>
    <row r="96" spans="5:8" ht="32.25" customHeight="1" x14ac:dyDescent="0.2">
      <c r="E96" s="18" t="str">
        <f t="shared" si="0"/>
        <v>Duplicate names lead to
incorrect table values</v>
      </c>
      <c r="F96" s="98" t="s">
        <v>151</v>
      </c>
      <c r="G96" s="97" t="s">
        <v>54</v>
      </c>
      <c r="H96" s="39"/>
    </row>
    <row r="97" spans="5:8" ht="51.75" customHeight="1" x14ac:dyDescent="0.2">
      <c r="E97" s="18" t="str">
        <f t="shared" si="0"/>
        <v>Red font means that the ranking is not clear even with the direct comparison. A playoff match or drawing of lots must decide here.</v>
      </c>
      <c r="F97" s="168" t="s">
        <v>333</v>
      </c>
      <c r="G97" s="169" t="s">
        <v>334</v>
      </c>
      <c r="H97" s="38"/>
    </row>
    <row r="98" spans="5:8" ht="17.25" customHeight="1" x14ac:dyDescent="0.2">
      <c r="E98" s="18" t="str">
        <f t="shared" si="0"/>
        <v>Time conflict</v>
      </c>
      <c r="F98" s="170" t="s">
        <v>156</v>
      </c>
      <c r="G98" s="171" t="s">
        <v>155</v>
      </c>
      <c r="H98" s="172"/>
    </row>
    <row r="99" spans="5:8" ht="16.5" customHeight="1" x14ac:dyDescent="0.2">
      <c r="E99" s="18" t="str">
        <f t="shared" si="0"/>
        <v xml:space="preserve"> - </v>
      </c>
      <c r="F99" s="173" t="s">
        <v>403</v>
      </c>
      <c r="G99" s="184" t="s">
        <v>404</v>
      </c>
      <c r="H99" s="172"/>
    </row>
    <row r="100" spans="5:8" ht="33" customHeight="1" x14ac:dyDescent="0.2">
      <c r="E100" s="18" t="str">
        <f t="shared" si="0"/>
        <v>Direct comparisons in case of a tie in points, goal difference and goals scored (FIFA mode)</v>
      </c>
      <c r="F100" s="178" t="s">
        <v>178</v>
      </c>
      <c r="G100" s="179" t="s">
        <v>175</v>
      </c>
      <c r="H100" s="175"/>
    </row>
    <row r="101" spans="5:8" ht="32.25" customHeight="1" x14ac:dyDescent="0.2">
      <c r="E101" s="18" t="str">
        <f t="shared" si="0"/>
        <v>Direct comparisons in case of a tie in points (UEFA mode)</v>
      </c>
      <c r="F101" s="178" t="s">
        <v>176</v>
      </c>
      <c r="G101" s="179" t="s">
        <v>177</v>
      </c>
      <c r="H101" s="175"/>
    </row>
    <row r="102" spans="5:8" ht="18" customHeight="1" x14ac:dyDescent="0.2">
      <c r="E102" s="18" t="str">
        <f t="shared" si="0"/>
        <v>Ball difference or ball quotient</v>
      </c>
      <c r="F102" s="180" t="s">
        <v>335</v>
      </c>
      <c r="G102" s="181" t="s">
        <v>336</v>
      </c>
      <c r="H102" s="182"/>
    </row>
    <row r="103" spans="5:8" ht="18" customHeight="1" x14ac:dyDescent="0.2">
      <c r="E103" s="18" t="str">
        <f t="shared" si="0"/>
        <v>Ball difference</v>
      </c>
      <c r="F103" s="180" t="s">
        <v>337</v>
      </c>
      <c r="G103" s="181" t="s">
        <v>338</v>
      </c>
      <c r="H103" s="182"/>
    </row>
    <row r="104" spans="5:8" ht="20.25" customHeight="1" x14ac:dyDescent="0.2">
      <c r="E104" s="18" t="str">
        <f t="shared" si="0"/>
        <v>Ball quotient</v>
      </c>
      <c r="F104" s="180" t="s">
        <v>339</v>
      </c>
      <c r="G104" s="181" t="s">
        <v>340</v>
      </c>
      <c r="H104" s="182"/>
    </row>
    <row r="105" spans="5:8" ht="18" customHeight="1" x14ac:dyDescent="0.2">
      <c r="E105" s="18" t="str">
        <f t="shared" si="0"/>
        <v>Abbreviations of the team names:</v>
      </c>
      <c r="F105" s="180" t="s">
        <v>253</v>
      </c>
      <c r="G105" s="181" t="s">
        <v>254</v>
      </c>
      <c r="H105" s="182"/>
    </row>
    <row r="106" spans="5:8" ht="17.25" customHeight="1" x14ac:dyDescent="0.2">
      <c r="E106" s="18" t="str">
        <f t="shared" si="0"/>
        <v>letters</v>
      </c>
      <c r="F106" s="180" t="s">
        <v>180</v>
      </c>
      <c r="G106" s="181" t="s">
        <v>179</v>
      </c>
      <c r="H106" s="182"/>
    </row>
    <row r="107" spans="5:8" ht="18" customHeight="1" x14ac:dyDescent="0.2">
      <c r="E107" s="18" t="str">
        <f t="shared" si="0"/>
        <v>Rank</v>
      </c>
      <c r="F107" s="180" t="s">
        <v>220</v>
      </c>
      <c r="G107" s="181" t="s">
        <v>219</v>
      </c>
      <c r="H107" s="182"/>
    </row>
    <row r="108" spans="5:8" ht="16.5" customHeight="1" x14ac:dyDescent="0.2">
      <c r="E108" s="18" t="str">
        <f t="shared" si="0"/>
        <v>3rd place</v>
      </c>
      <c r="F108" s="180" t="s">
        <v>226</v>
      </c>
      <c r="G108" s="181" t="s">
        <v>223</v>
      </c>
      <c r="H108" s="182"/>
    </row>
    <row r="109" spans="5:8" ht="17.25" customHeight="1" x14ac:dyDescent="0.2">
      <c r="E109" s="18" t="str">
        <f t="shared" si="0"/>
        <v>Final</v>
      </c>
      <c r="F109" s="180" t="s">
        <v>225</v>
      </c>
      <c r="G109" s="181" t="s">
        <v>224</v>
      </c>
      <c r="H109" s="182"/>
    </row>
    <row r="110" spans="5:8" ht="30.75" customHeight="1" x14ac:dyDescent="0.2">
      <c r="E110" s="18" t="str">
        <f t="shared" si="0"/>
        <v xml:space="preserve">Due to time conflicts, you can only play on a maximum of </v>
      </c>
      <c r="F110" s="178" t="s">
        <v>250</v>
      </c>
      <c r="G110" s="179" t="s">
        <v>251</v>
      </c>
      <c r="H110" s="182"/>
    </row>
    <row r="111" spans="5:8" ht="17.25" customHeight="1" x14ac:dyDescent="0.2">
      <c r="E111" s="18" t="str">
        <f t="shared" si="0"/>
        <v xml:space="preserve"> pitches at the same time.</v>
      </c>
      <c r="F111" s="178" t="s">
        <v>261</v>
      </c>
      <c r="G111" s="179" t="s">
        <v>252</v>
      </c>
      <c r="H111" s="182"/>
    </row>
    <row r="112" spans="5:8" ht="17.25" customHeight="1" x14ac:dyDescent="0.2">
      <c r="E112" s="18" t="str">
        <f t="shared" si="0"/>
        <v>End of tournament (final round 1):</v>
      </c>
      <c r="F112" s="180" t="s">
        <v>255</v>
      </c>
      <c r="G112" s="181" t="s">
        <v>256</v>
      </c>
      <c r="H112" s="182"/>
    </row>
    <row r="113" spans="5:8" ht="17.25" customHeight="1" x14ac:dyDescent="0.2">
      <c r="E113" s="18" t="str">
        <f t="shared" si="0"/>
        <v>End of tournament (final round 2):</v>
      </c>
      <c r="F113" s="180" t="s">
        <v>257</v>
      </c>
      <c r="G113" s="181" t="s">
        <v>258</v>
      </c>
      <c r="H113" s="182"/>
    </row>
    <row r="114" spans="5:8" ht="17.25" customHeight="1" x14ac:dyDescent="0.2">
      <c r="E114" s="18" t="str">
        <f t="shared" si="0"/>
        <v>End of tournament (final round 3):</v>
      </c>
      <c r="F114" s="180" t="s">
        <v>286</v>
      </c>
      <c r="G114" s="181" t="s">
        <v>287</v>
      </c>
      <c r="H114" s="182"/>
    </row>
    <row r="115" spans="5:8" ht="17.25" customHeight="1" x14ac:dyDescent="0.2">
      <c r="E115" s="18" t="str">
        <f t="shared" si="0"/>
        <v>End of tournament (final round 4):</v>
      </c>
      <c r="F115" s="180" t="s">
        <v>306</v>
      </c>
      <c r="G115" s="181" t="s">
        <v>307</v>
      </c>
      <c r="H115" s="182"/>
    </row>
    <row r="116" spans="5:8" ht="17.25" customHeight="1" x14ac:dyDescent="0.2">
      <c r="E116" s="18">
        <f t="shared" si="0"/>
        <v>0</v>
      </c>
      <c r="F116" s="180"/>
      <c r="G116" s="181"/>
      <c r="H116" s="182"/>
    </row>
    <row r="117" spans="5:8" ht="17.25" customHeight="1" x14ac:dyDescent="0.2">
      <c r="E117" s="18" t="str">
        <f t="shared" si="0"/>
        <v xml:space="preserve">TIME CONFLICT for team </v>
      </c>
      <c r="F117" s="180" t="s">
        <v>266</v>
      </c>
      <c r="G117" s="181" t="s">
        <v>267</v>
      </c>
      <c r="H117" s="182"/>
    </row>
    <row r="118" spans="5:8" ht="17.25" customHeight="1" x14ac:dyDescent="0.2">
      <c r="E118" s="18" t="str">
        <f t="shared" si="0"/>
        <v xml:space="preserve">in matches </v>
      </c>
      <c r="F118" s="180" t="s">
        <v>268</v>
      </c>
      <c r="G118" s="181" t="s">
        <v>269</v>
      </c>
      <c r="H118" s="182"/>
    </row>
    <row r="119" spans="5:8" ht="17.25" customHeight="1" x14ac:dyDescent="0.2">
      <c r="E119" s="18" t="str">
        <f t="shared" si="0"/>
        <v xml:space="preserve"> and </v>
      </c>
      <c r="F119" s="180" t="s">
        <v>270</v>
      </c>
      <c r="G119" s="181" t="s">
        <v>271</v>
      </c>
      <c r="H119" s="182"/>
    </row>
    <row r="120" spans="5:8" ht="31.5" customHeight="1" x14ac:dyDescent="0.2">
      <c r="E120" s="18" t="str">
        <f t="shared" si="0"/>
        <v>TIME CONFLICT
Too many pitches!</v>
      </c>
      <c r="F120" s="180" t="s">
        <v>259</v>
      </c>
      <c r="G120" s="181" t="s">
        <v>260</v>
      </c>
      <c r="H120" s="182"/>
    </row>
    <row r="121" spans="5:8" ht="17.25" customHeight="1" x14ac:dyDescent="0.2">
      <c r="E121" s="18" t="str">
        <f t="shared" si="0"/>
        <v>Winner</v>
      </c>
      <c r="F121" s="180" t="s">
        <v>331</v>
      </c>
      <c r="G121" s="181" t="s">
        <v>332</v>
      </c>
      <c r="H121" s="182"/>
    </row>
    <row r="122" spans="5:8" ht="17.25" customHeight="1" x14ac:dyDescent="0.2">
      <c r="E122" s="18" t="str">
        <f t="shared" si="0"/>
        <v>Display in the crosstabs of the preliminary round:</v>
      </c>
      <c r="F122" s="180" t="s">
        <v>345</v>
      </c>
      <c r="G122" s="181" t="s">
        <v>346</v>
      </c>
      <c r="H122" s="182"/>
    </row>
    <row r="123" spans="5:8" ht="17.25" customHeight="1" x14ac:dyDescent="0.2">
      <c r="E123" s="18" t="str">
        <f t="shared" si="0"/>
        <v>Ball points</v>
      </c>
      <c r="F123" s="180" t="s">
        <v>347</v>
      </c>
      <c r="G123" s="181" t="s">
        <v>348</v>
      </c>
      <c r="H123" s="182"/>
    </row>
    <row r="124" spans="5:8" ht="17.25" customHeight="1" x14ac:dyDescent="0.2">
      <c r="E124" s="18" t="str">
        <f t="shared" si="0"/>
        <v>Set points</v>
      </c>
      <c r="F124" s="180" t="s">
        <v>349</v>
      </c>
      <c r="G124" s="181" t="s">
        <v>350</v>
      </c>
      <c r="H124" s="182"/>
    </row>
    <row r="125" spans="5:8" ht="30" customHeight="1" x14ac:dyDescent="0.2">
      <c r="E125" s="18" t="str">
        <f t="shared" si="0"/>
        <v>Is a draw possible in individual sets during the preliminary round?</v>
      </c>
      <c r="F125" s="180" t="s">
        <v>416</v>
      </c>
      <c r="G125" s="181" t="s">
        <v>415</v>
      </c>
      <c r="H125" s="182"/>
    </row>
    <row r="126" spans="5:8" ht="28.5" customHeight="1" x14ac:dyDescent="0.2">
      <c r="E126" s="18" t="str">
        <f t="shared" si="0"/>
        <v>A draw results in 0.5 set points per team.</v>
      </c>
      <c r="F126" s="180" t="s">
        <v>412</v>
      </c>
      <c r="G126" s="181" t="s">
        <v>411</v>
      </c>
      <c r="H126" s="182"/>
    </row>
    <row r="127" spans="5:8" ht="29.25" customHeight="1" x14ac:dyDescent="0.2">
      <c r="E127" s="18" t="str">
        <f t="shared" si="0"/>
        <v>Is a draw possible in individual sets during the final round?</v>
      </c>
      <c r="F127" s="180" t="s">
        <v>418</v>
      </c>
      <c r="G127" s="181" t="s">
        <v>417</v>
      </c>
      <c r="H127" s="182"/>
    </row>
    <row r="128" spans="5:8" ht="17.25" customHeight="1" x14ac:dyDescent="0.2">
      <c r="E128" s="18">
        <f t="shared" si="0"/>
        <v>0</v>
      </c>
      <c r="F128" s="180"/>
      <c r="G128" s="181"/>
      <c r="H128" s="182"/>
    </row>
    <row r="129" spans="5:9" ht="17.25" customHeight="1" x14ac:dyDescent="0.2">
      <c r="E129" s="18">
        <f t="shared" si="0"/>
        <v>0</v>
      </c>
      <c r="F129" s="180"/>
      <c r="G129" s="181"/>
      <c r="H129" s="182"/>
    </row>
    <row r="130" spans="5:9" ht="18.75" customHeight="1" thickBot="1" x14ac:dyDescent="0.25">
      <c r="E130" s="18">
        <f t="shared" si="0"/>
        <v>0</v>
      </c>
      <c r="F130" s="176"/>
      <c r="G130" s="174"/>
      <c r="H130" s="177"/>
    </row>
    <row r="131" spans="5:9" ht="13.5" thickTop="1" x14ac:dyDescent="0.2"/>
    <row r="132" spans="5:9" x14ac:dyDescent="0.2"/>
    <row r="133" spans="5:9" x14ac:dyDescent="0.2"/>
    <row r="134" spans="5:9" hidden="1" x14ac:dyDescent="0.2"/>
    <row r="135" spans="5:9" hidden="1" x14ac:dyDescent="0.2">
      <c r="I135" s="49"/>
    </row>
  </sheetData>
  <sheetProtection sheet="1" selectLockedCells="1"/>
  <mergeCells count="7">
    <mergeCell ref="F1:H1"/>
    <mergeCell ref="H3:H4"/>
    <mergeCell ref="F2:G2"/>
    <mergeCell ref="D3:D4"/>
    <mergeCell ref="E3:E4"/>
    <mergeCell ref="F3:F4"/>
    <mergeCell ref="G3:G4"/>
  </mergeCells>
  <conditionalFormatting sqref="F3:F4">
    <cfRule type="expression" dxfId="3" priority="7">
      <formula>C3</formula>
    </cfRule>
  </conditionalFormatting>
  <conditionalFormatting sqref="G3:G4">
    <cfRule type="expression" dxfId="2" priority="3">
      <formula>C4</formula>
    </cfRule>
  </conditionalFormatting>
  <conditionalFormatting sqref="D3:D4">
    <cfRule type="expression" dxfId="1" priority="84">
      <formula>#REF!</formula>
    </cfRule>
  </conditionalFormatting>
  <conditionalFormatting sqref="H3:H4">
    <cfRule type="expression" dxfId="0" priority="85">
      <formula>C5</formula>
    </cfRule>
  </conditionalFormatting>
  <dataValidations count="3">
    <dataValidation allowBlank="1" showErrorMessage="1" errorTitle="Language" error="Invalid language" promptTitle="Language" prompt="Please choose a language for the country names" sqref="I3" xr:uid="{D74F54ED-A484-497F-B60B-4572799DBFBF}"/>
    <dataValidation type="whole" allowBlank="1" showInputMessage="1" showErrorMessage="1" sqref="J2" xr:uid="{3B6319A8-0080-4C57-8EFB-9F91E387C351}">
      <formula1>1</formula1>
      <formula2>5</formula2>
    </dataValidation>
    <dataValidation type="list" allowBlank="1" showErrorMessage="1" errorTitle="Language" error="Invalid language" sqref="J1" xr:uid="{D7322420-D554-4832-9E07-C0DBCDC53145}">
      <formula1>$B$3:$B$5</formula1>
    </dataValidation>
  </dataValidation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1416D-7B80-4C65-81A2-91AD7854394B}">
  <dimension ref="A1:I46"/>
  <sheetViews>
    <sheetView showGridLines="0" showRowColHeaders="0" workbookViewId="0">
      <selection activeCell="B9" sqref="B9"/>
    </sheetView>
  </sheetViews>
  <sheetFormatPr baseColWidth="10" defaultColWidth="0" defaultRowHeight="12.75" zeroHeight="1" x14ac:dyDescent="0.2"/>
  <cols>
    <col min="1" max="1" width="11.42578125" style="644" customWidth="1"/>
    <col min="2" max="2" width="35.5703125" style="646" customWidth="1"/>
    <col min="3" max="3" width="7.28515625" style="646" customWidth="1"/>
    <col min="4" max="5" width="11.42578125" style="646" customWidth="1"/>
    <col min="6" max="7" width="11.42578125" style="646" hidden="1" customWidth="1"/>
    <col min="8" max="8" width="13.42578125" style="646" hidden="1" customWidth="1"/>
    <col min="9" max="9" width="0" style="646" hidden="1" customWidth="1"/>
    <col min="10" max="16384" width="11.42578125" style="646" hidden="1"/>
  </cols>
  <sheetData>
    <row r="1" spans="1:9" ht="26.25" x14ac:dyDescent="0.4">
      <c r="B1" s="645" t="str">
        <f>Language!$E$51</f>
        <v>Settings</v>
      </c>
    </row>
    <row r="2" spans="1:9" x14ac:dyDescent="0.2"/>
    <row r="3" spans="1:9" x14ac:dyDescent="0.2"/>
    <row r="4" spans="1:9" x14ac:dyDescent="0.2">
      <c r="A4" s="647" t="s">
        <v>6</v>
      </c>
      <c r="B4" s="648" t="str">
        <f>Language!$E$52</f>
        <v>Number of points for a win:</v>
      </c>
      <c r="C4" s="649">
        <v>2</v>
      </c>
    </row>
    <row r="5" spans="1:9" x14ac:dyDescent="0.2"/>
    <row r="6" spans="1:9" x14ac:dyDescent="0.2"/>
    <row r="7" spans="1:9" x14ac:dyDescent="0.2">
      <c r="A7" s="647" t="s">
        <v>7</v>
      </c>
      <c r="B7" s="650" t="str">
        <f>Language!$E$81</f>
        <v>First criterion for the ranking:</v>
      </c>
    </row>
    <row r="8" spans="1:9" x14ac:dyDescent="0.2">
      <c r="H8" s="651" t="s">
        <v>196</v>
      </c>
      <c r="I8" s="651"/>
    </row>
    <row r="9" spans="1:9" ht="21.75" customHeight="1" x14ac:dyDescent="0.2">
      <c r="B9" s="652" t="s">
        <v>376</v>
      </c>
      <c r="G9" s="653" t="b">
        <f>($B$9=Language!$E$82)</f>
        <v>0</v>
      </c>
      <c r="H9" s="653">
        <f>IF(G9,8,44)</f>
        <v>44</v>
      </c>
      <c r="I9" s="653"/>
    </row>
    <row r="10" spans="1:9" x14ac:dyDescent="0.2">
      <c r="G10" s="654"/>
    </row>
    <row r="11" spans="1:9" x14ac:dyDescent="0.2"/>
    <row r="12" spans="1:9" x14ac:dyDescent="0.2">
      <c r="A12" s="647" t="s">
        <v>8</v>
      </c>
      <c r="B12" s="650" t="str">
        <f>Language!$E$77</f>
        <v>Set difference as the second criterion?</v>
      </c>
    </row>
    <row r="13" spans="1:9" x14ac:dyDescent="0.2"/>
    <row r="14" spans="1:9" ht="21.75" customHeight="1" x14ac:dyDescent="0.2">
      <c r="B14" s="652" t="s">
        <v>370</v>
      </c>
      <c r="G14" s="653" t="b">
        <f>($B$14=Language!$E$78)</f>
        <v>0</v>
      </c>
    </row>
    <row r="15" spans="1:9" x14ac:dyDescent="0.2"/>
    <row r="16" spans="1:9" x14ac:dyDescent="0.2"/>
    <row r="17" spans="1:8" x14ac:dyDescent="0.2">
      <c r="A17" s="647" t="s">
        <v>9</v>
      </c>
      <c r="B17" s="650" t="str">
        <f>Language!$E$84</f>
        <v>Sets won as the third criterion?</v>
      </c>
    </row>
    <row r="18" spans="1:8" ht="18.75" customHeight="1" x14ac:dyDescent="0.2">
      <c r="B18" s="655" t="str">
        <f>Language!$E$85</f>
        <v>Only makes sense if the number of (victory) points is the first criterion</v>
      </c>
    </row>
    <row r="19" spans="1:8" ht="21.75" customHeight="1" x14ac:dyDescent="0.2">
      <c r="B19" s="652" t="s">
        <v>370</v>
      </c>
      <c r="G19" s="653" t="b">
        <f>($B$19=Language!$E$78)</f>
        <v>0</v>
      </c>
    </row>
    <row r="20" spans="1:8" x14ac:dyDescent="0.2"/>
    <row r="21" spans="1:8" x14ac:dyDescent="0.2"/>
    <row r="22" spans="1:8" x14ac:dyDescent="0.2">
      <c r="A22" s="647" t="s">
        <v>10</v>
      </c>
      <c r="B22" s="650" t="str">
        <f>Language!$E$72</f>
        <v>Ball difference or ball quotient:</v>
      </c>
      <c r="C22" s="656"/>
    </row>
    <row r="23" spans="1:8" x14ac:dyDescent="0.2">
      <c r="B23" s="656"/>
      <c r="C23" s="656"/>
      <c r="F23" s="651" t="s">
        <v>342</v>
      </c>
      <c r="G23" s="651" t="s">
        <v>341</v>
      </c>
      <c r="H23" s="651" t="s">
        <v>344</v>
      </c>
    </row>
    <row r="24" spans="1:8" ht="21.75" customHeight="1" x14ac:dyDescent="0.2">
      <c r="B24" s="652" t="s">
        <v>338</v>
      </c>
      <c r="C24" s="656"/>
      <c r="F24" s="653">
        <v>499</v>
      </c>
      <c r="G24" s="653" t="b">
        <f>($B$24=Language!$E$73)</f>
        <v>0</v>
      </c>
      <c r="H24" s="653">
        <v>3</v>
      </c>
    </row>
    <row r="25" spans="1:8" x14ac:dyDescent="0.2"/>
    <row r="26" spans="1:8" x14ac:dyDescent="0.2">
      <c r="B26" s="657"/>
      <c r="C26" s="657"/>
      <c r="D26" s="657"/>
    </row>
    <row r="27" spans="1:8" x14ac:dyDescent="0.2">
      <c r="A27" s="647" t="s">
        <v>11</v>
      </c>
      <c r="B27" s="650" t="str">
        <f>Language!$E$88</f>
        <v>Display in the crosstabs of the preliminary round:</v>
      </c>
      <c r="C27" s="657"/>
      <c r="D27" s="657"/>
    </row>
    <row r="28" spans="1:8" x14ac:dyDescent="0.2">
      <c r="B28" s="657"/>
      <c r="C28" s="657"/>
      <c r="D28" s="657"/>
      <c r="G28" s="658" t="s">
        <v>351</v>
      </c>
      <c r="H28" s="658"/>
    </row>
    <row r="29" spans="1:8" ht="21.75" customHeight="1" x14ac:dyDescent="0.2">
      <c r="B29" s="652" t="s">
        <v>350</v>
      </c>
      <c r="C29" s="659"/>
      <c r="D29" s="659"/>
      <c r="F29" s="653"/>
      <c r="G29" s="653">
        <f>IF($B$29=Language!$E$75,3,4)</f>
        <v>4</v>
      </c>
      <c r="H29" s="653"/>
    </row>
    <row r="30" spans="1:8" x14ac:dyDescent="0.2"/>
    <row r="31" spans="1:8" x14ac:dyDescent="0.2"/>
    <row r="32" spans="1:8" x14ac:dyDescent="0.2"/>
    <row r="33" spans="1:4" x14ac:dyDescent="0.2">
      <c r="A33" s="647" t="s">
        <v>16</v>
      </c>
      <c r="B33" s="646" t="str">
        <f>Language!$E$105</f>
        <v>Abbreviations of the team names:</v>
      </c>
      <c r="C33" s="649">
        <v>7</v>
      </c>
      <c r="D33" s="646" t="str">
        <f>Language!$E$106</f>
        <v>letters</v>
      </c>
    </row>
    <row r="34" spans="1:4" x14ac:dyDescent="0.2"/>
    <row r="35" spans="1:4" x14ac:dyDescent="0.2"/>
    <row r="36" spans="1:4" x14ac:dyDescent="0.2">
      <c r="A36" s="647" t="s">
        <v>17</v>
      </c>
      <c r="B36" s="650" t="str">
        <f>Language!$E$125</f>
        <v>Is a draw possible in individual sets during the preliminary round?</v>
      </c>
    </row>
    <row r="37" spans="1:4" ht="21.75" customHeight="1" x14ac:dyDescent="0.2">
      <c r="B37" s="816" t="str">
        <f>Language!$E$126</f>
        <v>A draw results in 0.5 set points per team.</v>
      </c>
    </row>
    <row r="38" spans="1:4" ht="21.75" customHeight="1" x14ac:dyDescent="0.2">
      <c r="B38" s="652" t="s">
        <v>370</v>
      </c>
    </row>
    <row r="39" spans="1:4" x14ac:dyDescent="0.2"/>
    <row r="40" spans="1:4" x14ac:dyDescent="0.2"/>
    <row r="41" spans="1:4" x14ac:dyDescent="0.2">
      <c r="A41" s="647" t="s">
        <v>18</v>
      </c>
      <c r="B41" s="650" t="str">
        <f>Language!$E$127</f>
        <v>Is a draw possible in individual sets during the final round?</v>
      </c>
    </row>
    <row r="42" spans="1:4" ht="21.75" customHeight="1" x14ac:dyDescent="0.2">
      <c r="B42" s="816" t="str">
        <f>Language!$E$126</f>
        <v>A draw results in 0.5 set points per team.</v>
      </c>
    </row>
    <row r="43" spans="1:4" ht="21.75" customHeight="1" x14ac:dyDescent="0.2">
      <c r="B43" s="652" t="s">
        <v>370</v>
      </c>
    </row>
    <row r="44" spans="1:4" x14ac:dyDescent="0.2"/>
    <row r="45" spans="1:4" x14ac:dyDescent="0.2"/>
    <row r="46" spans="1:4" x14ac:dyDescent="0.2"/>
  </sheetData>
  <sheetProtection sheet="1" selectLockedCells="1"/>
  <dataValidations count="1">
    <dataValidation type="whole" allowBlank="1" showInputMessage="1" showErrorMessage="1" sqref="C4" xr:uid="{73539F3F-5B0D-4BF2-8FC4-FA4177B3BE4D}">
      <formula1>1</formula1>
      <formula2>9</formula2>
    </dataValidation>
  </dataValidations>
  <pageMargins left="0.7" right="0.7" top="0.78740157499999996" bottom="0.78740157499999996" header="0.3" footer="0.3"/>
  <pageSetup paperSize="9" orientation="portrait" horizontalDpi="4294967293" verticalDpi="0" r:id="rId1"/>
  <extLst>
    <ext xmlns:x14="http://schemas.microsoft.com/office/spreadsheetml/2009/9/main" uri="{CCE6A557-97BC-4b89-ADB6-D9C93CAAB3DF}">
      <x14:dataValidations xmlns:xm="http://schemas.microsoft.com/office/excel/2006/main" count="4">
        <x14:dataValidation type="list" allowBlank="1" showInputMessage="1" showErrorMessage="1" xr:uid="{236F6DD2-E79E-408D-AA7B-46FCD6CDCC7C}">
          <x14:formula1>
            <xm:f>Language!$E$78:$E$79</xm:f>
          </x14:formula1>
          <xm:sqref>B14 B19 B38 B43</xm:sqref>
        </x14:dataValidation>
        <x14:dataValidation type="list" allowBlank="1" showInputMessage="1" showErrorMessage="1" xr:uid="{CB5C52DA-15AE-46D0-9BEE-E06220FC584A}">
          <x14:formula1>
            <xm:f>Language!$E$73:$E$74</xm:f>
          </x14:formula1>
          <xm:sqref>B24</xm:sqref>
        </x14:dataValidation>
        <x14:dataValidation type="list" allowBlank="1" showInputMessage="1" showErrorMessage="1" xr:uid="{C703A6DD-3A9F-46BE-AD11-CFBD2F23A779}">
          <x14:formula1>
            <xm:f>Language!$E$75:$E$76</xm:f>
          </x14:formula1>
          <xm:sqref>B29</xm:sqref>
        </x14:dataValidation>
        <x14:dataValidation type="list" allowBlank="1" showInputMessage="1" showErrorMessage="1" xr:uid="{A1875E5F-A460-4682-B239-D43927A2C15E}">
          <x14:formula1>
            <xm:f>Language!$E$82:$E$83</xm:f>
          </x14:formula1>
          <xm:sqref>B9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65712-DCE9-4E71-9304-725BD32C74E3}">
  <dimension ref="A1:W105"/>
  <sheetViews>
    <sheetView showGridLines="0" showRowColHeaders="0" workbookViewId="0"/>
  </sheetViews>
  <sheetFormatPr baseColWidth="10" defaultColWidth="0" defaultRowHeight="12.75" zeroHeight="1" x14ac:dyDescent="0.2"/>
  <cols>
    <col min="1" max="23" width="11.42578125" customWidth="1"/>
    <col min="24" max="16384" width="11.42578125" hidden="1"/>
  </cols>
  <sheetData>
    <row r="1" spans="1:1" x14ac:dyDescent="0.2">
      <c r="A1" s="18"/>
    </row>
    <row r="2" spans="1:1" x14ac:dyDescent="0.2"/>
    <row r="3" spans="1:1" x14ac:dyDescent="0.2"/>
    <row r="4" spans="1:1" x14ac:dyDescent="0.2"/>
    <row r="5" spans="1:1" x14ac:dyDescent="0.2"/>
    <row r="6" spans="1:1" x14ac:dyDescent="0.2"/>
    <row r="7" spans="1:1" x14ac:dyDescent="0.2"/>
    <row r="8" spans="1:1" x14ac:dyDescent="0.2"/>
    <row r="9" spans="1:1" x14ac:dyDescent="0.2"/>
    <row r="10" spans="1:1" x14ac:dyDescent="0.2"/>
    <row r="11" spans="1:1" x14ac:dyDescent="0.2"/>
    <row r="12" spans="1:1" x14ac:dyDescent="0.2"/>
    <row r="13" spans="1:1" x14ac:dyDescent="0.2"/>
    <row r="14" spans="1:1" x14ac:dyDescent="0.2"/>
    <row r="15" spans="1:1" x14ac:dyDescent="0.2"/>
    <row r="16" spans="1:1"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spans="4:20" x14ac:dyDescent="0.2"/>
    <row r="98" spans="4:20" x14ac:dyDescent="0.2"/>
    <row r="99" spans="4:20" x14ac:dyDescent="0.2"/>
    <row r="100" spans="4:20" x14ac:dyDescent="0.2">
      <c r="D100" s="1020"/>
      <c r="E100" s="1021"/>
      <c r="F100" s="1021"/>
      <c r="G100" s="1021"/>
      <c r="H100" s="1021"/>
      <c r="I100" s="1022"/>
      <c r="O100" s="1020"/>
      <c r="P100" s="1021"/>
      <c r="Q100" s="1021"/>
      <c r="R100" s="1021"/>
      <c r="S100" s="1021"/>
      <c r="T100" s="1022"/>
    </row>
    <row r="101" spans="4:20" x14ac:dyDescent="0.2">
      <c r="D101" s="1023" t="s">
        <v>133</v>
      </c>
      <c r="E101" s="1024"/>
      <c r="F101" s="1024"/>
      <c r="G101" s="1024"/>
      <c r="H101" s="1024"/>
      <c r="I101" s="1025"/>
      <c r="O101" s="1023" t="s">
        <v>57</v>
      </c>
      <c r="P101" s="1024"/>
      <c r="Q101" s="1024"/>
      <c r="R101" s="1024"/>
      <c r="S101" s="1024"/>
      <c r="T101" s="1025"/>
    </row>
    <row r="102" spans="4:20" x14ac:dyDescent="0.2">
      <c r="D102" s="1026" t="s">
        <v>56</v>
      </c>
      <c r="E102" s="1027"/>
      <c r="F102" s="1027"/>
      <c r="G102" s="1027"/>
      <c r="H102" s="1027"/>
      <c r="I102" s="1028"/>
      <c r="O102" s="1026" t="s">
        <v>56</v>
      </c>
      <c r="P102" s="1027"/>
      <c r="Q102" s="1027"/>
      <c r="R102" s="1027"/>
      <c r="S102" s="1027"/>
      <c r="T102" s="1028"/>
    </row>
    <row r="103" spans="4:20" x14ac:dyDescent="0.2">
      <c r="D103" s="1017"/>
      <c r="E103" s="1018"/>
      <c r="F103" s="1018"/>
      <c r="G103" s="1018"/>
      <c r="H103" s="1018"/>
      <c r="I103" s="1019"/>
      <c r="O103" s="1017"/>
      <c r="P103" s="1018"/>
      <c r="Q103" s="1018"/>
      <c r="R103" s="1018"/>
      <c r="S103" s="1018"/>
      <c r="T103" s="1019"/>
    </row>
    <row r="104" spans="4:20" x14ac:dyDescent="0.2"/>
    <row r="105" spans="4:20" x14ac:dyDescent="0.2"/>
  </sheetData>
  <sheetProtection sheet="1" objects="1" scenarios="1" selectLockedCells="1"/>
  <mergeCells count="8">
    <mergeCell ref="D103:I103"/>
    <mergeCell ref="O103:T103"/>
    <mergeCell ref="D100:I100"/>
    <mergeCell ref="O100:T100"/>
    <mergeCell ref="D101:I101"/>
    <mergeCell ref="O101:T101"/>
    <mergeCell ref="D102:I102"/>
    <mergeCell ref="O102:T102"/>
  </mergeCells>
  <hyperlinks>
    <hyperlink ref="O102" r:id="rId1" xr:uid="{55937A80-9C4A-46EE-947A-5C44D9C59390}"/>
    <hyperlink ref="D102" r:id="rId2" xr:uid="{A5CE8088-4DF3-41BB-9B6B-B61142172C00}"/>
  </hyperlinks>
  <pageMargins left="0.7" right="0.7" top="0.78740157499999996" bottom="0.78740157499999996" header="0.3" footer="0.3"/>
  <pageSetup paperSize="9" orientation="portrait" horizontalDpi="4294967293" verticalDpi="0"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3F50E-742C-4CFD-A1E3-555EF3555B36}">
  <dimension ref="A1:CB208"/>
  <sheetViews>
    <sheetView zoomScaleNormal="100" workbookViewId="0"/>
  </sheetViews>
  <sheetFormatPr baseColWidth="10" defaultColWidth="2.7109375" defaultRowHeight="12" x14ac:dyDescent="0.2"/>
  <cols>
    <col min="1" max="2" width="4.7109375" style="762" customWidth="1"/>
    <col min="3" max="3" width="8.140625" style="762" customWidth="1"/>
    <col min="4" max="4" width="6.85546875" style="762" customWidth="1"/>
    <col min="5" max="5" width="7.140625" style="762" customWidth="1"/>
    <col min="6" max="6" width="11.28515625" style="762" customWidth="1"/>
    <col min="7" max="7" width="9.5703125" style="762" customWidth="1"/>
    <col min="8" max="8" width="6.42578125" style="762" customWidth="1"/>
    <col min="9" max="9" width="9.28515625" style="762" customWidth="1"/>
    <col min="10" max="10" width="8.28515625" style="762" customWidth="1"/>
    <col min="11" max="11" width="10.85546875" style="762" customWidth="1"/>
    <col min="12" max="12" width="16.28515625" style="762" customWidth="1"/>
    <col min="13" max="13" width="6.28515625" style="762" customWidth="1"/>
    <col min="14" max="14" width="7.140625" style="762" customWidth="1"/>
    <col min="15" max="15" width="9.85546875" style="762" customWidth="1"/>
    <col min="16" max="16" width="12.42578125" style="762" customWidth="1"/>
    <col min="17" max="17" width="21" style="762" customWidth="1"/>
    <col min="18" max="18" width="8" style="762" customWidth="1"/>
    <col min="19" max="19" width="7.42578125" style="762" customWidth="1"/>
    <col min="20" max="20" width="6" style="762" customWidth="1"/>
    <col min="21" max="21" width="5.7109375" style="762" customWidth="1"/>
    <col min="22" max="22" width="17.5703125" style="762" customWidth="1"/>
    <col min="23" max="23" width="21.140625" style="762" customWidth="1"/>
    <col min="24" max="24" width="8.42578125" style="762" customWidth="1"/>
    <col min="25" max="25" width="9.28515625" style="762" customWidth="1"/>
    <col min="26" max="26" width="14.42578125" style="762" customWidth="1"/>
    <col min="27" max="27" width="8.7109375" style="762" customWidth="1"/>
    <col min="28" max="28" width="8.85546875" style="762" customWidth="1"/>
    <col min="29" max="29" width="12.5703125" style="762" customWidth="1"/>
    <col min="30" max="30" width="10.5703125" style="762" customWidth="1"/>
    <col min="31" max="31" width="12.5703125" style="762" customWidth="1"/>
    <col min="32" max="32" width="8" style="762" customWidth="1"/>
    <col min="33" max="33" width="9" style="762" customWidth="1"/>
    <col min="34" max="34" width="10" style="762" customWidth="1"/>
    <col min="35" max="35" width="9.28515625" style="762" customWidth="1"/>
    <col min="36" max="36" width="8" style="762" customWidth="1"/>
    <col min="37" max="39" width="4.7109375" style="762" customWidth="1"/>
    <col min="40" max="40" width="8.5703125" style="762" customWidth="1"/>
    <col min="41" max="41" width="9" style="762" customWidth="1"/>
    <col min="42" max="43" width="4.7109375" style="762" customWidth="1"/>
    <col min="44" max="45" width="8.42578125" style="762" customWidth="1"/>
    <col min="46" max="46" width="8.140625" style="762" customWidth="1"/>
    <col min="47" max="47" width="8.5703125" style="762" customWidth="1"/>
    <col min="48" max="48" width="8.28515625" style="762" customWidth="1"/>
    <col min="49" max="49" width="8.5703125" style="762" customWidth="1"/>
    <col min="50" max="50" width="7.7109375" style="762" customWidth="1"/>
    <col min="51" max="69" width="4.7109375" style="762" customWidth="1"/>
    <col min="70" max="80" width="6.7109375" style="762" customWidth="1"/>
    <col min="81" max="16384" width="2.7109375" style="762"/>
  </cols>
  <sheetData>
    <row r="1" spans="1:50" s="660" customFormat="1" x14ac:dyDescent="0.2"/>
    <row r="2" spans="1:50" s="660" customFormat="1" x14ac:dyDescent="0.2">
      <c r="B2" s="661"/>
      <c r="C2" s="661"/>
      <c r="D2" s="661"/>
      <c r="E2" s="661"/>
      <c r="F2" s="662"/>
      <c r="G2" s="662"/>
      <c r="H2" s="662"/>
      <c r="I2" s="662"/>
      <c r="J2" s="662"/>
      <c r="K2" s="662"/>
      <c r="L2" s="662"/>
      <c r="M2" s="662"/>
      <c r="N2" s="661"/>
      <c r="O2" s="662"/>
      <c r="P2" s="662"/>
      <c r="Q2" s="662"/>
      <c r="W2" s="660" t="s">
        <v>147</v>
      </c>
      <c r="AV2" s="663" t="s">
        <v>387</v>
      </c>
    </row>
    <row r="3" spans="1:50" s="660" customFormat="1" ht="13.5" customHeight="1" thickBot="1" x14ac:dyDescent="0.25">
      <c r="B3" s="662"/>
      <c r="C3" s="661"/>
      <c r="D3" s="661"/>
      <c r="E3" s="661"/>
      <c r="F3" s="661"/>
      <c r="G3" s="664" t="s">
        <v>105</v>
      </c>
      <c r="H3" s="664" t="s">
        <v>106</v>
      </c>
      <c r="I3" s="665" t="s">
        <v>388</v>
      </c>
      <c r="J3" s="666" t="s">
        <v>108</v>
      </c>
      <c r="K3" s="665" t="s">
        <v>101</v>
      </c>
      <c r="L3" s="666" t="s">
        <v>102</v>
      </c>
      <c r="M3" s="666" t="s">
        <v>103</v>
      </c>
      <c r="N3" s="666" t="s">
        <v>104</v>
      </c>
      <c r="O3" s="667">
        <f t="shared" ref="O3:V3" ca="1" si="0">IF(9-COUNTIF(O$17:O$25,"")&gt;1,O$16,99999)</f>
        <v>99999</v>
      </c>
      <c r="P3" s="668">
        <f t="shared" ca="1" si="0"/>
        <v>99999</v>
      </c>
      <c r="Q3" s="668">
        <f t="shared" ca="1" si="0"/>
        <v>99999</v>
      </c>
      <c r="R3" s="668">
        <f t="shared" ca="1" si="0"/>
        <v>99999</v>
      </c>
      <c r="S3" s="668">
        <f t="shared" ca="1" si="0"/>
        <v>99999</v>
      </c>
      <c r="T3" s="668">
        <f t="shared" ca="1" si="0"/>
        <v>99999</v>
      </c>
      <c r="U3" s="668">
        <f t="shared" ca="1" si="0"/>
        <v>99999</v>
      </c>
      <c r="V3" s="668">
        <f t="shared" ca="1" si="0"/>
        <v>99999</v>
      </c>
      <c r="W3" s="1029">
        <f ca="1">IF($O$4&lt;10,$O$4,0)</f>
        <v>0</v>
      </c>
      <c r="X3" s="1030"/>
      <c r="Y3" s="1030"/>
      <c r="Z3" s="1030"/>
      <c r="AA3" s="1030"/>
      <c r="AB3" s="1029">
        <f ca="1">IF($P$4&lt;10,$P$4,0)</f>
        <v>0</v>
      </c>
      <c r="AC3" s="1030"/>
      <c r="AD3" s="1030"/>
      <c r="AE3" s="1030"/>
      <c r="AF3" s="1030"/>
      <c r="AG3" s="1029">
        <f ca="1">IF($Q$4&lt;10,$Q$4,0)</f>
        <v>0</v>
      </c>
      <c r="AH3" s="1030"/>
      <c r="AI3" s="1030"/>
      <c r="AJ3" s="1030"/>
      <c r="AK3" s="1030"/>
      <c r="AL3" s="1029">
        <f ca="1">IF($R$4&lt;10,$R$4,0)</f>
        <v>0</v>
      </c>
      <c r="AM3" s="1030"/>
      <c r="AN3" s="1030"/>
      <c r="AO3" s="1030"/>
      <c r="AP3" s="1030"/>
      <c r="AS3" s="666" t="s">
        <v>358</v>
      </c>
      <c r="AT3" s="666" t="s">
        <v>317</v>
      </c>
      <c r="AU3" s="666" t="s">
        <v>389</v>
      </c>
      <c r="AV3" s="666" t="s">
        <v>357</v>
      </c>
      <c r="AW3" s="666"/>
      <c r="AX3" s="666" t="s">
        <v>390</v>
      </c>
    </row>
    <row r="4" spans="1:50" s="660" customFormat="1" ht="12.75" thickTop="1" x14ac:dyDescent="0.2">
      <c r="A4" s="669"/>
      <c r="B4" s="662">
        <v>1</v>
      </c>
      <c r="C4" s="670">
        <f ca="1">RANK(D4,$D$4:$D$12,1)</f>
        <v>3</v>
      </c>
      <c r="D4" s="661">
        <f ca="1">E4+ROW()/1000+(F4="")*10</f>
        <v>3.004</v>
      </c>
      <c r="E4" s="671">
        <f ca="1">IF($AI$15,RANK(AH17,AH$17:AH$25,1),RANK(X17,X$17:X$25,1))</f>
        <v>3</v>
      </c>
      <c r="F4" s="662" t="str">
        <f>$Q64</f>
        <v>1. FC Riedwald</v>
      </c>
      <c r="G4" s="662">
        <f ca="1">SUMIFS($AH$64:$AH$135,$V$64:$V$135,$F4)+SUMIFS($AI$64:$AI$135,$W$64:$W$135,$F4)</f>
        <v>177</v>
      </c>
      <c r="H4" s="662">
        <f ca="1">SUMIFS($AI$64:$AI$135,$V$64:$V$135,$F4)+SUMIFS($AH$64:$AH$135,$W$64:$W$135,$F4)</f>
        <v>176</v>
      </c>
      <c r="I4" s="661">
        <f ca="1">IF(Settings!$G$24,G4-H4,IF(H4=0,IF(G4=0,0,Settings!$F$24),G4/H4))</f>
        <v>1.0056818181818181</v>
      </c>
      <c r="J4" s="662">
        <f ca="1">$L4*Settings!$C$4+$M4</f>
        <v>4</v>
      </c>
      <c r="K4" s="662">
        <f ca="1">SUMPRODUCT(($V$64:$V$135=F4)*($AJ$64:$AJ$135&lt;&gt;"")*$AA$64:$AA$135)+SUMPRODUCT(($W$64:$W$135=F4)*($AK$64:$AK$135&lt;&gt;"")*$AA$64:$AA$135)</f>
        <v>4</v>
      </c>
      <c r="L4" s="662">
        <f ca="1">SUMPRODUCT(($V$64:$V$135=F4)*($AJ$64:$AJ$135&gt;$AK$64:$AK$135)*$AA$64:$AA$135)+SUMPRODUCT(($W$64:$W$135=F4)*($AJ$64:$AJ$135&lt;$AK$64:$AK$135)*$AA$64:$AA$135)</f>
        <v>1</v>
      </c>
      <c r="M4" s="662">
        <f t="shared" ref="M4:M12" ca="1" si="1">SUMPRODUCT(($V$64:$W$135=F4)*($AJ$64:$AJ$135=$AK$64:$AK$135)*$AA$64:$AA$135)</f>
        <v>2</v>
      </c>
      <c r="N4" s="662">
        <f ca="1">K4-L4-M4</f>
        <v>1</v>
      </c>
      <c r="O4" s="672">
        <f ca="1">SMALL($O$3:$V$3,1)</f>
        <v>99999</v>
      </c>
      <c r="P4" s="672">
        <f ca="1">SMALL($O$3:$V$3,2)</f>
        <v>99999</v>
      </c>
      <c r="Q4" s="672">
        <f ca="1">SMALL($O$3:$V$3,3)</f>
        <v>99999</v>
      </c>
      <c r="R4" s="672">
        <f ca="1">SMALL($O$3:$V$3,4)</f>
        <v>99999</v>
      </c>
      <c r="V4" s="662"/>
      <c r="W4" s="450" t="str">
        <f ca="1">IFERROR(INDEX($O$17:$V$25,ROW(A1),$W$3),"")</f>
        <v/>
      </c>
      <c r="X4" s="451" t="str">
        <f ca="1">INDEX($W$4:$W$12,MATCH(ROW(A1),$AA$4:$AA$12,0))</f>
        <v/>
      </c>
      <c r="Y4" s="452">
        <f ca="1">IF($W4="",99999,VLOOKUP($W4,$C$17:$Z$25,24,0))</f>
        <v>99999</v>
      </c>
      <c r="Z4" s="453">
        <f ca="1">RANK(Y4,Y$4:Y$12,1)+INDEX($E$4:$E$12,MATCH(W4,$F$4:$F$12,0))/100+ROW()/10000</f>
        <v>1.0604</v>
      </c>
      <c r="AA4" s="454">
        <f ca="1">RANK($Z4,$Z$4:$Z$12,1)</f>
        <v>1</v>
      </c>
      <c r="AB4" s="455" t="str">
        <f t="shared" ref="AB4:AB12" ca="1" si="2">IFERROR(INDEX($O$17:$V$25,ROW(A1),$AB$3),"")</f>
        <v/>
      </c>
      <c r="AC4" s="456" t="str">
        <f ca="1">INDEX($AB$4:$AB$12,MATCH(ROW(A1),$AF$4:$AF$12,0))</f>
        <v/>
      </c>
      <c r="AD4" s="457">
        <f ca="1">IF($AB4="",99999,VLOOKUP($AB4,$C$17:$Z$25,24,0))</f>
        <v>99999</v>
      </c>
      <c r="AE4" s="453">
        <f ca="1">RANK(AD4,AD$4:AD$12,1)+INDEX($E$4:$E$12,MATCH(AB4,$F$4:$F$12,0))/100+ROW()/10000</f>
        <v>1.0604</v>
      </c>
      <c r="AF4" s="453">
        <f ca="1">RANK($AE4,$AE$4:$AE$12,1)</f>
        <v>1</v>
      </c>
      <c r="AG4" s="455" t="str">
        <f t="shared" ref="AG4:AG12" ca="1" si="3">IFERROR(INDEX($O$17:$V$25,ROW(C1),$AG$3),"")</f>
        <v/>
      </c>
      <c r="AH4" s="456" t="str">
        <f ca="1">INDEX($AG$4:$AG$12,MATCH(ROW(A1),$AK$4:$AK$12,0))</f>
        <v/>
      </c>
      <c r="AI4" s="457">
        <f ca="1">IF($AG4="",99999,VLOOKUP($AG4,$C$17:$Z$25,24,0))</f>
        <v>99999</v>
      </c>
      <c r="AJ4" s="453">
        <f ca="1">RANK(AI4,AI$4:AI$12,1)+INDEX($E$4:$E$12,MATCH(AG4,$F$4:$F$12,0))/100+ROW()/10000</f>
        <v>1.0604</v>
      </c>
      <c r="AK4" s="458">
        <f ca="1">RANK($AJ4,$AJ$4:$AJ$12,1)</f>
        <v>1</v>
      </c>
      <c r="AL4" s="456" t="str">
        <f t="shared" ref="AL4:AL12" ca="1" si="4">IFERROR(INDEX($O$17:$V$25,ROW(E1),$AL$3),"")</f>
        <v/>
      </c>
      <c r="AM4" s="456" t="str">
        <f ca="1">INDEX($AL$4:$AL$12,MATCH(ROW(A1),$AP$4:$AP$12,0))</f>
        <v/>
      </c>
      <c r="AN4" s="457">
        <f ca="1">IF($AL4="",99999,VLOOKUP($AL4,$C$17:$Z$25,24,0))</f>
        <v>99999</v>
      </c>
      <c r="AO4" s="453">
        <f ca="1">RANK(AN4,AN$4:AN$12,1)+INDEX($E$4:$E$12,MATCH(AL4,$F$4:$F$12,0))/100+ROW()/10000</f>
        <v>1.0604</v>
      </c>
      <c r="AP4" s="458">
        <f ca="1">RANK($AO4,$AO$4:$AO$12,1)</f>
        <v>1</v>
      </c>
      <c r="AS4" s="662">
        <f ca="1">SUMPRODUCT(($V$64:$V$135=F4)*$AK$64:$AK$135)+SUMPRODUCT(($W$64:$W$135=F4)*$AJ$64:$AJ$135)</f>
        <v>4</v>
      </c>
      <c r="AT4" s="662">
        <f ca="1">SUMPRODUCT(($V$64:$V$135=F4)*$AJ$64:$AJ$135)+SUMPRODUCT(($W$64:$W$135=F4)*$AK$64:$AK$135)</f>
        <v>4</v>
      </c>
      <c r="AU4" s="662">
        <f ca="1">AT4-AS4</f>
        <v>0</v>
      </c>
      <c r="AV4" s="662">
        <f ca="1">IF(Settings!$G$24,$I4,ROUND($I4,Settings!$H$24))</f>
        <v>1.006</v>
      </c>
      <c r="AW4" s="662">
        <f ca="1">I4-(F4="")*10000</f>
        <v>1.0056818181818181</v>
      </c>
      <c r="AX4" s="662">
        <f ca="1" xml:space="preserve"> RANK(AW4,$AW$4:$AW$12,1)</f>
        <v>7</v>
      </c>
    </row>
    <row r="5" spans="1:50" s="660" customFormat="1" x14ac:dyDescent="0.2">
      <c r="A5" s="669"/>
      <c r="B5" s="662">
        <v>2</v>
      </c>
      <c r="C5" s="673">
        <f t="shared" ref="C5:C12" ca="1" si="5">RANK(D5,$D$4:$D$12,1)</f>
        <v>5</v>
      </c>
      <c r="D5" s="661">
        <f t="shared" ref="D5:D12" ca="1" si="6">E5+ROW()/1000+(F5="")*10</f>
        <v>5.0049999999999999</v>
      </c>
      <c r="E5" s="671">
        <f t="shared" ref="E5:E12" ca="1" si="7">IF($AI$15,RANK(AH18,AH$17:AH$25,1),RANK(X18,X$17:X$25,1))</f>
        <v>5</v>
      </c>
      <c r="F5" s="662" t="str">
        <f t="shared" ref="F5:F12" si="8">$Q65</f>
        <v>FC Barcelona</v>
      </c>
      <c r="G5" s="662">
        <f t="shared" ref="G5:G12" ca="1" si="9">SUMIFS($AH$64:$AH$135,$V$64:$V$135,$F5)+SUMIFS($AI$64:$AI$135,$W$64:$W$135,$F5)</f>
        <v>139</v>
      </c>
      <c r="H5" s="662">
        <f t="shared" ref="H5:H12" ca="1" si="10">SUMIFS($AI$64:$AI$135,$V$64:$V$135,$F5)+SUMIFS($AH$64:$AH$135,$W$64:$W$135,$F5)</f>
        <v>198</v>
      </c>
      <c r="I5" s="661">
        <f ca="1">IF(Settings!$G$24,G5-H5,IF(H5=0,IF(G5=0,0,Settings!$F$24),G5/H5))</f>
        <v>0.70202020202020199</v>
      </c>
      <c r="J5" s="662">
        <f ca="1">$L5*Settings!$C$4+$M5</f>
        <v>1</v>
      </c>
      <c r="K5" s="662">
        <f t="shared" ref="K5:K12" ca="1" si="11">SUMPRODUCT(($V$64:$V$135=F5)*($AJ$64:$AJ$135&lt;&gt;"")*$AA$64:$AA$135)+SUMPRODUCT(($W$64:$W$135=F5)*($AK$64:$AK$135&lt;&gt;"")*$AA$64:$AA$135)</f>
        <v>4</v>
      </c>
      <c r="L5" s="662">
        <f t="shared" ref="L5:L12" ca="1" si="12">SUMPRODUCT(($V$64:$V$135=F5)*($AJ$64:$AJ$135&gt;$AK$64:$AK$135)*$AA$64:$AA$135)+SUMPRODUCT(($W$64:$W$135=F5)*($AJ$64:$AJ$135&lt;$AK$64:$AK$135)*$AA$64:$AA$135)</f>
        <v>0</v>
      </c>
      <c r="M5" s="662">
        <f t="shared" ca="1" si="1"/>
        <v>1</v>
      </c>
      <c r="N5" s="662">
        <f t="shared" ref="N5:N12" ca="1" si="13">K5-L5-M5</f>
        <v>3</v>
      </c>
      <c r="O5" s="674"/>
      <c r="P5" s="675"/>
      <c r="V5" s="662"/>
      <c r="W5" s="455" t="str">
        <f t="shared" ref="W5:W12" ca="1" si="14">IFERROR(INDEX($O$17:$V$25,ROW(A2),$W$3),"")</f>
        <v/>
      </c>
      <c r="X5" s="456" t="str">
        <f t="shared" ref="X5:X12" ca="1" si="15">INDEX($W$4:$W$12,MATCH(ROW(A2),$AA$4:$AA$12,0))</f>
        <v/>
      </c>
      <c r="Y5" s="453">
        <f t="shared" ref="Y5:Y12" ca="1" si="16">IF($W5="",99999,VLOOKUP($W5,$C$17:$Z$25,24,0))</f>
        <v>99999</v>
      </c>
      <c r="Z5" s="453">
        <f ca="1">RANK(Y5,Y$4:Y$12,1)+INDEX($E$4:$E$12,MATCH(W5,$F$4:$F$12,0))/100+ROW()/10000</f>
        <v>1.0605</v>
      </c>
      <c r="AA5" s="458">
        <f t="shared" ref="AA5:AA12" ca="1" si="17">RANK($Z5,$Z$4:$Z$12,1)</f>
        <v>2</v>
      </c>
      <c r="AB5" s="455" t="str">
        <f t="shared" ca="1" si="2"/>
        <v/>
      </c>
      <c r="AC5" s="456" t="str">
        <f t="shared" ref="AC5:AC12" ca="1" si="18">INDEX($AB$4:$AB$12,MATCH(ROW(A2),$AF$4:$AF$12,0))</f>
        <v/>
      </c>
      <c r="AD5" s="457">
        <f t="shared" ref="AD5:AD12" ca="1" si="19">IF($AB5="",99999,VLOOKUP($AB5,$C$17:$Z$25,24,0))</f>
        <v>99999</v>
      </c>
      <c r="AE5" s="453">
        <f ca="1">RANK(AD5,AD$4:AD$12,1)+INDEX($E$4:$E$12,MATCH(AB5,$F$4:$F$12,0))/100+ROW()/10000</f>
        <v>1.0605</v>
      </c>
      <c r="AF5" s="453">
        <f t="shared" ref="AF5:AF12" ca="1" si="20">RANK($AE5,$AE$4:$AE$12,1)</f>
        <v>2</v>
      </c>
      <c r="AG5" s="455" t="str">
        <f t="shared" ca="1" si="3"/>
        <v/>
      </c>
      <c r="AH5" s="456" t="str">
        <f t="shared" ref="AH5:AH12" ca="1" si="21">INDEX($AG$4:$AG$12,MATCH(ROW(A2),$AK$4:$AK$12,0))</f>
        <v/>
      </c>
      <c r="AI5" s="457">
        <f t="shared" ref="AI5:AI12" ca="1" si="22">IF($AG5="",99999,VLOOKUP($AG5,$C$17:$Z$25,24,0))</f>
        <v>99999</v>
      </c>
      <c r="AJ5" s="453">
        <f ca="1">RANK(AI5,AI$4:AI$12,1)+INDEX($E$4:$E$12,MATCH(AG5,$F$4:$F$12,0))/100+ROW()/10000</f>
        <v>1.0605</v>
      </c>
      <c r="AK5" s="458">
        <f t="shared" ref="AK5:AK12" ca="1" si="23">RANK($AJ5,$AJ$4:$AJ$12,1)</f>
        <v>2</v>
      </c>
      <c r="AL5" s="456" t="str">
        <f t="shared" ca="1" si="4"/>
        <v/>
      </c>
      <c r="AM5" s="456" t="str">
        <f t="shared" ref="AM5:AM12" ca="1" si="24">INDEX($AL$4:$AL$12,MATCH(ROW(A2),$AP$4:$AP$12,0))</f>
        <v/>
      </c>
      <c r="AN5" s="457">
        <f t="shared" ref="AN5:AN12" ca="1" si="25">IF($AL5="",99999,VLOOKUP($AL5,$C$17:$Z$25,24,0))</f>
        <v>99999</v>
      </c>
      <c r="AO5" s="453">
        <f ca="1">RANK(AN5,AN$4:AN$12,1)+INDEX($E$4:$E$12,MATCH(AL5,$F$4:$F$12,0))/100+ROW()/10000</f>
        <v>1.0605</v>
      </c>
      <c r="AP5" s="458">
        <f t="shared" ref="AP5:AP12" ca="1" si="26">RANK($AO5,$AO$4:$AO$12,1)</f>
        <v>2</v>
      </c>
      <c r="AS5" s="662">
        <f t="shared" ref="AS5:AS12" ca="1" si="27">SUMPRODUCT(($V$64:$V$135=F5)*$AK$64:$AK$135)+SUMPRODUCT(($W$64:$W$135=F5)*$AJ$64:$AJ$135)</f>
        <v>7</v>
      </c>
      <c r="AT5" s="662">
        <f t="shared" ref="AT5:AT12" ca="1" si="28">SUMPRODUCT(($V$64:$V$135=F5)*$AJ$64:$AJ$135)+SUMPRODUCT(($W$64:$W$135=F5)*$AK$64:$AK$135)</f>
        <v>1</v>
      </c>
      <c r="AU5" s="662">
        <f t="shared" ref="AU5:AU12" ca="1" si="29">AT5-AS5</f>
        <v>-6</v>
      </c>
      <c r="AV5" s="662">
        <f ca="1">IF(Settings!$G$24,$I5,ROUND($I5,Settings!$H$24))</f>
        <v>0.70199999999999996</v>
      </c>
      <c r="AW5" s="662">
        <f t="shared" ref="AW5:AW12" ca="1" si="30">I5-(F5="")*10000</f>
        <v>0.70202020202020199</v>
      </c>
      <c r="AX5" s="662">
        <f t="shared" ref="AX5:AX12" ca="1" si="31" xml:space="preserve"> RANK(AW5,$AW$4:$AW$12,1)</f>
        <v>5</v>
      </c>
    </row>
    <row r="6" spans="1:50" s="660" customFormat="1" x14ac:dyDescent="0.2">
      <c r="A6" s="669"/>
      <c r="B6" s="662">
        <v>3</v>
      </c>
      <c r="C6" s="673">
        <f t="shared" ca="1" si="5"/>
        <v>4</v>
      </c>
      <c r="D6" s="661">
        <f t="shared" ca="1" si="6"/>
        <v>4.0060000000000002</v>
      </c>
      <c r="E6" s="671">
        <f t="shared" ca="1" si="7"/>
        <v>4</v>
      </c>
      <c r="F6" s="662" t="str">
        <f t="shared" si="8"/>
        <v>Eintracht Frankfurt</v>
      </c>
      <c r="G6" s="662">
        <f t="shared" ca="1" si="9"/>
        <v>165</v>
      </c>
      <c r="H6" s="662">
        <f t="shared" ca="1" si="10"/>
        <v>170</v>
      </c>
      <c r="I6" s="661">
        <f ca="1">IF(Settings!$G$24,G6-H6,IF(H6=0,IF(G6=0,0,Settings!$F$24),G6/H6))</f>
        <v>0.97058823529411764</v>
      </c>
      <c r="J6" s="662">
        <f ca="1">$L6*Settings!$C$4+$M6</f>
        <v>3</v>
      </c>
      <c r="K6" s="662">
        <f t="shared" ca="1" si="11"/>
        <v>4</v>
      </c>
      <c r="L6" s="662">
        <f t="shared" ca="1" si="12"/>
        <v>0</v>
      </c>
      <c r="M6" s="662">
        <f t="shared" ca="1" si="1"/>
        <v>3</v>
      </c>
      <c r="N6" s="662">
        <f t="shared" ca="1" si="13"/>
        <v>1</v>
      </c>
      <c r="O6" s="674"/>
      <c r="P6" s="675"/>
      <c r="V6" s="662"/>
      <c r="W6" s="455" t="str">
        <f t="shared" ca="1" si="14"/>
        <v/>
      </c>
      <c r="X6" s="456" t="str">
        <f t="shared" ca="1" si="15"/>
        <v/>
      </c>
      <c r="Y6" s="453">
        <f t="shared" ca="1" si="16"/>
        <v>99999</v>
      </c>
      <c r="Z6" s="453">
        <f ca="1">RANK(Y6,Y$4:Y$12,1)+INDEX($E$4:$E$12,MATCH(W6,$F$4:$F$12,0))/100+ROW()/10000</f>
        <v>1.0606</v>
      </c>
      <c r="AA6" s="458">
        <f t="shared" ca="1" si="17"/>
        <v>3</v>
      </c>
      <c r="AB6" s="455" t="str">
        <f t="shared" ca="1" si="2"/>
        <v/>
      </c>
      <c r="AC6" s="456" t="str">
        <f t="shared" ca="1" si="18"/>
        <v/>
      </c>
      <c r="AD6" s="457">
        <f t="shared" ca="1" si="19"/>
        <v>99999</v>
      </c>
      <c r="AE6" s="453">
        <f ca="1">RANK(AD6,AD$4:AD$12,1)+INDEX($E$4:$E$12,MATCH(AB6,$F$4:$F$12,0))/100+ROW()/10000</f>
        <v>1.0606</v>
      </c>
      <c r="AF6" s="453">
        <f t="shared" ca="1" si="20"/>
        <v>3</v>
      </c>
      <c r="AG6" s="455" t="str">
        <f t="shared" ca="1" si="3"/>
        <v/>
      </c>
      <c r="AH6" s="456" t="str">
        <f t="shared" ca="1" si="21"/>
        <v/>
      </c>
      <c r="AI6" s="457">
        <f t="shared" ca="1" si="22"/>
        <v>99999</v>
      </c>
      <c r="AJ6" s="453">
        <f ca="1">RANK(AI6,AI$4:AI$12,1)+INDEX($E$4:$E$12,MATCH(AG6,$F$4:$F$12,0))/100+ROW()/10000</f>
        <v>1.0606</v>
      </c>
      <c r="AK6" s="458">
        <f t="shared" ca="1" si="23"/>
        <v>3</v>
      </c>
      <c r="AL6" s="456" t="str">
        <f t="shared" ca="1" si="4"/>
        <v/>
      </c>
      <c r="AM6" s="456" t="str">
        <f t="shared" ca="1" si="24"/>
        <v/>
      </c>
      <c r="AN6" s="457">
        <f t="shared" ca="1" si="25"/>
        <v>99999</v>
      </c>
      <c r="AO6" s="453">
        <f ca="1">RANK(AN6,AN$4:AN$12,1)+INDEX($E$4:$E$12,MATCH(AL6,$F$4:$F$12,0))/100+ROW()/10000</f>
        <v>1.0606</v>
      </c>
      <c r="AP6" s="458">
        <f t="shared" ca="1" si="26"/>
        <v>3</v>
      </c>
      <c r="AS6" s="662">
        <f t="shared" ca="1" si="27"/>
        <v>5</v>
      </c>
      <c r="AT6" s="662">
        <f t="shared" ca="1" si="28"/>
        <v>3</v>
      </c>
      <c r="AU6" s="662">
        <f t="shared" ca="1" si="29"/>
        <v>-2</v>
      </c>
      <c r="AV6" s="662">
        <f ca="1">IF(Settings!$G$24,$I6,ROUND($I6,Settings!$H$24))</f>
        <v>0.97099999999999997</v>
      </c>
      <c r="AW6" s="662">
        <f t="shared" ca="1" si="30"/>
        <v>0.97058823529411764</v>
      </c>
      <c r="AX6" s="662">
        <f t="shared" ca="1" si="31"/>
        <v>6</v>
      </c>
    </row>
    <row r="7" spans="1:50" s="660" customFormat="1" x14ac:dyDescent="0.2">
      <c r="A7" s="669"/>
      <c r="B7" s="662">
        <v>4</v>
      </c>
      <c r="C7" s="673">
        <f t="shared" ca="1" si="5"/>
        <v>1</v>
      </c>
      <c r="D7" s="661">
        <f t="shared" ca="1" si="6"/>
        <v>1.0069999999999999</v>
      </c>
      <c r="E7" s="671">
        <f t="shared" ca="1" si="7"/>
        <v>1</v>
      </c>
      <c r="F7" s="662" t="str">
        <f t="shared" si="8"/>
        <v>Maibach 1822 eV</v>
      </c>
      <c r="G7" s="662">
        <f t="shared" ca="1" si="9"/>
        <v>178</v>
      </c>
      <c r="H7" s="662">
        <f t="shared" ca="1" si="10"/>
        <v>134</v>
      </c>
      <c r="I7" s="661">
        <f ca="1">IF(Settings!$G$24,G7-H7,IF(H7=0,IF(G7=0,0,Settings!$F$24),G7/H7))</f>
        <v>1.3283582089552239</v>
      </c>
      <c r="J7" s="662">
        <f ca="1">$L7*Settings!$C$4+$M7</f>
        <v>7</v>
      </c>
      <c r="K7" s="662">
        <f t="shared" ca="1" si="11"/>
        <v>4</v>
      </c>
      <c r="L7" s="662">
        <f t="shared" ca="1" si="12"/>
        <v>3</v>
      </c>
      <c r="M7" s="662">
        <f t="shared" ca="1" si="1"/>
        <v>1</v>
      </c>
      <c r="N7" s="662">
        <f t="shared" ca="1" si="13"/>
        <v>0</v>
      </c>
      <c r="O7" s="674"/>
      <c r="P7" s="675"/>
      <c r="V7" s="662"/>
      <c r="W7" s="455" t="str">
        <f t="shared" ca="1" si="14"/>
        <v/>
      </c>
      <c r="X7" s="456" t="str">
        <f t="shared" ca="1" si="15"/>
        <v/>
      </c>
      <c r="Y7" s="453">
        <f t="shared" ca="1" si="16"/>
        <v>99999</v>
      </c>
      <c r="Z7" s="453">
        <f ca="1">RANK(Y7,Y$4:Y$12,1)+INDEX($E$4:$E$12,MATCH(W7,$F$4:$F$12,0))/100+ROW()/10000</f>
        <v>1.0607</v>
      </c>
      <c r="AA7" s="458">
        <f t="shared" ca="1" si="17"/>
        <v>4</v>
      </c>
      <c r="AB7" s="455" t="str">
        <f t="shared" ca="1" si="2"/>
        <v/>
      </c>
      <c r="AC7" s="456" t="str">
        <f t="shared" ca="1" si="18"/>
        <v/>
      </c>
      <c r="AD7" s="457">
        <f t="shared" ca="1" si="19"/>
        <v>99999</v>
      </c>
      <c r="AE7" s="453">
        <f ca="1">RANK(AD7,AD$4:AD$12,1)+INDEX($E$4:$E$12,MATCH(AB7,$F$4:$F$12,0))/100+ROW()/10000</f>
        <v>1.0607</v>
      </c>
      <c r="AF7" s="453">
        <f t="shared" ca="1" si="20"/>
        <v>4</v>
      </c>
      <c r="AG7" s="455" t="str">
        <f t="shared" ca="1" si="3"/>
        <v/>
      </c>
      <c r="AH7" s="456" t="str">
        <f t="shared" ca="1" si="21"/>
        <v/>
      </c>
      <c r="AI7" s="457">
        <f t="shared" ca="1" si="22"/>
        <v>99999</v>
      </c>
      <c r="AJ7" s="453">
        <f ca="1">RANK(AI7,AI$4:AI$12,1)+INDEX($E$4:$E$12,MATCH(AG7,$F$4:$F$12,0))/100+ROW()/10000</f>
        <v>1.0607</v>
      </c>
      <c r="AK7" s="458">
        <f t="shared" ca="1" si="23"/>
        <v>4</v>
      </c>
      <c r="AL7" s="456" t="str">
        <f t="shared" ca="1" si="4"/>
        <v/>
      </c>
      <c r="AM7" s="456" t="str">
        <f t="shared" ca="1" si="24"/>
        <v/>
      </c>
      <c r="AN7" s="457">
        <f t="shared" ca="1" si="25"/>
        <v>99999</v>
      </c>
      <c r="AO7" s="453">
        <f ca="1">RANK(AN7,AN$4:AN$12,1)+INDEX($E$4:$E$12,MATCH(AL7,$F$4:$F$12,0))/100+ROW()/10000</f>
        <v>1.0607</v>
      </c>
      <c r="AP7" s="458">
        <f t="shared" ca="1" si="26"/>
        <v>4</v>
      </c>
      <c r="AS7" s="662">
        <f t="shared" ca="1" si="27"/>
        <v>1</v>
      </c>
      <c r="AT7" s="662">
        <f t="shared" ca="1" si="28"/>
        <v>7</v>
      </c>
      <c r="AU7" s="662">
        <f t="shared" ca="1" si="29"/>
        <v>6</v>
      </c>
      <c r="AV7" s="662">
        <f ca="1">IF(Settings!$G$24,$I7,ROUND($I7,Settings!$H$24))</f>
        <v>1.3280000000000001</v>
      </c>
      <c r="AW7" s="662">
        <f t="shared" ca="1" si="30"/>
        <v>1.3283582089552239</v>
      </c>
      <c r="AX7" s="662">
        <f t="shared" ca="1" si="31"/>
        <v>9</v>
      </c>
    </row>
    <row r="8" spans="1:50" s="660" customFormat="1" x14ac:dyDescent="0.2">
      <c r="A8" s="669"/>
      <c r="B8" s="662">
        <v>5</v>
      </c>
      <c r="C8" s="673">
        <f t="shared" ca="1" si="5"/>
        <v>2</v>
      </c>
      <c r="D8" s="661">
        <f t="shared" ca="1" si="6"/>
        <v>2.008</v>
      </c>
      <c r="E8" s="671">
        <f t="shared" ca="1" si="7"/>
        <v>2</v>
      </c>
      <c r="F8" s="662" t="str">
        <f t="shared" si="8"/>
        <v>VFB Essenheim</v>
      </c>
      <c r="G8" s="662">
        <f t="shared" ca="1" si="9"/>
        <v>185</v>
      </c>
      <c r="H8" s="662">
        <f t="shared" ca="1" si="10"/>
        <v>166</v>
      </c>
      <c r="I8" s="661">
        <f ca="1">IF(Settings!$G$24,G8-H8,IF(H8=0,IF(G8=0,0,Settings!$F$24),G8/H8))</f>
        <v>1.1144578313253013</v>
      </c>
      <c r="J8" s="662">
        <f ca="1">$L8*Settings!$C$4+$M8</f>
        <v>5</v>
      </c>
      <c r="K8" s="662">
        <f t="shared" ca="1" si="11"/>
        <v>4</v>
      </c>
      <c r="L8" s="662">
        <f t="shared" ca="1" si="12"/>
        <v>2</v>
      </c>
      <c r="M8" s="662">
        <f t="shared" ca="1" si="1"/>
        <v>1</v>
      </c>
      <c r="N8" s="662">
        <f t="shared" ca="1" si="13"/>
        <v>1</v>
      </c>
      <c r="P8" s="675"/>
      <c r="W8" s="455" t="str">
        <f t="shared" ca="1" si="14"/>
        <v/>
      </c>
      <c r="X8" s="456" t="str">
        <f t="shared" ca="1" si="15"/>
        <v/>
      </c>
      <c r="Y8" s="453">
        <f t="shared" ca="1" si="16"/>
        <v>99999</v>
      </c>
      <c r="Z8" s="453">
        <f t="shared" ref="Z8:Z12" ca="1" si="32">RANK(Y8,Y$4:Y$12,1)+INDEX($E$4:$E$12,MATCH(W8,$F$4:$F$12,0))/100+ROW()/10000</f>
        <v>1.0608</v>
      </c>
      <c r="AA8" s="458">
        <f t="shared" ca="1" si="17"/>
        <v>5</v>
      </c>
      <c r="AB8" s="455" t="str">
        <f t="shared" ca="1" si="2"/>
        <v/>
      </c>
      <c r="AC8" s="456" t="str">
        <f t="shared" ca="1" si="18"/>
        <v/>
      </c>
      <c r="AD8" s="457">
        <f t="shared" ca="1" si="19"/>
        <v>99999</v>
      </c>
      <c r="AE8" s="453">
        <f t="shared" ref="AE8:AE12" ca="1" si="33">RANK(AD8,AD$4:AD$12,1)+INDEX($E$4:$E$12,MATCH(AB8,$F$4:$F$12,0))/100+ROW()/10000</f>
        <v>1.0608</v>
      </c>
      <c r="AF8" s="453">
        <f t="shared" ca="1" si="20"/>
        <v>5</v>
      </c>
      <c r="AG8" s="455" t="str">
        <f t="shared" ca="1" si="3"/>
        <v/>
      </c>
      <c r="AH8" s="456" t="str">
        <f t="shared" ca="1" si="21"/>
        <v/>
      </c>
      <c r="AI8" s="457">
        <f t="shared" ca="1" si="22"/>
        <v>99999</v>
      </c>
      <c r="AJ8" s="453">
        <f t="shared" ref="AJ8:AJ12" ca="1" si="34">RANK(AI8,AI$4:AI$12,1)+INDEX($E$4:$E$12,MATCH(AG8,$F$4:$F$12,0))/100+ROW()/10000</f>
        <v>1.0608</v>
      </c>
      <c r="AK8" s="458">
        <f t="shared" ca="1" si="23"/>
        <v>5</v>
      </c>
      <c r="AL8" s="456" t="str">
        <f t="shared" ca="1" si="4"/>
        <v/>
      </c>
      <c r="AM8" s="456" t="str">
        <f t="shared" ca="1" si="24"/>
        <v/>
      </c>
      <c r="AN8" s="457">
        <f t="shared" ca="1" si="25"/>
        <v>99999</v>
      </c>
      <c r="AO8" s="453">
        <f t="shared" ref="AO8:AO12" ca="1" si="35">RANK(AN8,AN$4:AN$12,1)+INDEX($E$4:$E$12,MATCH(AL8,$F$4:$F$12,0))/100+ROW()/10000</f>
        <v>1.0608</v>
      </c>
      <c r="AP8" s="458">
        <f t="shared" ca="1" si="26"/>
        <v>5</v>
      </c>
      <c r="AS8" s="662">
        <f t="shared" ca="1" si="27"/>
        <v>3</v>
      </c>
      <c r="AT8" s="662">
        <f t="shared" ca="1" si="28"/>
        <v>5</v>
      </c>
      <c r="AU8" s="662">
        <f t="shared" ca="1" si="29"/>
        <v>2</v>
      </c>
      <c r="AV8" s="662">
        <f ca="1">IF(Settings!$G$24,$I8,ROUND($I8,Settings!$H$24))</f>
        <v>1.1140000000000001</v>
      </c>
      <c r="AW8" s="662">
        <f t="shared" ca="1" si="30"/>
        <v>1.1144578313253013</v>
      </c>
      <c r="AX8" s="662">
        <f t="shared" ca="1" si="31"/>
        <v>8</v>
      </c>
    </row>
    <row r="9" spans="1:50" s="660" customFormat="1" x14ac:dyDescent="0.2">
      <c r="A9" s="669"/>
      <c r="B9" s="662">
        <v>6</v>
      </c>
      <c r="C9" s="673">
        <f t="shared" ca="1" si="5"/>
        <v>6</v>
      </c>
      <c r="D9" s="661">
        <f t="shared" ca="1" si="6"/>
        <v>16.009</v>
      </c>
      <c r="E9" s="671">
        <f t="shared" ca="1" si="7"/>
        <v>6</v>
      </c>
      <c r="F9" s="662" t="str">
        <f t="shared" si="8"/>
        <v/>
      </c>
      <c r="G9" s="662">
        <f t="shared" ca="1" si="9"/>
        <v>0</v>
      </c>
      <c r="H9" s="662">
        <f t="shared" ca="1" si="10"/>
        <v>0</v>
      </c>
      <c r="I9" s="661">
        <f ca="1">IF(Settings!$G$24,G9-H9,IF(H9=0,IF(G9=0,0,Settings!$F$24),G9/H9))</f>
        <v>0</v>
      </c>
      <c r="J9" s="662">
        <f ca="1">$L9*Settings!$C$4+$M9</f>
        <v>0</v>
      </c>
      <c r="K9" s="662">
        <f t="shared" ca="1" si="11"/>
        <v>0</v>
      </c>
      <c r="L9" s="662">
        <f t="shared" ca="1" si="12"/>
        <v>0</v>
      </c>
      <c r="M9" s="662">
        <f t="shared" ca="1" si="1"/>
        <v>0</v>
      </c>
      <c r="N9" s="662">
        <f t="shared" ca="1" si="13"/>
        <v>0</v>
      </c>
      <c r="P9" s="675"/>
      <c r="W9" s="455" t="str">
        <f t="shared" ca="1" si="14"/>
        <v/>
      </c>
      <c r="X9" s="456" t="str">
        <f t="shared" ca="1" si="15"/>
        <v/>
      </c>
      <c r="Y9" s="453">
        <f t="shared" ca="1" si="16"/>
        <v>99999</v>
      </c>
      <c r="Z9" s="453">
        <f t="shared" ca="1" si="32"/>
        <v>1.0609</v>
      </c>
      <c r="AA9" s="458">
        <f t="shared" ca="1" si="17"/>
        <v>6</v>
      </c>
      <c r="AB9" s="455" t="str">
        <f t="shared" ca="1" si="2"/>
        <v/>
      </c>
      <c r="AC9" s="456" t="str">
        <f t="shared" ca="1" si="18"/>
        <v/>
      </c>
      <c r="AD9" s="457">
        <f t="shared" ca="1" si="19"/>
        <v>99999</v>
      </c>
      <c r="AE9" s="453">
        <f t="shared" ca="1" si="33"/>
        <v>1.0609</v>
      </c>
      <c r="AF9" s="453">
        <f t="shared" ca="1" si="20"/>
        <v>6</v>
      </c>
      <c r="AG9" s="455" t="str">
        <f t="shared" ca="1" si="3"/>
        <v/>
      </c>
      <c r="AH9" s="456" t="str">
        <f t="shared" ca="1" si="21"/>
        <v/>
      </c>
      <c r="AI9" s="457">
        <f t="shared" ca="1" si="22"/>
        <v>99999</v>
      </c>
      <c r="AJ9" s="453">
        <f t="shared" ca="1" si="34"/>
        <v>1.0609</v>
      </c>
      <c r="AK9" s="458">
        <f t="shared" ca="1" si="23"/>
        <v>6</v>
      </c>
      <c r="AL9" s="456" t="str">
        <f t="shared" ca="1" si="4"/>
        <v/>
      </c>
      <c r="AM9" s="456" t="str">
        <f t="shared" ca="1" si="24"/>
        <v/>
      </c>
      <c r="AN9" s="457">
        <f t="shared" ca="1" si="25"/>
        <v>99999</v>
      </c>
      <c r="AO9" s="453">
        <f t="shared" ca="1" si="35"/>
        <v>1.0609</v>
      </c>
      <c r="AP9" s="458">
        <f t="shared" ca="1" si="26"/>
        <v>6</v>
      </c>
      <c r="AS9" s="662">
        <f t="shared" ca="1" si="27"/>
        <v>0</v>
      </c>
      <c r="AT9" s="662">
        <f t="shared" ca="1" si="28"/>
        <v>0</v>
      </c>
      <c r="AU9" s="662">
        <f t="shared" ca="1" si="29"/>
        <v>0</v>
      </c>
      <c r="AV9" s="662">
        <f ca="1">IF(Settings!$G$24,$I9,ROUND($I9,Settings!$H$24))</f>
        <v>0</v>
      </c>
      <c r="AW9" s="662">
        <f t="shared" ca="1" si="30"/>
        <v>-10000</v>
      </c>
      <c r="AX9" s="662">
        <f t="shared" ca="1" si="31"/>
        <v>1</v>
      </c>
    </row>
    <row r="10" spans="1:50" s="660" customFormat="1" x14ac:dyDescent="0.2">
      <c r="A10" s="669"/>
      <c r="B10" s="662">
        <v>7</v>
      </c>
      <c r="C10" s="673">
        <f t="shared" ca="1" si="5"/>
        <v>7</v>
      </c>
      <c r="D10" s="661">
        <f t="shared" ca="1" si="6"/>
        <v>16.009999999999998</v>
      </c>
      <c r="E10" s="671">
        <f t="shared" ca="1" si="7"/>
        <v>6</v>
      </c>
      <c r="F10" s="662" t="str">
        <f t="shared" si="8"/>
        <v/>
      </c>
      <c r="G10" s="662">
        <f t="shared" ca="1" si="9"/>
        <v>0</v>
      </c>
      <c r="H10" s="662">
        <f t="shared" ca="1" si="10"/>
        <v>0</v>
      </c>
      <c r="I10" s="661">
        <f ca="1">IF(Settings!$G$24,G10-H10,IF(H10=0,IF(G10=0,0,Settings!$F$24),G10/H10))</f>
        <v>0</v>
      </c>
      <c r="J10" s="662">
        <f ca="1">$L10*Settings!$C$4+$M10</f>
        <v>0</v>
      </c>
      <c r="K10" s="662">
        <f t="shared" ca="1" si="11"/>
        <v>0</v>
      </c>
      <c r="L10" s="662">
        <f t="shared" ca="1" si="12"/>
        <v>0</v>
      </c>
      <c r="M10" s="662">
        <f t="shared" ca="1" si="1"/>
        <v>0</v>
      </c>
      <c r="N10" s="662">
        <f t="shared" ca="1" si="13"/>
        <v>0</v>
      </c>
      <c r="P10" s="675"/>
      <c r="W10" s="455" t="str">
        <f t="shared" ca="1" si="14"/>
        <v/>
      </c>
      <c r="X10" s="456" t="str">
        <f t="shared" ca="1" si="15"/>
        <v/>
      </c>
      <c r="Y10" s="453">
        <f t="shared" ca="1" si="16"/>
        <v>99999</v>
      </c>
      <c r="Z10" s="453">
        <f t="shared" ca="1" si="32"/>
        <v>1.0609999999999999</v>
      </c>
      <c r="AA10" s="458">
        <f t="shared" ca="1" si="17"/>
        <v>7</v>
      </c>
      <c r="AB10" s="455" t="str">
        <f t="shared" ca="1" si="2"/>
        <v/>
      </c>
      <c r="AC10" s="456" t="str">
        <f t="shared" ca="1" si="18"/>
        <v/>
      </c>
      <c r="AD10" s="457">
        <f t="shared" ca="1" si="19"/>
        <v>99999</v>
      </c>
      <c r="AE10" s="453">
        <f t="shared" ca="1" si="33"/>
        <v>1.0609999999999999</v>
      </c>
      <c r="AF10" s="453">
        <f t="shared" ca="1" si="20"/>
        <v>7</v>
      </c>
      <c r="AG10" s="455" t="str">
        <f t="shared" ca="1" si="3"/>
        <v/>
      </c>
      <c r="AH10" s="456" t="str">
        <f t="shared" ca="1" si="21"/>
        <v/>
      </c>
      <c r="AI10" s="457">
        <f t="shared" ca="1" si="22"/>
        <v>99999</v>
      </c>
      <c r="AJ10" s="453">
        <f t="shared" ca="1" si="34"/>
        <v>1.0609999999999999</v>
      </c>
      <c r="AK10" s="458">
        <f t="shared" ca="1" si="23"/>
        <v>7</v>
      </c>
      <c r="AL10" s="456" t="str">
        <f t="shared" ca="1" si="4"/>
        <v/>
      </c>
      <c r="AM10" s="456" t="str">
        <f t="shared" ca="1" si="24"/>
        <v/>
      </c>
      <c r="AN10" s="457">
        <f t="shared" ca="1" si="25"/>
        <v>99999</v>
      </c>
      <c r="AO10" s="453">
        <f t="shared" ca="1" si="35"/>
        <v>1.0609999999999999</v>
      </c>
      <c r="AP10" s="458">
        <f t="shared" ca="1" si="26"/>
        <v>7</v>
      </c>
      <c r="AS10" s="662">
        <f t="shared" ca="1" si="27"/>
        <v>0</v>
      </c>
      <c r="AT10" s="662">
        <f t="shared" ca="1" si="28"/>
        <v>0</v>
      </c>
      <c r="AU10" s="662">
        <f t="shared" ca="1" si="29"/>
        <v>0</v>
      </c>
      <c r="AV10" s="662">
        <f ca="1">IF(Settings!$G$24,$I10,ROUND($I10,Settings!$H$24))</f>
        <v>0</v>
      </c>
      <c r="AW10" s="662">
        <f t="shared" ca="1" si="30"/>
        <v>-10000</v>
      </c>
      <c r="AX10" s="662">
        <f t="shared" ca="1" si="31"/>
        <v>1</v>
      </c>
    </row>
    <row r="11" spans="1:50" s="660" customFormat="1" x14ac:dyDescent="0.2">
      <c r="A11" s="669"/>
      <c r="B11" s="662">
        <v>8</v>
      </c>
      <c r="C11" s="673">
        <f t="shared" ca="1" si="5"/>
        <v>8</v>
      </c>
      <c r="D11" s="661">
        <f t="shared" ca="1" si="6"/>
        <v>16.010999999999999</v>
      </c>
      <c r="E11" s="671">
        <f t="shared" ca="1" si="7"/>
        <v>6</v>
      </c>
      <c r="F11" s="662" t="str">
        <f t="shared" si="8"/>
        <v/>
      </c>
      <c r="G11" s="662">
        <f t="shared" ca="1" si="9"/>
        <v>0</v>
      </c>
      <c r="H11" s="662">
        <f t="shared" ca="1" si="10"/>
        <v>0</v>
      </c>
      <c r="I11" s="661">
        <f ca="1">IF(Settings!$G$24,G11-H11,IF(H11=0,IF(G11=0,0,Settings!$F$24),G11/H11))</f>
        <v>0</v>
      </c>
      <c r="J11" s="662">
        <f ca="1">$L11*Settings!$C$4+$M11</f>
        <v>0</v>
      </c>
      <c r="K11" s="662">
        <f t="shared" ca="1" si="11"/>
        <v>0</v>
      </c>
      <c r="L11" s="662">
        <f t="shared" ca="1" si="12"/>
        <v>0</v>
      </c>
      <c r="M11" s="662">
        <f t="shared" ca="1" si="1"/>
        <v>0</v>
      </c>
      <c r="N11" s="662">
        <f t="shared" ca="1" si="13"/>
        <v>0</v>
      </c>
      <c r="O11" s="661"/>
      <c r="P11" s="661"/>
      <c r="Q11" s="661"/>
      <c r="R11" s="661"/>
      <c r="S11" s="661"/>
      <c r="T11" s="661"/>
      <c r="U11" s="661"/>
      <c r="V11" s="661"/>
      <c r="W11" s="455" t="str">
        <f t="shared" ca="1" si="14"/>
        <v/>
      </c>
      <c r="X11" s="456" t="str">
        <f t="shared" ca="1" si="15"/>
        <v/>
      </c>
      <c r="Y11" s="453">
        <f t="shared" ca="1" si="16"/>
        <v>99999</v>
      </c>
      <c r="Z11" s="453">
        <f t="shared" ca="1" si="32"/>
        <v>1.0611000000000002</v>
      </c>
      <c r="AA11" s="458">
        <f t="shared" ca="1" si="17"/>
        <v>8</v>
      </c>
      <c r="AB11" s="455" t="str">
        <f t="shared" ca="1" si="2"/>
        <v/>
      </c>
      <c r="AC11" s="456" t="str">
        <f t="shared" ca="1" si="18"/>
        <v/>
      </c>
      <c r="AD11" s="457">
        <f t="shared" ca="1" si="19"/>
        <v>99999</v>
      </c>
      <c r="AE11" s="453">
        <f t="shared" ca="1" si="33"/>
        <v>1.0611000000000002</v>
      </c>
      <c r="AF11" s="453">
        <f t="shared" ca="1" si="20"/>
        <v>8</v>
      </c>
      <c r="AG11" s="455" t="str">
        <f t="shared" ca="1" si="3"/>
        <v/>
      </c>
      <c r="AH11" s="456" t="str">
        <f t="shared" ca="1" si="21"/>
        <v/>
      </c>
      <c r="AI11" s="457">
        <f t="shared" ca="1" si="22"/>
        <v>99999</v>
      </c>
      <c r="AJ11" s="453">
        <f t="shared" ca="1" si="34"/>
        <v>1.0611000000000002</v>
      </c>
      <c r="AK11" s="458">
        <f t="shared" ca="1" si="23"/>
        <v>8</v>
      </c>
      <c r="AL11" s="456" t="str">
        <f t="shared" ca="1" si="4"/>
        <v/>
      </c>
      <c r="AM11" s="456" t="str">
        <f t="shared" ca="1" si="24"/>
        <v/>
      </c>
      <c r="AN11" s="457">
        <f t="shared" ca="1" si="25"/>
        <v>99999</v>
      </c>
      <c r="AO11" s="453">
        <f t="shared" ca="1" si="35"/>
        <v>1.0611000000000002</v>
      </c>
      <c r="AP11" s="458">
        <f t="shared" ca="1" si="26"/>
        <v>8</v>
      </c>
      <c r="AS11" s="662">
        <f t="shared" ca="1" si="27"/>
        <v>0</v>
      </c>
      <c r="AT11" s="662">
        <f t="shared" ca="1" si="28"/>
        <v>0</v>
      </c>
      <c r="AU11" s="662">
        <f t="shared" ca="1" si="29"/>
        <v>0</v>
      </c>
      <c r="AV11" s="662">
        <f ca="1">IF(Settings!$G$24,$I11,ROUND($I11,Settings!$H$24))</f>
        <v>0</v>
      </c>
      <c r="AW11" s="662">
        <f t="shared" ca="1" si="30"/>
        <v>-10000</v>
      </c>
      <c r="AX11" s="662">
        <f t="shared" ca="1" si="31"/>
        <v>1</v>
      </c>
    </row>
    <row r="12" spans="1:50" s="660" customFormat="1" ht="12.75" thickBot="1" x14ac:dyDescent="0.25">
      <c r="A12" s="669"/>
      <c r="B12" s="662">
        <v>9</v>
      </c>
      <c r="C12" s="676">
        <f t="shared" ca="1" si="5"/>
        <v>9</v>
      </c>
      <c r="D12" s="661">
        <f t="shared" ca="1" si="6"/>
        <v>16.012</v>
      </c>
      <c r="E12" s="671">
        <f t="shared" ca="1" si="7"/>
        <v>6</v>
      </c>
      <c r="F12" s="662" t="str">
        <f t="shared" si="8"/>
        <v/>
      </c>
      <c r="G12" s="662">
        <f t="shared" ca="1" si="9"/>
        <v>0</v>
      </c>
      <c r="H12" s="662">
        <f t="shared" ca="1" si="10"/>
        <v>0</v>
      </c>
      <c r="I12" s="661">
        <f ca="1">IF(Settings!$G$24,G12-H12,IF(H12=0,IF(G12=0,0,Settings!$F$24),G12/H12))</f>
        <v>0</v>
      </c>
      <c r="J12" s="662">
        <f ca="1">$L12*Settings!$C$4+$M12</f>
        <v>0</v>
      </c>
      <c r="K12" s="677">
        <f t="shared" ca="1" si="11"/>
        <v>0</v>
      </c>
      <c r="L12" s="662">
        <f t="shared" ca="1" si="12"/>
        <v>0</v>
      </c>
      <c r="M12" s="662">
        <f t="shared" ca="1" si="1"/>
        <v>0</v>
      </c>
      <c r="N12" s="662">
        <f t="shared" ca="1" si="13"/>
        <v>0</v>
      </c>
      <c r="O12" s="662"/>
      <c r="P12" s="662"/>
      <c r="Q12" s="662"/>
      <c r="R12" s="662"/>
      <c r="S12" s="662"/>
      <c r="T12" s="662"/>
      <c r="U12" s="662"/>
      <c r="V12" s="662"/>
      <c r="W12" s="459" t="str">
        <f t="shared" ca="1" si="14"/>
        <v/>
      </c>
      <c r="X12" s="460" t="str">
        <f t="shared" ca="1" si="15"/>
        <v/>
      </c>
      <c r="Y12" s="461">
        <f t="shared" ca="1" si="16"/>
        <v>99999</v>
      </c>
      <c r="Z12" s="461">
        <f t="shared" ca="1" si="32"/>
        <v>1.0612000000000001</v>
      </c>
      <c r="AA12" s="462">
        <f t="shared" ca="1" si="17"/>
        <v>9</v>
      </c>
      <c r="AB12" s="459" t="str">
        <f t="shared" ca="1" si="2"/>
        <v/>
      </c>
      <c r="AC12" s="460" t="str">
        <f t="shared" ca="1" si="18"/>
        <v/>
      </c>
      <c r="AD12" s="463">
        <f t="shared" ca="1" si="19"/>
        <v>99999</v>
      </c>
      <c r="AE12" s="461">
        <f t="shared" ca="1" si="33"/>
        <v>1.0612000000000001</v>
      </c>
      <c r="AF12" s="461">
        <f t="shared" ca="1" si="20"/>
        <v>9</v>
      </c>
      <c r="AG12" s="459" t="str">
        <f t="shared" ca="1" si="3"/>
        <v/>
      </c>
      <c r="AH12" s="460" t="str">
        <f t="shared" ca="1" si="21"/>
        <v/>
      </c>
      <c r="AI12" s="463">
        <f t="shared" ca="1" si="22"/>
        <v>99999</v>
      </c>
      <c r="AJ12" s="461">
        <f t="shared" ca="1" si="34"/>
        <v>1.0612000000000001</v>
      </c>
      <c r="AK12" s="462">
        <f t="shared" ca="1" si="23"/>
        <v>9</v>
      </c>
      <c r="AL12" s="460" t="str">
        <f t="shared" ca="1" si="4"/>
        <v/>
      </c>
      <c r="AM12" s="460" t="str">
        <f t="shared" ca="1" si="24"/>
        <v/>
      </c>
      <c r="AN12" s="463">
        <f t="shared" ca="1" si="25"/>
        <v>99999</v>
      </c>
      <c r="AO12" s="461">
        <f t="shared" ca="1" si="35"/>
        <v>1.0612000000000001</v>
      </c>
      <c r="AP12" s="462">
        <f t="shared" ca="1" si="26"/>
        <v>9</v>
      </c>
      <c r="AS12" s="662">
        <f t="shared" ca="1" si="27"/>
        <v>0</v>
      </c>
      <c r="AT12" s="662">
        <f t="shared" ca="1" si="28"/>
        <v>0</v>
      </c>
      <c r="AU12" s="662">
        <f t="shared" ca="1" si="29"/>
        <v>0</v>
      </c>
      <c r="AV12" s="662">
        <f ca="1">IF(Settings!$G$24,$I12,ROUND($I12,Settings!$H$24))</f>
        <v>0</v>
      </c>
      <c r="AW12" s="662">
        <f t="shared" ca="1" si="30"/>
        <v>-10000</v>
      </c>
      <c r="AX12" s="662">
        <f t="shared" ca="1" si="31"/>
        <v>1</v>
      </c>
    </row>
    <row r="13" spans="1:50" s="660" customFormat="1" ht="12.75" thickTop="1" x14ac:dyDescent="0.2">
      <c r="B13" s="661">
        <f>$F$13*($F$13-1)</f>
        <v>20</v>
      </c>
      <c r="C13" s="661"/>
      <c r="D13" s="661"/>
      <c r="E13" s="661"/>
      <c r="F13" s="661">
        <f>9-COUNTBLANK($F$4:$F$12)</f>
        <v>5</v>
      </c>
      <c r="G13" s="661"/>
      <c r="H13" s="661"/>
      <c r="I13" s="661"/>
      <c r="J13" s="661"/>
      <c r="K13" s="666">
        <f ca="1">QUOTIENT(SUM(K4:K12),2)</f>
        <v>10</v>
      </c>
      <c r="L13" s="662"/>
      <c r="M13" s="662"/>
      <c r="N13" s="662"/>
      <c r="O13" s="662"/>
      <c r="P13" s="662"/>
      <c r="Q13" s="662"/>
      <c r="R13" s="662"/>
      <c r="S13" s="662"/>
      <c r="T13" s="662"/>
      <c r="U13" s="662"/>
      <c r="V13" s="662"/>
      <c r="Y13" s="662"/>
      <c r="Z13" s="662"/>
    </row>
    <row r="14" spans="1:50" s="660" customFormat="1" x14ac:dyDescent="0.2">
      <c r="B14" s="678">
        <f>MAX($B$13,Calc2!$B$13)</f>
        <v>20</v>
      </c>
      <c r="D14" s="662" t="s">
        <v>409</v>
      </c>
      <c r="F14" s="678">
        <f>MAX($F$13,Calc2!$F$13)</f>
        <v>5</v>
      </c>
      <c r="O14" s="662"/>
      <c r="P14" s="662"/>
      <c r="Q14" s="662"/>
      <c r="R14" s="662"/>
      <c r="S14" s="662"/>
      <c r="T14" s="662"/>
      <c r="U14" s="662"/>
      <c r="V14" s="662"/>
      <c r="W14" s="662"/>
      <c r="Y14" s="662"/>
      <c r="Z14" s="662"/>
    </row>
    <row r="15" spans="1:50" s="660" customFormat="1" x14ac:dyDescent="0.2">
      <c r="O15" s="679"/>
      <c r="AD15" s="680"/>
      <c r="AE15" s="680"/>
      <c r="AF15" s="680"/>
      <c r="AG15" s="680"/>
      <c r="AH15" s="680"/>
      <c r="AI15" s="681"/>
      <c r="AK15" s="669"/>
    </row>
    <row r="16" spans="1:50" s="660" customFormat="1" ht="15.75" thickBot="1" x14ac:dyDescent="0.25">
      <c r="B16" s="661" t="s">
        <v>5</v>
      </c>
      <c r="C16" s="665" t="s">
        <v>96</v>
      </c>
      <c r="D16" s="665" t="s">
        <v>101</v>
      </c>
      <c r="E16" s="665" t="s">
        <v>102</v>
      </c>
      <c r="F16" s="665" t="s">
        <v>103</v>
      </c>
      <c r="G16" s="665" t="s">
        <v>104</v>
      </c>
      <c r="H16" s="665" t="s">
        <v>105</v>
      </c>
      <c r="I16" s="665" t="s">
        <v>106</v>
      </c>
      <c r="J16" s="665" t="s">
        <v>107</v>
      </c>
      <c r="K16" s="665" t="s">
        <v>392</v>
      </c>
      <c r="L16" s="3" t="s">
        <v>319</v>
      </c>
      <c r="M16" s="664" t="s">
        <v>95</v>
      </c>
      <c r="N16" s="664" t="s">
        <v>14</v>
      </c>
      <c r="O16" s="682">
        <v>1</v>
      </c>
      <c r="P16" s="662">
        <v>2</v>
      </c>
      <c r="Q16" s="662">
        <v>3</v>
      </c>
      <c r="R16" s="662">
        <v>4</v>
      </c>
      <c r="S16" s="662">
        <v>5</v>
      </c>
      <c r="T16" s="662">
        <v>6</v>
      </c>
      <c r="U16" s="662">
        <v>7</v>
      </c>
      <c r="V16" s="662">
        <v>8</v>
      </c>
      <c r="W16" s="3" t="s">
        <v>97</v>
      </c>
      <c r="X16" s="651" t="s">
        <v>163</v>
      </c>
      <c r="Y16" s="3" t="s">
        <v>393</v>
      </c>
      <c r="Z16" s="651" t="s">
        <v>394</v>
      </c>
      <c r="AA16" s="662" t="s">
        <v>317</v>
      </c>
      <c r="AB16" s="662" t="s">
        <v>107</v>
      </c>
      <c r="AC16" s="662" t="s">
        <v>105</v>
      </c>
      <c r="AD16" s="683" t="s">
        <v>395</v>
      </c>
      <c r="AE16" s="684"/>
      <c r="AF16" s="661"/>
      <c r="AG16" s="661"/>
      <c r="AH16" s="685"/>
      <c r="AI16" s="681"/>
    </row>
    <row r="17" spans="2:80" s="660" customFormat="1" ht="12.75" thickTop="1" x14ac:dyDescent="0.2">
      <c r="C17" s="660" t="str">
        <f>$Q64</f>
        <v>1. FC Riedwald</v>
      </c>
      <c r="D17" s="662">
        <f t="shared" ref="D17:G25" ca="1" si="36">K4</f>
        <v>4</v>
      </c>
      <c r="E17" s="662">
        <f t="shared" ca="1" si="36"/>
        <v>1</v>
      </c>
      <c r="F17" s="662">
        <f t="shared" ca="1" si="36"/>
        <v>2</v>
      </c>
      <c r="G17" s="662">
        <f t="shared" ca="1" si="36"/>
        <v>1</v>
      </c>
      <c r="H17" s="662">
        <f t="shared" ref="H17:J25" ca="1" si="37">G4</f>
        <v>177</v>
      </c>
      <c r="I17" s="662">
        <f t="shared" ca="1" si="37"/>
        <v>176</v>
      </c>
      <c r="J17" s="661">
        <f t="shared" ca="1" si="37"/>
        <v>1.0056818181818181</v>
      </c>
      <c r="K17" s="662">
        <f ca="1">IF(Settings!$G$9,J4,$AT4)</f>
        <v>4</v>
      </c>
      <c r="L17" s="686">
        <f ca="1">K17*$F$64+(AU4+$H$65)*$F$65*Settings!$G$14+AT4*$F$66*Settings!$G$19+AX4*$F$67</f>
        <v>4000000.0070000002</v>
      </c>
      <c r="M17" s="678">
        <f ca="1">IF($AI$15,COUNTIF($K$17:$K$25,K17),COUNTIF($L$17:$L$25,L17))</f>
        <v>1</v>
      </c>
      <c r="N17" s="678">
        <f t="array" aca="1" ref="N17" ca="1">IF($AI$15,SUM(($K$17:$K$25&gt;=K17)/COUNTIF($K$17:$K$25,$K$17:$K$25)),SUM(($L$17:$L$25&gt;=L17)/COUNTIF($L$17:$L$25,$L$17:$L$25)))</f>
        <v>3</v>
      </c>
      <c r="O17" s="687" t="str">
        <f t="shared" ref="O17:O25" ca="1" si="38">IF(AND(M17&gt;1,N17=1),C17,"")</f>
        <v/>
      </c>
      <c r="P17" s="688" t="str">
        <f t="shared" ref="P17:P25" ca="1" si="39">IF(AND(M17&gt;1,N17=2),C17,"")</f>
        <v/>
      </c>
      <c r="Q17" s="688" t="str">
        <f t="shared" ref="Q17:Q25" ca="1" si="40">IF(AND(M17&gt;1,N17=3),C17,"")</f>
        <v/>
      </c>
      <c r="R17" s="688" t="str">
        <f t="shared" ref="R17:R25" ca="1" si="41">IF(AND(M17&gt;1,N17=4),C17,"")</f>
        <v/>
      </c>
      <c r="S17" s="688" t="str">
        <f t="shared" ref="S17:S25" ca="1" si="42">IF(AND(M17&gt;1,N17=5),C17,"")</f>
        <v/>
      </c>
      <c r="T17" s="688" t="str">
        <f t="shared" ref="T17:T25" ca="1" si="43">IF(AND($M17&gt;1,$N17=6),$C17,"")</f>
        <v/>
      </c>
      <c r="U17" s="688" t="str">
        <f t="shared" ref="U17:U25" ca="1" si="44">IF(AND($M17&gt;1,$N17=7),$C17,"")</f>
        <v/>
      </c>
      <c r="V17" s="689" t="str">
        <f t="shared" ref="V17:V25" ca="1" si="45">IF(AND($M17&gt;1,$N17=8),$C17,"")</f>
        <v/>
      </c>
      <c r="W17" s="690">
        <f ca="1">AA17*$F$64+(AB17+$H$65)*$F$65</f>
        <v>500000</v>
      </c>
      <c r="X17" s="670">
        <f ca="1">RANK($L17,$L$17:$L$25)+RANK($W17,$W$17:$W$25)/100+(9-$Y17)/10000+($C17="")*100</f>
        <v>3.0108999999999999</v>
      </c>
      <c r="Y17" s="661">
        <f>PreliminaryRound!$AX12+$AD17</f>
        <v>0</v>
      </c>
      <c r="Z17" s="662">
        <f ca="1">RANK($W17,$W$17:$W$25)+(9-$Y17)/10</f>
        <v>1.9</v>
      </c>
      <c r="AA17" s="662">
        <f ca="1">SUM(E30:BP30)</f>
        <v>0</v>
      </c>
      <c r="AB17" s="662">
        <f ca="1">SUM(E41:BP41)</f>
        <v>0</v>
      </c>
      <c r="AC17" s="662">
        <f ca="1">SUM(E52:BP52)</f>
        <v>0</v>
      </c>
      <c r="AD17" s="661">
        <f>IF($C17="",0,COUNTIF(Playoffs!$U$12:$U$17,$C17))</f>
        <v>0</v>
      </c>
      <c r="AE17" s="769"/>
      <c r="AF17" s="661"/>
      <c r="AG17" s="661"/>
      <c r="AH17" s="691"/>
      <c r="AI17" s="661"/>
    </row>
    <row r="18" spans="2:80" s="660" customFormat="1" x14ac:dyDescent="0.2">
      <c r="C18" s="660" t="str">
        <f t="shared" ref="C18:C25" si="46">$Q65</f>
        <v>FC Barcelona</v>
      </c>
      <c r="D18" s="662">
        <f t="shared" ca="1" si="36"/>
        <v>4</v>
      </c>
      <c r="E18" s="662">
        <f t="shared" ca="1" si="36"/>
        <v>0</v>
      </c>
      <c r="F18" s="662">
        <f t="shared" ca="1" si="36"/>
        <v>1</v>
      </c>
      <c r="G18" s="662">
        <f t="shared" ca="1" si="36"/>
        <v>3</v>
      </c>
      <c r="H18" s="662">
        <f t="shared" ca="1" si="37"/>
        <v>139</v>
      </c>
      <c r="I18" s="662">
        <f t="shared" ca="1" si="37"/>
        <v>198</v>
      </c>
      <c r="J18" s="661">
        <f t="shared" ca="1" si="37"/>
        <v>0.70202020202020199</v>
      </c>
      <c r="K18" s="662">
        <f ca="1">IF(Settings!$G$9,J5,$AT5)</f>
        <v>1</v>
      </c>
      <c r="L18" s="686">
        <f ca="1">K18*$F$64+(AU5+$H$65)*$F$65*Settings!$G$14+AT5*$F$66*Settings!$G$19+AX5*$F$67</f>
        <v>1000000.005</v>
      </c>
      <c r="M18" s="678">
        <f t="shared" ref="M18:M25" ca="1" si="47">IF($AI$15,COUNTIF($K$17:$K$25,K18),COUNTIF($L$17:$L$25,L18))</f>
        <v>1</v>
      </c>
      <c r="N18" s="678">
        <f t="array" aca="1" ref="N18" ca="1">IF($AI$15,SUM(($K$17:$K$25&gt;=K18)/COUNTIF($K$17:$K$25,$K$17:$K$25)),SUM(($L$17:$L$25&gt;=L18)/COUNTIF($L$17:$L$25,$L$17:$L$25)))</f>
        <v>5</v>
      </c>
      <c r="O18" s="692" t="str">
        <f t="shared" ca="1" si="38"/>
        <v/>
      </c>
      <c r="P18" s="681" t="str">
        <f t="shared" ca="1" si="39"/>
        <v/>
      </c>
      <c r="Q18" s="681" t="str">
        <f t="shared" ca="1" si="40"/>
        <v/>
      </c>
      <c r="R18" s="681" t="str">
        <f t="shared" ca="1" si="41"/>
        <v/>
      </c>
      <c r="S18" s="681" t="str">
        <f t="shared" ca="1" si="42"/>
        <v/>
      </c>
      <c r="T18" s="681" t="str">
        <f t="shared" ca="1" si="43"/>
        <v/>
      </c>
      <c r="U18" s="681" t="str">
        <f t="shared" ca="1" si="44"/>
        <v/>
      </c>
      <c r="V18" s="693" t="str">
        <f t="shared" ca="1" si="45"/>
        <v/>
      </c>
      <c r="W18" s="690">
        <f t="shared" ref="W18:W25" ca="1" si="48">AA18*$F$64+(AB18+$H$65)*$F$65</f>
        <v>500000</v>
      </c>
      <c r="X18" s="673">
        <f t="shared" ref="X18:X25" ca="1" si="49">RANK($L18,$L$17:$L$25)+RANK($W18,$W$17:$W$25)/100+(9-$Y18)/10000+($C18="")*100</f>
        <v>5.0108999999999995</v>
      </c>
      <c r="Y18" s="661">
        <f>PreliminaryRound!$AX13+$AD18</f>
        <v>0</v>
      </c>
      <c r="Z18" s="662">
        <f t="shared" ref="Z18:Z25" ca="1" si="50">RANK($W18,$W$17:$W$25)+(9-$Y18)/10</f>
        <v>1.9</v>
      </c>
      <c r="AA18" s="662">
        <f t="shared" ref="AA18:AA25" ca="1" si="51">SUM(E31:BP31)</f>
        <v>0</v>
      </c>
      <c r="AB18" s="662">
        <f t="shared" ref="AB18:AB25" ca="1" si="52">SUM(E42:BP42)</f>
        <v>0</v>
      </c>
      <c r="AC18" s="662">
        <f t="shared" ref="AC18:AC25" ca="1" si="53">SUM(E53:BP53)</f>
        <v>0</v>
      </c>
      <c r="AD18" s="661">
        <f>IF($C18="",0,COUNTIF(Playoffs!$U$12:$U$17,$C18))</f>
        <v>0</v>
      </c>
      <c r="AE18" s="686"/>
      <c r="AF18" s="661"/>
      <c r="AG18" s="661"/>
      <c r="AH18" s="691"/>
      <c r="AI18" s="661"/>
    </row>
    <row r="19" spans="2:80" s="660" customFormat="1" x14ac:dyDescent="0.2">
      <c r="C19" s="660" t="str">
        <f t="shared" si="46"/>
        <v>Eintracht Frankfurt</v>
      </c>
      <c r="D19" s="662">
        <f t="shared" ca="1" si="36"/>
        <v>4</v>
      </c>
      <c r="E19" s="662">
        <f t="shared" ca="1" si="36"/>
        <v>0</v>
      </c>
      <c r="F19" s="662">
        <f t="shared" ca="1" si="36"/>
        <v>3</v>
      </c>
      <c r="G19" s="662">
        <f t="shared" ca="1" si="36"/>
        <v>1</v>
      </c>
      <c r="H19" s="662">
        <f t="shared" ca="1" si="37"/>
        <v>165</v>
      </c>
      <c r="I19" s="662">
        <f t="shared" ca="1" si="37"/>
        <v>170</v>
      </c>
      <c r="J19" s="661">
        <f t="shared" ca="1" si="37"/>
        <v>0.97058823529411764</v>
      </c>
      <c r="K19" s="662">
        <f ca="1">IF(Settings!$G$9,J6,$AT6)</f>
        <v>3</v>
      </c>
      <c r="L19" s="686">
        <f ca="1">K19*$F$64+(AU6+$H$65)*$F$65*Settings!$G$14+AT6*$F$66*Settings!$G$19+AX6*$F$67</f>
        <v>3000000.0060000001</v>
      </c>
      <c r="M19" s="678">
        <f t="shared" ca="1" si="47"/>
        <v>1</v>
      </c>
      <c r="N19" s="678">
        <f t="array" aca="1" ref="N19" ca="1">IF($AI$15,SUM(($K$17:$K$25&gt;=K19)/COUNTIF($K$17:$K$25,$K$17:$K$25)),SUM(($L$17:$L$25&gt;=L19)/COUNTIF($L$17:$L$25,$L$17:$L$25)))</f>
        <v>4</v>
      </c>
      <c r="O19" s="692" t="str">
        <f t="shared" ca="1" si="38"/>
        <v/>
      </c>
      <c r="P19" s="681" t="str">
        <f t="shared" ca="1" si="39"/>
        <v/>
      </c>
      <c r="Q19" s="681" t="str">
        <f t="shared" ca="1" si="40"/>
        <v/>
      </c>
      <c r="R19" s="681" t="str">
        <f t="shared" ca="1" si="41"/>
        <v/>
      </c>
      <c r="S19" s="681" t="str">
        <f t="shared" ca="1" si="42"/>
        <v/>
      </c>
      <c r="T19" s="681" t="str">
        <f t="shared" ca="1" si="43"/>
        <v/>
      </c>
      <c r="U19" s="681" t="str">
        <f t="shared" ca="1" si="44"/>
        <v/>
      </c>
      <c r="V19" s="693" t="str">
        <f t="shared" ca="1" si="45"/>
        <v/>
      </c>
      <c r="W19" s="690">
        <f t="shared" ca="1" si="48"/>
        <v>500000</v>
      </c>
      <c r="X19" s="673">
        <f t="shared" ca="1" si="49"/>
        <v>4.0108999999999995</v>
      </c>
      <c r="Y19" s="661">
        <f>PreliminaryRound!$AX14+$AD19</f>
        <v>0</v>
      </c>
      <c r="Z19" s="662">
        <f t="shared" ca="1" si="50"/>
        <v>1.9</v>
      </c>
      <c r="AA19" s="662">
        <f t="shared" ca="1" si="51"/>
        <v>0</v>
      </c>
      <c r="AB19" s="662">
        <f t="shared" ca="1" si="52"/>
        <v>0</v>
      </c>
      <c r="AC19" s="662">
        <f t="shared" ca="1" si="53"/>
        <v>0</v>
      </c>
      <c r="AD19" s="661">
        <f>IF($C19="",0,COUNTIF(Playoffs!$U$12:$U$17,$C19))</f>
        <v>0</v>
      </c>
      <c r="AE19" s="686"/>
      <c r="AF19" s="661"/>
      <c r="AG19" s="661"/>
      <c r="AH19" s="691"/>
      <c r="AI19" s="661"/>
    </row>
    <row r="20" spans="2:80" s="660" customFormat="1" x14ac:dyDescent="0.2">
      <c r="C20" s="660" t="str">
        <f t="shared" si="46"/>
        <v>Maibach 1822 eV</v>
      </c>
      <c r="D20" s="662">
        <f t="shared" ca="1" si="36"/>
        <v>4</v>
      </c>
      <c r="E20" s="662">
        <f t="shared" ca="1" si="36"/>
        <v>3</v>
      </c>
      <c r="F20" s="662">
        <f t="shared" ca="1" si="36"/>
        <v>1</v>
      </c>
      <c r="G20" s="662">
        <f t="shared" ca="1" si="36"/>
        <v>0</v>
      </c>
      <c r="H20" s="662">
        <f t="shared" ca="1" si="37"/>
        <v>178</v>
      </c>
      <c r="I20" s="662">
        <f t="shared" ca="1" si="37"/>
        <v>134</v>
      </c>
      <c r="J20" s="661">
        <f t="shared" ca="1" si="37"/>
        <v>1.3283582089552239</v>
      </c>
      <c r="K20" s="662">
        <f ca="1">IF(Settings!$G$9,J7,$AT7)</f>
        <v>7</v>
      </c>
      <c r="L20" s="686">
        <f ca="1">K20*$F$64+(AU7+$H$65)*$F$65*Settings!$G$14+AT7*$F$66*Settings!$G$19+AX7*$F$67</f>
        <v>7000000.0089999996</v>
      </c>
      <c r="M20" s="678">
        <f t="shared" ca="1" si="47"/>
        <v>1</v>
      </c>
      <c r="N20" s="678">
        <f t="array" aca="1" ref="N20" ca="1">IF($AI$15,SUM(($K$17:$K$25&gt;=K20)/COUNTIF($K$17:$K$25,$K$17:$K$25)),SUM(($L$17:$L$25&gt;=L20)/COUNTIF($L$17:$L$25,$L$17:$L$25)))</f>
        <v>1</v>
      </c>
      <c r="O20" s="692" t="str">
        <f t="shared" ca="1" si="38"/>
        <v/>
      </c>
      <c r="P20" s="681" t="str">
        <f t="shared" ca="1" si="39"/>
        <v/>
      </c>
      <c r="Q20" s="681" t="str">
        <f t="shared" ca="1" si="40"/>
        <v/>
      </c>
      <c r="R20" s="681" t="str">
        <f t="shared" ca="1" si="41"/>
        <v/>
      </c>
      <c r="S20" s="681" t="str">
        <f t="shared" ca="1" si="42"/>
        <v/>
      </c>
      <c r="T20" s="681" t="str">
        <f t="shared" ca="1" si="43"/>
        <v/>
      </c>
      <c r="U20" s="681" t="str">
        <f t="shared" ca="1" si="44"/>
        <v/>
      </c>
      <c r="V20" s="693" t="str">
        <f t="shared" ca="1" si="45"/>
        <v/>
      </c>
      <c r="W20" s="690">
        <f t="shared" ca="1" si="48"/>
        <v>500000</v>
      </c>
      <c r="X20" s="673">
        <f t="shared" ca="1" si="49"/>
        <v>1.0108999999999999</v>
      </c>
      <c r="Y20" s="661">
        <f>PreliminaryRound!$AX15+$AD20</f>
        <v>0</v>
      </c>
      <c r="Z20" s="662">
        <f t="shared" ca="1" si="50"/>
        <v>1.9</v>
      </c>
      <c r="AA20" s="662">
        <f t="shared" ca="1" si="51"/>
        <v>0</v>
      </c>
      <c r="AB20" s="662">
        <f t="shared" ca="1" si="52"/>
        <v>0</v>
      </c>
      <c r="AC20" s="662">
        <f t="shared" ca="1" si="53"/>
        <v>0</v>
      </c>
      <c r="AD20" s="661">
        <f>IF($C20="",0,COUNTIF(Playoffs!$U$12:$U$17,$C20))</f>
        <v>0</v>
      </c>
      <c r="AE20" s="686"/>
      <c r="AF20" s="661"/>
      <c r="AG20" s="661"/>
      <c r="AH20" s="691"/>
      <c r="AI20" s="661"/>
    </row>
    <row r="21" spans="2:80" s="660" customFormat="1" x14ac:dyDescent="0.2">
      <c r="C21" s="660" t="str">
        <f t="shared" si="46"/>
        <v>VFB Essenheim</v>
      </c>
      <c r="D21" s="662">
        <f t="shared" ca="1" si="36"/>
        <v>4</v>
      </c>
      <c r="E21" s="662">
        <f t="shared" ca="1" si="36"/>
        <v>2</v>
      </c>
      <c r="F21" s="662">
        <f t="shared" ca="1" si="36"/>
        <v>1</v>
      </c>
      <c r="G21" s="662">
        <f t="shared" ca="1" si="36"/>
        <v>1</v>
      </c>
      <c r="H21" s="662">
        <f t="shared" ca="1" si="37"/>
        <v>185</v>
      </c>
      <c r="I21" s="662">
        <f t="shared" ca="1" si="37"/>
        <v>166</v>
      </c>
      <c r="J21" s="661">
        <f t="shared" ca="1" si="37"/>
        <v>1.1144578313253013</v>
      </c>
      <c r="K21" s="662">
        <f ca="1">IF(Settings!$G$9,J8,$AT8)</f>
        <v>5</v>
      </c>
      <c r="L21" s="686">
        <f ca="1">K21*$F$64+(AU8+$H$65)*$F$65*Settings!$G$14+AT8*$F$66*Settings!$G$19+AX8*$F$67</f>
        <v>5000000.0080000004</v>
      </c>
      <c r="M21" s="678">
        <f t="shared" ca="1" si="47"/>
        <v>1</v>
      </c>
      <c r="N21" s="678">
        <f t="array" aca="1" ref="N21" ca="1">IF($AI$15,SUM(($K$17:$K$25&gt;=K21)/COUNTIF($K$17:$K$25,$K$17:$K$25)),SUM(($L$17:$L$25&gt;=L21)/COUNTIF($L$17:$L$25,$L$17:$L$25)))</f>
        <v>2</v>
      </c>
      <c r="O21" s="692" t="str">
        <f t="shared" ca="1" si="38"/>
        <v/>
      </c>
      <c r="P21" s="681" t="str">
        <f t="shared" ca="1" si="39"/>
        <v/>
      </c>
      <c r="Q21" s="681" t="str">
        <f t="shared" ca="1" si="40"/>
        <v/>
      </c>
      <c r="R21" s="681" t="str">
        <f t="shared" ca="1" si="41"/>
        <v/>
      </c>
      <c r="S21" s="681" t="str">
        <f t="shared" ca="1" si="42"/>
        <v/>
      </c>
      <c r="T21" s="681" t="str">
        <f t="shared" ca="1" si="43"/>
        <v/>
      </c>
      <c r="U21" s="681" t="str">
        <f t="shared" ca="1" si="44"/>
        <v/>
      </c>
      <c r="V21" s="693" t="str">
        <f t="shared" ca="1" si="45"/>
        <v/>
      </c>
      <c r="W21" s="690">
        <f t="shared" ca="1" si="48"/>
        <v>500000</v>
      </c>
      <c r="X21" s="673">
        <f t="shared" ca="1" si="49"/>
        <v>2.0108999999999999</v>
      </c>
      <c r="Y21" s="661">
        <f>PreliminaryRound!$AX16+$AD21</f>
        <v>0</v>
      </c>
      <c r="Z21" s="662">
        <f t="shared" ca="1" si="50"/>
        <v>1.9</v>
      </c>
      <c r="AA21" s="662">
        <f t="shared" ca="1" si="51"/>
        <v>0</v>
      </c>
      <c r="AB21" s="662">
        <f t="shared" ca="1" si="52"/>
        <v>0</v>
      </c>
      <c r="AC21" s="662">
        <f t="shared" ca="1" si="53"/>
        <v>0</v>
      </c>
      <c r="AD21" s="661">
        <f>IF($C21="",0,COUNTIF(Playoffs!$U$12:$U$17,$C21))</f>
        <v>0</v>
      </c>
      <c r="AE21" s="686"/>
      <c r="AF21" s="661"/>
      <c r="AG21" s="661"/>
      <c r="AH21" s="691"/>
      <c r="AI21" s="661"/>
    </row>
    <row r="22" spans="2:80" s="660" customFormat="1" x14ac:dyDescent="0.2">
      <c r="C22" s="660" t="str">
        <f t="shared" si="46"/>
        <v/>
      </c>
      <c r="D22" s="662">
        <f t="shared" ca="1" si="36"/>
        <v>0</v>
      </c>
      <c r="E22" s="662">
        <f t="shared" ca="1" si="36"/>
        <v>0</v>
      </c>
      <c r="F22" s="662">
        <f t="shared" ca="1" si="36"/>
        <v>0</v>
      </c>
      <c r="G22" s="662">
        <f t="shared" ca="1" si="36"/>
        <v>0</v>
      </c>
      <c r="H22" s="662">
        <f t="shared" ca="1" si="37"/>
        <v>0</v>
      </c>
      <c r="I22" s="662">
        <f t="shared" ca="1" si="37"/>
        <v>0</v>
      </c>
      <c r="J22" s="661">
        <f t="shared" ca="1" si="37"/>
        <v>0</v>
      </c>
      <c r="K22" s="662">
        <f ca="1">IF(Settings!$G$9,J9,$AT9)</f>
        <v>0</v>
      </c>
      <c r="L22" s="686">
        <f ca="1">K22*$F$64+(AU9+$H$65)*$F$65*Settings!$G$14+AT9*$F$66*Settings!$G$19+AX9*$F$67</f>
        <v>1E-3</v>
      </c>
      <c r="M22" s="678">
        <f t="shared" ca="1" si="47"/>
        <v>4</v>
      </c>
      <c r="N22" s="678">
        <f t="array" aca="1" ref="N22" ca="1">IF($AI$15,SUM(($K$17:$K$25&gt;=K22)/COUNTIF($K$17:$K$25,$K$17:$K$25)),SUM(($L$17:$L$25&gt;=L22)/COUNTIF($L$17:$L$25,$L$17:$L$25)))</f>
        <v>6</v>
      </c>
      <c r="O22" s="692" t="str">
        <f t="shared" ca="1" si="38"/>
        <v/>
      </c>
      <c r="P22" s="681" t="str">
        <f t="shared" ca="1" si="39"/>
        <v/>
      </c>
      <c r="Q22" s="681" t="str">
        <f t="shared" ca="1" si="40"/>
        <v/>
      </c>
      <c r="R22" s="681" t="str">
        <f t="shared" ca="1" si="41"/>
        <v/>
      </c>
      <c r="S22" s="681" t="str">
        <f t="shared" ca="1" si="42"/>
        <v/>
      </c>
      <c r="T22" s="681" t="str">
        <f t="shared" ca="1" si="43"/>
        <v/>
      </c>
      <c r="U22" s="681" t="str">
        <f t="shared" ca="1" si="44"/>
        <v/>
      </c>
      <c r="V22" s="693" t="str">
        <f t="shared" ca="1" si="45"/>
        <v/>
      </c>
      <c r="W22" s="690">
        <f t="shared" ca="1" si="48"/>
        <v>500000</v>
      </c>
      <c r="X22" s="673">
        <f t="shared" ca="1" si="49"/>
        <v>106.01089999999999</v>
      </c>
      <c r="Y22" s="661">
        <f>PreliminaryRound!$AX17+$AD22</f>
        <v>0</v>
      </c>
      <c r="Z22" s="662">
        <f t="shared" ca="1" si="50"/>
        <v>1.9</v>
      </c>
      <c r="AA22" s="662">
        <f t="shared" ca="1" si="51"/>
        <v>0</v>
      </c>
      <c r="AB22" s="662">
        <f t="shared" ca="1" si="52"/>
        <v>0</v>
      </c>
      <c r="AC22" s="662">
        <f t="shared" ca="1" si="53"/>
        <v>0</v>
      </c>
      <c r="AD22" s="661">
        <f>IF($C22="",0,COUNTIF(Playoffs!$U$12:$U$17,$C22))</f>
        <v>0</v>
      </c>
      <c r="AE22" s="686"/>
      <c r="AF22" s="661"/>
      <c r="AG22" s="661"/>
      <c r="AH22" s="691"/>
      <c r="AI22" s="661"/>
    </row>
    <row r="23" spans="2:80" s="660" customFormat="1" x14ac:dyDescent="0.2">
      <c r="C23" s="660" t="str">
        <f t="shared" si="46"/>
        <v/>
      </c>
      <c r="D23" s="662">
        <f t="shared" ca="1" si="36"/>
        <v>0</v>
      </c>
      <c r="E23" s="662">
        <f t="shared" ca="1" si="36"/>
        <v>0</v>
      </c>
      <c r="F23" s="662">
        <f t="shared" ca="1" si="36"/>
        <v>0</v>
      </c>
      <c r="G23" s="662">
        <f t="shared" ca="1" si="36"/>
        <v>0</v>
      </c>
      <c r="H23" s="662">
        <f t="shared" ca="1" si="37"/>
        <v>0</v>
      </c>
      <c r="I23" s="662">
        <f t="shared" ca="1" si="37"/>
        <v>0</v>
      </c>
      <c r="J23" s="661">
        <f t="shared" ca="1" si="37"/>
        <v>0</v>
      </c>
      <c r="K23" s="662">
        <f ca="1">IF(Settings!$G$9,J10,$AT10)</f>
        <v>0</v>
      </c>
      <c r="L23" s="686">
        <f ca="1">K23*$F$64+(AU10+$H$65)*$F$65*Settings!$G$14+AT10*$F$66*Settings!$G$19+AX10*$F$67</f>
        <v>1E-3</v>
      </c>
      <c r="M23" s="678">
        <f t="shared" ca="1" si="47"/>
        <v>4</v>
      </c>
      <c r="N23" s="678">
        <f t="array" aca="1" ref="N23" ca="1">IF($AI$15,SUM(($K$17:$K$25&gt;=K23)/COUNTIF($K$17:$K$25,$K$17:$K$25)),SUM(($L$17:$L$25&gt;=L23)/COUNTIF($L$17:$L$25,$L$17:$L$25)))</f>
        <v>6</v>
      </c>
      <c r="O23" s="692" t="str">
        <f t="shared" ca="1" si="38"/>
        <v/>
      </c>
      <c r="P23" s="681" t="str">
        <f t="shared" ca="1" si="39"/>
        <v/>
      </c>
      <c r="Q23" s="681" t="str">
        <f t="shared" ca="1" si="40"/>
        <v/>
      </c>
      <c r="R23" s="681" t="str">
        <f t="shared" ca="1" si="41"/>
        <v/>
      </c>
      <c r="S23" s="681" t="str">
        <f t="shared" ca="1" si="42"/>
        <v/>
      </c>
      <c r="T23" s="681" t="str">
        <f t="shared" ca="1" si="43"/>
        <v/>
      </c>
      <c r="U23" s="681" t="str">
        <f t="shared" ca="1" si="44"/>
        <v/>
      </c>
      <c r="V23" s="693" t="str">
        <f t="shared" ca="1" si="45"/>
        <v/>
      </c>
      <c r="W23" s="690">
        <f t="shared" ca="1" si="48"/>
        <v>500000</v>
      </c>
      <c r="X23" s="673">
        <f t="shared" ca="1" si="49"/>
        <v>106.01089999999999</v>
      </c>
      <c r="Y23" s="661">
        <v>0</v>
      </c>
      <c r="Z23" s="662">
        <f t="shared" ca="1" si="50"/>
        <v>1.9</v>
      </c>
      <c r="AA23" s="662">
        <f t="shared" ca="1" si="51"/>
        <v>0</v>
      </c>
      <c r="AB23" s="662">
        <f t="shared" ca="1" si="52"/>
        <v>0</v>
      </c>
      <c r="AC23" s="662">
        <f t="shared" ca="1" si="53"/>
        <v>0</v>
      </c>
      <c r="AD23" s="661">
        <v>0</v>
      </c>
      <c r="AE23" s="686"/>
      <c r="AF23" s="661"/>
      <c r="AG23" s="661"/>
      <c r="AH23" s="691"/>
      <c r="AI23" s="661"/>
    </row>
    <row r="24" spans="2:80" s="660" customFormat="1" x14ac:dyDescent="0.2">
      <c r="C24" s="660" t="str">
        <f t="shared" si="46"/>
        <v/>
      </c>
      <c r="D24" s="662">
        <f t="shared" ca="1" si="36"/>
        <v>0</v>
      </c>
      <c r="E24" s="662">
        <f t="shared" ca="1" si="36"/>
        <v>0</v>
      </c>
      <c r="F24" s="662">
        <f t="shared" ca="1" si="36"/>
        <v>0</v>
      </c>
      <c r="G24" s="662">
        <f t="shared" ca="1" si="36"/>
        <v>0</v>
      </c>
      <c r="H24" s="662">
        <f t="shared" ca="1" si="37"/>
        <v>0</v>
      </c>
      <c r="I24" s="662">
        <f t="shared" ca="1" si="37"/>
        <v>0</v>
      </c>
      <c r="J24" s="661">
        <f t="shared" ca="1" si="37"/>
        <v>0</v>
      </c>
      <c r="K24" s="662">
        <f ca="1">IF(Settings!$G$9,J11,$AT11)</f>
        <v>0</v>
      </c>
      <c r="L24" s="686">
        <f ca="1">K24*$F$64+(AU11+$H$65)*$F$65*Settings!$G$14+AT11*$F$66*Settings!$G$19+AX11*$F$67</f>
        <v>1E-3</v>
      </c>
      <c r="M24" s="678">
        <f t="shared" ca="1" si="47"/>
        <v>4</v>
      </c>
      <c r="N24" s="678">
        <f t="array" aca="1" ref="N24" ca="1">IF($AI$15,SUM(($K$17:$K$25&gt;=K24)/COUNTIF($K$17:$K$25,$K$17:$K$25)),SUM(($L$17:$L$25&gt;=L24)/COUNTIF($L$17:$L$25,$L$17:$L$25)))</f>
        <v>6</v>
      </c>
      <c r="O24" s="692" t="str">
        <f t="shared" ca="1" si="38"/>
        <v/>
      </c>
      <c r="P24" s="681" t="str">
        <f t="shared" ca="1" si="39"/>
        <v/>
      </c>
      <c r="Q24" s="681" t="str">
        <f t="shared" ca="1" si="40"/>
        <v/>
      </c>
      <c r="R24" s="681" t="str">
        <f t="shared" ca="1" si="41"/>
        <v/>
      </c>
      <c r="S24" s="681" t="str">
        <f t="shared" ca="1" si="42"/>
        <v/>
      </c>
      <c r="T24" s="681" t="str">
        <f t="shared" ca="1" si="43"/>
        <v/>
      </c>
      <c r="U24" s="681" t="str">
        <f t="shared" ca="1" si="44"/>
        <v/>
      </c>
      <c r="V24" s="693" t="str">
        <f t="shared" ca="1" si="45"/>
        <v/>
      </c>
      <c r="W24" s="690">
        <f t="shared" ca="1" si="48"/>
        <v>500000</v>
      </c>
      <c r="X24" s="673">
        <f t="shared" ca="1" si="49"/>
        <v>106.01089999999999</v>
      </c>
      <c r="Y24" s="661">
        <v>0</v>
      </c>
      <c r="Z24" s="662">
        <f t="shared" ca="1" si="50"/>
        <v>1.9</v>
      </c>
      <c r="AA24" s="662">
        <f t="shared" ca="1" si="51"/>
        <v>0</v>
      </c>
      <c r="AB24" s="662">
        <f t="shared" ca="1" si="52"/>
        <v>0</v>
      </c>
      <c r="AC24" s="662">
        <f t="shared" ca="1" si="53"/>
        <v>0</v>
      </c>
      <c r="AD24" s="661">
        <v>0</v>
      </c>
      <c r="AE24" s="686"/>
      <c r="AF24" s="661"/>
      <c r="AG24" s="661"/>
      <c r="AH24" s="691"/>
      <c r="AI24" s="661"/>
    </row>
    <row r="25" spans="2:80" s="660" customFormat="1" ht="12.75" thickBot="1" x14ac:dyDescent="0.25">
      <c r="C25" s="660" t="str">
        <f t="shared" si="46"/>
        <v/>
      </c>
      <c r="D25" s="662">
        <f t="shared" ca="1" si="36"/>
        <v>0</v>
      </c>
      <c r="E25" s="662">
        <f t="shared" ca="1" si="36"/>
        <v>0</v>
      </c>
      <c r="F25" s="662">
        <f t="shared" ca="1" si="36"/>
        <v>0</v>
      </c>
      <c r="G25" s="662">
        <f t="shared" ca="1" si="36"/>
        <v>0</v>
      </c>
      <c r="H25" s="662">
        <f t="shared" ca="1" si="37"/>
        <v>0</v>
      </c>
      <c r="I25" s="662">
        <f t="shared" ca="1" si="37"/>
        <v>0</v>
      </c>
      <c r="J25" s="661">
        <f t="shared" ca="1" si="37"/>
        <v>0</v>
      </c>
      <c r="K25" s="662">
        <f ca="1">IF(Settings!$G$9,J12,$AT12)</f>
        <v>0</v>
      </c>
      <c r="L25" s="686">
        <f ca="1">K25*$F$64+(AU12+$H$65)*$F$65*Settings!$G$14+AT12*$F$66*Settings!$G$19+AX12*$F$67</f>
        <v>1E-3</v>
      </c>
      <c r="M25" s="678">
        <f t="shared" ca="1" si="47"/>
        <v>4</v>
      </c>
      <c r="N25" s="678">
        <f t="array" aca="1" ref="N25" ca="1">IF($AI$15,SUM(($K$17:$K$25&gt;=K25)/COUNTIF($K$17:$K$25,$K$17:$K$25)),SUM(($L$17:$L$25&gt;=L25)/COUNTIF($L$17:$L$25,$L$17:$L$25)))</f>
        <v>6</v>
      </c>
      <c r="O25" s="694" t="str">
        <f t="shared" ca="1" si="38"/>
        <v/>
      </c>
      <c r="P25" s="695" t="str">
        <f t="shared" ca="1" si="39"/>
        <v/>
      </c>
      <c r="Q25" s="695" t="str">
        <f t="shared" ca="1" si="40"/>
        <v/>
      </c>
      <c r="R25" s="695" t="str">
        <f t="shared" ca="1" si="41"/>
        <v/>
      </c>
      <c r="S25" s="695" t="str">
        <f t="shared" ca="1" si="42"/>
        <v/>
      </c>
      <c r="T25" s="695" t="str">
        <f t="shared" ca="1" si="43"/>
        <v/>
      </c>
      <c r="U25" s="695" t="str">
        <f t="shared" ca="1" si="44"/>
        <v/>
      </c>
      <c r="V25" s="696" t="str">
        <f t="shared" ca="1" si="45"/>
        <v/>
      </c>
      <c r="W25" s="690">
        <f t="shared" ca="1" si="48"/>
        <v>500000</v>
      </c>
      <c r="X25" s="676">
        <f t="shared" ca="1" si="49"/>
        <v>106.01089999999999</v>
      </c>
      <c r="Y25" s="661">
        <v>0</v>
      </c>
      <c r="Z25" s="662">
        <f t="shared" ca="1" si="50"/>
        <v>1.9</v>
      </c>
      <c r="AA25" s="662">
        <f t="shared" ca="1" si="51"/>
        <v>0</v>
      </c>
      <c r="AB25" s="662">
        <f t="shared" ca="1" si="52"/>
        <v>0</v>
      </c>
      <c r="AC25" s="662">
        <f t="shared" ca="1" si="53"/>
        <v>0</v>
      </c>
      <c r="AD25" s="661">
        <v>0</v>
      </c>
      <c r="AE25" s="686"/>
      <c r="AF25" s="661"/>
      <c r="AG25" s="661"/>
      <c r="AH25" s="691"/>
      <c r="AI25" s="661"/>
    </row>
    <row r="26" spans="2:80" s="660" customFormat="1" ht="12.75" thickTop="1" x14ac:dyDescent="0.2">
      <c r="O26" s="662"/>
      <c r="P26" s="662"/>
      <c r="Q26" s="662"/>
      <c r="R26" s="662"/>
      <c r="S26" s="662"/>
      <c r="T26" s="662"/>
      <c r="U26" s="662"/>
      <c r="V26" s="662"/>
    </row>
    <row r="27" spans="2:80" s="660" customFormat="1" x14ac:dyDescent="0.2">
      <c r="O27" s="662"/>
      <c r="P27" s="662"/>
      <c r="Q27" s="662"/>
      <c r="R27" s="662"/>
      <c r="S27" s="662"/>
      <c r="T27" s="662"/>
      <c r="U27" s="662"/>
      <c r="V27" s="662"/>
    </row>
    <row r="28" spans="2:80" s="660" customFormat="1" ht="12.75" thickBot="1" x14ac:dyDescent="0.25">
      <c r="B28" s="697" t="s">
        <v>98</v>
      </c>
    </row>
    <row r="29" spans="2:80" s="660" customFormat="1" ht="12.75" thickTop="1" x14ac:dyDescent="0.2">
      <c r="B29" s="698" t="s">
        <v>396</v>
      </c>
      <c r="E29" s="1031">
        <v>1</v>
      </c>
      <c r="F29" s="1032"/>
      <c r="G29" s="1032"/>
      <c r="H29" s="1032"/>
      <c r="I29" s="1032"/>
      <c r="J29" s="1032"/>
      <c r="K29" s="1032"/>
      <c r="L29" s="1033"/>
      <c r="M29" s="1034">
        <v>2</v>
      </c>
      <c r="N29" s="1032"/>
      <c r="O29" s="1032"/>
      <c r="P29" s="1032"/>
      <c r="Q29" s="1032"/>
      <c r="R29" s="1032"/>
      <c r="S29" s="1032"/>
      <c r="T29" s="1033"/>
      <c r="U29" s="1034">
        <v>3</v>
      </c>
      <c r="V29" s="1032"/>
      <c r="W29" s="1032"/>
      <c r="X29" s="1032"/>
      <c r="Y29" s="1032"/>
      <c r="Z29" s="1032"/>
      <c r="AA29" s="1032"/>
      <c r="AB29" s="1033"/>
      <c r="AC29" s="1034">
        <v>4</v>
      </c>
      <c r="AD29" s="1032"/>
      <c r="AE29" s="1032"/>
      <c r="AF29" s="1032"/>
      <c r="AG29" s="1032"/>
      <c r="AH29" s="1032"/>
      <c r="AI29" s="1032"/>
      <c r="AJ29" s="1033"/>
      <c r="AK29" s="1034">
        <v>5</v>
      </c>
      <c r="AL29" s="1032"/>
      <c r="AM29" s="1032"/>
      <c r="AN29" s="1032"/>
      <c r="AO29" s="1032"/>
      <c r="AP29" s="1032"/>
      <c r="AQ29" s="1032"/>
      <c r="AR29" s="1033"/>
      <c r="AS29" s="1034">
        <v>6</v>
      </c>
      <c r="AT29" s="1032"/>
      <c r="AU29" s="1032"/>
      <c r="AV29" s="1032"/>
      <c r="AW29" s="1032"/>
      <c r="AX29" s="1032"/>
      <c r="AY29" s="1032"/>
      <c r="AZ29" s="1033"/>
      <c r="BA29" s="1034">
        <v>7</v>
      </c>
      <c r="BB29" s="1032"/>
      <c r="BC29" s="1032"/>
      <c r="BD29" s="1032"/>
      <c r="BE29" s="1032"/>
      <c r="BF29" s="1032"/>
      <c r="BG29" s="1032"/>
      <c r="BH29" s="1033"/>
      <c r="BI29" s="1034">
        <v>8</v>
      </c>
      <c r="BJ29" s="1032"/>
      <c r="BK29" s="1032"/>
      <c r="BL29" s="1032"/>
      <c r="BM29" s="1032"/>
      <c r="BN29" s="1032"/>
      <c r="BO29" s="1032"/>
      <c r="BP29" s="1035"/>
      <c r="BQ29" s="661"/>
      <c r="BR29" s="697" t="s">
        <v>94</v>
      </c>
      <c r="BS29" s="660" t="str">
        <f>$F$4</f>
        <v>1. FC Riedwald</v>
      </c>
      <c r="BT29" s="660" t="str">
        <f>$F$5</f>
        <v>FC Barcelona</v>
      </c>
      <c r="BU29" s="660" t="str">
        <f>$F$6</f>
        <v>Eintracht Frankfurt</v>
      </c>
      <c r="BV29" s="660" t="str">
        <f>$F$7</f>
        <v>Maibach 1822 eV</v>
      </c>
      <c r="BW29" s="660" t="str">
        <f>$F$8</f>
        <v>VFB Essenheim</v>
      </c>
      <c r="BX29" s="660" t="str">
        <f>$F$9</f>
        <v/>
      </c>
      <c r="BY29" s="660" t="str">
        <f>$F$10</f>
        <v/>
      </c>
      <c r="BZ29" s="660" t="str">
        <f>$F$11</f>
        <v/>
      </c>
      <c r="CA29" s="660" t="str">
        <f>$F$12</f>
        <v/>
      </c>
      <c r="CB29" s="699"/>
    </row>
    <row r="30" spans="2:80" s="660" customFormat="1" x14ac:dyDescent="0.2">
      <c r="C30" s="660" t="str">
        <f>$Q64</f>
        <v>1. FC Riedwald</v>
      </c>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si="54">F4</f>
        <v>1. FC Riedwald</v>
      </c>
      <c r="BS30" s="702"/>
      <c r="BT30" s="703">
        <f t="shared" ref="BT30:CA30" ca="1" si="55">SUMIFS($AH$64:$AH$135,$V$64:$V$135,$BR30,$W$64:$W$135,BT$29)+SUMIFS($AI$64:$AI$135,$W$64:$W$135,$BR30,$V$64:$V$135,BT$29)</f>
        <v>50</v>
      </c>
      <c r="BU30" s="703">
        <f t="shared" ca="1" si="55"/>
        <v>42</v>
      </c>
      <c r="BV30" s="703">
        <f t="shared" ca="1" si="55"/>
        <v>41</v>
      </c>
      <c r="BW30" s="703">
        <f t="shared" ca="1" si="55"/>
        <v>44</v>
      </c>
      <c r="BX30" s="703">
        <f t="shared" ca="1" si="55"/>
        <v>0</v>
      </c>
      <c r="BY30" s="703">
        <f t="shared" ca="1" si="55"/>
        <v>0</v>
      </c>
      <c r="BZ30" s="703">
        <f t="shared" ca="1" si="55"/>
        <v>0</v>
      </c>
      <c r="CA30" s="703">
        <f t="shared" ca="1" si="55"/>
        <v>0</v>
      </c>
      <c r="CB30" s="681"/>
    </row>
    <row r="31" spans="2:80" s="660" customFormat="1" x14ac:dyDescent="0.2">
      <c r="C31" s="660" t="str">
        <f t="shared" ref="C31:C38" si="56">$Q65</f>
        <v>FC Barcelona</v>
      </c>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si="54"/>
        <v>FC Barcelona</v>
      </c>
      <c r="BS31" s="704">
        <f t="shared" ref="BS31:BS38" ca="1" si="57">SUMIFS($AH$64:$AH$135,$V$64:$V$135,$BR31,$W$64:$W$135,BS$29)+SUMIFS($AI$64:$AI$135,$W$64:$W$135,$BR31,$V$64:$V$135,BS$29)</f>
        <v>37</v>
      </c>
      <c r="BT31" s="702"/>
      <c r="BU31" s="703">
        <f t="shared" ref="BU31:CA31" ca="1" si="58">SUMIFS($AH$64:$AH$135,$V$64:$V$135,$BR31,$W$64:$W$135,BU$29)+SUMIFS($AI$64:$AI$135,$W$64:$W$135,$BR31,$V$64:$V$135,BU$29)</f>
        <v>48</v>
      </c>
      <c r="BV31" s="703">
        <f t="shared" ca="1" si="58"/>
        <v>29</v>
      </c>
      <c r="BW31" s="703">
        <f t="shared" ca="1" si="58"/>
        <v>25</v>
      </c>
      <c r="BX31" s="703">
        <f t="shared" ca="1" si="58"/>
        <v>0</v>
      </c>
      <c r="BY31" s="703">
        <f t="shared" ca="1" si="58"/>
        <v>0</v>
      </c>
      <c r="BZ31" s="703">
        <f t="shared" ca="1" si="58"/>
        <v>0</v>
      </c>
      <c r="CA31" s="703">
        <f t="shared" ca="1" si="58"/>
        <v>0</v>
      </c>
      <c r="CB31" s="681"/>
    </row>
    <row r="32" spans="2:80" s="660" customFormat="1" x14ac:dyDescent="0.2">
      <c r="C32" s="660" t="str">
        <f t="shared" si="56"/>
        <v>Eintracht Frankfurt</v>
      </c>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si="54"/>
        <v>Eintracht Frankfurt</v>
      </c>
      <c r="BS32" s="704">
        <f t="shared" ca="1" si="57"/>
        <v>46</v>
      </c>
      <c r="BT32" s="704">
        <f t="shared" ref="BT32:BT38" ca="1" si="59">SUMIFS($AH$64:$AH$135,$V$64:$V$135,$BR32,$W$64:$W$135,BT$29)+SUMIFS($AI$64:$AI$135,$W$64:$W$135,$BR32,$V$64:$V$135,BT$29)</f>
        <v>48</v>
      </c>
      <c r="BU32" s="702"/>
      <c r="BV32" s="703">
        <f t="shared" ref="BV32:CA32" ca="1" si="60">SUMIFS($AH$64:$AH$135,$V$64:$V$135,$BR32,$W$64:$W$135,BV$29)+SUMIFS($AI$64:$AI$135,$W$64:$W$135,$BR32,$V$64:$V$135,BV$29)</f>
        <v>24</v>
      </c>
      <c r="BW32" s="703">
        <f t="shared" ca="1" si="60"/>
        <v>47</v>
      </c>
      <c r="BX32" s="703">
        <f t="shared" ca="1" si="60"/>
        <v>0</v>
      </c>
      <c r="BY32" s="703">
        <f t="shared" ca="1" si="60"/>
        <v>0</v>
      </c>
      <c r="BZ32" s="703">
        <f t="shared" ca="1" si="60"/>
        <v>0</v>
      </c>
      <c r="CA32" s="703">
        <f t="shared" ca="1" si="60"/>
        <v>0</v>
      </c>
      <c r="CB32" s="681"/>
    </row>
    <row r="33" spans="2:80" s="660" customFormat="1" x14ac:dyDescent="0.2">
      <c r="C33" s="660" t="str">
        <f t="shared" si="56"/>
        <v>Maibach 1822 eV</v>
      </c>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si="54"/>
        <v>Maibach 1822 eV</v>
      </c>
      <c r="BS33" s="704">
        <f t="shared" ca="1" si="57"/>
        <v>43</v>
      </c>
      <c r="BT33" s="704">
        <f t="shared" ca="1" si="59"/>
        <v>50</v>
      </c>
      <c r="BU33" s="704">
        <f t="shared" ref="BU33:BU38" ca="1" si="61">SUMIFS($AH$64:$AH$135,$V$64:$V$135,$BR33,$W$64:$W$135,BU$29)+SUMIFS($AI$64:$AI$135,$W$64:$W$135,$BR33,$V$64:$V$135,BU$29)</f>
        <v>35</v>
      </c>
      <c r="BV33" s="702"/>
      <c r="BW33" s="703">
        <f ca="1">SUMIFS($AH$64:$AH$135,$V$64:$V$135,$BR33,$W$64:$W$135,BW$29)+SUMIFS($AI$64:$AI$135,$W$64:$W$135,$BR33,$V$64:$V$135,BW$29)</f>
        <v>50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2:80" s="660" customFormat="1" x14ac:dyDescent="0.2">
      <c r="C34" s="660" t="str">
        <f t="shared" si="56"/>
        <v>VFB Essenheim</v>
      </c>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54"/>
        <v>VFB Essenheim</v>
      </c>
      <c r="BS34" s="704">
        <f t="shared" ca="1" si="57"/>
        <v>50</v>
      </c>
      <c r="BT34" s="704">
        <f t="shared" ca="1" si="59"/>
        <v>50</v>
      </c>
      <c r="BU34" s="704">
        <f t="shared" ca="1" si="61"/>
        <v>45</v>
      </c>
      <c r="BV34" s="704">
        <f ca="1">SUMIFS($AH$64:$AH$135,$V$64:$V$135,$BR34,$W$64:$W$135,BV$29)+SUMIFS($AI$64:$AI$135,$W$64:$W$135,$BR34,$V$64:$V$135,BV$29)</f>
        <v>40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2:80" s="660" customFormat="1" x14ac:dyDescent="0.2">
      <c r="C35" s="660" t="str">
        <f t="shared" si="56"/>
        <v/>
      </c>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54"/>
        <v/>
      </c>
      <c r="BS35" s="704">
        <f t="shared" ca="1" si="57"/>
        <v>0</v>
      </c>
      <c r="BT35" s="704">
        <f t="shared" ca="1" si="59"/>
        <v>0</v>
      </c>
      <c r="BU35" s="704">
        <f t="shared" ca="1" si="61"/>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2:80" s="660" customFormat="1" x14ac:dyDescent="0.2">
      <c r="C36" s="660" t="str">
        <f t="shared" si="56"/>
        <v/>
      </c>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54"/>
        <v/>
      </c>
      <c r="BS36" s="704">
        <f t="shared" ca="1" si="57"/>
        <v>0</v>
      </c>
      <c r="BT36" s="704">
        <f t="shared" ca="1" si="59"/>
        <v>0</v>
      </c>
      <c r="BU36" s="704">
        <f t="shared" ca="1" si="61"/>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2:80" s="660" customFormat="1" x14ac:dyDescent="0.2">
      <c r="C37" s="660" t="str">
        <f t="shared" si="56"/>
        <v/>
      </c>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54"/>
        <v/>
      </c>
      <c r="BS37" s="704">
        <f t="shared" ca="1" si="57"/>
        <v>0</v>
      </c>
      <c r="BT37" s="704">
        <f t="shared" ca="1" si="59"/>
        <v>0</v>
      </c>
      <c r="BU37" s="704">
        <f t="shared" ca="1" si="61"/>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2:80" s="660" customFormat="1" x14ac:dyDescent="0.2">
      <c r="C38" s="660" t="str">
        <f t="shared" si="56"/>
        <v/>
      </c>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54"/>
        <v/>
      </c>
      <c r="BS38" s="704">
        <f t="shared" ca="1" si="57"/>
        <v>0</v>
      </c>
      <c r="BT38" s="704">
        <f t="shared" ca="1" si="59"/>
        <v>0</v>
      </c>
      <c r="BU38" s="704">
        <f t="shared" ca="1" si="61"/>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2:80" s="660" customFormat="1" x14ac:dyDescent="0.2">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CB39" s="681"/>
    </row>
    <row r="40" spans="2:80" s="660" customFormat="1" x14ac:dyDescent="0.2">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$F$4</f>
        <v>1. FC Riedwald</v>
      </c>
      <c r="BT40" s="660" t="str">
        <f>$F$5</f>
        <v>FC Barcelona</v>
      </c>
      <c r="BU40" s="660" t="str">
        <f>$F$6</f>
        <v>Eintracht Frankfurt</v>
      </c>
      <c r="BV40" s="660" t="str">
        <f>$F$7</f>
        <v>Maibach 1822 eV</v>
      </c>
      <c r="BW40" s="660" t="str">
        <f>$F$8</f>
        <v>VFB Essenheim</v>
      </c>
      <c r="BX40" s="660" t="str">
        <f>$F$9</f>
        <v/>
      </c>
      <c r="BY40" s="660" t="str">
        <f>$F$10</f>
        <v/>
      </c>
      <c r="BZ40" s="660" t="str">
        <f>$F$11</f>
        <v/>
      </c>
      <c r="CA40" s="660" t="str">
        <f>$F$12</f>
        <v/>
      </c>
      <c r="CB40" s="681"/>
    </row>
    <row r="41" spans="2:80" s="660" customFormat="1" x14ac:dyDescent="0.2">
      <c r="B41" s="698" t="s">
        <v>99</v>
      </c>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si="62">F4</f>
        <v>1. FC Riedwald</v>
      </c>
      <c r="BS41" s="702"/>
      <c r="BT41" s="703">
        <f ca="1">BT30-BS31</f>
        <v>13</v>
      </c>
      <c r="BU41" s="703">
        <f ca="1">BU30-BS32</f>
        <v>-4</v>
      </c>
      <c r="BV41" s="703">
        <f ca="1">BV30-BS33</f>
        <v>-2</v>
      </c>
      <c r="BW41" s="703">
        <f ca="1">BW30-BS34</f>
        <v>-6</v>
      </c>
      <c r="BX41" s="703">
        <f ca="1">BX30-BS35</f>
        <v>0</v>
      </c>
      <c r="BY41" s="703">
        <f ca="1">BY30-BS36</f>
        <v>0</v>
      </c>
      <c r="BZ41" s="703">
        <f ca="1">BZ30-BS37</f>
        <v>0</v>
      </c>
      <c r="CA41" s="703">
        <f ca="1">CA30-BS38</f>
        <v>0</v>
      </c>
      <c r="CB41" s="681"/>
    </row>
    <row r="42" spans="2:80" s="660" customFormat="1" x14ac:dyDescent="0.2">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si="62"/>
        <v>FC Barcelona</v>
      </c>
      <c r="BS42" s="704">
        <f ca="1">IF(BT41="","",-1*BT41)</f>
        <v>-13</v>
      </c>
      <c r="BT42" s="702"/>
      <c r="BU42" s="703">
        <f ca="1">BU31-BT32</f>
        <v>0</v>
      </c>
      <c r="BV42" s="703">
        <f ca="1">BV31-BT33</f>
        <v>-21</v>
      </c>
      <c r="BW42" s="703">
        <f ca="1">BW31-BT34</f>
        <v>-25</v>
      </c>
      <c r="BX42" s="703">
        <f ca="1">BX31-BT35</f>
        <v>0</v>
      </c>
      <c r="BY42" s="703">
        <f ca="1">BY31-BT36</f>
        <v>0</v>
      </c>
      <c r="BZ42" s="703">
        <f ca="1">BZ31-BT37</f>
        <v>0</v>
      </c>
      <c r="CA42" s="703">
        <f ca="1">CA31-BT38</f>
        <v>0</v>
      </c>
      <c r="CB42" s="681"/>
    </row>
    <row r="43" spans="2:80" s="660" customFormat="1" x14ac:dyDescent="0.2">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si="62"/>
        <v>Eintracht Frankfurt</v>
      </c>
      <c r="BS43" s="704">
        <f ca="1">IF(BU41="","",-1*BU41)</f>
        <v>4</v>
      </c>
      <c r="BT43" s="704">
        <f ca="1">IF(BU42="","",-1*BU42)</f>
        <v>0</v>
      </c>
      <c r="BU43" s="702"/>
      <c r="BV43" s="703">
        <f ca="1">BV32-BU33</f>
        <v>-11</v>
      </c>
      <c r="BW43" s="703">
        <f ca="1">BW32-BU34</f>
        <v>2</v>
      </c>
      <c r="BX43" s="703">
        <f ca="1">BX32-BU35</f>
        <v>0</v>
      </c>
      <c r="BY43" s="703">
        <f ca="1">BY32-BU36</f>
        <v>0</v>
      </c>
      <c r="BZ43" s="703">
        <f ca="1">BZ32-BU37</f>
        <v>0</v>
      </c>
      <c r="CA43" s="703">
        <f ca="1">CA32-BU38</f>
        <v>0</v>
      </c>
      <c r="CB43" s="681"/>
    </row>
    <row r="44" spans="2:80" s="660" customFormat="1" x14ac:dyDescent="0.2">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si="62"/>
        <v>Maibach 1822 eV</v>
      </c>
      <c r="BS44" s="704">
        <f ca="1">IF(BV41="","",-1*BV41)</f>
        <v>2</v>
      </c>
      <c r="BT44" s="704">
        <f ca="1">IF(BV42="","",-1*BV42)</f>
        <v>21</v>
      </c>
      <c r="BU44" s="704">
        <f ca="1">IF(BV43="","",-1*BV43)</f>
        <v>11</v>
      </c>
      <c r="BV44" s="702"/>
      <c r="BW44" s="703">
        <f ca="1">BW33-BV34</f>
        <v>10</v>
      </c>
      <c r="BX44" s="703">
        <f ca="1">BX33-BV35</f>
        <v>0</v>
      </c>
      <c r="BY44" s="703">
        <f ca="1">BY33-BV36</f>
        <v>0</v>
      </c>
      <c r="BZ44" s="703">
        <f ca="1">BZ33-BV37</f>
        <v>0</v>
      </c>
      <c r="CA44" s="703">
        <f ca="1">CA33-BV38</f>
        <v>0</v>
      </c>
      <c r="CB44" s="681"/>
    </row>
    <row r="45" spans="2:80" s="660" customFormat="1" x14ac:dyDescent="0.2">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62"/>
        <v>VFB Essenheim</v>
      </c>
      <c r="BS45" s="704">
        <f ca="1">IF(BW41="","",-1*BW41)</f>
        <v>6</v>
      </c>
      <c r="BT45" s="704">
        <f ca="1">IF(BW42="","",-1*BW42)</f>
        <v>25</v>
      </c>
      <c r="BU45" s="704">
        <f ca="1">IF(BW43="","",-1*BW43)</f>
        <v>-2</v>
      </c>
      <c r="BV45" s="704">
        <f ca="1">IF(BW44="","",-1*BW44)</f>
        <v>-10</v>
      </c>
      <c r="BW45" s="702"/>
      <c r="BX45" s="703">
        <f ca="1">BX34-BW35</f>
        <v>0</v>
      </c>
      <c r="BY45" s="703">
        <f ca="1">BY34-BW36</f>
        <v>0</v>
      </c>
      <c r="BZ45" s="703">
        <f ca="1">BZ34-BW37</f>
        <v>0</v>
      </c>
      <c r="CA45" s="703">
        <f ca="1">CA34-BW38</f>
        <v>0</v>
      </c>
      <c r="CB45" s="681"/>
    </row>
    <row r="46" spans="2:80" s="660" customFormat="1" x14ac:dyDescent="0.2">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62"/>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2:80" s="660" customFormat="1" x14ac:dyDescent="0.2">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62"/>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2:80" s="660" customFormat="1" x14ac:dyDescent="0.2">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62"/>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2:80" s="660" customFormat="1" x14ac:dyDescent="0.2">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62"/>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63">IF(CA48="","",-1*CA48)</f>
        <v>0</v>
      </c>
      <c r="CA49" s="702"/>
      <c r="CB49" s="681"/>
    </row>
    <row r="50" spans="2:80" s="660" customFormat="1" x14ac:dyDescent="0.2">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CB50" s="681"/>
    </row>
    <row r="51" spans="2:80" s="660" customFormat="1" x14ac:dyDescent="0.2">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396</v>
      </c>
      <c r="BS51" s="660" t="str">
        <f>$F$4</f>
        <v>1. FC Riedwald</v>
      </c>
      <c r="BT51" s="660" t="str">
        <f>$F$5</f>
        <v>FC Barcelona</v>
      </c>
      <c r="BU51" s="660" t="str">
        <f>$F$6</f>
        <v>Eintracht Frankfurt</v>
      </c>
      <c r="BV51" s="660" t="str">
        <f>$F$7</f>
        <v>Maibach 1822 eV</v>
      </c>
      <c r="BW51" s="660" t="str">
        <f>$F$8</f>
        <v>VFB Essenheim</v>
      </c>
      <c r="BX51" s="660" t="str">
        <f>$F$9</f>
        <v/>
      </c>
      <c r="BY51" s="660" t="str">
        <f>$F$10</f>
        <v/>
      </c>
      <c r="BZ51" s="660" t="str">
        <f>$F$11</f>
        <v/>
      </c>
      <c r="CA51" s="660" t="str">
        <f>$F$12</f>
        <v/>
      </c>
      <c r="CB51" s="681"/>
    </row>
    <row r="52" spans="2:80" s="660" customFormat="1" x14ac:dyDescent="0.2">
      <c r="B52" s="698" t="s">
        <v>94</v>
      </c>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si="64">F4</f>
        <v>1. FC Riedwald</v>
      </c>
      <c r="BS52" s="702"/>
      <c r="BT52" s="703">
        <f t="shared" ref="BT52:CA54" ca="1" si="65">SUMIFS($AJ$64:$AJ$135,$V$64:$V$135,$BR52,$W$64:$W$135,BT$51)+SUMIFS($AK$64:$AK$135,$W$64:$W$135,$BR52,$V$64:$V$135,BT$51)</f>
        <v>2</v>
      </c>
      <c r="BU52" s="703">
        <f t="shared" ca="1" si="65"/>
        <v>1</v>
      </c>
      <c r="BV52" s="703">
        <f t="shared" ca="1" si="65"/>
        <v>1</v>
      </c>
      <c r="BW52" s="703">
        <f t="shared" ca="1" si="65"/>
        <v>0</v>
      </c>
      <c r="BX52" s="703">
        <f t="shared" ca="1" si="65"/>
        <v>0</v>
      </c>
      <c r="BY52" s="703">
        <f t="shared" ca="1" si="65"/>
        <v>0</v>
      </c>
      <c r="BZ52" s="703">
        <f t="shared" ca="1" si="65"/>
        <v>0</v>
      </c>
      <c r="CA52" s="703">
        <f t="shared" ca="1" si="65"/>
        <v>0</v>
      </c>
      <c r="CB52" s="681"/>
    </row>
    <row r="53" spans="2:80" s="660" customFormat="1" x14ac:dyDescent="0.2">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si="64"/>
        <v>FC Barcelona</v>
      </c>
      <c r="BS53" s="704">
        <f t="shared" ref="BS53:BU60" ca="1" si="66">SUMIFS($AJ$64:$AJ$135,$V$64:$V$135,$BR53,$W$64:$W$135,BS$51)+SUMIFS($AK$64:$AK$135,$W$64:$W$135,$BR53,$V$64:$V$135,BS$51)</f>
        <v>0</v>
      </c>
      <c r="BT53" s="702"/>
      <c r="BU53" s="703">
        <f t="shared" ca="1" si="65"/>
        <v>1</v>
      </c>
      <c r="BV53" s="703">
        <f t="shared" ca="1" si="65"/>
        <v>0</v>
      </c>
      <c r="BW53" s="703">
        <f t="shared" ca="1" si="65"/>
        <v>0</v>
      </c>
      <c r="BX53" s="703">
        <f t="shared" ca="1" si="65"/>
        <v>0</v>
      </c>
      <c r="BY53" s="703">
        <f t="shared" ca="1" si="65"/>
        <v>0</v>
      </c>
      <c r="BZ53" s="703">
        <f t="shared" ca="1" si="65"/>
        <v>0</v>
      </c>
      <c r="CA53" s="703">
        <f t="shared" ca="1" si="65"/>
        <v>0</v>
      </c>
      <c r="CB53" s="681"/>
    </row>
    <row r="54" spans="2:80" s="660" customFormat="1" x14ac:dyDescent="0.2">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si="64"/>
        <v>Eintracht Frankfurt</v>
      </c>
      <c r="BS54" s="704">
        <f t="shared" ca="1" si="66"/>
        <v>1</v>
      </c>
      <c r="BT54" s="704">
        <f t="shared" ca="1" si="66"/>
        <v>1</v>
      </c>
      <c r="BU54" s="702"/>
      <c r="BV54" s="703">
        <f t="shared" ca="1" si="65"/>
        <v>0</v>
      </c>
      <c r="BW54" s="703">
        <f t="shared" ca="1" si="65"/>
        <v>1</v>
      </c>
      <c r="BX54" s="703">
        <f t="shared" ca="1" si="65"/>
        <v>0</v>
      </c>
      <c r="BY54" s="703">
        <f t="shared" ca="1" si="65"/>
        <v>0</v>
      </c>
      <c r="BZ54" s="703">
        <f t="shared" ca="1" si="65"/>
        <v>0</v>
      </c>
      <c r="CA54" s="703">
        <f t="shared" ca="1" si="65"/>
        <v>0</v>
      </c>
      <c r="CB54" s="681"/>
    </row>
    <row r="55" spans="2:80" s="660" customFormat="1" x14ac:dyDescent="0.2">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si="64"/>
        <v>Maibach 1822 eV</v>
      </c>
      <c r="BS55" s="704">
        <f t="shared" ca="1" si="66"/>
        <v>1</v>
      </c>
      <c r="BT55" s="704">
        <f t="shared" ca="1" si="66"/>
        <v>2</v>
      </c>
      <c r="BU55" s="704">
        <f t="shared" ca="1" si="66"/>
        <v>2</v>
      </c>
      <c r="BV55" s="702"/>
      <c r="BW55" s="703">
        <f ca="1">SUMIFS($AJ$64:$AJ$135,$V$64:$V$135,$BR55,$W$64:$W$135,BW$51)+SUMIFS($AK$64:$AK$135,$W$64:$W$135,$BR55,$V$64:$V$135,BW$51)</f>
        <v>2</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2:80" s="660" customFormat="1" x14ac:dyDescent="0.2">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64"/>
        <v>VFB Essenheim</v>
      </c>
      <c r="BS56" s="704">
        <f t="shared" ca="1" si="66"/>
        <v>2</v>
      </c>
      <c r="BT56" s="704">
        <f t="shared" ca="1" si="66"/>
        <v>2</v>
      </c>
      <c r="BU56" s="704">
        <f t="shared" ca="1" si="66"/>
        <v>1</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2:80" s="660" customFormat="1" x14ac:dyDescent="0.2">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64"/>
        <v/>
      </c>
      <c r="BS57" s="704">
        <f t="shared" ca="1" si="66"/>
        <v>0</v>
      </c>
      <c r="BT57" s="704">
        <f t="shared" ca="1" si="66"/>
        <v>0</v>
      </c>
      <c r="BU57" s="704">
        <f t="shared" ca="1" si="66"/>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2:80" s="660" customFormat="1" x14ac:dyDescent="0.2">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64"/>
        <v/>
      </c>
      <c r="BS58" s="704">
        <f t="shared" ca="1" si="66"/>
        <v>0</v>
      </c>
      <c r="BT58" s="704">
        <f t="shared" ca="1" si="66"/>
        <v>0</v>
      </c>
      <c r="BU58" s="704">
        <f t="shared" ca="1" si="66"/>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2:80" s="660" customFormat="1" x14ac:dyDescent="0.2">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64"/>
        <v/>
      </c>
      <c r="BS59" s="704">
        <f t="shared" ca="1" si="66"/>
        <v>0</v>
      </c>
      <c r="BT59" s="704">
        <f t="shared" ca="1" si="66"/>
        <v>0</v>
      </c>
      <c r="BU59" s="704">
        <f t="shared" ca="1" si="66"/>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2:80" s="660" customFormat="1" ht="12.75" thickBot="1" x14ac:dyDescent="0.25">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64"/>
        <v/>
      </c>
      <c r="BS60" s="704">
        <f t="shared" ca="1" si="66"/>
        <v>0</v>
      </c>
      <c r="BT60" s="704">
        <f t="shared" ca="1" si="66"/>
        <v>0</v>
      </c>
      <c r="BU60" s="704">
        <f t="shared" ca="1" si="66"/>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2:80" s="660" customFormat="1" ht="12.75" thickTop="1" x14ac:dyDescent="0.2">
      <c r="AC61" s="681"/>
      <c r="AD61" s="681"/>
      <c r="AE61" s="681"/>
      <c r="AF61" s="681"/>
      <c r="AG61" s="681"/>
      <c r="AH61" s="681"/>
      <c r="AI61" s="681"/>
      <c r="AJ61" s="681"/>
      <c r="AK61" s="681"/>
      <c r="AL61" s="681"/>
      <c r="AM61" s="681"/>
      <c r="AN61" s="681"/>
      <c r="AO61" s="681"/>
      <c r="AP61" s="681"/>
      <c r="AQ61" s="681"/>
      <c r="AR61" s="681"/>
    </row>
    <row r="62" spans="2:80" s="660" customFormat="1" x14ac:dyDescent="0.2">
      <c r="AC62" s="681"/>
      <c r="AD62" s="681"/>
      <c r="AE62" s="681"/>
      <c r="AF62" s="681"/>
      <c r="AG62" s="681"/>
      <c r="AH62" s="681"/>
      <c r="AI62" s="681"/>
      <c r="AJ62" s="681"/>
      <c r="AK62" s="681"/>
      <c r="AL62" s="681"/>
      <c r="AM62" s="681"/>
      <c r="AN62" s="681"/>
      <c r="AO62" s="681"/>
      <c r="AP62" s="681"/>
      <c r="AQ62" s="681"/>
      <c r="AR62" s="681"/>
    </row>
    <row r="63" spans="2:80" s="660" customFormat="1" ht="12.75" thickBot="1" x14ac:dyDescent="0.25">
      <c r="F63" s="651" t="s">
        <v>164</v>
      </c>
      <c r="X63" s="1036" t="s">
        <v>309</v>
      </c>
      <c r="Y63" s="1036"/>
      <c r="Z63" s="664" t="s">
        <v>150</v>
      </c>
      <c r="AA63" s="664" t="s">
        <v>15</v>
      </c>
      <c r="AB63" s="664" t="s">
        <v>397</v>
      </c>
      <c r="AC63" s="709" t="s">
        <v>396</v>
      </c>
      <c r="AD63" s="1037" t="s">
        <v>311</v>
      </c>
      <c r="AE63" s="1037"/>
      <c r="AF63" s="1037" t="s">
        <v>315</v>
      </c>
      <c r="AG63" s="1037"/>
      <c r="AH63" s="1037" t="s">
        <v>397</v>
      </c>
      <c r="AI63" s="1037"/>
      <c r="AJ63" s="1038" t="s">
        <v>396</v>
      </c>
      <c r="AK63" s="1038"/>
      <c r="AL63" s="1037" t="s">
        <v>108</v>
      </c>
      <c r="AM63" s="1037"/>
      <c r="AN63" s="712"/>
    </row>
    <row r="64" spans="2:80" s="660" customFormat="1" ht="14.25" thickTop="1" thickBot="1" x14ac:dyDescent="0.25">
      <c r="F64" s="713">
        <v>1000000</v>
      </c>
      <c r="G64" s="714" t="s">
        <v>398</v>
      </c>
      <c r="L64" s="715"/>
      <c r="P64" s="716" t="s">
        <v>6</v>
      </c>
      <c r="Q64" s="717" t="str">
        <f>IF(Planning!$C$7="","",Planning!$C$7)</f>
        <v>1. FC Riedwald</v>
      </c>
      <c r="U64" s="718" t="s">
        <v>6</v>
      </c>
      <c r="V64" s="719" t="str">
        <f ca="1">Planning!$L6</f>
        <v>VFB Essenheim</v>
      </c>
      <c r="W64" s="720" t="str">
        <f ca="1">Planning!$N6</f>
        <v>FC Barcelona</v>
      </c>
      <c r="X64" s="720">
        <f ca="1">IF(AND($AA64=1,PreliminaryRound!$I12&lt;&gt;"",PreliminaryRound!$K12&lt;&gt;"",ABS(PreliminaryRound!$I12-PreliminaryRound!$K12)&gt;1),PreliminaryRound!$I12,"")</f>
        <v>25</v>
      </c>
      <c r="Y64" s="721">
        <f ca="1">IF(AND($AA64=1,PreliminaryRound!$I12&lt;&gt;"",PreliminaryRound!$K12&lt;&gt;"",ABS(PreliminaryRound!$I12-PreliminaryRound!$K12)&gt;1),PreliminaryRound!$K12,"")</f>
        <v>15</v>
      </c>
      <c r="Z64" s="722" t="str">
        <f ca="1">V64&amp;W64</f>
        <v>VFB EssenheimFC Barcelona</v>
      </c>
      <c r="AA64" s="720">
        <f ca="1">IF(AND(V64&lt;&gt;"",W64&lt;&gt;"",V64&lt;&gt;W64,PreliminaryRound!$R12&lt;&gt;"",PreliminaryRound!$T12&lt;&gt;""),1,0)</f>
        <v>1</v>
      </c>
      <c r="AB64" s="723" t="str">
        <f ca="1">IF(AA64&gt;0,AH64&amp;Language!$E$99&amp;AI64,"")</f>
        <v>50 - 25</v>
      </c>
      <c r="AC64" s="724" t="str">
        <f ca="1">IF(AA64&gt;0,AJ64&amp;Language!$E$99&amp;AK64,"")</f>
        <v>2 - 0</v>
      </c>
      <c r="AD64" s="725">
        <f ca="1">IF(AND($AA64=1,PreliminaryRound!$L12&lt;&gt;"",PreliminaryRound!$N12&lt;&gt;"",ABS(PreliminaryRound!$L12-PreliminaryRound!$N12)&gt;1),PreliminaryRound!$L12,"")</f>
        <v>25</v>
      </c>
      <c r="AE64" s="724">
        <f ca="1">IF(AND($AA64=1,PreliminaryRound!$L12&lt;&gt;"",PreliminaryRound!$N12&lt;&gt;"",ABS(PreliminaryRound!$L12-PreliminaryRound!$N12)&gt;1),PreliminaryRound!$N12,"")</f>
        <v>10</v>
      </c>
      <c r="AF64" s="725" t="str">
        <f ca="1">IF(AND($AA64=1,PreliminaryRound!$O12&lt;&gt;"",PreliminaryRound!$Q12&lt;&gt;"",ABS(PreliminaryRound!$O12-PreliminaryRound!$Q12)&gt;1),PreliminaryRound!$O12,"")</f>
        <v/>
      </c>
      <c r="AG64" s="724" t="str">
        <f ca="1">IF(AND($AA64=1,PreliminaryRound!$O12&lt;&gt;"",PreliminaryRound!$Q12&lt;&gt;"",ABS(PreliminaryRound!$O12-PreliminaryRound!$Q12)&gt;1),PreliminaryRound!$Q12,"")</f>
        <v/>
      </c>
      <c r="AH64" s="725">
        <f ca="1">IF(AA64&gt;0,SUM(X64,AD64,AF64),"")</f>
        <v>50</v>
      </c>
      <c r="AI64" s="724">
        <f ca="1">IF(AA64&gt;0,SUM(Y64,AE64,AG64),"")</f>
        <v>25</v>
      </c>
      <c r="AJ64" s="725">
        <f ca="1">IF(PreliminaryRound!$R12="",0,PreliminaryRound!$R12)</f>
        <v>2</v>
      </c>
      <c r="AK64" s="724">
        <f ca="1">IF(PreliminaryRound!$T12="",0,PreliminaryRound!$T12)</f>
        <v>0</v>
      </c>
      <c r="AL64" s="725">
        <f ca="1">IF($AA64=0,"",IF($AJ64&gt;$AK64,Settings!$C$4,IF($AJ64=$AK64,1,0)))</f>
        <v>2</v>
      </c>
      <c r="AM64" s="724">
        <f ca="1">IF($AA64=0,"",IF($AJ64&lt;$AK64,Settings!$C$4,IF($AJ64=$AK64,1,0)))</f>
        <v>0</v>
      </c>
      <c r="AN64" s="661"/>
    </row>
    <row r="65" spans="2:40" s="660" customFormat="1" ht="13.5" thickBot="1" x14ac:dyDescent="0.25">
      <c r="F65" s="726">
        <v>1000</v>
      </c>
      <c r="G65" s="727" t="s">
        <v>399</v>
      </c>
      <c r="H65" s="728">
        <v>500</v>
      </c>
      <c r="I65" s="729" t="s">
        <v>400</v>
      </c>
      <c r="L65" s="715"/>
      <c r="P65" s="730" t="s">
        <v>7</v>
      </c>
      <c r="Q65" s="731" t="str">
        <f>IF(Planning!$C$9="","",Planning!$C$9)</f>
        <v>FC Barcelona</v>
      </c>
      <c r="U65" s="732" t="s">
        <v>7</v>
      </c>
      <c r="V65" s="733" t="str">
        <f ca="1">Planning!$L7</f>
        <v>FC Grönlingen</v>
      </c>
      <c r="W65" s="661" t="str">
        <f ca="1">Planning!$N7</f>
        <v>Inter Mailand</v>
      </c>
      <c r="X65" s="661">
        <f ca="1">IF(AND($AA65=1,PreliminaryRound!$I13&lt;&gt;"",PreliminaryRound!$K13&lt;&gt;"",ABS(PreliminaryRound!$I13-PreliminaryRound!$K13)&gt;1),PreliminaryRound!$I13,"")</f>
        <v>15</v>
      </c>
      <c r="Y65" s="734">
        <f ca="1">IF(AND($AA65=1,PreliminaryRound!$I13&lt;&gt;"",PreliminaryRound!$K13&lt;&gt;"",ABS(PreliminaryRound!$I13-PreliminaryRound!$K13)&gt;1),PreliminaryRound!$K13,"")</f>
        <v>25</v>
      </c>
      <c r="Z65" s="735" t="str">
        <f t="shared" ref="Z65:Z73" ca="1" si="67">V65&amp;W65</f>
        <v>FC GrönlingenInter Mailand</v>
      </c>
      <c r="AA65" s="661">
        <f ca="1">IF(AND(V65&lt;&gt;"",W65&lt;&gt;"",V65&lt;&gt;W65,PreliminaryRound!$R13&lt;&gt;"",PreliminaryRound!$T13&lt;&gt;""),1,0)</f>
        <v>1</v>
      </c>
      <c r="AB65" s="661" t="str">
        <f ca="1">IF(AA65&gt;0,AH65&amp;Language!$E$99&amp;AI65,"")</f>
        <v>15 - 25</v>
      </c>
      <c r="AC65" s="736" t="str">
        <f ca="1">IF(AA65&gt;0,AJ65&amp;Language!$E$99&amp;AK65,"")</f>
        <v>0 - 1</v>
      </c>
      <c r="AD65" s="737" t="str">
        <f ca="1">IF(AND($AA65=1,PreliminaryRound!$L13&lt;&gt;"",PreliminaryRound!$N13&lt;&gt;"",ABS(PreliminaryRound!$L13-PreliminaryRound!$N13)&gt;1),PreliminaryRound!$L13,"")</f>
        <v/>
      </c>
      <c r="AE65" s="736" t="str">
        <f ca="1">IF(AND($AA65=1,PreliminaryRound!$L13&lt;&gt;"",PreliminaryRound!$N13&lt;&gt;"",ABS(PreliminaryRound!$L13-PreliminaryRound!$N13)&gt;1),PreliminaryRound!$N13,"")</f>
        <v/>
      </c>
      <c r="AF65" s="737" t="str">
        <f ca="1">IF(AND($AA65=1,PreliminaryRound!$O13&lt;&gt;"",PreliminaryRound!$Q13&lt;&gt;"",ABS(PreliminaryRound!$O13-PreliminaryRound!$Q13)&gt;1),PreliminaryRound!$O13,"")</f>
        <v/>
      </c>
      <c r="AG65" s="736" t="str">
        <f ca="1">IF(AND($AA65=1,PreliminaryRound!$O13&lt;&gt;"",PreliminaryRound!$Q13&lt;&gt;"",ABS(PreliminaryRound!$O13-PreliminaryRound!$Q13)&gt;1),PreliminaryRound!$Q13,"")</f>
        <v/>
      </c>
      <c r="AH65" s="737">
        <f t="shared" ref="AH65:AH93" ca="1" si="68">IF(AA65&gt;0,SUM(X65,AD65,AF65),"")</f>
        <v>15</v>
      </c>
      <c r="AI65" s="736">
        <f t="shared" ref="AI65:AI93" ca="1" si="69">IF(AA65&gt;0,SUM(Y65,AE65,AG65),"")</f>
        <v>25</v>
      </c>
      <c r="AJ65" s="737">
        <f ca="1">IF(PreliminaryRound!$R13="",0,PreliminaryRound!$R13)</f>
        <v>0</v>
      </c>
      <c r="AK65" s="736">
        <f ca="1">IF(PreliminaryRound!$T13="",0,PreliminaryRound!$T13)</f>
        <v>1</v>
      </c>
      <c r="AL65" s="737">
        <f ca="1">IF($AA65=0,"",IF($AJ65&gt;$AK65,Settings!$C$4,IF($AJ65=$AK65,1,0)))</f>
        <v>0</v>
      </c>
      <c r="AM65" s="736">
        <f ca="1">IF($AA65=0,"",IF($AJ65&lt;$AK65,Settings!$C$4,IF($AJ65=$AK65,1,0)))</f>
        <v>2</v>
      </c>
      <c r="AN65" s="661"/>
    </row>
    <row r="66" spans="2:40" s="660" customFormat="1" ht="12.75" x14ac:dyDescent="0.2">
      <c r="F66" s="726">
        <v>1</v>
      </c>
      <c r="G66" s="727" t="s">
        <v>401</v>
      </c>
      <c r="L66" s="715"/>
      <c r="P66" s="730" t="s">
        <v>8</v>
      </c>
      <c r="Q66" s="731" t="str">
        <f>IF(Planning!$C$11="","",Planning!$C$11)</f>
        <v>Eintracht Frankfurt</v>
      </c>
      <c r="U66" s="732" t="s">
        <v>8</v>
      </c>
      <c r="V66" s="733" t="str">
        <f ca="1">Planning!$L8</f>
        <v>Eintracht Frankfurt</v>
      </c>
      <c r="W66" s="661" t="str">
        <f ca="1">Planning!$N8</f>
        <v>Maibach 1822 eV</v>
      </c>
      <c r="X66" s="661">
        <f ca="1">IF(AND($AA66=1,PreliminaryRound!$I14&lt;&gt;"",PreliminaryRound!$K14&lt;&gt;"",ABS(PreliminaryRound!$I14-PreliminaryRound!$K14)&gt;1),PreliminaryRound!$I14,"")</f>
        <v>13</v>
      </c>
      <c r="Y66" s="734">
        <f ca="1">IF(AND($AA66=1,PreliminaryRound!$I14&lt;&gt;"",PreliminaryRound!$K14&lt;&gt;"",ABS(PreliminaryRound!$I14-PreliminaryRound!$K14)&gt;1),PreliminaryRound!$K14,"")</f>
        <v>17</v>
      </c>
      <c r="Z66" s="735" t="str">
        <f t="shared" ca="1" si="67"/>
        <v>Eintracht FrankfurtMaibach 1822 eV</v>
      </c>
      <c r="AA66" s="661">
        <f ca="1">IF(AND(V66&lt;&gt;"",W66&lt;&gt;"",V66&lt;&gt;W66,PreliminaryRound!$R14&lt;&gt;"",PreliminaryRound!$T14&lt;&gt;""),1,0)</f>
        <v>1</v>
      </c>
      <c r="AB66" s="661" t="str">
        <f ca="1">IF(AA66&gt;0,AH66&amp;Language!$E$99&amp;AI66,"")</f>
        <v>24 - 35</v>
      </c>
      <c r="AC66" s="736" t="str">
        <f ca="1">IF(AA66&gt;0,AJ66&amp;Language!$E$99&amp;AK66,"")</f>
        <v>0 - 2</v>
      </c>
      <c r="AD66" s="737">
        <f ca="1">IF(AND($AA66=1,PreliminaryRound!$L14&lt;&gt;"",PreliminaryRound!$N14&lt;&gt;"",ABS(PreliminaryRound!$L14-PreliminaryRound!$N14)&gt;1),PreliminaryRound!$L14,"")</f>
        <v>11</v>
      </c>
      <c r="AE66" s="736">
        <f ca="1">IF(AND($AA66=1,PreliminaryRound!$L14&lt;&gt;"",PreliminaryRound!$N14&lt;&gt;"",ABS(PreliminaryRound!$L14-PreliminaryRound!$N14)&gt;1),PreliminaryRound!$N14,"")</f>
        <v>18</v>
      </c>
      <c r="AF66" s="737" t="str">
        <f ca="1">IF(AND($AA66=1,PreliminaryRound!$O14&lt;&gt;"",PreliminaryRound!$Q14&lt;&gt;"",ABS(PreliminaryRound!$O14-PreliminaryRound!$Q14)&gt;1),PreliminaryRound!$O14,"")</f>
        <v/>
      </c>
      <c r="AG66" s="736" t="str">
        <f ca="1">IF(AND($AA66=1,PreliminaryRound!$O14&lt;&gt;"",PreliminaryRound!$Q14&lt;&gt;"",ABS(PreliminaryRound!$O14-PreliminaryRound!$Q14)&gt;1),PreliminaryRound!$Q14,"")</f>
        <v/>
      </c>
      <c r="AH66" s="737">
        <f t="shared" ca="1" si="68"/>
        <v>24</v>
      </c>
      <c r="AI66" s="736">
        <f t="shared" ca="1" si="69"/>
        <v>35</v>
      </c>
      <c r="AJ66" s="737">
        <f ca="1">IF(PreliminaryRound!$R14="",0,PreliminaryRound!$R14)</f>
        <v>0</v>
      </c>
      <c r="AK66" s="736">
        <f ca="1">IF(PreliminaryRound!$T14="",0,PreliminaryRound!$T14)</f>
        <v>2</v>
      </c>
      <c r="AL66" s="737">
        <f ca="1">IF($AA66=0,"",IF($AJ66&gt;$AK66,Settings!$C$4,IF($AJ66=$AK66,1,0)))</f>
        <v>0</v>
      </c>
      <c r="AM66" s="736">
        <f ca="1">IF($AA66=0,"",IF($AJ66&lt;$AK66,Settings!$C$4,IF($AJ66=$AK66,1,0)))</f>
        <v>2</v>
      </c>
      <c r="AN66" s="661"/>
    </row>
    <row r="67" spans="2:40" s="660" customFormat="1" ht="12.75" thickBot="1" x14ac:dyDescent="0.25">
      <c r="F67" s="738">
        <v>1E-3</v>
      </c>
      <c r="G67" s="739" t="s">
        <v>402</v>
      </c>
      <c r="P67" s="730" t="s">
        <v>9</v>
      </c>
      <c r="Q67" s="731" t="str">
        <f>IF(Planning!$C$13="","",Planning!$C$13)</f>
        <v>Maibach 1822 eV</v>
      </c>
      <c r="U67" s="732" t="s">
        <v>9</v>
      </c>
      <c r="V67" s="733" t="str">
        <f ca="1">Planning!$L9</f>
        <v>SSV Wildbach</v>
      </c>
      <c r="W67" s="661" t="str">
        <f ca="1">Planning!$N9</f>
        <v>Manchester City</v>
      </c>
      <c r="X67" s="661">
        <f ca="1">IF(AND($AA67=1,PreliminaryRound!$I15&lt;&gt;"",PreliminaryRound!$K15&lt;&gt;"",ABS(PreliminaryRound!$I15-PreliminaryRound!$K15)&gt;1),PreliminaryRound!$I15,"")</f>
        <v>25</v>
      </c>
      <c r="Y67" s="734">
        <f ca="1">IF(AND($AA67=1,PreliminaryRound!$I15&lt;&gt;"",PreliminaryRound!$K15&lt;&gt;"",ABS(PreliminaryRound!$I15-PreliminaryRound!$K15)&gt;1),PreliminaryRound!$K15,"")</f>
        <v>22</v>
      </c>
      <c r="Z67" s="735" t="str">
        <f t="shared" ca="1" si="67"/>
        <v>SSV WildbachManchester City</v>
      </c>
      <c r="AA67" s="661">
        <f ca="1">IF(AND(V67&lt;&gt;"",W67&lt;&gt;"",V67&lt;&gt;W67,PreliminaryRound!$R15&lt;&gt;"",PreliminaryRound!$T15&lt;&gt;""),1,0)</f>
        <v>1</v>
      </c>
      <c r="AB67" s="661" t="str">
        <f ca="1">IF(AA67&gt;0,AH67&amp;Language!$E$99&amp;AI67,"")</f>
        <v>50 - 42</v>
      </c>
      <c r="AC67" s="736" t="str">
        <f ca="1">IF(AA67&gt;0,AJ67&amp;Language!$E$99&amp;AK67,"")</f>
        <v>2 - 0</v>
      </c>
      <c r="AD67" s="737">
        <f ca="1">IF(AND($AA67=1,PreliminaryRound!$L15&lt;&gt;"",PreliminaryRound!$N15&lt;&gt;"",ABS(PreliminaryRound!$L15-PreliminaryRound!$N15)&gt;1),PreliminaryRound!$L15,"")</f>
        <v>25</v>
      </c>
      <c r="AE67" s="736">
        <f ca="1">IF(AND($AA67=1,PreliminaryRound!$L15&lt;&gt;"",PreliminaryRound!$N15&lt;&gt;"",ABS(PreliminaryRound!$L15-PreliminaryRound!$N15)&gt;1),PreliminaryRound!$N15,"")</f>
        <v>20</v>
      </c>
      <c r="AF67" s="737" t="str">
        <f ca="1">IF(AND($AA67=1,PreliminaryRound!$O15&lt;&gt;"",PreliminaryRound!$Q15&lt;&gt;"",ABS(PreliminaryRound!$O15-PreliminaryRound!$Q15)&gt;1),PreliminaryRound!$O15,"")</f>
        <v/>
      </c>
      <c r="AG67" s="736" t="str">
        <f ca="1">IF(AND($AA67=1,PreliminaryRound!$O15&lt;&gt;"",PreliminaryRound!$Q15&lt;&gt;"",ABS(PreliminaryRound!$O15-PreliminaryRound!$Q15)&gt;1),PreliminaryRound!$Q15,"")</f>
        <v/>
      </c>
      <c r="AH67" s="737">
        <f t="shared" ca="1" si="68"/>
        <v>50</v>
      </c>
      <c r="AI67" s="736">
        <f t="shared" ca="1" si="69"/>
        <v>42</v>
      </c>
      <c r="AJ67" s="737">
        <f ca="1">IF(PreliminaryRound!$R15="",0,PreliminaryRound!$R15)</f>
        <v>2</v>
      </c>
      <c r="AK67" s="736">
        <f ca="1">IF(PreliminaryRound!$T15="",0,PreliminaryRound!$T15)</f>
        <v>0</v>
      </c>
      <c r="AL67" s="737">
        <f ca="1">IF($AA67=0,"",IF($AJ67&gt;$AK67,Settings!$C$4,IF($AJ67=$AK67,1,0)))</f>
        <v>2</v>
      </c>
      <c r="AM67" s="736">
        <f ca="1">IF($AA67=0,"",IF($AJ67&lt;$AK67,Settings!$C$4,IF($AJ67=$AK67,1,0)))</f>
        <v>0</v>
      </c>
      <c r="AN67" s="661"/>
    </row>
    <row r="68" spans="2:40" s="660" customFormat="1" x14ac:dyDescent="0.2">
      <c r="P68" s="730" t="s">
        <v>10</v>
      </c>
      <c r="Q68" s="731" t="str">
        <f>IF(Planning!$C$15="","",Planning!$C$15)</f>
        <v>VFB Essenheim</v>
      </c>
      <c r="U68" s="732" t="s">
        <v>10</v>
      </c>
      <c r="V68" s="733" t="str">
        <f ca="1">Planning!$L10</f>
        <v>VFB Essenheim</v>
      </c>
      <c r="W68" s="661" t="str">
        <f ca="1">Planning!$N10</f>
        <v>1. FC Riedwald</v>
      </c>
      <c r="X68" s="661">
        <f ca="1">IF(AND($AA68=1,PreliminaryRound!$I16&lt;&gt;"",PreliminaryRound!$K16&lt;&gt;"",ABS(PreliminaryRound!$I16-PreliminaryRound!$K16)&gt;1),PreliminaryRound!$I16,"")</f>
        <v>25</v>
      </c>
      <c r="Y68" s="734">
        <f ca="1">IF(AND($AA68=1,PreliminaryRound!$I16&lt;&gt;"",PreliminaryRound!$K16&lt;&gt;"",ABS(PreliminaryRound!$I16-PreliminaryRound!$K16)&gt;1),PreliminaryRound!$K16,"")</f>
        <v>23</v>
      </c>
      <c r="Z68" s="735" t="str">
        <f t="shared" ca="1" si="67"/>
        <v>VFB Essenheim1. FC Riedwald</v>
      </c>
      <c r="AA68" s="661">
        <f ca="1">IF(AND(V68&lt;&gt;"",W68&lt;&gt;"",V68&lt;&gt;W68,PreliminaryRound!$R16&lt;&gt;"",PreliminaryRound!$T16&lt;&gt;""),1,0)</f>
        <v>1</v>
      </c>
      <c r="AB68" s="661" t="str">
        <f ca="1">IF(AA68&gt;0,AH68&amp;Language!$E$99&amp;AI68,"")</f>
        <v>50 - 44</v>
      </c>
      <c r="AC68" s="736" t="str">
        <f ca="1">IF(AA68&gt;0,AJ68&amp;Language!$E$99&amp;AK68,"")</f>
        <v>2 - 0</v>
      </c>
      <c r="AD68" s="737">
        <f ca="1">IF(AND($AA68=1,PreliminaryRound!$L16&lt;&gt;"",PreliminaryRound!$N16&lt;&gt;"",ABS(PreliminaryRound!$L16-PreliminaryRound!$N16)&gt;1),PreliminaryRound!$L16,"")</f>
        <v>25</v>
      </c>
      <c r="AE68" s="736">
        <f ca="1">IF(AND($AA68=1,PreliminaryRound!$L16&lt;&gt;"",PreliminaryRound!$N16&lt;&gt;"",ABS(PreliminaryRound!$L16-PreliminaryRound!$N16)&gt;1),PreliminaryRound!$N16,"")</f>
        <v>21</v>
      </c>
      <c r="AF68" s="737" t="str">
        <f ca="1">IF(AND($AA68=1,PreliminaryRound!$O16&lt;&gt;"",PreliminaryRound!$Q16&lt;&gt;"",ABS(PreliminaryRound!$O16-PreliminaryRound!$Q16)&gt;1),PreliminaryRound!$O16,"")</f>
        <v/>
      </c>
      <c r="AG68" s="736" t="str">
        <f ca="1">IF(AND($AA68=1,PreliminaryRound!$O16&lt;&gt;"",PreliminaryRound!$Q16&lt;&gt;"",ABS(PreliminaryRound!$O16-PreliminaryRound!$Q16)&gt;1),PreliminaryRound!$Q16,"")</f>
        <v/>
      </c>
      <c r="AH68" s="737">
        <f t="shared" ca="1" si="68"/>
        <v>50</v>
      </c>
      <c r="AI68" s="736">
        <f t="shared" ca="1" si="69"/>
        <v>44</v>
      </c>
      <c r="AJ68" s="737">
        <f ca="1">IF(PreliminaryRound!$R16="",0,PreliminaryRound!$R16)</f>
        <v>2</v>
      </c>
      <c r="AK68" s="736">
        <f ca="1">IF(PreliminaryRound!$T16="",0,PreliminaryRound!$T16)</f>
        <v>0</v>
      </c>
      <c r="AL68" s="737">
        <f ca="1">IF($AA68=0,"",IF($AJ68&gt;$AK68,Settings!$C$4,IF($AJ68=$AK68,1,0)))</f>
        <v>2</v>
      </c>
      <c r="AM68" s="736">
        <f ca="1">IF($AA68=0,"",IF($AJ68&lt;$AK68,Settings!$C$4,IF($AJ68=$AK68,1,0)))</f>
        <v>0</v>
      </c>
      <c r="AN68" s="661"/>
    </row>
    <row r="69" spans="2:40" s="660" customFormat="1" x14ac:dyDescent="0.2">
      <c r="P69" s="730" t="s">
        <v>11</v>
      </c>
      <c r="Q69" s="731" t="str">
        <f>IF(Planning!$C$17="","",Planning!$C$17)</f>
        <v/>
      </c>
      <c r="U69" s="732" t="s">
        <v>11</v>
      </c>
      <c r="V69" s="733" t="str">
        <f ca="1">Planning!$L11</f>
        <v>FC Grönlingen</v>
      </c>
      <c r="W69" s="661" t="str">
        <f ca="1">Planning!$N11</f>
        <v>Mainz 05</v>
      </c>
      <c r="X69" s="661">
        <f ca="1">IF(AND($AA69=1,PreliminaryRound!$I17&lt;&gt;"",PreliminaryRound!$K17&lt;&gt;"",ABS(PreliminaryRound!$I17-PreliminaryRound!$K17)&gt;1),PreliminaryRound!$I17,"")</f>
        <v>25</v>
      </c>
      <c r="Y69" s="734">
        <f ca="1">IF(AND($AA69=1,PreliminaryRound!$I17&lt;&gt;"",PreliminaryRound!$K17&lt;&gt;"",ABS(PreliminaryRound!$I17-PreliminaryRound!$K17)&gt;1),PreliminaryRound!$K17,"")</f>
        <v>17</v>
      </c>
      <c r="Z69" s="735" t="str">
        <f t="shared" ca="1" si="67"/>
        <v>FC GrönlingenMainz 05</v>
      </c>
      <c r="AA69" s="661">
        <f ca="1">IF(AND(V69&lt;&gt;"",W69&lt;&gt;"",V69&lt;&gt;W69,PreliminaryRound!$R17&lt;&gt;"",PreliminaryRound!$T17&lt;&gt;""),1,0)</f>
        <v>1</v>
      </c>
      <c r="AB69" s="661" t="str">
        <f ca="1">IF(AA69&gt;0,AH69&amp;Language!$E$99&amp;AI69,"")</f>
        <v>50 - 39</v>
      </c>
      <c r="AC69" s="736" t="str">
        <f ca="1">IF(AA69&gt;0,AJ69&amp;Language!$E$99&amp;AK69,"")</f>
        <v>2 - 0</v>
      </c>
      <c r="AD69" s="737">
        <f ca="1">IF(AND($AA69=1,PreliminaryRound!$L17&lt;&gt;"",PreliminaryRound!$N17&lt;&gt;"",ABS(PreliminaryRound!$L17-PreliminaryRound!$N17)&gt;1),PreliminaryRound!$L17,"")</f>
        <v>25</v>
      </c>
      <c r="AE69" s="736">
        <f ca="1">IF(AND($AA69=1,PreliminaryRound!$L17&lt;&gt;"",PreliminaryRound!$N17&lt;&gt;"",ABS(PreliminaryRound!$L17-PreliminaryRound!$N17)&gt;1),PreliminaryRound!$N17,"")</f>
        <v>22</v>
      </c>
      <c r="AF69" s="737" t="str">
        <f ca="1">IF(AND($AA69=1,PreliminaryRound!$O17&lt;&gt;"",PreliminaryRound!$Q17&lt;&gt;"",ABS(PreliminaryRound!$O17-PreliminaryRound!$Q17)&gt;1),PreliminaryRound!$O17,"")</f>
        <v/>
      </c>
      <c r="AG69" s="736" t="str">
        <f ca="1">IF(AND($AA69=1,PreliminaryRound!$O17&lt;&gt;"",PreliminaryRound!$Q17&lt;&gt;"",ABS(PreliminaryRound!$O17-PreliminaryRound!$Q17)&gt;1),PreliminaryRound!$Q17,"")</f>
        <v/>
      </c>
      <c r="AH69" s="737">
        <f t="shared" ca="1" si="68"/>
        <v>50</v>
      </c>
      <c r="AI69" s="736">
        <f t="shared" ca="1" si="69"/>
        <v>39</v>
      </c>
      <c r="AJ69" s="737">
        <f ca="1">IF(PreliminaryRound!$R17="",0,PreliminaryRound!$R17)</f>
        <v>2</v>
      </c>
      <c r="AK69" s="736">
        <f ca="1">IF(PreliminaryRound!$T17="",0,PreliminaryRound!$T17)</f>
        <v>0</v>
      </c>
      <c r="AL69" s="737">
        <f ca="1">IF($AA69=0,"",IF($AJ69&gt;$AK69,Settings!$C$4,IF($AJ69=$AK69,1,0)))</f>
        <v>2</v>
      </c>
      <c r="AM69" s="736">
        <f ca="1">IF($AA69=0,"",IF($AJ69&lt;$AK69,Settings!$C$4,IF($AJ69=$AK69,1,0)))</f>
        <v>0</v>
      </c>
      <c r="AN69" s="661"/>
    </row>
    <row r="70" spans="2:40" s="660" customFormat="1" x14ac:dyDescent="0.2">
      <c r="P70" s="730"/>
      <c r="Q70" s="731" t="str">
        <f>""</f>
        <v/>
      </c>
      <c r="U70" s="732" t="s">
        <v>16</v>
      </c>
      <c r="V70" s="733" t="str">
        <f ca="1">Planning!$L12</f>
        <v>FC Barcelona</v>
      </c>
      <c r="W70" s="661" t="str">
        <f ca="1">Planning!$N12</f>
        <v>Eintracht Frankfurt</v>
      </c>
      <c r="X70" s="661">
        <f ca="1">IF(AND($AA70=1,PreliminaryRound!$I18&lt;&gt;"",PreliminaryRound!$K18&lt;&gt;"",ABS(PreliminaryRound!$I18-PreliminaryRound!$K18)&gt;1),PreliminaryRound!$I18,"")</f>
        <v>23</v>
      </c>
      <c r="Y70" s="734">
        <f ca="1">IF(AND($AA70=1,PreliminaryRound!$I18&lt;&gt;"",PreliminaryRound!$K18&lt;&gt;"",ABS(PreliminaryRound!$I18-PreliminaryRound!$K18)&gt;1),PreliminaryRound!$K18,"")</f>
        <v>25</v>
      </c>
      <c r="Z70" s="735" t="str">
        <f t="shared" ca="1" si="67"/>
        <v>FC BarcelonaEintracht Frankfurt</v>
      </c>
      <c r="AA70" s="661">
        <f ca="1">IF(AND(V70&lt;&gt;"",W70&lt;&gt;"",V70&lt;&gt;W70,PreliminaryRound!$R18&lt;&gt;"",PreliminaryRound!$T18&lt;&gt;""),1,0)</f>
        <v>1</v>
      </c>
      <c r="AB70" s="661" t="str">
        <f ca="1">IF(AA70&gt;0,AH70&amp;Language!$E$99&amp;AI70,"")</f>
        <v>48 - 48</v>
      </c>
      <c r="AC70" s="736" t="str">
        <f ca="1">IF(AA70&gt;0,AJ70&amp;Language!$E$99&amp;AK70,"")</f>
        <v>1 - 1</v>
      </c>
      <c r="AD70" s="737">
        <f ca="1">IF(AND($AA70=1,PreliminaryRound!$L18&lt;&gt;"",PreliminaryRound!$N18&lt;&gt;"",ABS(PreliminaryRound!$L18-PreliminaryRound!$N18)&gt;1),PreliminaryRound!$L18,"")</f>
        <v>25</v>
      </c>
      <c r="AE70" s="736">
        <f ca="1">IF(AND($AA70=1,PreliminaryRound!$L18&lt;&gt;"",PreliminaryRound!$N18&lt;&gt;"",ABS(PreliminaryRound!$L18-PreliminaryRound!$N18)&gt;1),PreliminaryRound!$N18,"")</f>
        <v>23</v>
      </c>
      <c r="AF70" s="737" t="str">
        <f ca="1">IF(AND($AA70=1,PreliminaryRound!$O18&lt;&gt;"",PreliminaryRound!$Q18&lt;&gt;"",ABS(PreliminaryRound!$O18-PreliminaryRound!$Q18)&gt;1),PreliminaryRound!$O18,"")</f>
        <v/>
      </c>
      <c r="AG70" s="736" t="str">
        <f ca="1">IF(AND($AA70=1,PreliminaryRound!$O18&lt;&gt;"",PreliminaryRound!$Q18&lt;&gt;"",ABS(PreliminaryRound!$O18-PreliminaryRound!$Q18)&gt;1),PreliminaryRound!$Q18,"")</f>
        <v/>
      </c>
      <c r="AH70" s="737">
        <f t="shared" ca="1" si="68"/>
        <v>48</v>
      </c>
      <c r="AI70" s="736">
        <f t="shared" ca="1" si="69"/>
        <v>48</v>
      </c>
      <c r="AJ70" s="737">
        <f ca="1">IF(PreliminaryRound!$R18="",0,PreliminaryRound!$R18)</f>
        <v>1</v>
      </c>
      <c r="AK70" s="736">
        <f ca="1">IF(PreliminaryRound!$T18="",0,PreliminaryRound!$T18)</f>
        <v>1</v>
      </c>
      <c r="AL70" s="737">
        <f ca="1">IF($AA70=0,"",IF($AJ70&gt;$AK70,Settings!$C$4,IF($AJ70=$AK70,1,0)))</f>
        <v>1</v>
      </c>
      <c r="AM70" s="736">
        <f ca="1">IF($AA70=0,"",IF($AJ70&lt;$AK70,Settings!$C$4,IF($AJ70=$AK70,1,0)))</f>
        <v>1</v>
      </c>
      <c r="AN70" s="681"/>
    </row>
    <row r="71" spans="2:40" s="660" customFormat="1" x14ac:dyDescent="0.2">
      <c r="B71" s="681"/>
      <c r="C71" s="681"/>
      <c r="D71" s="681"/>
      <c r="E71" s="681"/>
      <c r="F71" s="681"/>
      <c r="G71" s="681"/>
      <c r="H71" s="681"/>
      <c r="I71" s="681"/>
      <c r="J71" s="681"/>
      <c r="K71" s="681"/>
      <c r="L71" s="681"/>
      <c r="M71" s="681"/>
      <c r="P71" s="730"/>
      <c r="Q71" s="731" t="str">
        <f>""</f>
        <v/>
      </c>
      <c r="U71" s="732" t="s">
        <v>17</v>
      </c>
      <c r="V71" s="733" t="str">
        <f ca="1">Planning!$L13</f>
        <v>Inter Mailand</v>
      </c>
      <c r="W71" s="661" t="str">
        <f ca="1">Planning!$N13</f>
        <v>SSV Wildbach</v>
      </c>
      <c r="X71" s="661">
        <f ca="1">IF(AND($AA71=1,PreliminaryRound!$I19&lt;&gt;"",PreliminaryRound!$K19&lt;&gt;"",ABS(PreliminaryRound!$I19-PreliminaryRound!$K19)&gt;1),PreliminaryRound!$I19,"")</f>
        <v>19</v>
      </c>
      <c r="Y71" s="734">
        <f ca="1">IF(AND($AA71=1,PreliminaryRound!$I19&lt;&gt;"",PreliminaryRound!$K19&lt;&gt;"",ABS(PreliminaryRound!$I19-PreliminaryRound!$K19)&gt;1),PreliminaryRound!$K19,"")</f>
        <v>25</v>
      </c>
      <c r="Z71" s="735" t="str">
        <f t="shared" ca="1" si="67"/>
        <v>Inter MailandSSV Wildbach</v>
      </c>
      <c r="AA71" s="661">
        <f ca="1">IF(AND(V71&lt;&gt;"",W71&lt;&gt;"",V71&lt;&gt;W71,PreliminaryRound!$R19&lt;&gt;"",PreliminaryRound!$T19&lt;&gt;""),1,0)</f>
        <v>1</v>
      </c>
      <c r="AB71" s="661" t="str">
        <f ca="1">IF(AA71&gt;0,AH71&amp;Language!$E$99&amp;AI71,"")</f>
        <v>44 - 37</v>
      </c>
      <c r="AC71" s="736" t="str">
        <f ca="1">IF(AA71&gt;0,AJ71&amp;Language!$E$99&amp;AK71,"")</f>
        <v>1 - 1</v>
      </c>
      <c r="AD71" s="737">
        <f ca="1">IF(AND($AA71=1,PreliminaryRound!$L19&lt;&gt;"",PreliminaryRound!$N19&lt;&gt;"",ABS(PreliminaryRound!$L19-PreliminaryRound!$N19)&gt;1),PreliminaryRound!$L19,"")</f>
        <v>25</v>
      </c>
      <c r="AE71" s="736">
        <f ca="1">IF(AND($AA71=1,PreliminaryRound!$L19&lt;&gt;"",PreliminaryRound!$N19&lt;&gt;"",ABS(PreliminaryRound!$L19-PreliminaryRound!$N19)&gt;1),PreliminaryRound!$N19,"")</f>
        <v>12</v>
      </c>
      <c r="AF71" s="737" t="str">
        <f ca="1">IF(AND($AA71=1,PreliminaryRound!$O19&lt;&gt;"",PreliminaryRound!$Q19&lt;&gt;"",ABS(PreliminaryRound!$O19-PreliminaryRound!$Q19)&gt;1),PreliminaryRound!$O19,"")</f>
        <v/>
      </c>
      <c r="AG71" s="736" t="str">
        <f ca="1">IF(AND($AA71=1,PreliminaryRound!$O19&lt;&gt;"",PreliminaryRound!$Q19&lt;&gt;"",ABS(PreliminaryRound!$O19-PreliminaryRound!$Q19)&gt;1),PreliminaryRound!$Q19,"")</f>
        <v/>
      </c>
      <c r="AH71" s="737">
        <f t="shared" ca="1" si="68"/>
        <v>44</v>
      </c>
      <c r="AI71" s="736">
        <f t="shared" ca="1" si="69"/>
        <v>37</v>
      </c>
      <c r="AJ71" s="737">
        <f ca="1">IF(PreliminaryRound!$R19="",0,PreliminaryRound!$R19)</f>
        <v>1</v>
      </c>
      <c r="AK71" s="736">
        <f ca="1">IF(PreliminaryRound!$T19="",0,PreliminaryRound!$T19)</f>
        <v>1</v>
      </c>
      <c r="AL71" s="737">
        <f ca="1">IF($AA71=0,"",IF($AJ71&gt;$AK71,Settings!$C$4,IF($AJ71=$AK71,1,0)))</f>
        <v>1</v>
      </c>
      <c r="AM71" s="736">
        <f ca="1">IF($AA71=0,"",IF($AJ71&lt;$AK71,Settings!$C$4,IF($AJ71=$AK71,1,0)))</f>
        <v>1</v>
      </c>
      <c r="AN71" s="661"/>
    </row>
    <row r="72" spans="2:40" s="660" customFormat="1" ht="12.75" thickBot="1" x14ac:dyDescent="0.25">
      <c r="B72" s="681"/>
      <c r="C72" s="681"/>
      <c r="D72" s="681"/>
      <c r="E72" s="681"/>
      <c r="F72" s="661"/>
      <c r="G72" s="661"/>
      <c r="H72" s="661"/>
      <c r="I72" s="661"/>
      <c r="J72" s="661"/>
      <c r="K72" s="661"/>
      <c r="L72" s="661"/>
      <c r="M72" s="661"/>
      <c r="P72" s="740"/>
      <c r="Q72" s="741" t="str">
        <f>""</f>
        <v/>
      </c>
      <c r="U72" s="732" t="s">
        <v>18</v>
      </c>
      <c r="V72" s="733" t="str">
        <f ca="1">Planning!$L14</f>
        <v>1. FC Riedwald</v>
      </c>
      <c r="W72" s="661" t="str">
        <f ca="1">Planning!$N14</f>
        <v>Maibach 1822 eV</v>
      </c>
      <c r="X72" s="661">
        <f ca="1">IF(AND($AA72=1,PreliminaryRound!$I20&lt;&gt;"",PreliminaryRound!$K20&lt;&gt;"",ABS(PreliminaryRound!$I20-PreliminaryRound!$K20)&gt;1),PreliminaryRound!$I20,"")</f>
        <v>16</v>
      </c>
      <c r="Y72" s="734">
        <f ca="1">IF(AND($AA72=1,PreliminaryRound!$I20&lt;&gt;"",PreliminaryRound!$K20&lt;&gt;"",ABS(PreliminaryRound!$I20-PreliminaryRound!$K20)&gt;1),PreliminaryRound!$K20,"")</f>
        <v>25</v>
      </c>
      <c r="Z72" s="735" t="str">
        <f t="shared" ca="1" si="67"/>
        <v>1. FC RiedwaldMaibach 1822 eV</v>
      </c>
      <c r="AA72" s="661">
        <f ca="1">IF(AND(V72&lt;&gt;"",W72&lt;&gt;"",V72&lt;&gt;W72,PreliminaryRound!$R20&lt;&gt;"",PreliminaryRound!$T20&lt;&gt;""),1,0)</f>
        <v>1</v>
      </c>
      <c r="AB72" s="661" t="str">
        <f ca="1">IF(AA72&gt;0,AH72&amp;Language!$E$99&amp;AI72,"")</f>
        <v>41 - 43</v>
      </c>
      <c r="AC72" s="736" t="str">
        <f ca="1">IF(AA72&gt;0,AJ72&amp;Language!$E$99&amp;AK72,"")</f>
        <v>1 - 1</v>
      </c>
      <c r="AD72" s="737">
        <f ca="1">IF(AND($AA72=1,PreliminaryRound!$L20&lt;&gt;"",PreliminaryRound!$N20&lt;&gt;"",ABS(PreliminaryRound!$L20-PreliminaryRound!$N20)&gt;1),PreliminaryRound!$L20,"")</f>
        <v>25</v>
      </c>
      <c r="AE72" s="736">
        <f ca="1">IF(AND($AA72=1,PreliminaryRound!$L20&lt;&gt;"",PreliminaryRound!$N20&lt;&gt;"",ABS(PreliminaryRound!$L20-PreliminaryRound!$N20)&gt;1),PreliminaryRound!$N20,"")</f>
        <v>18</v>
      </c>
      <c r="AF72" s="737" t="str">
        <f ca="1">IF(AND($AA72=1,PreliminaryRound!$O20&lt;&gt;"",PreliminaryRound!$Q20&lt;&gt;"",ABS(PreliminaryRound!$O20-PreliminaryRound!$Q20)&gt;1),PreliminaryRound!$O20,"")</f>
        <v/>
      </c>
      <c r="AG72" s="736" t="str">
        <f ca="1">IF(AND($AA72=1,PreliminaryRound!$O20&lt;&gt;"",PreliminaryRound!$Q20&lt;&gt;"",ABS(PreliminaryRound!$O20-PreliminaryRound!$Q20)&gt;1),PreliminaryRound!$Q20,"")</f>
        <v/>
      </c>
      <c r="AH72" s="737">
        <f t="shared" ca="1" si="68"/>
        <v>41</v>
      </c>
      <c r="AI72" s="736">
        <f t="shared" ca="1" si="69"/>
        <v>43</v>
      </c>
      <c r="AJ72" s="737">
        <f ca="1">IF(PreliminaryRound!$R20="",0,PreliminaryRound!$R20)</f>
        <v>1</v>
      </c>
      <c r="AK72" s="736">
        <f ca="1">IF(PreliminaryRound!$T20="",0,PreliminaryRound!$T20)</f>
        <v>1</v>
      </c>
      <c r="AL72" s="737">
        <f ca="1">IF($AA72=0,"",IF($AJ72&gt;$AK72,Settings!$C$4,IF($AJ72=$AK72,1,0)))</f>
        <v>1</v>
      </c>
      <c r="AM72" s="736">
        <f ca="1">IF($AA72=0,"",IF($AJ72&lt;$AK72,Settings!$C$4,IF($AJ72=$AK72,1,0)))</f>
        <v>1</v>
      </c>
      <c r="AN72" s="661"/>
    </row>
    <row r="73" spans="2:40" s="660" customFormat="1" ht="12.75" thickTop="1" x14ac:dyDescent="0.2">
      <c r="B73" s="681"/>
      <c r="C73" s="681"/>
      <c r="D73" s="681"/>
      <c r="E73" s="681"/>
      <c r="F73" s="661"/>
      <c r="G73" s="661"/>
      <c r="H73" s="661"/>
      <c r="I73" s="661"/>
      <c r="J73" s="661"/>
      <c r="K73" s="661"/>
      <c r="L73" s="661"/>
      <c r="M73" s="661"/>
      <c r="U73" s="732" t="s">
        <v>24</v>
      </c>
      <c r="V73" s="733" t="str">
        <f ca="1">Planning!$L15</f>
        <v>Mainz 05</v>
      </c>
      <c r="W73" s="661" t="str">
        <f ca="1">Planning!$N15</f>
        <v>Manchester City</v>
      </c>
      <c r="X73" s="661">
        <f ca="1">IF(AND($AA73=1,PreliminaryRound!$I21&lt;&gt;"",PreliminaryRound!$K21&lt;&gt;"",ABS(PreliminaryRound!$I21-PreliminaryRound!$K21)&gt;1),PreliminaryRound!$I21,"")</f>
        <v>14</v>
      </c>
      <c r="Y73" s="734">
        <f ca="1">IF(AND($AA73=1,PreliminaryRound!$I21&lt;&gt;"",PreliminaryRound!$K21&lt;&gt;"",ABS(PreliminaryRound!$I21-PreliminaryRound!$K21)&gt;1),PreliminaryRound!$K21,"")</f>
        <v>25</v>
      </c>
      <c r="Z73" s="735" t="str">
        <f t="shared" ca="1" si="67"/>
        <v>Mainz 05Manchester City</v>
      </c>
      <c r="AA73" s="661">
        <f ca="1">IF(AND(V73&lt;&gt;"",W73&lt;&gt;"",V73&lt;&gt;W73,PreliminaryRound!$R21&lt;&gt;"",PreliminaryRound!$T21&lt;&gt;""),1,0)</f>
        <v>1</v>
      </c>
      <c r="AB73" s="661" t="str">
        <f ca="1">IF(AA73&gt;0,AH73&amp;Language!$E$99&amp;AI73,"")</f>
        <v>39 - 44</v>
      </c>
      <c r="AC73" s="736" t="str">
        <f ca="1">IF(AA73&gt;0,AJ73&amp;Language!$E$99&amp;AK73,"")</f>
        <v>1 - 1</v>
      </c>
      <c r="AD73" s="737">
        <f ca="1">IF(AND($AA73=1,PreliminaryRound!$L21&lt;&gt;"",PreliminaryRound!$N21&lt;&gt;"",ABS(PreliminaryRound!$L21-PreliminaryRound!$N21)&gt;1),PreliminaryRound!$L21,"")</f>
        <v>25</v>
      </c>
      <c r="AE73" s="736">
        <f ca="1">IF(AND($AA73=1,PreliminaryRound!$L21&lt;&gt;"",PreliminaryRound!$N21&lt;&gt;"",ABS(PreliminaryRound!$L21-PreliminaryRound!$N21)&gt;1),PreliminaryRound!$N21,"")</f>
        <v>19</v>
      </c>
      <c r="AF73" s="737" t="str">
        <f ca="1">IF(AND($AA73=1,PreliminaryRound!$O21&lt;&gt;"",PreliminaryRound!$Q21&lt;&gt;"",ABS(PreliminaryRound!$O21-PreliminaryRound!$Q21)&gt;1),PreliminaryRound!$O21,"")</f>
        <v/>
      </c>
      <c r="AG73" s="736" t="str">
        <f ca="1">IF(AND($AA73=1,PreliminaryRound!$O21&lt;&gt;"",PreliminaryRound!$Q21&lt;&gt;"",ABS(PreliminaryRound!$O21-PreliminaryRound!$Q21)&gt;1),PreliminaryRound!$Q21,"")</f>
        <v/>
      </c>
      <c r="AH73" s="737">
        <f t="shared" ca="1" si="68"/>
        <v>39</v>
      </c>
      <c r="AI73" s="736">
        <f t="shared" ca="1" si="69"/>
        <v>44</v>
      </c>
      <c r="AJ73" s="737">
        <f ca="1">IF(PreliminaryRound!$R21="",0,PreliminaryRound!$R21)</f>
        <v>1</v>
      </c>
      <c r="AK73" s="736">
        <f ca="1">IF(PreliminaryRound!$T21="",0,PreliminaryRound!$T21)</f>
        <v>1</v>
      </c>
      <c r="AL73" s="737">
        <f ca="1">IF($AA73=0,"",IF($AJ73&gt;$AK73,Settings!$C$4,IF($AJ73=$AK73,1,0)))</f>
        <v>1</v>
      </c>
      <c r="AM73" s="736">
        <f ca="1">IF($AA73=0,"",IF($AJ73&lt;$AK73,Settings!$C$4,IF($AJ73=$AK73,1,0)))</f>
        <v>1</v>
      </c>
      <c r="AN73" s="661"/>
    </row>
    <row r="74" spans="2:40" s="660" customFormat="1" x14ac:dyDescent="0.2">
      <c r="B74" s="681"/>
      <c r="C74" s="681"/>
      <c r="D74" s="681"/>
      <c r="E74" s="681"/>
      <c r="F74" s="661"/>
      <c r="G74" s="661"/>
      <c r="H74" s="661"/>
      <c r="I74" s="661"/>
      <c r="J74" s="661"/>
      <c r="K74" s="661"/>
      <c r="L74" s="661"/>
      <c r="M74" s="661"/>
      <c r="U74" s="732" t="s">
        <v>25</v>
      </c>
      <c r="V74" s="733" t="str">
        <f ca="1">Planning!$L16</f>
        <v>Eintracht Frankfurt</v>
      </c>
      <c r="W74" s="661" t="str">
        <f ca="1">Planning!$N16</f>
        <v>VFB Essenheim</v>
      </c>
      <c r="X74" s="661">
        <f ca="1">IF(AND($AA74=1,PreliminaryRound!$I22&lt;&gt;"",PreliminaryRound!$K22&lt;&gt;"",ABS(PreliminaryRound!$I22-PreliminaryRound!$K22)&gt;1),PreliminaryRound!$I22,"")</f>
        <v>22</v>
      </c>
      <c r="Y74" s="734">
        <f ca="1">IF(AND($AA74=1,PreliminaryRound!$I22&lt;&gt;"",PreliminaryRound!$K22&lt;&gt;"",ABS(PreliminaryRound!$I22-PreliminaryRound!$K22)&gt;1),PreliminaryRound!$K22,"")</f>
        <v>25</v>
      </c>
      <c r="Z74" s="735" t="str">
        <f ca="1">V74&amp;W74</f>
        <v>Eintracht FrankfurtVFB Essenheim</v>
      </c>
      <c r="AA74" s="661">
        <f ca="1">IF(AND(V74&lt;&gt;"",W74&lt;&gt;"",V74&lt;&gt;W74,PreliminaryRound!$R22&lt;&gt;"",PreliminaryRound!$T22&lt;&gt;""),1,0)</f>
        <v>1</v>
      </c>
      <c r="AB74" s="661" t="str">
        <f ca="1">IF(AA74&gt;0,AH74&amp;Language!$E$99&amp;AI74,"")</f>
        <v>47 - 45</v>
      </c>
      <c r="AC74" s="736" t="str">
        <f ca="1">IF(AA74&gt;0,AJ74&amp;Language!$E$99&amp;AK74,"")</f>
        <v>1 - 1</v>
      </c>
      <c r="AD74" s="737">
        <f ca="1">IF(AND($AA74=1,PreliminaryRound!$L22&lt;&gt;"",PreliminaryRound!$N22&lt;&gt;"",ABS(PreliminaryRound!$L22-PreliminaryRound!$N22)&gt;1),PreliminaryRound!$L22,"")</f>
        <v>25</v>
      </c>
      <c r="AE74" s="736">
        <f ca="1">IF(AND($AA74=1,PreliminaryRound!$L22&lt;&gt;"",PreliminaryRound!$N22&lt;&gt;"",ABS(PreliminaryRound!$L22-PreliminaryRound!$N22)&gt;1),PreliminaryRound!$N22,"")</f>
        <v>20</v>
      </c>
      <c r="AF74" s="737" t="str">
        <f ca="1">IF(AND($AA74=1,PreliminaryRound!$O22&lt;&gt;"",PreliminaryRound!$Q22&lt;&gt;"",ABS(PreliminaryRound!$O22-PreliminaryRound!$Q22)&gt;1),PreliminaryRound!$O22,"")</f>
        <v/>
      </c>
      <c r="AG74" s="736" t="str">
        <f ca="1">IF(AND($AA74=1,PreliminaryRound!$O22&lt;&gt;"",PreliminaryRound!$Q22&lt;&gt;"",ABS(PreliminaryRound!$O22-PreliminaryRound!$Q22)&gt;1),PreliminaryRound!$Q22,"")</f>
        <v/>
      </c>
      <c r="AH74" s="737">
        <f t="shared" ca="1" si="68"/>
        <v>47</v>
      </c>
      <c r="AI74" s="736">
        <f t="shared" ca="1" si="69"/>
        <v>45</v>
      </c>
      <c r="AJ74" s="737">
        <f ca="1">IF(PreliminaryRound!$R22="",0,PreliminaryRound!$R22)</f>
        <v>1</v>
      </c>
      <c r="AK74" s="736">
        <f ca="1">IF(PreliminaryRound!$T22="",0,PreliminaryRound!$T22)</f>
        <v>1</v>
      </c>
      <c r="AL74" s="737">
        <f ca="1">IF($AA74=0,"",IF($AJ74&gt;$AK74,Settings!$C$4,IF($AJ74=$AK74,1,0)))</f>
        <v>1</v>
      </c>
      <c r="AM74" s="736">
        <f ca="1">IF($AA74=0,"",IF($AJ74&lt;$AK74,Settings!$C$4,IF($AJ74=$AK74,1,0)))</f>
        <v>1</v>
      </c>
    </row>
    <row r="75" spans="2:40" s="660" customFormat="1" x14ac:dyDescent="0.2">
      <c r="B75" s="681"/>
      <c r="C75" s="681"/>
      <c r="D75" s="681"/>
      <c r="E75" s="681"/>
      <c r="F75" s="661"/>
      <c r="G75" s="661"/>
      <c r="H75" s="661"/>
      <c r="I75" s="661"/>
      <c r="J75" s="661"/>
      <c r="K75" s="661"/>
      <c r="L75" s="661"/>
      <c r="M75" s="661"/>
      <c r="U75" s="732" t="s">
        <v>26</v>
      </c>
      <c r="V75" s="733" t="str">
        <f ca="1">Planning!$L17</f>
        <v>SSV Wildbach</v>
      </c>
      <c r="W75" s="661" t="str">
        <f ca="1">Planning!$N17</f>
        <v>FC Grönlingen</v>
      </c>
      <c r="X75" s="661">
        <f ca="1">IF(AND($AA75=1,PreliminaryRound!$I23&lt;&gt;"",PreliminaryRound!$K23&lt;&gt;"",ABS(PreliminaryRound!$I23-PreliminaryRound!$K23)&gt;1),PreliminaryRound!$I23,"")</f>
        <v>19</v>
      </c>
      <c r="Y75" s="734">
        <f ca="1">IF(AND($AA75=1,PreliminaryRound!$I23&lt;&gt;"",PreliminaryRound!$K23&lt;&gt;"",ABS(PreliminaryRound!$I23-PreliminaryRound!$K23)&gt;1),PreliminaryRound!$K23,"")</f>
        <v>25</v>
      </c>
      <c r="Z75" s="735" t="str">
        <f t="shared" ref="Z75:Z93" ca="1" si="70">V75&amp;W75</f>
        <v>SSV WildbachFC Grönlingen</v>
      </c>
      <c r="AA75" s="661">
        <f ca="1">IF(AND(V75&lt;&gt;"",W75&lt;&gt;"",V75&lt;&gt;W75,PreliminaryRound!$R23&lt;&gt;"",PreliminaryRound!$T23&lt;&gt;""),1,0)</f>
        <v>1</v>
      </c>
      <c r="AB75" s="661" t="str">
        <f ca="1">IF(AA75&gt;0,AH75&amp;Language!$E$99&amp;AI75,"")</f>
        <v>44 - 44</v>
      </c>
      <c r="AC75" s="736" t="str">
        <f ca="1">IF(AA75&gt;0,AJ75&amp;Language!$E$99&amp;AK75,"")</f>
        <v>1 - 1</v>
      </c>
      <c r="AD75" s="737">
        <f ca="1">IF(AND($AA75=1,PreliminaryRound!$L23&lt;&gt;"",PreliminaryRound!$N23&lt;&gt;"",ABS(PreliminaryRound!$L23-PreliminaryRound!$N23)&gt;1),PreliminaryRound!$L23,"")</f>
        <v>25</v>
      </c>
      <c r="AE75" s="736">
        <f ca="1">IF(AND($AA75=1,PreliminaryRound!$L23&lt;&gt;"",PreliminaryRound!$N23&lt;&gt;"",ABS(PreliminaryRound!$L23-PreliminaryRound!$N23)&gt;1),PreliminaryRound!$N23,"")</f>
        <v>19</v>
      </c>
      <c r="AF75" s="737" t="str">
        <f ca="1">IF(AND($AA75=1,PreliminaryRound!$O23&lt;&gt;"",PreliminaryRound!$Q23&lt;&gt;"",ABS(PreliminaryRound!$O23-PreliminaryRound!$Q23)&gt;1),PreliminaryRound!$O23,"")</f>
        <v/>
      </c>
      <c r="AG75" s="736" t="str">
        <f ca="1">IF(AND($AA75=1,PreliminaryRound!$O23&lt;&gt;"",PreliminaryRound!$Q23&lt;&gt;"",ABS(PreliminaryRound!$O23-PreliminaryRound!$Q23)&gt;1),PreliminaryRound!$Q23,"")</f>
        <v/>
      </c>
      <c r="AH75" s="737">
        <f t="shared" ca="1" si="68"/>
        <v>44</v>
      </c>
      <c r="AI75" s="736">
        <f t="shared" ca="1" si="69"/>
        <v>44</v>
      </c>
      <c r="AJ75" s="737">
        <f ca="1">IF(PreliminaryRound!$R23="",0,PreliminaryRound!$R23)</f>
        <v>1</v>
      </c>
      <c r="AK75" s="736">
        <f ca="1">IF(PreliminaryRound!$T23="",0,PreliminaryRound!$T23)</f>
        <v>1</v>
      </c>
      <c r="AL75" s="737">
        <f ca="1">IF($AA75=0,"",IF($AJ75&gt;$AK75,Settings!$C$4,IF($AJ75=$AK75,1,0)))</f>
        <v>1</v>
      </c>
      <c r="AM75" s="736">
        <f ca="1">IF($AA75=0,"",IF($AJ75&lt;$AK75,Settings!$C$4,IF($AJ75=$AK75,1,0)))</f>
        <v>1</v>
      </c>
    </row>
    <row r="76" spans="2:40" s="660" customFormat="1" x14ac:dyDescent="0.2">
      <c r="B76" s="681"/>
      <c r="C76" s="681"/>
      <c r="D76" s="681"/>
      <c r="E76" s="681"/>
      <c r="F76" s="661"/>
      <c r="G76" s="661"/>
      <c r="H76" s="661"/>
      <c r="I76" s="661"/>
      <c r="J76" s="661"/>
      <c r="K76" s="661"/>
      <c r="L76" s="661"/>
      <c r="M76" s="661"/>
      <c r="U76" s="732" t="s">
        <v>27</v>
      </c>
      <c r="V76" s="733" t="str">
        <f ca="1">Planning!$L18</f>
        <v>FC Barcelona</v>
      </c>
      <c r="W76" s="661" t="str">
        <f ca="1">Planning!$N18</f>
        <v>Maibach 1822 eV</v>
      </c>
      <c r="X76" s="661">
        <f ca="1">IF(AND($AA76=1,PreliminaryRound!$I24&lt;&gt;"",PreliminaryRound!$K24&lt;&gt;"",ABS(PreliminaryRound!$I24-PreliminaryRound!$K24)&gt;1),PreliminaryRound!$I24,"")</f>
        <v>17</v>
      </c>
      <c r="Y76" s="734">
        <f ca="1">IF(AND($AA76=1,PreliminaryRound!$I24&lt;&gt;"",PreliminaryRound!$K24&lt;&gt;"",ABS(PreliminaryRound!$I24-PreliminaryRound!$K24)&gt;1),PreliminaryRound!$K24,"")</f>
        <v>25</v>
      </c>
      <c r="Z76" s="735" t="str">
        <f t="shared" ca="1" si="70"/>
        <v>FC BarcelonaMaibach 1822 eV</v>
      </c>
      <c r="AA76" s="661">
        <f ca="1">IF(AND(V76&lt;&gt;"",W76&lt;&gt;"",V76&lt;&gt;W76,PreliminaryRound!$R24&lt;&gt;"",PreliminaryRound!$T24&lt;&gt;""),1,0)</f>
        <v>1</v>
      </c>
      <c r="AB76" s="661" t="str">
        <f ca="1">IF(AA76&gt;0,AH76&amp;Language!$E$99&amp;AI76,"")</f>
        <v>29 - 50</v>
      </c>
      <c r="AC76" s="736" t="str">
        <f ca="1">IF(AA76&gt;0,AJ76&amp;Language!$E$99&amp;AK76,"")</f>
        <v>0 - 2</v>
      </c>
      <c r="AD76" s="737">
        <f ca="1">IF(AND($AA76=1,PreliminaryRound!$L24&lt;&gt;"",PreliminaryRound!$N24&lt;&gt;"",ABS(PreliminaryRound!$L24-PreliminaryRound!$N24)&gt;1),PreliminaryRound!$L24,"")</f>
        <v>12</v>
      </c>
      <c r="AE76" s="736">
        <f ca="1">IF(AND($AA76=1,PreliminaryRound!$L24&lt;&gt;"",PreliminaryRound!$N24&lt;&gt;"",ABS(PreliminaryRound!$L24-PreliminaryRound!$N24)&gt;1),PreliminaryRound!$N24,"")</f>
        <v>25</v>
      </c>
      <c r="AF76" s="737" t="str">
        <f ca="1">IF(AND($AA76=1,PreliminaryRound!$O24&lt;&gt;"",PreliminaryRound!$Q24&lt;&gt;"",ABS(PreliminaryRound!$O24-PreliminaryRound!$Q24)&gt;1),PreliminaryRound!$O24,"")</f>
        <v/>
      </c>
      <c r="AG76" s="736" t="str">
        <f ca="1">IF(AND($AA76=1,PreliminaryRound!$O24&lt;&gt;"",PreliminaryRound!$Q24&lt;&gt;"",ABS(PreliminaryRound!$O24-PreliminaryRound!$Q24)&gt;1),PreliminaryRound!$Q24,"")</f>
        <v/>
      </c>
      <c r="AH76" s="737">
        <f t="shared" ca="1" si="68"/>
        <v>29</v>
      </c>
      <c r="AI76" s="736">
        <f t="shared" ca="1" si="69"/>
        <v>50</v>
      </c>
      <c r="AJ76" s="737">
        <f ca="1">IF(PreliminaryRound!$R24="",0,PreliminaryRound!$R24)</f>
        <v>0</v>
      </c>
      <c r="AK76" s="736">
        <f ca="1">IF(PreliminaryRound!$T24="",0,PreliminaryRound!$T24)</f>
        <v>2</v>
      </c>
      <c r="AL76" s="737">
        <f ca="1">IF($AA76=0,"",IF($AJ76&gt;$AK76,Settings!$C$4,IF($AJ76=$AK76,1,0)))</f>
        <v>0</v>
      </c>
      <c r="AM76" s="736">
        <f ca="1">IF($AA76=0,"",IF($AJ76&lt;$AK76,Settings!$C$4,IF($AJ76=$AK76,1,0)))</f>
        <v>2</v>
      </c>
    </row>
    <row r="77" spans="2:40" s="660" customFormat="1" x14ac:dyDescent="0.2">
      <c r="B77" s="681"/>
      <c r="C77" s="681"/>
      <c r="D77" s="681"/>
      <c r="E77" s="681"/>
      <c r="F77" s="661"/>
      <c r="G77" s="661"/>
      <c r="H77" s="661"/>
      <c r="I77" s="661"/>
      <c r="J77" s="661"/>
      <c r="K77" s="661"/>
      <c r="L77" s="661"/>
      <c r="M77" s="661"/>
      <c r="U77" s="732" t="s">
        <v>28</v>
      </c>
      <c r="V77" s="733" t="str">
        <f ca="1">Planning!$L19</f>
        <v>Inter Mailand</v>
      </c>
      <c r="W77" s="661" t="str">
        <f ca="1">Planning!$N19</f>
        <v>Manchester City</v>
      </c>
      <c r="X77" s="661">
        <f ca="1">IF(AND($AA77=1,PreliminaryRound!$I25&lt;&gt;"",PreliminaryRound!$K25&lt;&gt;"",ABS(PreliminaryRound!$I25-PreliminaryRound!$K25)&gt;1),PreliminaryRound!$I25,"")</f>
        <v>14</v>
      </c>
      <c r="Y77" s="734">
        <f ca="1">IF(AND($AA77=1,PreliminaryRound!$I25&lt;&gt;"",PreliminaryRound!$K25&lt;&gt;"",ABS(PreliminaryRound!$I25-PreliminaryRound!$K25)&gt;1),PreliminaryRound!$K25,"")</f>
        <v>25</v>
      </c>
      <c r="Z77" s="735" t="str">
        <f t="shared" ca="1" si="70"/>
        <v>Inter MailandManchester City</v>
      </c>
      <c r="AA77" s="661">
        <f ca="1">IF(AND(V77&lt;&gt;"",W77&lt;&gt;"",V77&lt;&gt;W77,PreliminaryRound!$R25&lt;&gt;"",PreliminaryRound!$T25&lt;&gt;""),1,0)</f>
        <v>1</v>
      </c>
      <c r="AB77" s="661" t="str">
        <f ca="1">IF(AA77&gt;0,AH77&amp;Language!$E$99&amp;AI77,"")</f>
        <v>39 - 48</v>
      </c>
      <c r="AC77" s="736" t="str">
        <f ca="1">IF(AA77&gt;0,AJ77&amp;Language!$E$99&amp;AK77,"")</f>
        <v>1 - 1</v>
      </c>
      <c r="AD77" s="737">
        <f ca="1">IF(AND($AA77=1,PreliminaryRound!$L25&lt;&gt;"",PreliminaryRound!$N25&lt;&gt;"",ABS(PreliminaryRound!$L25-PreliminaryRound!$N25)&gt;1),PreliminaryRound!$L25,"")</f>
        <v>25</v>
      </c>
      <c r="AE77" s="736">
        <f ca="1">IF(AND($AA77=1,PreliminaryRound!$L25&lt;&gt;"",PreliminaryRound!$N25&lt;&gt;"",ABS(PreliminaryRound!$L25-PreliminaryRound!$N25)&gt;1),PreliminaryRound!$N25,"")</f>
        <v>23</v>
      </c>
      <c r="AF77" s="737" t="str">
        <f ca="1">IF(AND($AA77=1,PreliminaryRound!$O25&lt;&gt;"",PreliminaryRound!$Q25&lt;&gt;"",ABS(PreliminaryRound!$O25-PreliminaryRound!$Q25)&gt;1),PreliminaryRound!$O25,"")</f>
        <v/>
      </c>
      <c r="AG77" s="736" t="str">
        <f ca="1">IF(AND($AA77=1,PreliminaryRound!$O25&lt;&gt;"",PreliminaryRound!$Q25&lt;&gt;"",ABS(PreliminaryRound!$O25-PreliminaryRound!$Q25)&gt;1),PreliminaryRound!$Q25,"")</f>
        <v/>
      </c>
      <c r="AH77" s="737">
        <f t="shared" ca="1" si="68"/>
        <v>39</v>
      </c>
      <c r="AI77" s="736">
        <f t="shared" ca="1" si="69"/>
        <v>48</v>
      </c>
      <c r="AJ77" s="737">
        <f ca="1">IF(PreliminaryRound!$R25="",0,PreliminaryRound!$R25)</f>
        <v>1</v>
      </c>
      <c r="AK77" s="736">
        <f ca="1">IF(PreliminaryRound!$T25="",0,PreliminaryRound!$T25)</f>
        <v>1</v>
      </c>
      <c r="AL77" s="737">
        <f ca="1">IF($AA77=0,"",IF($AJ77&gt;$AK77,Settings!$C$4,IF($AJ77=$AK77,1,0)))</f>
        <v>1</v>
      </c>
      <c r="AM77" s="736">
        <f ca="1">IF($AA77=0,"",IF($AJ77&lt;$AK77,Settings!$C$4,IF($AJ77=$AK77,1,0)))</f>
        <v>1</v>
      </c>
    </row>
    <row r="78" spans="2:40" s="660" customFormat="1" x14ac:dyDescent="0.2">
      <c r="B78" s="681"/>
      <c r="C78" s="681"/>
      <c r="D78" s="681"/>
      <c r="E78" s="681"/>
      <c r="F78" s="661"/>
      <c r="G78" s="661"/>
      <c r="H78" s="661"/>
      <c r="I78" s="661"/>
      <c r="J78" s="661"/>
      <c r="K78" s="661"/>
      <c r="L78" s="661"/>
      <c r="M78" s="661"/>
      <c r="U78" s="732" t="s">
        <v>29</v>
      </c>
      <c r="V78" s="733" t="str">
        <f ca="1">Planning!$L20</f>
        <v>Eintracht Frankfurt</v>
      </c>
      <c r="W78" s="661" t="str">
        <f ca="1">Planning!$N20</f>
        <v>1. FC Riedwald</v>
      </c>
      <c r="X78" s="661">
        <f ca="1">IF(AND($AA78=1,PreliminaryRound!$I26&lt;&gt;"",PreliminaryRound!$K26&lt;&gt;"",ABS(PreliminaryRound!$I26-PreliminaryRound!$K26)&gt;1),PreliminaryRound!$I26,"")</f>
        <v>21</v>
      </c>
      <c r="Y78" s="734">
        <f ca="1">IF(AND($AA78=1,PreliminaryRound!$I26&lt;&gt;"",PreliminaryRound!$K26&lt;&gt;"",ABS(PreliminaryRound!$I26-PreliminaryRound!$K26)&gt;1),PreliminaryRound!$K26,"")</f>
        <v>25</v>
      </c>
      <c r="Z78" s="735" t="str">
        <f t="shared" ca="1" si="70"/>
        <v>Eintracht Frankfurt1. FC Riedwald</v>
      </c>
      <c r="AA78" s="661">
        <f ca="1">IF(AND(V78&lt;&gt;"",W78&lt;&gt;"",V78&lt;&gt;W78,PreliminaryRound!$R26&lt;&gt;"",PreliminaryRound!$T26&lt;&gt;""),1,0)</f>
        <v>1</v>
      </c>
      <c r="AB78" s="661" t="str">
        <f ca="1">IF(AA78&gt;0,AH78&amp;Language!$E$99&amp;AI78,"")</f>
        <v>46 - 42</v>
      </c>
      <c r="AC78" s="736" t="str">
        <f ca="1">IF(AA78&gt;0,AJ78&amp;Language!$E$99&amp;AK78,"")</f>
        <v>1 - 1</v>
      </c>
      <c r="AD78" s="737">
        <f ca="1">IF(AND($AA78=1,PreliminaryRound!$L26&lt;&gt;"",PreliminaryRound!$N26&lt;&gt;"",ABS(PreliminaryRound!$L26-PreliminaryRound!$N26)&gt;1),PreliminaryRound!$L26,"")</f>
        <v>25</v>
      </c>
      <c r="AE78" s="736">
        <f ca="1">IF(AND($AA78=1,PreliminaryRound!$L26&lt;&gt;"",PreliminaryRound!$N26&lt;&gt;"",ABS(PreliminaryRound!$L26-PreliminaryRound!$N26)&gt;1),PreliminaryRound!$N26,"")</f>
        <v>17</v>
      </c>
      <c r="AF78" s="737" t="str">
        <f ca="1">IF(AND($AA78=1,PreliminaryRound!$O26&lt;&gt;"",PreliminaryRound!$Q26&lt;&gt;"",ABS(PreliminaryRound!$O26-PreliminaryRound!$Q26)&gt;1),PreliminaryRound!$O26,"")</f>
        <v/>
      </c>
      <c r="AG78" s="736" t="str">
        <f ca="1">IF(AND($AA78=1,PreliminaryRound!$O26&lt;&gt;"",PreliminaryRound!$Q26&lt;&gt;"",ABS(PreliminaryRound!$O26-PreliminaryRound!$Q26)&gt;1),PreliminaryRound!$Q26,"")</f>
        <v/>
      </c>
      <c r="AH78" s="737">
        <f t="shared" ca="1" si="68"/>
        <v>46</v>
      </c>
      <c r="AI78" s="736">
        <f t="shared" ca="1" si="69"/>
        <v>42</v>
      </c>
      <c r="AJ78" s="737">
        <f ca="1">IF(PreliminaryRound!$R26="",0,PreliminaryRound!$R26)</f>
        <v>1</v>
      </c>
      <c r="AK78" s="736">
        <f ca="1">IF(PreliminaryRound!$T26="",0,PreliminaryRound!$T26)</f>
        <v>1</v>
      </c>
      <c r="AL78" s="737">
        <f ca="1">IF($AA78=0,"",IF($AJ78&gt;$AK78,Settings!$C$4,IF($AJ78=$AK78,1,0)))</f>
        <v>1</v>
      </c>
      <c r="AM78" s="736">
        <f ca="1">IF($AA78=0,"",IF($AJ78&lt;$AK78,Settings!$C$4,IF($AJ78=$AK78,1,0)))</f>
        <v>1</v>
      </c>
    </row>
    <row r="79" spans="2:40" s="660" customFormat="1" x14ac:dyDescent="0.2">
      <c r="B79" s="681"/>
      <c r="C79" s="681"/>
      <c r="D79" s="681"/>
      <c r="E79" s="681"/>
      <c r="F79" s="661"/>
      <c r="G79" s="661"/>
      <c r="H79" s="661"/>
      <c r="I79" s="661"/>
      <c r="J79" s="661"/>
      <c r="K79" s="661"/>
      <c r="L79" s="661"/>
      <c r="M79" s="661"/>
      <c r="U79" s="732" t="s">
        <v>30</v>
      </c>
      <c r="V79" s="733" t="str">
        <f ca="1">Planning!$L21</f>
        <v>SSV Wildbach</v>
      </c>
      <c r="W79" s="661" t="str">
        <f ca="1">Planning!$N21</f>
        <v>Mainz 05</v>
      </c>
      <c r="X79" s="661">
        <f ca="1">IF(AND($AA79=1,PreliminaryRound!$I27&lt;&gt;"",PreliminaryRound!$K27&lt;&gt;"",ABS(PreliminaryRound!$I27-PreliminaryRound!$K27)&gt;1),PreliminaryRound!$I27,"")</f>
        <v>20</v>
      </c>
      <c r="Y79" s="734">
        <f ca="1">IF(AND($AA79=1,PreliminaryRound!$I27&lt;&gt;"",PreliminaryRound!$K27&lt;&gt;"",ABS(PreliminaryRound!$I27-PreliminaryRound!$K27)&gt;1),PreliminaryRound!$K27,"")</f>
        <v>25</v>
      </c>
      <c r="Z79" s="735" t="str">
        <f t="shared" ca="1" si="70"/>
        <v>SSV WildbachMainz 05</v>
      </c>
      <c r="AA79" s="661">
        <f ca="1">IF(AND(V79&lt;&gt;"",W79&lt;&gt;"",V79&lt;&gt;W79,PreliminaryRound!$R27&lt;&gt;"",PreliminaryRound!$T27&lt;&gt;""),1,0)</f>
        <v>1</v>
      </c>
      <c r="AB79" s="661" t="str">
        <f ca="1">IF(AA79&gt;0,AH79&amp;Language!$E$99&amp;AI79,"")</f>
        <v>38 - 50</v>
      </c>
      <c r="AC79" s="736" t="str">
        <f ca="1">IF(AA79&gt;0,AJ79&amp;Language!$E$99&amp;AK79,"")</f>
        <v>0 - 2</v>
      </c>
      <c r="AD79" s="737">
        <f ca="1">IF(AND($AA79=1,PreliminaryRound!$L27&lt;&gt;"",PreliminaryRound!$N27&lt;&gt;"",ABS(PreliminaryRound!$L27-PreliminaryRound!$N27)&gt;1),PreliminaryRound!$L27,"")</f>
        <v>18</v>
      </c>
      <c r="AE79" s="736">
        <f ca="1">IF(AND($AA79=1,PreliminaryRound!$L27&lt;&gt;"",PreliminaryRound!$N27&lt;&gt;"",ABS(PreliminaryRound!$L27-PreliminaryRound!$N27)&gt;1),PreliminaryRound!$N27,"")</f>
        <v>25</v>
      </c>
      <c r="AF79" s="737" t="str">
        <f ca="1">IF(AND($AA79=1,PreliminaryRound!$O27&lt;&gt;"",PreliminaryRound!$Q27&lt;&gt;"",ABS(PreliminaryRound!$O27-PreliminaryRound!$Q27)&gt;1),PreliminaryRound!$O27,"")</f>
        <v/>
      </c>
      <c r="AG79" s="736" t="str">
        <f ca="1">IF(AND($AA79=1,PreliminaryRound!$O27&lt;&gt;"",PreliminaryRound!$Q27&lt;&gt;"",ABS(PreliminaryRound!$O27-PreliminaryRound!$Q27)&gt;1),PreliminaryRound!$Q27,"")</f>
        <v/>
      </c>
      <c r="AH79" s="737">
        <f t="shared" ca="1" si="68"/>
        <v>38</v>
      </c>
      <c r="AI79" s="736">
        <f t="shared" ca="1" si="69"/>
        <v>50</v>
      </c>
      <c r="AJ79" s="737">
        <f ca="1">IF(PreliminaryRound!$R27="",0,PreliminaryRound!$R27)</f>
        <v>0</v>
      </c>
      <c r="AK79" s="736">
        <f ca="1">IF(PreliminaryRound!$T27="",0,PreliminaryRound!$T27)</f>
        <v>2</v>
      </c>
      <c r="AL79" s="737">
        <f ca="1">IF($AA79=0,"",IF($AJ79&gt;$AK79,Settings!$C$4,IF($AJ79=$AK79,1,0)))</f>
        <v>0</v>
      </c>
      <c r="AM79" s="736">
        <f ca="1">IF($AA79=0,"",IF($AJ79&lt;$AK79,Settings!$C$4,IF($AJ79=$AK79,1,0)))</f>
        <v>2</v>
      </c>
    </row>
    <row r="80" spans="2:40" s="660" customFormat="1" x14ac:dyDescent="0.2">
      <c r="B80" s="681"/>
      <c r="C80" s="681"/>
      <c r="D80" s="681"/>
      <c r="E80" s="681"/>
      <c r="F80" s="661"/>
      <c r="G80" s="661"/>
      <c r="H80" s="661"/>
      <c r="I80" s="661"/>
      <c r="J80" s="661"/>
      <c r="K80" s="661"/>
      <c r="L80" s="661"/>
      <c r="M80" s="661"/>
      <c r="U80" s="732" t="s">
        <v>31</v>
      </c>
      <c r="V80" s="733" t="str">
        <f ca="1">Planning!$L22</f>
        <v>Maibach 1822 eV</v>
      </c>
      <c r="W80" s="661" t="str">
        <f ca="1">Planning!$N22</f>
        <v>VFB Essenheim</v>
      </c>
      <c r="X80" s="661">
        <f ca="1">IF(AND($AA80=1,PreliminaryRound!$I28&lt;&gt;"",PreliminaryRound!$K28&lt;&gt;"",ABS(PreliminaryRound!$I28-PreliminaryRound!$K28)&gt;1),PreliminaryRound!$I28,"")</f>
        <v>25</v>
      </c>
      <c r="Y80" s="734">
        <f ca="1">IF(AND($AA80=1,PreliminaryRound!$I28&lt;&gt;"",PreliminaryRound!$K28&lt;&gt;"",ABS(PreliminaryRound!$I28-PreliminaryRound!$K28)&gt;1),PreliminaryRound!$K28,"")</f>
        <v>21</v>
      </c>
      <c r="Z80" s="735" t="str">
        <f t="shared" ca="1" si="70"/>
        <v>Maibach 1822 eVVFB Essenheim</v>
      </c>
      <c r="AA80" s="661">
        <f ca="1">IF(AND(V80&lt;&gt;"",W80&lt;&gt;"",V80&lt;&gt;W80,PreliminaryRound!$R28&lt;&gt;"",PreliminaryRound!$T28&lt;&gt;""),1,0)</f>
        <v>1</v>
      </c>
      <c r="AB80" s="661" t="str">
        <f ca="1">IF(AA80&gt;0,AH80&amp;Language!$E$99&amp;AI80,"")</f>
        <v>50 - 40</v>
      </c>
      <c r="AC80" s="736" t="str">
        <f ca="1">IF(AA80&gt;0,AJ80&amp;Language!$E$99&amp;AK80,"")</f>
        <v>2 - 0</v>
      </c>
      <c r="AD80" s="737">
        <f ca="1">IF(AND($AA80=1,PreliminaryRound!$L28&lt;&gt;"",PreliminaryRound!$N28&lt;&gt;"",ABS(PreliminaryRound!$L28-PreliminaryRound!$N28)&gt;1),PreliminaryRound!$L28,"")</f>
        <v>25</v>
      </c>
      <c r="AE80" s="736">
        <f ca="1">IF(AND($AA80=1,PreliminaryRound!$L28&lt;&gt;"",PreliminaryRound!$N28&lt;&gt;"",ABS(PreliminaryRound!$L28-PreliminaryRound!$N28)&gt;1),PreliminaryRound!$N28,"")</f>
        <v>19</v>
      </c>
      <c r="AF80" s="737" t="str">
        <f ca="1">IF(AND($AA80=1,PreliminaryRound!$O28&lt;&gt;"",PreliminaryRound!$Q28&lt;&gt;"",ABS(PreliminaryRound!$O28-PreliminaryRound!$Q28)&gt;1),PreliminaryRound!$O28,"")</f>
        <v/>
      </c>
      <c r="AG80" s="736" t="str">
        <f ca="1">IF(AND($AA80=1,PreliminaryRound!$O28&lt;&gt;"",PreliminaryRound!$Q28&lt;&gt;"",ABS(PreliminaryRound!$O28-PreliminaryRound!$Q28)&gt;1),PreliminaryRound!$Q28,"")</f>
        <v/>
      </c>
      <c r="AH80" s="737">
        <f t="shared" ca="1" si="68"/>
        <v>50</v>
      </c>
      <c r="AI80" s="736">
        <f t="shared" ca="1" si="69"/>
        <v>40</v>
      </c>
      <c r="AJ80" s="737">
        <f ca="1">IF(PreliminaryRound!$R28="",0,PreliminaryRound!$R28)</f>
        <v>2</v>
      </c>
      <c r="AK80" s="736">
        <f ca="1">IF(PreliminaryRound!$T28="",0,PreliminaryRound!$T28)</f>
        <v>0</v>
      </c>
      <c r="AL80" s="737">
        <f ca="1">IF($AA80=0,"",IF($AJ80&gt;$AK80,Settings!$C$4,IF($AJ80=$AK80,1,0)))</f>
        <v>2</v>
      </c>
      <c r="AM80" s="736">
        <f ca="1">IF($AA80=0,"",IF($AJ80&lt;$AK80,Settings!$C$4,IF($AJ80=$AK80,1,0)))</f>
        <v>0</v>
      </c>
    </row>
    <row r="81" spans="2:39" s="660" customFormat="1" x14ac:dyDescent="0.2">
      <c r="B81" s="681"/>
      <c r="C81" s="681"/>
      <c r="D81" s="681"/>
      <c r="E81" s="681"/>
      <c r="F81" s="661"/>
      <c r="G81" s="661"/>
      <c r="H81" s="661"/>
      <c r="I81" s="661"/>
      <c r="J81" s="661"/>
      <c r="K81" s="661"/>
      <c r="L81" s="661"/>
      <c r="M81" s="661"/>
      <c r="U81" s="732" t="s">
        <v>32</v>
      </c>
      <c r="V81" s="733" t="str">
        <f ca="1">Planning!$L23</f>
        <v>Manchester City</v>
      </c>
      <c r="W81" s="661" t="str">
        <f ca="1">Planning!$N23</f>
        <v>FC Grönlingen</v>
      </c>
      <c r="X81" s="661">
        <f ca="1">IF(AND($AA81=1,PreliminaryRound!$I29&lt;&gt;"",PreliminaryRound!$K29&lt;&gt;"",ABS(PreliminaryRound!$I29-PreliminaryRound!$K29)&gt;1),PreliminaryRound!$I29,"")</f>
        <v>25</v>
      </c>
      <c r="Y81" s="734">
        <f ca="1">IF(AND($AA81=1,PreliminaryRound!$I29&lt;&gt;"",PreliminaryRound!$K29&lt;&gt;"",ABS(PreliminaryRound!$I29-PreliminaryRound!$K29)&gt;1),PreliminaryRound!$K29,"")</f>
        <v>12</v>
      </c>
      <c r="Z81" s="735" t="str">
        <f t="shared" ca="1" si="70"/>
        <v>Manchester CityFC Grönlingen</v>
      </c>
      <c r="AA81" s="661">
        <f ca="1">IF(AND(V81&lt;&gt;"",W81&lt;&gt;"",V81&lt;&gt;W81,PreliminaryRound!$R29&lt;&gt;"",PreliminaryRound!$T29&lt;&gt;""),1,0)</f>
        <v>1</v>
      </c>
      <c r="AB81" s="661" t="str">
        <f ca="1">IF(AA81&gt;0,AH81&amp;Language!$E$99&amp;AI81,"")</f>
        <v>50 - 32</v>
      </c>
      <c r="AC81" s="736" t="str">
        <f ca="1">IF(AA81&gt;0,AJ81&amp;Language!$E$99&amp;AK81,"")</f>
        <v>2 - 0</v>
      </c>
      <c r="AD81" s="737">
        <f ca="1">IF(AND($AA81=1,PreliminaryRound!$L29&lt;&gt;"",PreliminaryRound!$N29&lt;&gt;"",ABS(PreliminaryRound!$L29-PreliminaryRound!$N29)&gt;1),PreliminaryRound!$L29,"")</f>
        <v>25</v>
      </c>
      <c r="AE81" s="736">
        <f ca="1">IF(AND($AA81=1,PreliminaryRound!$L29&lt;&gt;"",PreliminaryRound!$N29&lt;&gt;"",ABS(PreliminaryRound!$L29-PreliminaryRound!$N29)&gt;1),PreliminaryRound!$N29,"")</f>
        <v>20</v>
      </c>
      <c r="AF81" s="737" t="str">
        <f ca="1">IF(AND($AA81=1,PreliminaryRound!$O29&lt;&gt;"",PreliminaryRound!$Q29&lt;&gt;"",ABS(PreliminaryRound!$O29-PreliminaryRound!$Q29)&gt;1),PreliminaryRound!$O29,"")</f>
        <v/>
      </c>
      <c r="AG81" s="736" t="str">
        <f ca="1">IF(AND($AA81=1,PreliminaryRound!$O29&lt;&gt;"",PreliminaryRound!$Q29&lt;&gt;"",ABS(PreliminaryRound!$O29-PreliminaryRound!$Q29)&gt;1),PreliminaryRound!$Q29,"")</f>
        <v/>
      </c>
      <c r="AH81" s="737">
        <f t="shared" ca="1" si="68"/>
        <v>50</v>
      </c>
      <c r="AI81" s="736">
        <f t="shared" ca="1" si="69"/>
        <v>32</v>
      </c>
      <c r="AJ81" s="737">
        <f ca="1">IF(PreliminaryRound!$R29="",0,PreliminaryRound!$R29)</f>
        <v>2</v>
      </c>
      <c r="AK81" s="736">
        <f ca="1">IF(PreliminaryRound!$T29="",0,PreliminaryRound!$T29)</f>
        <v>0</v>
      </c>
      <c r="AL81" s="737">
        <f ca="1">IF($AA81=0,"",IF($AJ81&gt;$AK81,Settings!$C$4,IF($AJ81=$AK81,1,0)))</f>
        <v>2</v>
      </c>
      <c r="AM81" s="736">
        <f ca="1">IF($AA81=0,"",IF($AJ81&lt;$AK81,Settings!$C$4,IF($AJ81=$AK81,1,0)))</f>
        <v>0</v>
      </c>
    </row>
    <row r="82" spans="2:39" s="660" customFormat="1" x14ac:dyDescent="0.2">
      <c r="B82" s="681"/>
      <c r="C82" s="681"/>
      <c r="D82" s="681"/>
      <c r="E82" s="681"/>
      <c r="F82" s="661"/>
      <c r="G82" s="661"/>
      <c r="H82" s="661"/>
      <c r="I82" s="661"/>
      <c r="J82" s="661"/>
      <c r="K82" s="661"/>
      <c r="L82" s="661"/>
      <c r="M82" s="661"/>
      <c r="U82" s="732" t="s">
        <v>33</v>
      </c>
      <c r="V82" s="733" t="str">
        <f ca="1">Planning!$L24</f>
        <v>1. FC Riedwald</v>
      </c>
      <c r="W82" s="661" t="str">
        <f ca="1">Planning!$N24</f>
        <v>FC Barcelona</v>
      </c>
      <c r="X82" s="661">
        <f ca="1">IF(AND($AA82=1,PreliminaryRound!$I30&lt;&gt;"",PreliminaryRound!$K30&lt;&gt;"",ABS(PreliminaryRound!$I30-PreliminaryRound!$K30)&gt;1),PreliminaryRound!$I30,"")</f>
        <v>25</v>
      </c>
      <c r="Y82" s="734">
        <f ca="1">IF(AND($AA82=1,PreliminaryRound!$I30&lt;&gt;"",PreliminaryRound!$K30&lt;&gt;"",ABS(PreliminaryRound!$I30-PreliminaryRound!$K30)&gt;1),PreliminaryRound!$K30,"")</f>
        <v>16</v>
      </c>
      <c r="Z82" s="735" t="str">
        <f t="shared" ca="1" si="70"/>
        <v>1. FC RiedwaldFC Barcelona</v>
      </c>
      <c r="AA82" s="661">
        <f ca="1">IF(AND(V82&lt;&gt;"",W82&lt;&gt;"",V82&lt;&gt;W82,PreliminaryRound!$R30&lt;&gt;"",PreliminaryRound!$T30&lt;&gt;""),1,0)</f>
        <v>1</v>
      </c>
      <c r="AB82" s="661" t="str">
        <f ca="1">IF(AA82&gt;0,AH82&amp;Language!$E$99&amp;AI82,"")</f>
        <v>50 - 37</v>
      </c>
      <c r="AC82" s="736" t="str">
        <f ca="1">IF(AA82&gt;0,AJ82&amp;Language!$E$99&amp;AK82,"")</f>
        <v>2 - 0</v>
      </c>
      <c r="AD82" s="737">
        <f ca="1">IF(AND($AA82=1,PreliminaryRound!$L30&lt;&gt;"",PreliminaryRound!$N30&lt;&gt;"",ABS(PreliminaryRound!$L30-PreliminaryRound!$N30)&gt;1),PreliminaryRound!$L30,"")</f>
        <v>25</v>
      </c>
      <c r="AE82" s="736">
        <f ca="1">IF(AND($AA82=1,PreliminaryRound!$L30&lt;&gt;"",PreliminaryRound!$N30&lt;&gt;"",ABS(PreliminaryRound!$L30-PreliminaryRound!$N30)&gt;1),PreliminaryRound!$N30,"")</f>
        <v>21</v>
      </c>
      <c r="AF82" s="737" t="str">
        <f ca="1">IF(AND($AA82=1,PreliminaryRound!$O30&lt;&gt;"",PreliminaryRound!$Q30&lt;&gt;"",ABS(PreliminaryRound!$O30-PreliminaryRound!$Q30)&gt;1),PreliminaryRound!$O30,"")</f>
        <v/>
      </c>
      <c r="AG82" s="736" t="str">
        <f ca="1">IF(AND($AA82=1,PreliminaryRound!$O30&lt;&gt;"",PreliminaryRound!$Q30&lt;&gt;"",ABS(PreliminaryRound!$O30-PreliminaryRound!$Q30)&gt;1),PreliminaryRound!$Q30,"")</f>
        <v/>
      </c>
      <c r="AH82" s="737">
        <f t="shared" ca="1" si="68"/>
        <v>50</v>
      </c>
      <c r="AI82" s="736">
        <f t="shared" ca="1" si="69"/>
        <v>37</v>
      </c>
      <c r="AJ82" s="737">
        <f ca="1">IF(PreliminaryRound!$R30="",0,PreliminaryRound!$R30)</f>
        <v>2</v>
      </c>
      <c r="AK82" s="736">
        <f ca="1">IF(PreliminaryRound!$T30="",0,PreliminaryRound!$T30)</f>
        <v>0</v>
      </c>
      <c r="AL82" s="737">
        <f ca="1">IF($AA82=0,"",IF($AJ82&gt;$AK82,Settings!$C$4,IF($AJ82=$AK82,1,0)))</f>
        <v>2</v>
      </c>
      <c r="AM82" s="736">
        <f ca="1">IF($AA82=0,"",IF($AJ82&lt;$AK82,Settings!$C$4,IF($AJ82=$AK82,1,0)))</f>
        <v>0</v>
      </c>
    </row>
    <row r="83" spans="2:39" s="660" customFormat="1" x14ac:dyDescent="0.2">
      <c r="B83" s="681"/>
      <c r="C83" s="681"/>
      <c r="D83" s="681"/>
      <c r="E83" s="681"/>
      <c r="F83" s="661"/>
      <c r="G83" s="661"/>
      <c r="H83" s="661"/>
      <c r="I83" s="661"/>
      <c r="J83" s="661"/>
      <c r="K83" s="661"/>
      <c r="L83" s="661"/>
      <c r="M83" s="661"/>
      <c r="U83" s="732" t="s">
        <v>34</v>
      </c>
      <c r="V83" s="733" t="str">
        <f ca="1">Planning!$L25</f>
        <v>Mainz 05</v>
      </c>
      <c r="W83" s="661" t="str">
        <f ca="1">Planning!$N25</f>
        <v>Inter Mailand</v>
      </c>
      <c r="X83" s="661">
        <f ca="1">IF(AND($AA83=1,PreliminaryRound!$I31&lt;&gt;"",PreliminaryRound!$K31&lt;&gt;"",ABS(PreliminaryRound!$I31-PreliminaryRound!$K31)&gt;1),PreliminaryRound!$I31,"")</f>
        <v>15</v>
      </c>
      <c r="Y83" s="734">
        <f ca="1">IF(AND($AA83=1,PreliminaryRound!$I31&lt;&gt;"",PreliminaryRound!$K31&lt;&gt;"",ABS(PreliminaryRound!$I31-PreliminaryRound!$K31)&gt;1),PreliminaryRound!$K31,"")</f>
        <v>25</v>
      </c>
      <c r="Z83" s="735" t="str">
        <f t="shared" ca="1" si="70"/>
        <v>Mainz 05Inter Mailand</v>
      </c>
      <c r="AA83" s="661">
        <f ca="1">IF(AND(V83&lt;&gt;"",W83&lt;&gt;"",V83&lt;&gt;W83,PreliminaryRound!$R31&lt;&gt;"",PreliminaryRound!$T31&lt;&gt;""),1,0)</f>
        <v>1</v>
      </c>
      <c r="AB83" s="661" t="str">
        <f ca="1">IF(AA83&gt;0,AH83&amp;Language!$E$99&amp;AI83,"")</f>
        <v>33 - 50</v>
      </c>
      <c r="AC83" s="736" t="str">
        <f ca="1">IF(AA83&gt;0,AJ83&amp;Language!$E$99&amp;AK83,"")</f>
        <v>0 - 2</v>
      </c>
      <c r="AD83" s="737">
        <f ca="1">IF(AND($AA83=1,PreliminaryRound!$L31&lt;&gt;"",PreliminaryRound!$N31&lt;&gt;"",ABS(PreliminaryRound!$L31-PreliminaryRound!$N31)&gt;1),PreliminaryRound!$L31,"")</f>
        <v>18</v>
      </c>
      <c r="AE83" s="736">
        <f ca="1">IF(AND($AA83=1,PreliminaryRound!$L31&lt;&gt;"",PreliminaryRound!$N31&lt;&gt;"",ABS(PreliminaryRound!$L31-PreliminaryRound!$N31)&gt;1),PreliminaryRound!$N31,"")</f>
        <v>25</v>
      </c>
      <c r="AF83" s="737" t="str">
        <f ca="1">IF(AND($AA83=1,PreliminaryRound!$O31&lt;&gt;"",PreliminaryRound!$Q31&lt;&gt;"",ABS(PreliminaryRound!$O31-PreliminaryRound!$Q31)&gt;1),PreliminaryRound!$O31,"")</f>
        <v/>
      </c>
      <c r="AG83" s="736" t="str">
        <f ca="1">IF(AND($AA83=1,PreliminaryRound!$O31&lt;&gt;"",PreliminaryRound!$Q31&lt;&gt;"",ABS(PreliminaryRound!$O31-PreliminaryRound!$Q31)&gt;1),PreliminaryRound!$Q31,"")</f>
        <v/>
      </c>
      <c r="AH83" s="737">
        <f t="shared" ca="1" si="68"/>
        <v>33</v>
      </c>
      <c r="AI83" s="736">
        <f t="shared" ca="1" si="69"/>
        <v>50</v>
      </c>
      <c r="AJ83" s="737">
        <f ca="1">IF(PreliminaryRound!$R31="",0,PreliminaryRound!$R31)</f>
        <v>0</v>
      </c>
      <c r="AK83" s="736">
        <f ca="1">IF(PreliminaryRound!$T31="",0,PreliminaryRound!$T31)</f>
        <v>2</v>
      </c>
      <c r="AL83" s="737">
        <f ca="1">IF($AA83=0,"",IF($AJ83&gt;$AK83,Settings!$C$4,IF($AJ83=$AK83,1,0)))</f>
        <v>0</v>
      </c>
      <c r="AM83" s="736">
        <f ca="1">IF($AA83=0,"",IF($AJ83&lt;$AK83,Settings!$C$4,IF($AJ83=$AK83,1,0)))</f>
        <v>2</v>
      </c>
    </row>
    <row r="84" spans="2:39" s="660" customFormat="1" x14ac:dyDescent="0.2">
      <c r="B84" s="681"/>
      <c r="C84" s="681"/>
      <c r="D84" s="681"/>
      <c r="E84" s="681"/>
      <c r="F84" s="661"/>
      <c r="G84" s="661"/>
      <c r="H84" s="661"/>
      <c r="I84" s="661"/>
      <c r="J84" s="661"/>
      <c r="K84" s="661"/>
      <c r="L84" s="661"/>
      <c r="M84" s="661"/>
      <c r="U84" s="732" t="s">
        <v>35</v>
      </c>
      <c r="V84" s="733" t="str">
        <f ca="1">Planning!$L26</f>
        <v/>
      </c>
      <c r="W84" s="661" t="str">
        <f ca="1">Planning!$N26</f>
        <v/>
      </c>
      <c r="X84" s="661" t="str">
        <f ca="1">IF(AND($AA84=1,PreliminaryRound!$I32&lt;&gt;"",PreliminaryRound!$K32&lt;&gt;"",ABS(PreliminaryRound!$I32-PreliminaryRound!$K32)&gt;1),PreliminaryRound!$I32,"")</f>
        <v/>
      </c>
      <c r="Y84" s="734" t="str">
        <f ca="1">IF(AND($AA84=1,PreliminaryRound!$I32&lt;&gt;"",PreliminaryRound!$K32&lt;&gt;"",ABS(PreliminaryRound!$I32-PreliminaryRound!$K32)&gt;1),PreliminaryRound!$K32,"")</f>
        <v/>
      </c>
      <c r="Z84" s="735" t="str">
        <f t="shared" ca="1" si="70"/>
        <v/>
      </c>
      <c r="AA84" s="661">
        <f ca="1">IF(AND(V84&lt;&gt;"",W84&lt;&gt;"",V84&lt;&gt;W84,PreliminaryRound!$R32&lt;&gt;"",PreliminaryRound!$T32&lt;&gt;""),1,0)</f>
        <v>0</v>
      </c>
      <c r="AB84" s="661" t="str">
        <f ca="1">IF(AA84&gt;0,AH84&amp;Language!$E$99&amp;AI84,"")</f>
        <v/>
      </c>
      <c r="AC84" s="736" t="str">
        <f ca="1">IF(AA84&gt;0,AJ84&amp;Language!$E$99&amp;AK84,"")</f>
        <v/>
      </c>
      <c r="AD84" s="737" t="str">
        <f ca="1">IF(AND($AA84=1,PreliminaryRound!$L32&lt;&gt;"",PreliminaryRound!$N32&lt;&gt;"",ABS(PreliminaryRound!$L32-PreliminaryRound!$N32)&gt;1),PreliminaryRound!$L32,"")</f>
        <v/>
      </c>
      <c r="AE84" s="736" t="str">
        <f ca="1">IF(AND($AA84=1,PreliminaryRound!$L32&lt;&gt;"",PreliminaryRound!$N32&lt;&gt;"",ABS(PreliminaryRound!$L32-PreliminaryRound!$N32)&gt;1),PreliminaryRound!$N32,"")</f>
        <v/>
      </c>
      <c r="AF84" s="737" t="str">
        <f ca="1">IF(AND($AA84=1,PreliminaryRound!$O32&lt;&gt;"",PreliminaryRound!$Q32&lt;&gt;"",ABS(PreliminaryRound!$O32-PreliminaryRound!$Q32)&gt;1),PreliminaryRound!$O32,"")</f>
        <v/>
      </c>
      <c r="AG84" s="736" t="str">
        <f ca="1">IF(AND($AA84=1,PreliminaryRound!$O32&lt;&gt;"",PreliminaryRound!$Q32&lt;&gt;"",ABS(PreliminaryRound!$O32-PreliminaryRound!$Q32)&gt;1),PreliminaryRound!$Q32,"")</f>
        <v/>
      </c>
      <c r="AH84" s="737" t="str">
        <f t="shared" ca="1" si="68"/>
        <v/>
      </c>
      <c r="AI84" s="736" t="str">
        <f t="shared" ca="1" si="69"/>
        <v/>
      </c>
      <c r="AJ84" s="737">
        <f ca="1">IF(PreliminaryRound!$R32="",0,PreliminaryRound!$R32)</f>
        <v>0</v>
      </c>
      <c r="AK84" s="736">
        <f ca="1">IF(PreliminaryRound!$T32="",0,PreliminaryRound!$T32)</f>
        <v>0</v>
      </c>
      <c r="AL84" s="737" t="str">
        <f ca="1">IF($AA84=0,"",IF($AJ84&gt;$AK84,Settings!$C$4,IF($AJ84=$AK84,1,0)))</f>
        <v/>
      </c>
      <c r="AM84" s="736" t="str">
        <f ca="1">IF($AA84=0,"",IF($AJ84&lt;$AK84,Settings!$C$4,IF($AJ84=$AK84,1,0)))</f>
        <v/>
      </c>
    </row>
    <row r="85" spans="2:39" s="660" customFormat="1" x14ac:dyDescent="0.2">
      <c r="B85" s="681"/>
      <c r="C85" s="681"/>
      <c r="D85" s="681"/>
      <c r="E85" s="681"/>
      <c r="F85" s="661"/>
      <c r="G85" s="661"/>
      <c r="H85" s="661"/>
      <c r="I85" s="661"/>
      <c r="J85" s="661"/>
      <c r="K85" s="661"/>
      <c r="L85" s="661"/>
      <c r="M85" s="661"/>
      <c r="U85" s="732" t="s">
        <v>36</v>
      </c>
      <c r="V85" s="733" t="str">
        <f ca="1">Planning!$L27</f>
        <v/>
      </c>
      <c r="W85" s="661" t="str">
        <f ca="1">Planning!$N27</f>
        <v/>
      </c>
      <c r="X85" s="661" t="str">
        <f ca="1">IF(AND($AA85=1,PreliminaryRound!$I33&lt;&gt;"",PreliminaryRound!$K33&lt;&gt;"",ABS(PreliminaryRound!$I33-PreliminaryRound!$K33)&gt;1),PreliminaryRound!$I33,"")</f>
        <v/>
      </c>
      <c r="Y85" s="734" t="str">
        <f ca="1">IF(AND($AA85=1,PreliminaryRound!$I33&lt;&gt;"",PreliminaryRound!$K33&lt;&gt;"",ABS(PreliminaryRound!$I33-PreliminaryRound!$K33)&gt;1),PreliminaryRound!$K33,"")</f>
        <v/>
      </c>
      <c r="Z85" s="735" t="str">
        <f t="shared" ca="1" si="70"/>
        <v/>
      </c>
      <c r="AA85" s="661">
        <f ca="1">IF(AND(V85&lt;&gt;"",W85&lt;&gt;"",V85&lt;&gt;W85,PreliminaryRound!$R33&lt;&gt;"",PreliminaryRound!$T33&lt;&gt;""),1,0)</f>
        <v>0</v>
      </c>
      <c r="AB85" s="661" t="str">
        <f ca="1">IF(AA85&gt;0,AH85&amp;Language!$E$99&amp;AI85,"")</f>
        <v/>
      </c>
      <c r="AC85" s="736" t="str">
        <f ca="1">IF(AA85&gt;0,AJ85&amp;Language!$E$99&amp;AK85,"")</f>
        <v/>
      </c>
      <c r="AD85" s="737" t="str">
        <f ca="1">IF(AND($AA85=1,PreliminaryRound!$L33&lt;&gt;"",PreliminaryRound!$N33&lt;&gt;"",ABS(PreliminaryRound!$L33-PreliminaryRound!$N33)&gt;1),PreliminaryRound!$L33,"")</f>
        <v/>
      </c>
      <c r="AE85" s="736" t="str">
        <f ca="1">IF(AND($AA85=1,PreliminaryRound!$L33&lt;&gt;"",PreliminaryRound!$N33&lt;&gt;"",ABS(PreliminaryRound!$L33-PreliminaryRound!$N33)&gt;1),PreliminaryRound!$N33,"")</f>
        <v/>
      </c>
      <c r="AF85" s="737" t="str">
        <f ca="1">IF(AND($AA85=1,PreliminaryRound!$O33&lt;&gt;"",PreliminaryRound!$Q33&lt;&gt;"",ABS(PreliminaryRound!$O33-PreliminaryRound!$Q33)&gt;1),PreliminaryRound!$O33,"")</f>
        <v/>
      </c>
      <c r="AG85" s="736" t="str">
        <f ca="1">IF(AND($AA85=1,PreliminaryRound!$O33&lt;&gt;"",PreliminaryRound!$Q33&lt;&gt;"",ABS(PreliminaryRound!$O33-PreliminaryRound!$Q33)&gt;1),PreliminaryRound!$Q33,"")</f>
        <v/>
      </c>
      <c r="AH85" s="737" t="str">
        <f t="shared" ca="1" si="68"/>
        <v/>
      </c>
      <c r="AI85" s="736" t="str">
        <f t="shared" ca="1" si="69"/>
        <v/>
      </c>
      <c r="AJ85" s="737">
        <f ca="1">IF(PreliminaryRound!$R33="",0,PreliminaryRound!$R33)</f>
        <v>0</v>
      </c>
      <c r="AK85" s="736">
        <f ca="1">IF(PreliminaryRound!$T33="",0,PreliminaryRound!$T33)</f>
        <v>0</v>
      </c>
      <c r="AL85" s="737" t="str">
        <f ca="1">IF($AA85=0,"",IF($AJ85&gt;$AK85,Settings!$C$4,IF($AJ85=$AK85,1,0)))</f>
        <v/>
      </c>
      <c r="AM85" s="736" t="str">
        <f ca="1">IF($AA85=0,"",IF($AJ85&lt;$AK85,Settings!$C$4,IF($AJ85=$AK85,1,0)))</f>
        <v/>
      </c>
    </row>
    <row r="86" spans="2:39" s="660" customFormat="1" x14ac:dyDescent="0.2">
      <c r="B86" s="681"/>
      <c r="C86" s="681"/>
      <c r="D86" s="681"/>
      <c r="E86" s="681"/>
      <c r="F86" s="661"/>
      <c r="G86" s="661"/>
      <c r="H86" s="661"/>
      <c r="I86" s="661"/>
      <c r="J86" s="661"/>
      <c r="K86" s="661"/>
      <c r="L86" s="661"/>
      <c r="M86" s="661"/>
      <c r="U86" s="732" t="s">
        <v>37</v>
      </c>
      <c r="V86" s="733" t="str">
        <f ca="1">Planning!$L28</f>
        <v/>
      </c>
      <c r="W86" s="661" t="str">
        <f ca="1">Planning!$N28</f>
        <v/>
      </c>
      <c r="X86" s="661" t="str">
        <f ca="1">IF(AND($AA86=1,PreliminaryRound!$I34&lt;&gt;"",PreliminaryRound!$K34&lt;&gt;"",ABS(PreliminaryRound!$I34-PreliminaryRound!$K34)&gt;1),PreliminaryRound!$I34,"")</f>
        <v/>
      </c>
      <c r="Y86" s="734" t="str">
        <f ca="1">IF(AND($AA86=1,PreliminaryRound!$I34&lt;&gt;"",PreliminaryRound!$K34&lt;&gt;"",ABS(PreliminaryRound!$I34-PreliminaryRound!$K34)&gt;1),PreliminaryRound!$K34,"")</f>
        <v/>
      </c>
      <c r="Z86" s="735" t="str">
        <f t="shared" ca="1" si="70"/>
        <v/>
      </c>
      <c r="AA86" s="661">
        <f ca="1">IF(AND(V86&lt;&gt;"",W86&lt;&gt;"",V86&lt;&gt;W86,PreliminaryRound!$R34&lt;&gt;"",PreliminaryRound!$T34&lt;&gt;""),1,0)</f>
        <v>0</v>
      </c>
      <c r="AB86" s="661" t="str">
        <f ca="1">IF(AA86&gt;0,AH86&amp;Language!$E$99&amp;AI86,"")</f>
        <v/>
      </c>
      <c r="AC86" s="736" t="str">
        <f ca="1">IF(AA86&gt;0,AJ86&amp;Language!$E$99&amp;AK86,"")</f>
        <v/>
      </c>
      <c r="AD86" s="737" t="str">
        <f ca="1">IF(AND($AA86=1,PreliminaryRound!$L34&lt;&gt;"",PreliminaryRound!$N34&lt;&gt;"",ABS(PreliminaryRound!$L34-PreliminaryRound!$N34)&gt;1),PreliminaryRound!$L34,"")</f>
        <v/>
      </c>
      <c r="AE86" s="736" t="str">
        <f ca="1">IF(AND($AA86=1,PreliminaryRound!$L34&lt;&gt;"",PreliminaryRound!$N34&lt;&gt;"",ABS(PreliminaryRound!$L34-PreliminaryRound!$N34)&gt;1),PreliminaryRound!$N34,"")</f>
        <v/>
      </c>
      <c r="AF86" s="737" t="str">
        <f ca="1">IF(AND($AA86=1,PreliminaryRound!$O34&lt;&gt;"",PreliminaryRound!$Q34&lt;&gt;"",ABS(PreliminaryRound!$O34-PreliminaryRound!$Q34)&gt;1),PreliminaryRound!$O34,"")</f>
        <v/>
      </c>
      <c r="AG86" s="736" t="str">
        <f ca="1">IF(AND($AA86=1,PreliminaryRound!$O34&lt;&gt;"",PreliminaryRound!$Q34&lt;&gt;"",ABS(PreliminaryRound!$O34-PreliminaryRound!$Q34)&gt;1),PreliminaryRound!$Q34,"")</f>
        <v/>
      </c>
      <c r="AH86" s="737" t="str">
        <f t="shared" ca="1" si="68"/>
        <v/>
      </c>
      <c r="AI86" s="736" t="str">
        <f t="shared" ca="1" si="69"/>
        <v/>
      </c>
      <c r="AJ86" s="737">
        <f ca="1">IF(PreliminaryRound!$R34="",0,PreliminaryRound!$R34)</f>
        <v>0</v>
      </c>
      <c r="AK86" s="736">
        <f ca="1">IF(PreliminaryRound!$T34="",0,PreliminaryRound!$T34)</f>
        <v>0</v>
      </c>
      <c r="AL86" s="737" t="str">
        <f ca="1">IF($AA86=0,"",IF($AJ86&gt;$AK86,Settings!$C$4,IF($AJ86=$AK86,1,0)))</f>
        <v/>
      </c>
      <c r="AM86" s="736" t="str">
        <f ca="1">IF($AA86=0,"",IF($AJ86&lt;$AK86,Settings!$C$4,IF($AJ86=$AK86,1,0)))</f>
        <v/>
      </c>
    </row>
    <row r="87" spans="2:39" s="660" customFormat="1" x14ac:dyDescent="0.2">
      <c r="B87" s="681"/>
      <c r="C87" s="681"/>
      <c r="D87" s="681"/>
      <c r="E87" s="681"/>
      <c r="F87" s="661"/>
      <c r="G87" s="661"/>
      <c r="H87" s="661"/>
      <c r="I87" s="661"/>
      <c r="J87" s="661"/>
      <c r="K87" s="661"/>
      <c r="L87" s="661"/>
      <c r="M87" s="661"/>
      <c r="U87" s="732" t="s">
        <v>38</v>
      </c>
      <c r="V87" s="733" t="str">
        <f ca="1">Planning!$L29</f>
        <v/>
      </c>
      <c r="W87" s="661" t="str">
        <f ca="1">Planning!$N29</f>
        <v/>
      </c>
      <c r="X87" s="661" t="str">
        <f ca="1">IF(AND($AA87=1,PreliminaryRound!$I35&lt;&gt;"",PreliminaryRound!$K35&lt;&gt;"",ABS(PreliminaryRound!$I35-PreliminaryRound!$K35)&gt;1),PreliminaryRound!$I35,"")</f>
        <v/>
      </c>
      <c r="Y87" s="734" t="str">
        <f ca="1">IF(AND($AA87=1,PreliminaryRound!$I35&lt;&gt;"",PreliminaryRound!$K35&lt;&gt;"",ABS(PreliminaryRound!$I35-PreliminaryRound!$K35)&gt;1),PreliminaryRound!$K35,"")</f>
        <v/>
      </c>
      <c r="Z87" s="735" t="str">
        <f t="shared" ca="1" si="70"/>
        <v/>
      </c>
      <c r="AA87" s="661">
        <f ca="1">IF(AND(V87&lt;&gt;"",W87&lt;&gt;"",V87&lt;&gt;W87,PreliminaryRound!$R35&lt;&gt;"",PreliminaryRound!$T35&lt;&gt;""),1,0)</f>
        <v>0</v>
      </c>
      <c r="AB87" s="661" t="str">
        <f ca="1">IF(AA87&gt;0,AH87&amp;Language!$E$99&amp;AI87,"")</f>
        <v/>
      </c>
      <c r="AC87" s="736" t="str">
        <f ca="1">IF(AA87&gt;0,AJ87&amp;Language!$E$99&amp;AK87,"")</f>
        <v/>
      </c>
      <c r="AD87" s="737" t="str">
        <f ca="1">IF(AND($AA87=1,PreliminaryRound!$L35&lt;&gt;"",PreliminaryRound!$N35&lt;&gt;"",ABS(PreliminaryRound!$L35-PreliminaryRound!$N35)&gt;1),PreliminaryRound!$L35,"")</f>
        <v/>
      </c>
      <c r="AE87" s="736" t="str">
        <f ca="1">IF(AND($AA87=1,PreliminaryRound!$L35&lt;&gt;"",PreliminaryRound!$N35&lt;&gt;"",ABS(PreliminaryRound!$L35-PreliminaryRound!$N35)&gt;1),PreliminaryRound!$N35,"")</f>
        <v/>
      </c>
      <c r="AF87" s="737" t="str">
        <f ca="1">IF(AND($AA87=1,PreliminaryRound!$O35&lt;&gt;"",PreliminaryRound!$Q35&lt;&gt;"",ABS(PreliminaryRound!$O35-PreliminaryRound!$Q35)&gt;1),PreliminaryRound!$O35,"")</f>
        <v/>
      </c>
      <c r="AG87" s="736" t="str">
        <f ca="1">IF(AND($AA87=1,PreliminaryRound!$O35&lt;&gt;"",PreliminaryRound!$Q35&lt;&gt;"",ABS(PreliminaryRound!$O35-PreliminaryRound!$Q35)&gt;1),PreliminaryRound!$Q35,"")</f>
        <v/>
      </c>
      <c r="AH87" s="737" t="str">
        <f t="shared" ca="1" si="68"/>
        <v/>
      </c>
      <c r="AI87" s="736" t="str">
        <f t="shared" ca="1" si="69"/>
        <v/>
      </c>
      <c r="AJ87" s="737">
        <f ca="1">IF(PreliminaryRound!$R35="",0,PreliminaryRound!$R35)</f>
        <v>0</v>
      </c>
      <c r="AK87" s="736">
        <f ca="1">IF(PreliminaryRound!$T35="",0,PreliminaryRound!$T35)</f>
        <v>0</v>
      </c>
      <c r="AL87" s="737" t="str">
        <f ca="1">IF($AA87=0,"",IF($AJ87&gt;$AK87,Settings!$C$4,IF($AJ87=$AK87,1,0)))</f>
        <v/>
      </c>
      <c r="AM87" s="736" t="str">
        <f ca="1">IF($AA87=0,"",IF($AJ87&lt;$AK87,Settings!$C$4,IF($AJ87=$AK87,1,0)))</f>
        <v/>
      </c>
    </row>
    <row r="88" spans="2:39" s="660" customFormat="1" x14ac:dyDescent="0.2">
      <c r="B88" s="681"/>
      <c r="C88" s="681"/>
      <c r="D88" s="681"/>
      <c r="E88" s="681"/>
      <c r="F88" s="661"/>
      <c r="G88" s="661"/>
      <c r="H88" s="661"/>
      <c r="I88" s="661"/>
      <c r="J88" s="661"/>
      <c r="K88" s="661"/>
      <c r="L88" s="661"/>
      <c r="M88" s="661"/>
      <c r="U88" s="732" t="s">
        <v>39</v>
      </c>
      <c r="V88" s="733" t="str">
        <f ca="1">Planning!$L30</f>
        <v/>
      </c>
      <c r="W88" s="661" t="str">
        <f ca="1">Planning!$N30</f>
        <v/>
      </c>
      <c r="X88" s="661" t="str">
        <f ca="1">IF(AND($AA88=1,PreliminaryRound!$I36&lt;&gt;"",PreliminaryRound!$K36&lt;&gt;"",ABS(PreliminaryRound!$I36-PreliminaryRound!$K36)&gt;1),PreliminaryRound!$I36,"")</f>
        <v/>
      </c>
      <c r="Y88" s="734" t="str">
        <f ca="1">IF(AND($AA88=1,PreliminaryRound!$I36&lt;&gt;"",PreliminaryRound!$K36&lt;&gt;"",ABS(PreliminaryRound!$I36-PreliminaryRound!$K36)&gt;1),PreliminaryRound!$K36,"")</f>
        <v/>
      </c>
      <c r="Z88" s="735" t="str">
        <f t="shared" ca="1" si="70"/>
        <v/>
      </c>
      <c r="AA88" s="661">
        <f ca="1">IF(AND(V88&lt;&gt;"",W88&lt;&gt;"",V88&lt;&gt;W88,PreliminaryRound!$R36&lt;&gt;"",PreliminaryRound!$T36&lt;&gt;""),1,0)</f>
        <v>0</v>
      </c>
      <c r="AB88" s="661" t="str">
        <f ca="1">IF(AA88&gt;0,AH88&amp;Language!$E$99&amp;AI88,"")</f>
        <v/>
      </c>
      <c r="AC88" s="736" t="str">
        <f ca="1">IF(AA88&gt;0,AJ88&amp;Language!$E$99&amp;AK88,"")</f>
        <v/>
      </c>
      <c r="AD88" s="737" t="str">
        <f ca="1">IF(AND($AA88=1,PreliminaryRound!$L36&lt;&gt;"",PreliminaryRound!$N36&lt;&gt;"",ABS(PreliminaryRound!$L36-PreliminaryRound!$N36)&gt;1),PreliminaryRound!$L36,"")</f>
        <v/>
      </c>
      <c r="AE88" s="736" t="str">
        <f ca="1">IF(AND($AA88=1,PreliminaryRound!$L36&lt;&gt;"",PreliminaryRound!$N36&lt;&gt;"",ABS(PreliminaryRound!$L36-PreliminaryRound!$N36)&gt;1),PreliminaryRound!$N36,"")</f>
        <v/>
      </c>
      <c r="AF88" s="737" t="str">
        <f ca="1">IF(AND($AA88=1,PreliminaryRound!$O36&lt;&gt;"",PreliminaryRound!$Q36&lt;&gt;"",ABS(PreliminaryRound!$O36-PreliminaryRound!$Q36)&gt;1),PreliminaryRound!$O36,"")</f>
        <v/>
      </c>
      <c r="AG88" s="736" t="str">
        <f ca="1">IF(AND($AA88=1,PreliminaryRound!$O36&lt;&gt;"",PreliminaryRound!$Q36&lt;&gt;"",ABS(PreliminaryRound!$O36-PreliminaryRound!$Q36)&gt;1),PreliminaryRound!$Q36,"")</f>
        <v/>
      </c>
      <c r="AH88" s="737" t="str">
        <f t="shared" ca="1" si="68"/>
        <v/>
      </c>
      <c r="AI88" s="736" t="str">
        <f t="shared" ca="1" si="69"/>
        <v/>
      </c>
      <c r="AJ88" s="737">
        <f ca="1">IF(PreliminaryRound!$R36="",0,PreliminaryRound!$R36)</f>
        <v>0</v>
      </c>
      <c r="AK88" s="736">
        <f ca="1">IF(PreliminaryRound!$T36="",0,PreliminaryRound!$T36)</f>
        <v>0</v>
      </c>
      <c r="AL88" s="737" t="str">
        <f ca="1">IF($AA88=0,"",IF($AJ88&gt;$AK88,Settings!$C$4,IF($AJ88=$AK88,1,0)))</f>
        <v/>
      </c>
      <c r="AM88" s="736" t="str">
        <f ca="1">IF($AA88=0,"",IF($AJ88&lt;$AK88,Settings!$C$4,IF($AJ88=$AK88,1,0)))</f>
        <v/>
      </c>
    </row>
    <row r="89" spans="2:39" s="660" customFormat="1" x14ac:dyDescent="0.2">
      <c r="B89" s="681"/>
      <c r="C89" s="681"/>
      <c r="D89" s="681"/>
      <c r="E89" s="681"/>
      <c r="F89" s="661"/>
      <c r="G89" s="661"/>
      <c r="H89" s="661"/>
      <c r="I89" s="661"/>
      <c r="J89" s="661"/>
      <c r="K89" s="661"/>
      <c r="L89" s="661"/>
      <c r="M89" s="661"/>
      <c r="U89" s="732" t="s">
        <v>40</v>
      </c>
      <c r="V89" s="733" t="str">
        <f ca="1">Planning!$L31</f>
        <v/>
      </c>
      <c r="W89" s="661" t="str">
        <f ca="1">Planning!$N31</f>
        <v/>
      </c>
      <c r="X89" s="661" t="str">
        <f ca="1">IF(AND($AA89=1,PreliminaryRound!$I37&lt;&gt;"",PreliminaryRound!$K37&lt;&gt;"",ABS(PreliminaryRound!$I37-PreliminaryRound!$K37)&gt;1),PreliminaryRound!$I37,"")</f>
        <v/>
      </c>
      <c r="Y89" s="734" t="str">
        <f ca="1">IF(AND($AA89=1,PreliminaryRound!$I37&lt;&gt;"",PreliminaryRound!$K37&lt;&gt;"",ABS(PreliminaryRound!$I37-PreliminaryRound!$K37)&gt;1),PreliminaryRound!$K37,"")</f>
        <v/>
      </c>
      <c r="Z89" s="735" t="str">
        <f t="shared" ca="1" si="70"/>
        <v/>
      </c>
      <c r="AA89" s="661">
        <f ca="1">IF(AND(V89&lt;&gt;"",W89&lt;&gt;"",V89&lt;&gt;W89,PreliminaryRound!$R37&lt;&gt;"",PreliminaryRound!$T37&lt;&gt;""),1,0)</f>
        <v>0</v>
      </c>
      <c r="AB89" s="661" t="str">
        <f ca="1">IF(AA89&gt;0,AH89&amp;Language!$E$99&amp;AI89,"")</f>
        <v/>
      </c>
      <c r="AC89" s="736" t="str">
        <f ca="1">IF(AA89&gt;0,AJ89&amp;Language!$E$99&amp;AK89,"")</f>
        <v/>
      </c>
      <c r="AD89" s="737" t="str">
        <f ca="1">IF(AND($AA89=1,PreliminaryRound!$L37&lt;&gt;"",PreliminaryRound!$N37&lt;&gt;"",ABS(PreliminaryRound!$L37-PreliminaryRound!$N37)&gt;1),PreliminaryRound!$L37,"")</f>
        <v/>
      </c>
      <c r="AE89" s="736" t="str">
        <f ca="1">IF(AND($AA89=1,PreliminaryRound!$L37&lt;&gt;"",PreliminaryRound!$N37&lt;&gt;"",ABS(PreliminaryRound!$L37-PreliminaryRound!$N37)&gt;1),PreliminaryRound!$N37,"")</f>
        <v/>
      </c>
      <c r="AF89" s="737" t="str">
        <f ca="1">IF(AND($AA89=1,PreliminaryRound!$O37&lt;&gt;"",PreliminaryRound!$Q37&lt;&gt;"",ABS(PreliminaryRound!$O37-PreliminaryRound!$Q37)&gt;1),PreliminaryRound!$O37,"")</f>
        <v/>
      </c>
      <c r="AG89" s="736" t="str">
        <f ca="1">IF(AND($AA89=1,PreliminaryRound!$O37&lt;&gt;"",PreliminaryRound!$Q37&lt;&gt;"",ABS(PreliminaryRound!$O37-PreliminaryRound!$Q37)&gt;1),PreliminaryRound!$Q37,"")</f>
        <v/>
      </c>
      <c r="AH89" s="737" t="str">
        <f t="shared" ca="1" si="68"/>
        <v/>
      </c>
      <c r="AI89" s="736" t="str">
        <f t="shared" ca="1" si="69"/>
        <v/>
      </c>
      <c r="AJ89" s="737">
        <f ca="1">IF(PreliminaryRound!$R37="",0,PreliminaryRound!$R37)</f>
        <v>0</v>
      </c>
      <c r="AK89" s="736">
        <f ca="1">IF(PreliminaryRound!$T37="",0,PreliminaryRound!$T37)</f>
        <v>0</v>
      </c>
      <c r="AL89" s="737" t="str">
        <f ca="1">IF($AA89=0,"",IF($AJ89&gt;$AK89,Settings!$C$4,IF($AJ89=$AK89,1,0)))</f>
        <v/>
      </c>
      <c r="AM89" s="736" t="str">
        <f ca="1">IF($AA89=0,"",IF($AJ89&lt;$AK89,Settings!$C$4,IF($AJ89=$AK89,1,0)))</f>
        <v/>
      </c>
    </row>
    <row r="90" spans="2:39" s="660" customFormat="1" x14ac:dyDescent="0.2">
      <c r="B90" s="681"/>
      <c r="C90" s="681"/>
      <c r="D90" s="681"/>
      <c r="E90" s="681"/>
      <c r="F90" s="661"/>
      <c r="G90" s="661"/>
      <c r="H90" s="661"/>
      <c r="I90" s="661"/>
      <c r="J90" s="661"/>
      <c r="K90" s="661"/>
      <c r="L90" s="661"/>
      <c r="M90" s="661"/>
      <c r="U90" s="732" t="s">
        <v>41</v>
      </c>
      <c r="V90" s="733" t="str">
        <f ca="1">Planning!$L32</f>
        <v/>
      </c>
      <c r="W90" s="661" t="str">
        <f ca="1">Planning!$N32</f>
        <v/>
      </c>
      <c r="X90" s="661" t="str">
        <f ca="1">IF(AND($AA90=1,PreliminaryRound!$I38&lt;&gt;"",PreliminaryRound!$K38&lt;&gt;"",ABS(PreliminaryRound!$I38-PreliminaryRound!$K38)&gt;1),PreliminaryRound!$I38,"")</f>
        <v/>
      </c>
      <c r="Y90" s="734" t="str">
        <f ca="1">IF(AND($AA90=1,PreliminaryRound!$I38&lt;&gt;"",PreliminaryRound!$K38&lt;&gt;"",ABS(PreliminaryRound!$I38-PreliminaryRound!$K38)&gt;1),PreliminaryRound!$K38,"")</f>
        <v/>
      </c>
      <c r="Z90" s="735" t="str">
        <f t="shared" ca="1" si="70"/>
        <v/>
      </c>
      <c r="AA90" s="661">
        <f ca="1">IF(AND(V90&lt;&gt;"",W90&lt;&gt;"",V90&lt;&gt;W90,PreliminaryRound!$R38&lt;&gt;"",PreliminaryRound!$T38&lt;&gt;""),1,0)</f>
        <v>0</v>
      </c>
      <c r="AB90" s="661" t="str">
        <f ca="1">IF(AA90&gt;0,AH90&amp;Language!$E$99&amp;AI90,"")</f>
        <v/>
      </c>
      <c r="AC90" s="736" t="str">
        <f ca="1">IF(AA90&gt;0,AJ90&amp;Language!$E$99&amp;AK90,"")</f>
        <v/>
      </c>
      <c r="AD90" s="737" t="str">
        <f ca="1">IF(AND($AA90=1,PreliminaryRound!$L38&lt;&gt;"",PreliminaryRound!$N38&lt;&gt;"",ABS(PreliminaryRound!$L38-PreliminaryRound!$N38)&gt;1),PreliminaryRound!$L38,"")</f>
        <v/>
      </c>
      <c r="AE90" s="736" t="str">
        <f ca="1">IF(AND($AA90=1,PreliminaryRound!$L38&lt;&gt;"",PreliminaryRound!$N38&lt;&gt;"",ABS(PreliminaryRound!$L38-PreliminaryRound!$N38)&gt;1),PreliminaryRound!$N38,"")</f>
        <v/>
      </c>
      <c r="AF90" s="737" t="str">
        <f ca="1">IF(AND($AA90=1,PreliminaryRound!$O38&lt;&gt;"",PreliminaryRound!$Q38&lt;&gt;"",ABS(PreliminaryRound!$O38-PreliminaryRound!$Q38)&gt;1),PreliminaryRound!$O38,"")</f>
        <v/>
      </c>
      <c r="AG90" s="736" t="str">
        <f ca="1">IF(AND($AA90=1,PreliminaryRound!$O38&lt;&gt;"",PreliminaryRound!$Q38&lt;&gt;"",ABS(PreliminaryRound!$O38-PreliminaryRound!$Q38)&gt;1),PreliminaryRound!$Q38,"")</f>
        <v/>
      </c>
      <c r="AH90" s="737" t="str">
        <f t="shared" ca="1" si="68"/>
        <v/>
      </c>
      <c r="AI90" s="736" t="str">
        <f t="shared" ca="1" si="69"/>
        <v/>
      </c>
      <c r="AJ90" s="737">
        <f ca="1">IF(PreliminaryRound!$R38="",0,PreliminaryRound!$R38)</f>
        <v>0</v>
      </c>
      <c r="AK90" s="736">
        <f ca="1">IF(PreliminaryRound!$T38="",0,PreliminaryRound!$T38)</f>
        <v>0</v>
      </c>
      <c r="AL90" s="737" t="str">
        <f ca="1">IF($AA90=0,"",IF($AJ90&gt;$AK90,Settings!$C$4,IF($AJ90=$AK90,1,0)))</f>
        <v/>
      </c>
      <c r="AM90" s="736" t="str">
        <f ca="1">IF($AA90=0,"",IF($AJ90&lt;$AK90,Settings!$C$4,IF($AJ90=$AK90,1,0)))</f>
        <v/>
      </c>
    </row>
    <row r="91" spans="2:39" s="660" customFormat="1" x14ac:dyDescent="0.2">
      <c r="B91" s="681"/>
      <c r="C91" s="681"/>
      <c r="D91" s="681"/>
      <c r="E91" s="681"/>
      <c r="F91" s="661"/>
      <c r="G91" s="661"/>
      <c r="H91" s="661"/>
      <c r="I91" s="661"/>
      <c r="J91" s="661"/>
      <c r="K91" s="661"/>
      <c r="L91" s="661"/>
      <c r="M91" s="661"/>
      <c r="U91" s="732" t="s">
        <v>42</v>
      </c>
      <c r="V91" s="733" t="str">
        <f ca="1">Planning!$L33</f>
        <v/>
      </c>
      <c r="W91" s="661" t="str">
        <f ca="1">Planning!$N33</f>
        <v/>
      </c>
      <c r="X91" s="661" t="str">
        <f ca="1">IF(AND($AA91=1,PreliminaryRound!$I39&lt;&gt;"",PreliminaryRound!$K39&lt;&gt;"",ABS(PreliminaryRound!$I39-PreliminaryRound!$K39)&gt;1),PreliminaryRound!$I39,"")</f>
        <v/>
      </c>
      <c r="Y91" s="734" t="str">
        <f ca="1">IF(AND($AA91=1,PreliminaryRound!$I39&lt;&gt;"",PreliminaryRound!$K39&lt;&gt;"",ABS(PreliminaryRound!$I39-PreliminaryRound!$K39)&gt;1),PreliminaryRound!$K39,"")</f>
        <v/>
      </c>
      <c r="Z91" s="735" t="str">
        <f t="shared" ca="1" si="70"/>
        <v/>
      </c>
      <c r="AA91" s="661">
        <f ca="1">IF(AND(V91&lt;&gt;"",W91&lt;&gt;"",V91&lt;&gt;W91,PreliminaryRound!$R39&lt;&gt;"",PreliminaryRound!$T39&lt;&gt;""),1,0)</f>
        <v>0</v>
      </c>
      <c r="AB91" s="661" t="str">
        <f ca="1">IF(AA91&gt;0,AH91&amp;Language!$E$99&amp;AI91,"")</f>
        <v/>
      </c>
      <c r="AC91" s="736" t="str">
        <f ca="1">IF(AA91&gt;0,AJ91&amp;Language!$E$99&amp;AK91,"")</f>
        <v/>
      </c>
      <c r="AD91" s="737" t="str">
        <f ca="1">IF(AND($AA91=1,PreliminaryRound!$L39&lt;&gt;"",PreliminaryRound!$N39&lt;&gt;"",ABS(PreliminaryRound!$L39-PreliminaryRound!$N39)&gt;1),PreliminaryRound!$L39,"")</f>
        <v/>
      </c>
      <c r="AE91" s="736" t="str">
        <f ca="1">IF(AND($AA91=1,PreliminaryRound!$L39&lt;&gt;"",PreliminaryRound!$N39&lt;&gt;"",ABS(PreliminaryRound!$L39-PreliminaryRound!$N39)&gt;1),PreliminaryRound!$N39,"")</f>
        <v/>
      </c>
      <c r="AF91" s="737" t="str">
        <f ca="1">IF(AND($AA91=1,PreliminaryRound!$O39&lt;&gt;"",PreliminaryRound!$Q39&lt;&gt;"",ABS(PreliminaryRound!$O39-PreliminaryRound!$Q39)&gt;1),PreliminaryRound!$O39,"")</f>
        <v/>
      </c>
      <c r="AG91" s="736" t="str">
        <f ca="1">IF(AND($AA91=1,PreliminaryRound!$O39&lt;&gt;"",PreliminaryRound!$Q39&lt;&gt;"",ABS(PreliminaryRound!$O39-PreliminaryRound!$Q39)&gt;1),PreliminaryRound!$Q39,"")</f>
        <v/>
      </c>
      <c r="AH91" s="737" t="str">
        <f t="shared" ca="1" si="68"/>
        <v/>
      </c>
      <c r="AI91" s="736" t="str">
        <f t="shared" ca="1" si="69"/>
        <v/>
      </c>
      <c r="AJ91" s="737">
        <f ca="1">IF(PreliminaryRound!$R39="",0,PreliminaryRound!$R39)</f>
        <v>0</v>
      </c>
      <c r="AK91" s="736">
        <f ca="1">IF(PreliminaryRound!$T39="",0,PreliminaryRound!$T39)</f>
        <v>0</v>
      </c>
      <c r="AL91" s="737" t="str">
        <f ca="1">IF($AA91=0,"",IF($AJ91&gt;$AK91,Settings!$C$4,IF($AJ91=$AK91,1,0)))</f>
        <v/>
      </c>
      <c r="AM91" s="736" t="str">
        <f ca="1">IF($AA91=0,"",IF($AJ91&lt;$AK91,Settings!$C$4,IF($AJ91=$AK91,1,0)))</f>
        <v/>
      </c>
    </row>
    <row r="92" spans="2:39" s="660" customFormat="1" x14ac:dyDescent="0.2">
      <c r="B92" s="681"/>
      <c r="C92" s="681"/>
      <c r="D92" s="681"/>
      <c r="E92" s="681"/>
      <c r="F92" s="661"/>
      <c r="G92" s="661"/>
      <c r="H92" s="661"/>
      <c r="I92" s="661"/>
      <c r="J92" s="661"/>
      <c r="K92" s="661"/>
      <c r="L92" s="661"/>
      <c r="M92" s="661"/>
      <c r="U92" s="732" t="s">
        <v>43</v>
      </c>
      <c r="V92" s="733" t="str">
        <f ca="1">Planning!$L34</f>
        <v/>
      </c>
      <c r="W92" s="661" t="str">
        <f ca="1">Planning!$N34</f>
        <v/>
      </c>
      <c r="X92" s="661" t="str">
        <f ca="1">IF(AND($AA92=1,PreliminaryRound!$I40&lt;&gt;"",PreliminaryRound!$K40&lt;&gt;"",ABS(PreliminaryRound!$I40-PreliminaryRound!$K40)&gt;1),PreliminaryRound!$I40,"")</f>
        <v/>
      </c>
      <c r="Y92" s="734" t="str">
        <f ca="1">IF(AND($AA92=1,PreliminaryRound!$I40&lt;&gt;"",PreliminaryRound!$K40&lt;&gt;"",ABS(PreliminaryRound!$I40-PreliminaryRound!$K40)&gt;1),PreliminaryRound!$K40,"")</f>
        <v/>
      </c>
      <c r="Z92" s="735" t="str">
        <f t="shared" ca="1" si="70"/>
        <v/>
      </c>
      <c r="AA92" s="661">
        <f ca="1">IF(AND(V92&lt;&gt;"",W92&lt;&gt;"",V92&lt;&gt;W92,PreliminaryRound!$R40&lt;&gt;"",PreliminaryRound!$T40&lt;&gt;""),1,0)</f>
        <v>0</v>
      </c>
      <c r="AB92" s="661" t="str">
        <f ca="1">IF(AA92&gt;0,AH92&amp;Language!$E$99&amp;AI92,"")</f>
        <v/>
      </c>
      <c r="AC92" s="736" t="str">
        <f ca="1">IF(AA92&gt;0,AJ92&amp;Language!$E$99&amp;AK92,"")</f>
        <v/>
      </c>
      <c r="AD92" s="737" t="str">
        <f ca="1">IF(AND($AA92=1,PreliminaryRound!$L40&lt;&gt;"",PreliminaryRound!$N40&lt;&gt;"",ABS(PreliminaryRound!$L40-PreliminaryRound!$N40)&gt;1),PreliminaryRound!$L40,"")</f>
        <v/>
      </c>
      <c r="AE92" s="736" t="str">
        <f ca="1">IF(AND($AA92=1,PreliminaryRound!$L40&lt;&gt;"",PreliminaryRound!$N40&lt;&gt;"",ABS(PreliminaryRound!$L40-PreliminaryRound!$N40)&gt;1),PreliminaryRound!$N40,"")</f>
        <v/>
      </c>
      <c r="AF92" s="737" t="str">
        <f ca="1">IF(AND($AA92=1,PreliminaryRound!$O40&lt;&gt;"",PreliminaryRound!$Q40&lt;&gt;"",ABS(PreliminaryRound!$O40-PreliminaryRound!$Q40)&gt;1),PreliminaryRound!$O40,"")</f>
        <v/>
      </c>
      <c r="AG92" s="736" t="str">
        <f ca="1">IF(AND($AA92=1,PreliminaryRound!$O40&lt;&gt;"",PreliminaryRound!$Q40&lt;&gt;"",ABS(PreliminaryRound!$O40-PreliminaryRound!$Q40)&gt;1),PreliminaryRound!$Q40,"")</f>
        <v/>
      </c>
      <c r="AH92" s="737" t="str">
        <f t="shared" ca="1" si="68"/>
        <v/>
      </c>
      <c r="AI92" s="736" t="str">
        <f t="shared" ca="1" si="69"/>
        <v/>
      </c>
      <c r="AJ92" s="737">
        <f ca="1">IF(PreliminaryRound!$R40="",0,PreliminaryRound!$R40)</f>
        <v>0</v>
      </c>
      <c r="AK92" s="736">
        <f ca="1">IF(PreliminaryRound!$T40="",0,PreliminaryRound!$T40)</f>
        <v>0</v>
      </c>
      <c r="AL92" s="737" t="str">
        <f ca="1">IF($AA92=0,"",IF($AJ92&gt;$AK92,Settings!$C$4,IF($AJ92=$AK92,1,0)))</f>
        <v/>
      </c>
      <c r="AM92" s="736" t="str">
        <f ca="1">IF($AA92=0,"",IF($AJ92&lt;$AK92,Settings!$C$4,IF($AJ92=$AK92,1,0)))</f>
        <v/>
      </c>
    </row>
    <row r="93" spans="2:39" s="660" customFormat="1" ht="12.75" thickBot="1" x14ac:dyDescent="0.25">
      <c r="B93" s="681"/>
      <c r="C93" s="681"/>
      <c r="D93" s="681"/>
      <c r="E93" s="681"/>
      <c r="F93" s="661"/>
      <c r="G93" s="661"/>
      <c r="H93" s="661"/>
      <c r="I93" s="661"/>
      <c r="J93" s="661"/>
      <c r="K93" s="661"/>
      <c r="L93" s="661"/>
      <c r="M93" s="661"/>
      <c r="U93" s="732" t="s">
        <v>44</v>
      </c>
      <c r="V93" s="733" t="str">
        <f ca="1">Planning!$L35</f>
        <v/>
      </c>
      <c r="W93" s="661" t="str">
        <f ca="1">Planning!$N35</f>
        <v/>
      </c>
      <c r="X93" s="661" t="str">
        <f ca="1">IF(AND($AA93=1,PreliminaryRound!$I41&lt;&gt;"",PreliminaryRound!$K41&lt;&gt;"",ABS(PreliminaryRound!$I41-PreliminaryRound!$K41)&gt;1),PreliminaryRound!$I41,"")</f>
        <v/>
      </c>
      <c r="Y93" s="734" t="str">
        <f ca="1">IF(AND($AA93=1,PreliminaryRound!$I41&lt;&gt;"",PreliminaryRound!$K41&lt;&gt;"",ABS(PreliminaryRound!$I41-PreliminaryRound!$K41)&gt;1),PreliminaryRound!$K41,"")</f>
        <v/>
      </c>
      <c r="Z93" s="735" t="str">
        <f t="shared" ca="1" si="70"/>
        <v/>
      </c>
      <c r="AA93" s="661">
        <f ca="1">IF(AND(V93&lt;&gt;"",W93&lt;&gt;"",V93&lt;&gt;W93,PreliminaryRound!$R41&lt;&gt;"",PreliminaryRound!$T41&lt;&gt;""),1,0)</f>
        <v>0</v>
      </c>
      <c r="AB93" s="661" t="str">
        <f ca="1">IF(AA93&gt;0,AH93&amp;Language!$E$99&amp;AI93,"")</f>
        <v/>
      </c>
      <c r="AC93" s="736" t="str">
        <f ca="1">IF(AA93&gt;0,AJ93&amp;Language!$E$99&amp;AK93,"")</f>
        <v/>
      </c>
      <c r="AD93" s="737" t="str">
        <f ca="1">IF(AND($AA93=1,PreliminaryRound!$L41&lt;&gt;"",PreliminaryRound!$N41&lt;&gt;"",ABS(PreliminaryRound!$L41-PreliminaryRound!$N41)&gt;1),PreliminaryRound!$L41,"")</f>
        <v/>
      </c>
      <c r="AE93" s="736" t="str">
        <f ca="1">IF(AND($AA93=1,PreliminaryRound!$L41&lt;&gt;"",PreliminaryRound!$N41&lt;&gt;"",ABS(PreliminaryRound!$L41-PreliminaryRound!$N41)&gt;1),PreliminaryRound!$N41,"")</f>
        <v/>
      </c>
      <c r="AF93" s="737" t="str">
        <f ca="1">IF(AND($AA93=1,PreliminaryRound!$O41&lt;&gt;"",PreliminaryRound!$Q41&lt;&gt;"",ABS(PreliminaryRound!$O41-PreliminaryRound!$Q41)&gt;1),PreliminaryRound!$O41,"")</f>
        <v/>
      </c>
      <c r="AG93" s="736" t="str">
        <f ca="1">IF(AND($AA93=1,PreliminaryRound!$O41&lt;&gt;"",PreliminaryRound!$Q41&lt;&gt;"",ABS(PreliminaryRound!$O41-PreliminaryRound!$Q41)&gt;1),PreliminaryRound!$Q41,"")</f>
        <v/>
      </c>
      <c r="AH93" s="737" t="str">
        <f t="shared" ca="1" si="68"/>
        <v/>
      </c>
      <c r="AI93" s="736" t="str">
        <f t="shared" ca="1" si="69"/>
        <v/>
      </c>
      <c r="AJ93" s="737">
        <f ca="1">IF(PreliminaryRound!$R41="",0,PreliminaryRound!$R41)</f>
        <v>0</v>
      </c>
      <c r="AK93" s="736">
        <f ca="1">IF(PreliminaryRound!$T41="",0,PreliminaryRound!$T41)</f>
        <v>0</v>
      </c>
      <c r="AL93" s="737" t="str">
        <f ca="1">IF($AA93=0,"",IF($AJ93&gt;$AK93,Settings!$C$4,IF($AJ93=$AK93,1,0)))</f>
        <v/>
      </c>
      <c r="AM93" s="736" t="str">
        <f ca="1">IF($AA93=0,"",IF($AJ93&lt;$AK93,Settings!$C$4,IF($AJ93=$AK93,1,0)))</f>
        <v/>
      </c>
    </row>
    <row r="94" spans="2:39" s="660" customFormat="1" ht="12.75" thickTop="1" x14ac:dyDescent="0.2">
      <c r="B94" s="681"/>
      <c r="C94" s="681"/>
      <c r="D94" s="681"/>
      <c r="E94" s="681"/>
      <c r="F94" s="661"/>
      <c r="G94" s="661"/>
      <c r="H94" s="661"/>
      <c r="I94" s="661"/>
      <c r="J94" s="661"/>
      <c r="K94" s="661"/>
      <c r="L94" s="661"/>
      <c r="M94" s="661"/>
      <c r="U94" s="742" t="s">
        <v>45</v>
      </c>
      <c r="V94" s="743" t="str">
        <f>""</f>
        <v/>
      </c>
      <c r="W94" s="744" t="str">
        <f>""</f>
        <v/>
      </c>
      <c r="X94" s="744" t="str">
        <f>""</f>
        <v/>
      </c>
      <c r="Y94" s="745" t="str">
        <f>""</f>
        <v/>
      </c>
      <c r="Z94" s="746" t="str">
        <f>""</f>
        <v/>
      </c>
      <c r="AA94" s="744">
        <v>0</v>
      </c>
      <c r="AB94" s="744" t="str">
        <f>""</f>
        <v/>
      </c>
      <c r="AC94" s="747"/>
      <c r="AD94" s="748" t="str">
        <f>""</f>
        <v/>
      </c>
      <c r="AE94" s="747" t="str">
        <f>""</f>
        <v/>
      </c>
      <c r="AF94" s="748" t="str">
        <f>""</f>
        <v/>
      </c>
      <c r="AG94" s="747" t="str">
        <f>""</f>
        <v/>
      </c>
      <c r="AH94" s="748" t="str">
        <f>""</f>
        <v/>
      </c>
      <c r="AI94" s="747" t="str">
        <f>""</f>
        <v/>
      </c>
      <c r="AJ94" s="748"/>
      <c r="AK94" s="747"/>
      <c r="AL94" s="748" t="str">
        <f>""</f>
        <v/>
      </c>
      <c r="AM94" s="747" t="str">
        <f>""</f>
        <v/>
      </c>
    </row>
    <row r="95" spans="2:39" s="660" customFormat="1" x14ac:dyDescent="0.2">
      <c r="B95" s="681"/>
      <c r="C95" s="681"/>
      <c r="D95" s="681"/>
      <c r="E95" s="681"/>
      <c r="F95" s="661"/>
      <c r="G95" s="661"/>
      <c r="H95" s="661"/>
      <c r="I95" s="661"/>
      <c r="J95" s="661"/>
      <c r="K95" s="661"/>
      <c r="L95" s="661"/>
      <c r="M95" s="661"/>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row>
    <row r="96" spans="2:39" s="660" customFormat="1" x14ac:dyDescent="0.2">
      <c r="B96" s="681"/>
      <c r="C96" s="681"/>
      <c r="D96" s="681"/>
      <c r="E96" s="681"/>
      <c r="F96" s="661"/>
      <c r="G96" s="661"/>
      <c r="H96" s="661"/>
      <c r="I96" s="661"/>
      <c r="J96" s="661"/>
      <c r="K96" s="661"/>
      <c r="L96" s="661"/>
      <c r="M96" s="661"/>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row>
    <row r="97" spans="2:39" s="660" customFormat="1" x14ac:dyDescent="0.2">
      <c r="B97" s="681"/>
      <c r="C97" s="681"/>
      <c r="D97" s="681"/>
      <c r="E97" s="681"/>
      <c r="F97" s="661"/>
      <c r="G97" s="661"/>
      <c r="H97" s="661"/>
      <c r="I97" s="661"/>
      <c r="J97" s="661"/>
      <c r="K97" s="661"/>
      <c r="L97" s="661"/>
      <c r="M97" s="661"/>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row>
    <row r="98" spans="2:39" s="660" customFormat="1" x14ac:dyDescent="0.2">
      <c r="B98" s="681"/>
      <c r="C98" s="681"/>
      <c r="D98" s="681"/>
      <c r="E98" s="681"/>
      <c r="F98" s="661"/>
      <c r="G98" s="661"/>
      <c r="H98" s="661"/>
      <c r="I98" s="661"/>
      <c r="J98" s="661"/>
      <c r="K98" s="661"/>
      <c r="L98" s="661"/>
      <c r="M98" s="661"/>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row>
    <row r="99" spans="2:39" s="660" customFormat="1" x14ac:dyDescent="0.2">
      <c r="B99" s="681"/>
      <c r="C99" s="681"/>
      <c r="D99" s="681"/>
      <c r="E99" s="681"/>
      <c r="F99" s="661"/>
      <c r="G99" s="661"/>
      <c r="H99" s="661"/>
      <c r="I99" s="661"/>
      <c r="J99" s="661"/>
      <c r="K99" s="661"/>
      <c r="L99" s="661"/>
      <c r="M99" s="661"/>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row>
    <row r="100" spans="2:39" s="660" customFormat="1" x14ac:dyDescent="0.2">
      <c r="B100" s="681"/>
      <c r="C100" s="681"/>
      <c r="D100" s="681"/>
      <c r="E100" s="681"/>
      <c r="F100" s="661"/>
      <c r="G100" s="661"/>
      <c r="H100" s="661"/>
      <c r="I100" s="661"/>
      <c r="J100" s="661"/>
      <c r="K100" s="661"/>
      <c r="L100" s="661"/>
      <c r="M100" s="661"/>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row>
    <row r="101" spans="2:39" s="660" customFormat="1" x14ac:dyDescent="0.2">
      <c r="B101" s="681"/>
      <c r="C101" s="681"/>
      <c r="D101" s="681"/>
      <c r="E101" s="681"/>
      <c r="F101" s="661"/>
      <c r="G101" s="661"/>
      <c r="H101" s="661"/>
      <c r="I101" s="661"/>
      <c r="J101" s="661"/>
      <c r="K101" s="661"/>
      <c r="L101" s="661"/>
      <c r="M101" s="661"/>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row>
    <row r="102" spans="2:39" s="660" customFormat="1" x14ac:dyDescent="0.2">
      <c r="B102" s="681"/>
      <c r="C102" s="681"/>
      <c r="D102" s="681"/>
      <c r="E102" s="681"/>
      <c r="F102" s="661"/>
      <c r="G102" s="661"/>
      <c r="H102" s="661"/>
      <c r="I102" s="661"/>
      <c r="J102" s="661"/>
      <c r="K102" s="661"/>
      <c r="L102" s="661"/>
      <c r="M102" s="661"/>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row>
    <row r="103" spans="2:39" s="660" customFormat="1" x14ac:dyDescent="0.2">
      <c r="B103" s="681"/>
      <c r="C103" s="681"/>
      <c r="D103" s="681"/>
      <c r="E103" s="681"/>
      <c r="F103" s="661"/>
      <c r="G103" s="661"/>
      <c r="H103" s="661"/>
      <c r="I103" s="661"/>
      <c r="J103" s="661"/>
      <c r="K103" s="661"/>
      <c r="L103" s="661"/>
      <c r="M103" s="661"/>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row>
    <row r="104" spans="2:39" s="660" customFormat="1" x14ac:dyDescent="0.2">
      <c r="B104" s="681"/>
      <c r="C104" s="681"/>
      <c r="D104" s="681"/>
      <c r="E104" s="681"/>
      <c r="F104" s="661"/>
      <c r="G104" s="661"/>
      <c r="H104" s="661"/>
      <c r="I104" s="661"/>
      <c r="J104" s="661"/>
      <c r="K104" s="661"/>
      <c r="L104" s="661"/>
      <c r="M104" s="661"/>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row>
    <row r="105" spans="2:39" s="660" customFormat="1" x14ac:dyDescent="0.2">
      <c r="B105" s="681"/>
      <c r="C105" s="681"/>
      <c r="D105" s="681"/>
      <c r="E105" s="681"/>
      <c r="F105" s="661"/>
      <c r="G105" s="661"/>
      <c r="H105" s="661"/>
      <c r="I105" s="661"/>
      <c r="J105" s="661"/>
      <c r="K105" s="661"/>
      <c r="L105" s="661"/>
      <c r="M105" s="661"/>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row>
    <row r="106" spans="2:39" s="660" customFormat="1" x14ac:dyDescent="0.2">
      <c r="B106" s="681"/>
      <c r="C106" s="681"/>
      <c r="D106" s="681"/>
      <c r="E106" s="681"/>
      <c r="F106" s="661"/>
      <c r="G106" s="661"/>
      <c r="H106" s="661"/>
      <c r="I106" s="661"/>
      <c r="J106" s="661"/>
      <c r="K106" s="661"/>
      <c r="L106" s="661"/>
      <c r="M106" s="661"/>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row>
    <row r="107" spans="2:39" s="660" customFormat="1" x14ac:dyDescent="0.2">
      <c r="B107" s="681"/>
      <c r="C107" s="681"/>
      <c r="D107" s="681"/>
      <c r="E107" s="681"/>
      <c r="F107" s="661"/>
      <c r="G107" s="661"/>
      <c r="H107" s="661"/>
      <c r="I107" s="661"/>
      <c r="J107" s="661"/>
      <c r="K107" s="661"/>
      <c r="L107" s="661"/>
      <c r="M107" s="661"/>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row>
    <row r="108" spans="2:39" s="660" customFormat="1" x14ac:dyDescent="0.2">
      <c r="B108" s="681"/>
      <c r="C108" s="681"/>
      <c r="D108" s="681"/>
      <c r="E108" s="681"/>
      <c r="F108" s="661"/>
      <c r="G108" s="661"/>
      <c r="H108" s="661"/>
      <c r="I108" s="661"/>
      <c r="J108" s="661"/>
      <c r="K108" s="661"/>
      <c r="L108" s="661"/>
      <c r="M108" s="661"/>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row>
    <row r="109" spans="2:39" s="660" customFormat="1" x14ac:dyDescent="0.2">
      <c r="B109" s="681"/>
      <c r="C109" s="681"/>
      <c r="D109" s="681"/>
      <c r="E109" s="681"/>
      <c r="F109" s="661"/>
      <c r="G109" s="661"/>
      <c r="H109" s="661"/>
      <c r="I109" s="661"/>
      <c r="J109" s="661"/>
      <c r="K109" s="661"/>
      <c r="L109" s="661"/>
      <c r="M109" s="661"/>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row>
    <row r="110" spans="2:39" s="660" customFormat="1" x14ac:dyDescent="0.2">
      <c r="B110" s="681"/>
      <c r="C110" s="681"/>
      <c r="D110" s="681"/>
      <c r="E110" s="681"/>
      <c r="F110" s="661"/>
      <c r="G110" s="661"/>
      <c r="H110" s="661"/>
      <c r="I110" s="661"/>
      <c r="J110" s="661"/>
      <c r="K110" s="661"/>
      <c r="L110" s="661"/>
      <c r="M110" s="661"/>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row>
    <row r="111" spans="2:39" s="660" customFormat="1" x14ac:dyDescent="0.2">
      <c r="B111" s="681"/>
      <c r="C111" s="681"/>
      <c r="D111" s="681"/>
      <c r="E111" s="681"/>
      <c r="F111" s="661"/>
      <c r="G111" s="661"/>
      <c r="H111" s="661"/>
      <c r="I111" s="661"/>
      <c r="J111" s="661"/>
      <c r="K111" s="661"/>
      <c r="L111" s="661"/>
      <c r="M111" s="661"/>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row>
    <row r="112" spans="2:39" s="660" customFormat="1" x14ac:dyDescent="0.2">
      <c r="B112" s="681"/>
      <c r="C112" s="681"/>
      <c r="D112" s="681"/>
      <c r="E112" s="681"/>
      <c r="F112" s="661"/>
      <c r="G112" s="661"/>
      <c r="H112" s="661"/>
      <c r="I112" s="661"/>
      <c r="J112" s="661"/>
      <c r="K112" s="661"/>
      <c r="L112" s="661"/>
      <c r="M112" s="661"/>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row>
    <row r="113" spans="2:39" s="660" customFormat="1" x14ac:dyDescent="0.2">
      <c r="B113" s="681"/>
      <c r="C113" s="681"/>
      <c r="D113" s="681"/>
      <c r="E113" s="681"/>
      <c r="F113" s="661"/>
      <c r="G113" s="661"/>
      <c r="H113" s="661"/>
      <c r="I113" s="661"/>
      <c r="J113" s="661"/>
      <c r="K113" s="661"/>
      <c r="L113" s="661"/>
      <c r="M113" s="661"/>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row>
    <row r="114" spans="2:39" s="660" customFormat="1" x14ac:dyDescent="0.2">
      <c r="B114" s="681"/>
      <c r="C114" s="681"/>
      <c r="D114" s="681"/>
      <c r="E114" s="681"/>
      <c r="F114" s="661"/>
      <c r="G114" s="661"/>
      <c r="H114" s="661"/>
      <c r="I114" s="661"/>
      <c r="J114" s="661"/>
      <c r="K114" s="661"/>
      <c r="L114" s="661"/>
      <c r="M114" s="661"/>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row>
    <row r="115" spans="2:39" s="660" customFormat="1" x14ac:dyDescent="0.2">
      <c r="B115" s="681"/>
      <c r="C115" s="681"/>
      <c r="D115" s="681"/>
      <c r="E115" s="681"/>
      <c r="F115" s="661"/>
      <c r="G115" s="661"/>
      <c r="H115" s="661"/>
      <c r="I115" s="661"/>
      <c r="J115" s="661"/>
      <c r="K115" s="661"/>
      <c r="L115" s="661"/>
      <c r="M115" s="661"/>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row>
    <row r="116" spans="2:39" s="660" customFormat="1" x14ac:dyDescent="0.2">
      <c r="B116" s="681"/>
      <c r="C116" s="681"/>
      <c r="D116" s="681"/>
      <c r="E116" s="681"/>
      <c r="F116" s="661"/>
      <c r="G116" s="661"/>
      <c r="H116" s="661"/>
      <c r="I116" s="661"/>
      <c r="J116" s="661"/>
      <c r="K116" s="661"/>
      <c r="L116" s="661"/>
      <c r="M116" s="661"/>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row>
    <row r="117" spans="2:39" s="660" customFormat="1" x14ac:dyDescent="0.2">
      <c r="B117" s="681"/>
      <c r="C117" s="681"/>
      <c r="D117" s="681"/>
      <c r="E117" s="681"/>
      <c r="F117" s="661"/>
      <c r="G117" s="661"/>
      <c r="H117" s="661"/>
      <c r="I117" s="661"/>
      <c r="J117" s="661"/>
      <c r="K117" s="661"/>
      <c r="L117" s="661"/>
      <c r="M117" s="661"/>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row>
    <row r="118" spans="2:39" s="660" customFormat="1" x14ac:dyDescent="0.2">
      <c r="B118" s="681"/>
      <c r="C118" s="681"/>
      <c r="D118" s="681"/>
      <c r="E118" s="681"/>
      <c r="F118" s="661"/>
      <c r="G118" s="661"/>
      <c r="H118" s="661"/>
      <c r="I118" s="661"/>
      <c r="J118" s="661"/>
      <c r="K118" s="661"/>
      <c r="L118" s="661"/>
      <c r="M118" s="661"/>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row>
    <row r="119" spans="2:39" s="660" customFormat="1" x14ac:dyDescent="0.2">
      <c r="B119" s="681"/>
      <c r="C119" s="681"/>
      <c r="D119" s="681"/>
      <c r="E119" s="681"/>
      <c r="F119" s="661"/>
      <c r="G119" s="661"/>
      <c r="H119" s="661"/>
      <c r="I119" s="661"/>
      <c r="J119" s="661"/>
      <c r="K119" s="661"/>
      <c r="L119" s="661"/>
      <c r="M119" s="661"/>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row>
    <row r="120" spans="2:39" s="660" customFormat="1" x14ac:dyDescent="0.2">
      <c r="B120" s="681"/>
      <c r="C120" s="681"/>
      <c r="D120" s="681"/>
      <c r="E120" s="681"/>
      <c r="F120" s="661"/>
      <c r="G120" s="661"/>
      <c r="H120" s="661"/>
      <c r="I120" s="661"/>
      <c r="J120" s="661"/>
      <c r="K120" s="661"/>
      <c r="L120" s="661"/>
      <c r="M120" s="661"/>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row>
    <row r="121" spans="2:39" s="660" customFormat="1" x14ac:dyDescent="0.2">
      <c r="B121" s="681"/>
      <c r="C121" s="681"/>
      <c r="D121" s="681"/>
      <c r="E121" s="681"/>
      <c r="F121" s="661"/>
      <c r="G121" s="661"/>
      <c r="H121" s="661"/>
      <c r="I121" s="661"/>
      <c r="J121" s="661"/>
      <c r="K121" s="661"/>
      <c r="L121" s="661"/>
      <c r="M121" s="661"/>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row>
    <row r="122" spans="2:39" s="660" customFormat="1" x14ac:dyDescent="0.2">
      <c r="B122" s="681"/>
      <c r="C122" s="681"/>
      <c r="D122" s="681"/>
      <c r="E122" s="681"/>
      <c r="F122" s="661"/>
      <c r="G122" s="661"/>
      <c r="H122" s="661"/>
      <c r="I122" s="661"/>
      <c r="J122" s="661"/>
      <c r="K122" s="661"/>
      <c r="L122" s="661"/>
      <c r="M122" s="661"/>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row>
    <row r="123" spans="2:39" s="660" customFormat="1" ht="12.75" thickBot="1" x14ac:dyDescent="0.25">
      <c r="B123" s="681"/>
      <c r="C123" s="681"/>
      <c r="D123" s="681"/>
      <c r="E123" s="681"/>
      <c r="F123" s="661"/>
      <c r="G123" s="661"/>
      <c r="H123" s="661"/>
      <c r="I123" s="661"/>
      <c r="J123" s="661"/>
      <c r="K123" s="661"/>
      <c r="L123" s="661"/>
      <c r="M123" s="661"/>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row>
    <row r="124" spans="2:39" s="660" customFormat="1" ht="12.75" thickTop="1" x14ac:dyDescent="0.2">
      <c r="B124" s="681"/>
      <c r="C124" s="681"/>
      <c r="D124" s="681"/>
      <c r="E124" s="681"/>
      <c r="F124" s="661"/>
      <c r="G124" s="661"/>
      <c r="H124" s="661"/>
      <c r="I124" s="661"/>
      <c r="J124" s="661"/>
      <c r="K124" s="661"/>
      <c r="L124" s="661"/>
      <c r="M124" s="661"/>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row>
    <row r="125" spans="2:39" s="660" customFormat="1" x14ac:dyDescent="0.2">
      <c r="B125" s="681"/>
      <c r="C125" s="681"/>
      <c r="D125" s="681"/>
      <c r="E125" s="681"/>
      <c r="F125" s="661"/>
      <c r="G125" s="661"/>
      <c r="H125" s="661"/>
      <c r="I125" s="661"/>
      <c r="J125" s="661"/>
      <c r="K125" s="661"/>
      <c r="L125" s="661"/>
      <c r="M125" s="661"/>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row>
    <row r="126" spans="2:39" s="660" customFormat="1" x14ac:dyDescent="0.2">
      <c r="B126" s="681"/>
      <c r="C126" s="681"/>
      <c r="D126" s="681"/>
      <c r="E126" s="681"/>
      <c r="F126" s="661"/>
      <c r="G126" s="661"/>
      <c r="H126" s="661"/>
      <c r="I126" s="661"/>
      <c r="J126" s="661"/>
      <c r="K126" s="661"/>
      <c r="L126" s="661"/>
      <c r="M126" s="661"/>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row>
    <row r="127" spans="2:39" s="660" customFormat="1" x14ac:dyDescent="0.2">
      <c r="B127" s="681"/>
      <c r="C127" s="681"/>
      <c r="D127" s="681"/>
      <c r="E127" s="681"/>
      <c r="F127" s="661"/>
      <c r="G127" s="661"/>
      <c r="H127" s="661"/>
      <c r="I127" s="661"/>
      <c r="J127" s="661"/>
      <c r="K127" s="661"/>
      <c r="L127" s="661"/>
      <c r="M127" s="661"/>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row>
    <row r="128" spans="2:39" s="660" customFormat="1" x14ac:dyDescent="0.2">
      <c r="B128" s="681"/>
      <c r="C128" s="681"/>
      <c r="D128" s="681"/>
      <c r="E128" s="681"/>
      <c r="F128" s="661"/>
      <c r="G128" s="661"/>
      <c r="H128" s="661"/>
      <c r="I128" s="661"/>
      <c r="J128" s="661"/>
      <c r="K128" s="661"/>
      <c r="L128" s="661"/>
      <c r="M128" s="661"/>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row>
    <row r="129" spans="2:39" s="660" customFormat="1" x14ac:dyDescent="0.2">
      <c r="B129" s="681"/>
      <c r="C129" s="681"/>
      <c r="D129" s="681"/>
      <c r="E129" s="681"/>
      <c r="F129" s="661"/>
      <c r="G129" s="661"/>
      <c r="H129" s="661"/>
      <c r="I129" s="661"/>
      <c r="J129" s="661"/>
      <c r="K129" s="661"/>
      <c r="L129" s="661"/>
      <c r="M129" s="661"/>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row>
    <row r="130" spans="2:39" s="660" customFormat="1" x14ac:dyDescent="0.2">
      <c r="B130" s="681"/>
      <c r="C130" s="681"/>
      <c r="D130" s="681"/>
      <c r="E130" s="681"/>
      <c r="F130" s="661"/>
      <c r="G130" s="661"/>
      <c r="H130" s="661"/>
      <c r="I130" s="661"/>
      <c r="J130" s="661"/>
      <c r="K130" s="661"/>
      <c r="L130" s="661"/>
      <c r="M130" s="661"/>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row>
    <row r="131" spans="2:39" s="660" customFormat="1" x14ac:dyDescent="0.2">
      <c r="B131" s="681"/>
      <c r="C131" s="681"/>
      <c r="D131" s="681"/>
      <c r="E131" s="681"/>
      <c r="F131" s="661"/>
      <c r="G131" s="661"/>
      <c r="H131" s="661"/>
      <c r="I131" s="661"/>
      <c r="J131" s="661"/>
      <c r="K131" s="661"/>
      <c r="L131" s="661"/>
      <c r="M131" s="661"/>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row>
    <row r="132" spans="2:39" s="660" customFormat="1" x14ac:dyDescent="0.2">
      <c r="B132" s="681"/>
      <c r="C132" s="681"/>
      <c r="D132" s="681"/>
      <c r="E132" s="681"/>
      <c r="F132" s="661"/>
      <c r="G132" s="661"/>
      <c r="H132" s="661"/>
      <c r="I132" s="661"/>
      <c r="J132" s="661"/>
      <c r="K132" s="661"/>
      <c r="L132" s="661"/>
      <c r="M132" s="661"/>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row>
    <row r="133" spans="2:39" s="660" customFormat="1" x14ac:dyDescent="0.2">
      <c r="B133" s="681"/>
      <c r="C133" s="681"/>
      <c r="D133" s="681"/>
      <c r="E133" s="681"/>
      <c r="F133" s="661"/>
      <c r="G133" s="661"/>
      <c r="H133" s="661"/>
      <c r="I133" s="661"/>
      <c r="J133" s="661"/>
      <c r="K133" s="661"/>
      <c r="L133" s="661"/>
      <c r="M133" s="661"/>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row>
    <row r="134" spans="2:39" s="660" customFormat="1" x14ac:dyDescent="0.2">
      <c r="B134" s="681"/>
      <c r="C134" s="681"/>
      <c r="D134" s="681"/>
      <c r="E134" s="681"/>
      <c r="F134" s="661"/>
      <c r="G134" s="661"/>
      <c r="H134" s="661"/>
      <c r="I134" s="661"/>
      <c r="J134" s="661"/>
      <c r="K134" s="661"/>
      <c r="L134" s="661"/>
      <c r="M134" s="661"/>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row>
    <row r="135" spans="2:39" s="660" customFormat="1" ht="12.75" thickBot="1" x14ac:dyDescent="0.25">
      <c r="B135" s="681"/>
      <c r="C135" s="681"/>
      <c r="D135" s="681"/>
      <c r="E135" s="681"/>
      <c r="F135" s="661"/>
      <c r="G135" s="661"/>
      <c r="H135" s="661"/>
      <c r="I135" s="661"/>
      <c r="J135" s="661"/>
      <c r="K135" s="661"/>
      <c r="L135" s="661"/>
      <c r="M135" s="661"/>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row>
    <row r="136" spans="2:39" s="660" customFormat="1" ht="12.75" thickTop="1" x14ac:dyDescent="0.2">
      <c r="B136" s="681"/>
      <c r="C136" s="681"/>
      <c r="D136" s="681"/>
      <c r="E136" s="681"/>
      <c r="F136" s="661"/>
      <c r="G136" s="661"/>
      <c r="H136" s="661"/>
      <c r="I136" s="661"/>
      <c r="J136" s="661"/>
      <c r="K136" s="661"/>
      <c r="L136" s="661"/>
      <c r="M136" s="661"/>
      <c r="Y136" s="718" t="s">
        <v>6</v>
      </c>
      <c r="Z136" s="722" t="str">
        <f ca="1">W64&amp;V64</f>
        <v>FC BarcelonaVFB Essenheim</v>
      </c>
      <c r="AA136" s="720">
        <f ca="1">AA64</f>
        <v>1</v>
      </c>
      <c r="AB136" s="661" t="str">
        <f ca="1">IF(AA64&gt;0,AI64&amp;Language!$E$99&amp;AH64,"")</f>
        <v>25 - 50</v>
      </c>
      <c r="AC136" s="760" t="str">
        <f ca="1">IF(AA64&gt;0,AK64&amp;Language!$E$99&amp;AJ64,"")</f>
        <v>0 - 2</v>
      </c>
      <c r="AD136" s="725"/>
      <c r="AE136" s="761"/>
      <c r="AF136" s="761"/>
      <c r="AG136" s="761"/>
      <c r="AH136" s="761"/>
    </row>
    <row r="137" spans="2:39" x14ac:dyDescent="0.2">
      <c r="Y137" s="732" t="s">
        <v>7</v>
      </c>
      <c r="Z137" s="735" t="str">
        <f ca="1">W65&amp;V65</f>
        <v>Inter MailandFC Grönlingen</v>
      </c>
      <c r="AA137" s="661">
        <f t="shared" ref="AA137:AA165" ca="1" si="71">AA65</f>
        <v>1</v>
      </c>
      <c r="AB137" s="661" t="str">
        <f ca="1">IF(AA65&gt;0,AI65&amp;Language!$E$99&amp;AH65,"")</f>
        <v>25 - 15</v>
      </c>
      <c r="AC137" s="763" t="str">
        <f ca="1">IF(AA65&gt;0,AK65&amp;Language!$E$99&amp;AJ65,"")</f>
        <v>1 - 0</v>
      </c>
      <c r="AD137" s="737"/>
      <c r="AE137" s="764"/>
      <c r="AF137" s="764"/>
      <c r="AG137" s="764"/>
      <c r="AH137" s="764"/>
    </row>
    <row r="138" spans="2:39" x14ac:dyDescent="0.2">
      <c r="Y138" s="732" t="s">
        <v>8</v>
      </c>
      <c r="Z138" s="735" t="str">
        <f t="shared" ref="Z138:Z165" ca="1" si="72">W66&amp;V66</f>
        <v>Maibach 1822 eVEintracht Frankfurt</v>
      </c>
      <c r="AA138" s="661">
        <f t="shared" ca="1" si="71"/>
        <v>1</v>
      </c>
      <c r="AB138" s="661" t="str">
        <f ca="1">IF(AA66&gt;0,AI66&amp;Language!$E$99&amp;AH66,"")</f>
        <v>35 - 24</v>
      </c>
      <c r="AC138" s="763" t="str">
        <f ca="1">IF(AA66&gt;0,AK66&amp;Language!$E$99&amp;AJ66,"")</f>
        <v>2 - 0</v>
      </c>
      <c r="AD138" s="737"/>
      <c r="AE138" s="764"/>
      <c r="AF138" s="764"/>
      <c r="AG138" s="764"/>
      <c r="AH138" s="764"/>
    </row>
    <row r="139" spans="2:39" x14ac:dyDescent="0.2">
      <c r="Y139" s="732" t="s">
        <v>9</v>
      </c>
      <c r="Z139" s="735" t="str">
        <f t="shared" ca="1" si="72"/>
        <v>Manchester CitySSV Wildbach</v>
      </c>
      <c r="AA139" s="661">
        <f t="shared" ca="1" si="71"/>
        <v>1</v>
      </c>
      <c r="AB139" s="661" t="str">
        <f ca="1">IF(AA67&gt;0,AI67&amp;Language!$E$99&amp;AH67,"")</f>
        <v>42 - 50</v>
      </c>
      <c r="AC139" s="763" t="str">
        <f ca="1">IF(AA67&gt;0,AK67&amp;Language!$E$99&amp;AJ67,"")</f>
        <v>0 - 2</v>
      </c>
      <c r="AD139" s="737"/>
      <c r="AE139" s="764"/>
      <c r="AF139" s="764"/>
      <c r="AG139" s="764"/>
      <c r="AH139" s="764"/>
    </row>
    <row r="140" spans="2:39" x14ac:dyDescent="0.2">
      <c r="Y140" s="732" t="s">
        <v>10</v>
      </c>
      <c r="Z140" s="735" t="str">
        <f t="shared" ca="1" si="72"/>
        <v>1. FC RiedwaldVFB Essenheim</v>
      </c>
      <c r="AA140" s="661">
        <f t="shared" ca="1" si="71"/>
        <v>1</v>
      </c>
      <c r="AB140" s="661" t="str">
        <f ca="1">IF(AA68&gt;0,AI68&amp;Language!$E$99&amp;AH68,"")</f>
        <v>44 - 50</v>
      </c>
      <c r="AC140" s="763" t="str">
        <f ca="1">IF(AA68&gt;0,AK68&amp;Language!$E$99&amp;AJ68,"")</f>
        <v>0 - 2</v>
      </c>
      <c r="AD140" s="737"/>
      <c r="AE140" s="764"/>
      <c r="AF140" s="764"/>
      <c r="AG140" s="764"/>
      <c r="AH140" s="764"/>
    </row>
    <row r="141" spans="2:39" x14ac:dyDescent="0.2">
      <c r="Y141" s="732" t="s">
        <v>11</v>
      </c>
      <c r="Z141" s="735" t="str">
        <f t="shared" ca="1" si="72"/>
        <v>Mainz 05FC Grönlingen</v>
      </c>
      <c r="AA141" s="661">
        <f t="shared" ca="1" si="71"/>
        <v>1</v>
      </c>
      <c r="AB141" s="661" t="str">
        <f ca="1">IF(AA69&gt;0,AI69&amp;Language!$E$99&amp;AH69,"")</f>
        <v>39 - 50</v>
      </c>
      <c r="AC141" s="763" t="str">
        <f ca="1">IF(AA69&gt;0,AK69&amp;Language!$E$99&amp;AJ69,"")</f>
        <v>0 - 2</v>
      </c>
      <c r="AD141" s="737"/>
      <c r="AE141" s="764"/>
      <c r="AF141" s="764"/>
      <c r="AG141" s="764"/>
      <c r="AH141" s="764"/>
    </row>
    <row r="142" spans="2:39" x14ac:dyDescent="0.2">
      <c r="Y142" s="732" t="s">
        <v>16</v>
      </c>
      <c r="Z142" s="735" t="str">
        <f t="shared" ca="1" si="72"/>
        <v>Eintracht FrankfurtFC Barcelona</v>
      </c>
      <c r="AA142" s="661">
        <f t="shared" ca="1" si="71"/>
        <v>1</v>
      </c>
      <c r="AB142" s="661" t="str">
        <f ca="1">IF(AA70&gt;0,AI70&amp;Language!$E$99&amp;AH70,"")</f>
        <v>48 - 48</v>
      </c>
      <c r="AC142" s="763" t="str">
        <f ca="1">IF(AA70&gt;0,AK70&amp;Language!$E$99&amp;AJ70,"")</f>
        <v>1 - 1</v>
      </c>
      <c r="AD142" s="737"/>
      <c r="AE142" s="764"/>
      <c r="AF142" s="764"/>
      <c r="AG142" s="764"/>
      <c r="AH142" s="764"/>
    </row>
    <row r="143" spans="2:39" x14ac:dyDescent="0.2">
      <c r="Y143" s="732" t="s">
        <v>17</v>
      </c>
      <c r="Z143" s="735" t="str">
        <f t="shared" ca="1" si="72"/>
        <v>SSV WildbachInter Mailand</v>
      </c>
      <c r="AA143" s="661">
        <f t="shared" ca="1" si="71"/>
        <v>1</v>
      </c>
      <c r="AB143" s="661" t="str">
        <f ca="1">IF(AA71&gt;0,AI71&amp;Language!$E$99&amp;AH71,"")</f>
        <v>37 - 44</v>
      </c>
      <c r="AC143" s="763" t="str">
        <f ca="1">IF(AA71&gt;0,AK71&amp;Language!$E$99&amp;AJ71,"")</f>
        <v>1 - 1</v>
      </c>
      <c r="AD143" s="737"/>
      <c r="AE143" s="764"/>
      <c r="AF143" s="764"/>
      <c r="AG143" s="764"/>
      <c r="AH143" s="764"/>
    </row>
    <row r="144" spans="2:39" x14ac:dyDescent="0.2">
      <c r="Y144" s="732" t="s">
        <v>18</v>
      </c>
      <c r="Z144" s="735" t="str">
        <f t="shared" ca="1" si="72"/>
        <v>Maibach 1822 eV1. FC Riedwald</v>
      </c>
      <c r="AA144" s="661">
        <f t="shared" ca="1" si="71"/>
        <v>1</v>
      </c>
      <c r="AB144" s="661" t="str">
        <f ca="1">IF(AA72&gt;0,AI72&amp;Language!$E$99&amp;AH72,"")</f>
        <v>43 - 41</v>
      </c>
      <c r="AC144" s="763" t="str">
        <f ca="1">IF(AA72&gt;0,AK72&amp;Language!$E$99&amp;AJ72,"")</f>
        <v>1 - 1</v>
      </c>
      <c r="AD144" s="737"/>
      <c r="AE144" s="764"/>
      <c r="AF144" s="764"/>
      <c r="AG144" s="764"/>
      <c r="AH144" s="764"/>
    </row>
    <row r="145" spans="25:34" x14ac:dyDescent="0.2">
      <c r="Y145" s="732" t="s">
        <v>24</v>
      </c>
      <c r="Z145" s="735" t="str">
        <f t="shared" ca="1" si="72"/>
        <v>Manchester CityMainz 05</v>
      </c>
      <c r="AA145" s="661">
        <f t="shared" ca="1" si="71"/>
        <v>1</v>
      </c>
      <c r="AB145" s="661" t="str">
        <f ca="1">IF(AA73&gt;0,AI73&amp;Language!$E$99&amp;AH73,"")</f>
        <v>44 - 39</v>
      </c>
      <c r="AC145" s="763" t="str">
        <f ca="1">IF(AA73&gt;0,AK73&amp;Language!$E$99&amp;AJ73,"")</f>
        <v>1 - 1</v>
      </c>
      <c r="AD145" s="737"/>
      <c r="AE145" s="764"/>
      <c r="AF145" s="764"/>
      <c r="AG145" s="764"/>
      <c r="AH145" s="764"/>
    </row>
    <row r="146" spans="25:34" x14ac:dyDescent="0.2">
      <c r="Y146" s="732" t="s">
        <v>25</v>
      </c>
      <c r="Z146" s="735" t="str">
        <f t="shared" ca="1" si="72"/>
        <v>VFB EssenheimEintracht Frankfurt</v>
      </c>
      <c r="AA146" s="661">
        <f t="shared" ca="1" si="71"/>
        <v>1</v>
      </c>
      <c r="AB146" s="661" t="str">
        <f ca="1">IF(AA74&gt;0,AI74&amp;Language!$E$99&amp;AH74,"")</f>
        <v>45 - 47</v>
      </c>
      <c r="AC146" s="763" t="str">
        <f ca="1">IF(AA74&gt;0,AK74&amp;Language!$E$99&amp;AJ74,"")</f>
        <v>1 - 1</v>
      </c>
      <c r="AD146" s="737"/>
      <c r="AE146" s="764"/>
      <c r="AF146" s="764"/>
      <c r="AG146" s="764"/>
      <c r="AH146" s="764"/>
    </row>
    <row r="147" spans="25:34" x14ac:dyDescent="0.2">
      <c r="Y147" s="732" t="s">
        <v>26</v>
      </c>
      <c r="Z147" s="735" t="str">
        <f t="shared" ca="1" si="72"/>
        <v>FC GrönlingenSSV Wildbach</v>
      </c>
      <c r="AA147" s="661">
        <f t="shared" ca="1" si="71"/>
        <v>1</v>
      </c>
      <c r="AB147" s="661" t="str">
        <f ca="1">IF(AA75&gt;0,AI75&amp;Language!$E$99&amp;AH75,"")</f>
        <v>44 - 44</v>
      </c>
      <c r="AC147" s="763" t="str">
        <f ca="1">IF(AA75&gt;0,AK75&amp;Language!$E$99&amp;AJ75,"")</f>
        <v>1 - 1</v>
      </c>
      <c r="AD147" s="737"/>
      <c r="AE147" s="764"/>
      <c r="AF147" s="764"/>
      <c r="AG147" s="764"/>
      <c r="AH147" s="764"/>
    </row>
    <row r="148" spans="25:34" x14ac:dyDescent="0.2">
      <c r="Y148" s="732" t="s">
        <v>27</v>
      </c>
      <c r="Z148" s="735" t="str">
        <f t="shared" ca="1" si="72"/>
        <v>Maibach 1822 eVFC Barcelona</v>
      </c>
      <c r="AA148" s="661">
        <f t="shared" ca="1" si="71"/>
        <v>1</v>
      </c>
      <c r="AB148" s="661" t="str">
        <f ca="1">IF(AA76&gt;0,AI76&amp;Language!$E$99&amp;AH76,"")</f>
        <v>50 - 29</v>
      </c>
      <c r="AC148" s="763" t="str">
        <f ca="1">IF(AA76&gt;0,AK76&amp;Language!$E$99&amp;AJ76,"")</f>
        <v>2 - 0</v>
      </c>
      <c r="AD148" s="737"/>
      <c r="AE148" s="764"/>
      <c r="AF148" s="764"/>
      <c r="AG148" s="764"/>
      <c r="AH148" s="764"/>
    </row>
    <row r="149" spans="25:34" x14ac:dyDescent="0.2">
      <c r="Y149" s="732" t="s">
        <v>28</v>
      </c>
      <c r="Z149" s="735" t="str">
        <f t="shared" ca="1" si="72"/>
        <v>Manchester CityInter Mailand</v>
      </c>
      <c r="AA149" s="661">
        <f t="shared" ca="1" si="71"/>
        <v>1</v>
      </c>
      <c r="AB149" s="661" t="str">
        <f ca="1">IF(AA77&gt;0,AI77&amp;Language!$E$99&amp;AH77,"")</f>
        <v>48 - 39</v>
      </c>
      <c r="AC149" s="763" t="str">
        <f ca="1">IF(AA77&gt;0,AK77&amp;Language!$E$99&amp;AJ77,"")</f>
        <v>1 - 1</v>
      </c>
      <c r="AD149" s="737"/>
      <c r="AE149" s="764"/>
      <c r="AF149" s="764"/>
      <c r="AG149" s="764"/>
      <c r="AH149" s="764"/>
    </row>
    <row r="150" spans="25:34" x14ac:dyDescent="0.2">
      <c r="Y150" s="732" t="s">
        <v>29</v>
      </c>
      <c r="Z150" s="735" t="str">
        <f t="shared" ca="1" si="72"/>
        <v>1. FC RiedwaldEintracht Frankfurt</v>
      </c>
      <c r="AA150" s="661">
        <f t="shared" ca="1" si="71"/>
        <v>1</v>
      </c>
      <c r="AB150" s="661" t="str">
        <f ca="1">IF(AA78&gt;0,AI78&amp;Language!$E$99&amp;AH78,"")</f>
        <v>42 - 46</v>
      </c>
      <c r="AC150" s="763" t="str">
        <f ca="1">IF(AA78&gt;0,AK78&amp;Language!$E$99&amp;AJ78,"")</f>
        <v>1 - 1</v>
      </c>
      <c r="AD150" s="737"/>
      <c r="AE150" s="764"/>
      <c r="AF150" s="764"/>
      <c r="AG150" s="764"/>
      <c r="AH150" s="764"/>
    </row>
    <row r="151" spans="25:34" x14ac:dyDescent="0.2">
      <c r="Y151" s="732" t="s">
        <v>30</v>
      </c>
      <c r="Z151" s="735" t="str">
        <f t="shared" ca="1" si="72"/>
        <v>Mainz 05SSV Wildbach</v>
      </c>
      <c r="AA151" s="661">
        <f t="shared" ca="1" si="71"/>
        <v>1</v>
      </c>
      <c r="AB151" s="661" t="str">
        <f ca="1">IF(AA79&gt;0,AI79&amp;Language!$E$99&amp;AH79,"")</f>
        <v>50 - 38</v>
      </c>
      <c r="AC151" s="763" t="str">
        <f ca="1">IF(AA79&gt;0,AK79&amp;Language!$E$99&amp;AJ79,"")</f>
        <v>2 - 0</v>
      </c>
      <c r="AD151" s="737"/>
      <c r="AE151" s="764"/>
      <c r="AF151" s="764"/>
      <c r="AG151" s="764"/>
      <c r="AH151" s="764"/>
    </row>
    <row r="152" spans="25:34" x14ac:dyDescent="0.2">
      <c r="Y152" s="732" t="s">
        <v>31</v>
      </c>
      <c r="Z152" s="735" t="str">
        <f t="shared" ca="1" si="72"/>
        <v>VFB EssenheimMaibach 1822 eV</v>
      </c>
      <c r="AA152" s="661">
        <f t="shared" ca="1" si="71"/>
        <v>1</v>
      </c>
      <c r="AB152" s="661" t="str">
        <f ca="1">IF(AA80&gt;0,AI80&amp;Language!$E$99&amp;AH80,"")</f>
        <v>40 - 50</v>
      </c>
      <c r="AC152" s="763" t="str">
        <f ca="1">IF(AA80&gt;0,AK80&amp;Language!$E$99&amp;AJ80,"")</f>
        <v>0 - 2</v>
      </c>
      <c r="AD152" s="737"/>
      <c r="AE152" s="764"/>
      <c r="AF152" s="764"/>
      <c r="AG152" s="764"/>
      <c r="AH152" s="764"/>
    </row>
    <row r="153" spans="25:34" x14ac:dyDescent="0.2">
      <c r="Y153" s="732" t="s">
        <v>32</v>
      </c>
      <c r="Z153" s="735" t="str">
        <f t="shared" ca="1" si="72"/>
        <v>FC GrönlingenManchester City</v>
      </c>
      <c r="AA153" s="661">
        <f t="shared" ca="1" si="71"/>
        <v>1</v>
      </c>
      <c r="AB153" s="661" t="str">
        <f ca="1">IF(AA81&gt;0,AI81&amp;Language!$E$99&amp;AH81,"")</f>
        <v>32 - 50</v>
      </c>
      <c r="AC153" s="763" t="str">
        <f ca="1">IF(AA81&gt;0,AK81&amp;Language!$E$99&amp;AJ81,"")</f>
        <v>0 - 2</v>
      </c>
      <c r="AD153" s="737"/>
      <c r="AE153" s="764"/>
      <c r="AF153" s="764"/>
      <c r="AG153" s="764"/>
      <c r="AH153" s="764"/>
    </row>
    <row r="154" spans="25:34" x14ac:dyDescent="0.2">
      <c r="Y154" s="732" t="s">
        <v>33</v>
      </c>
      <c r="Z154" s="735" t="str">
        <f t="shared" ca="1" si="72"/>
        <v>FC Barcelona1. FC Riedwald</v>
      </c>
      <c r="AA154" s="661">
        <f t="shared" ca="1" si="71"/>
        <v>1</v>
      </c>
      <c r="AB154" s="661" t="str">
        <f ca="1">IF(AA82&gt;0,AI82&amp;Language!$E$99&amp;AH82,"")</f>
        <v>37 - 50</v>
      </c>
      <c r="AC154" s="763" t="str">
        <f ca="1">IF(AA82&gt;0,AK82&amp;Language!$E$99&amp;AJ82,"")</f>
        <v>0 - 2</v>
      </c>
      <c r="AD154" s="737"/>
      <c r="AE154" s="764"/>
      <c r="AF154" s="764"/>
      <c r="AG154" s="764"/>
      <c r="AH154" s="764"/>
    </row>
    <row r="155" spans="25:34" x14ac:dyDescent="0.2">
      <c r="Y155" s="732" t="s">
        <v>34</v>
      </c>
      <c r="Z155" s="735" t="str">
        <f t="shared" ca="1" si="72"/>
        <v>Inter MailandMainz 05</v>
      </c>
      <c r="AA155" s="661">
        <f t="shared" ca="1" si="71"/>
        <v>1</v>
      </c>
      <c r="AB155" s="661" t="str">
        <f ca="1">IF(AA83&gt;0,AI83&amp;Language!$E$99&amp;AH83,"")</f>
        <v>50 - 33</v>
      </c>
      <c r="AC155" s="763" t="str">
        <f ca="1">IF(AA83&gt;0,AK83&amp;Language!$E$99&amp;AJ83,"")</f>
        <v>2 - 0</v>
      </c>
      <c r="AD155" s="737"/>
      <c r="AE155" s="764"/>
      <c r="AF155" s="764"/>
      <c r="AG155" s="764"/>
      <c r="AH155" s="764"/>
    </row>
    <row r="156" spans="25:34" x14ac:dyDescent="0.2">
      <c r="Y156" s="732" t="s">
        <v>35</v>
      </c>
      <c r="Z156" s="735" t="str">
        <f t="shared" ca="1" si="72"/>
        <v/>
      </c>
      <c r="AA156" s="661">
        <f t="shared" ca="1" si="71"/>
        <v>0</v>
      </c>
      <c r="AB156" s="661" t="str">
        <f ca="1">IF(AA84&gt;0,AI84&amp;Language!$E$99&amp;AH84,"")</f>
        <v/>
      </c>
      <c r="AC156" s="763" t="str">
        <f ca="1">IF(AA84&gt;0,AK84&amp;Language!$E$99&amp;AJ84,"")</f>
        <v/>
      </c>
      <c r="AD156" s="737"/>
      <c r="AE156" s="764"/>
      <c r="AF156" s="764"/>
      <c r="AG156" s="764"/>
      <c r="AH156" s="764"/>
    </row>
    <row r="157" spans="25:34" x14ac:dyDescent="0.2">
      <c r="Y157" s="732" t="s">
        <v>36</v>
      </c>
      <c r="Z157" s="735" t="str">
        <f t="shared" ca="1" si="72"/>
        <v/>
      </c>
      <c r="AA157" s="661">
        <f t="shared" ca="1" si="71"/>
        <v>0</v>
      </c>
      <c r="AB157" s="661" t="str">
        <f ca="1">IF(AA85&gt;0,AI85&amp;Language!$E$99&amp;AH85,"")</f>
        <v/>
      </c>
      <c r="AC157" s="763" t="str">
        <f ca="1">IF(AA85&gt;0,AK85&amp;Language!$E$99&amp;AJ85,"")</f>
        <v/>
      </c>
      <c r="AD157" s="737"/>
      <c r="AE157" s="764"/>
      <c r="AF157" s="764"/>
      <c r="AG157" s="764"/>
      <c r="AH157" s="764"/>
    </row>
    <row r="158" spans="25:34" x14ac:dyDescent="0.2">
      <c r="Y158" s="732" t="s">
        <v>37</v>
      </c>
      <c r="Z158" s="735" t="str">
        <f t="shared" ca="1" si="72"/>
        <v/>
      </c>
      <c r="AA158" s="661">
        <f t="shared" ca="1" si="71"/>
        <v>0</v>
      </c>
      <c r="AB158" s="661" t="str">
        <f ca="1">IF(AA86&gt;0,AI86&amp;Language!$E$99&amp;AH86,"")</f>
        <v/>
      </c>
      <c r="AC158" s="763" t="str">
        <f ca="1">IF(AA86&gt;0,AK86&amp;Language!$E$99&amp;AJ86,"")</f>
        <v/>
      </c>
      <c r="AD158" s="737"/>
      <c r="AE158" s="764"/>
      <c r="AF158" s="764"/>
      <c r="AG158" s="764"/>
      <c r="AH158" s="764"/>
    </row>
    <row r="159" spans="25:34" x14ac:dyDescent="0.2">
      <c r="Y159" s="732" t="s">
        <v>38</v>
      </c>
      <c r="Z159" s="735" t="str">
        <f t="shared" ca="1" si="72"/>
        <v/>
      </c>
      <c r="AA159" s="661">
        <f t="shared" ca="1" si="71"/>
        <v>0</v>
      </c>
      <c r="AB159" s="661" t="str">
        <f ca="1">IF(AA87&gt;0,AI87&amp;Language!$E$99&amp;AH87,"")</f>
        <v/>
      </c>
      <c r="AC159" s="763" t="str">
        <f ca="1">IF(AA87&gt;0,AK87&amp;Language!$E$99&amp;AJ87,"")</f>
        <v/>
      </c>
      <c r="AD159" s="737"/>
      <c r="AE159" s="764"/>
      <c r="AF159" s="764"/>
      <c r="AG159" s="764"/>
      <c r="AH159" s="764"/>
    </row>
    <row r="160" spans="25:34" x14ac:dyDescent="0.2">
      <c r="Y160" s="732" t="s">
        <v>39</v>
      </c>
      <c r="Z160" s="735" t="str">
        <f t="shared" ca="1" si="72"/>
        <v/>
      </c>
      <c r="AA160" s="661">
        <f t="shared" ca="1" si="71"/>
        <v>0</v>
      </c>
      <c r="AB160" s="661" t="str">
        <f ca="1">IF(AA88&gt;0,AI88&amp;Language!$E$99&amp;AH88,"")</f>
        <v/>
      </c>
      <c r="AC160" s="763" t="str">
        <f ca="1">IF(AA88&gt;0,AK88&amp;Language!$E$99&amp;AJ88,"")</f>
        <v/>
      </c>
      <c r="AD160" s="737"/>
      <c r="AE160" s="764"/>
      <c r="AF160" s="764"/>
      <c r="AG160" s="764"/>
      <c r="AH160" s="764"/>
    </row>
    <row r="161" spans="25:34" x14ac:dyDescent="0.2">
      <c r="Y161" s="732" t="s">
        <v>40</v>
      </c>
      <c r="Z161" s="735" t="str">
        <f t="shared" ca="1" si="72"/>
        <v/>
      </c>
      <c r="AA161" s="661">
        <f t="shared" ca="1" si="71"/>
        <v>0</v>
      </c>
      <c r="AB161" s="661" t="str">
        <f ca="1">IF(AA89&gt;0,AI89&amp;Language!$E$99&amp;AH89,"")</f>
        <v/>
      </c>
      <c r="AC161" s="763" t="str">
        <f ca="1">IF(AA89&gt;0,AK89&amp;Language!$E$99&amp;AJ89,"")</f>
        <v/>
      </c>
      <c r="AD161" s="737"/>
      <c r="AE161" s="764"/>
      <c r="AF161" s="764"/>
      <c r="AG161" s="764"/>
      <c r="AH161" s="764"/>
    </row>
    <row r="162" spans="25:34" x14ac:dyDescent="0.2">
      <c r="Y162" s="732" t="s">
        <v>41</v>
      </c>
      <c r="Z162" s="735" t="str">
        <f t="shared" ca="1" si="72"/>
        <v/>
      </c>
      <c r="AA162" s="661">
        <f t="shared" ca="1" si="71"/>
        <v>0</v>
      </c>
      <c r="AB162" s="661" t="str">
        <f ca="1">IF(AA90&gt;0,AI90&amp;Language!$E$99&amp;AH90,"")</f>
        <v/>
      </c>
      <c r="AC162" s="763" t="str">
        <f ca="1">IF(AA90&gt;0,AK90&amp;Language!$E$99&amp;AJ90,"")</f>
        <v/>
      </c>
      <c r="AD162" s="737"/>
      <c r="AE162" s="764"/>
      <c r="AF162" s="764"/>
      <c r="AG162" s="764"/>
      <c r="AH162" s="764"/>
    </row>
    <row r="163" spans="25:34" x14ac:dyDescent="0.2">
      <c r="Y163" s="732" t="s">
        <v>42</v>
      </c>
      <c r="Z163" s="735" t="str">
        <f t="shared" ca="1" si="72"/>
        <v/>
      </c>
      <c r="AA163" s="661">
        <f t="shared" ca="1" si="71"/>
        <v>0</v>
      </c>
      <c r="AB163" s="661" t="str">
        <f ca="1">IF(AA91&gt;0,AI91&amp;Language!$E$99&amp;AH91,"")</f>
        <v/>
      </c>
      <c r="AC163" s="763" t="str">
        <f ca="1">IF(AA91&gt;0,AK91&amp;Language!$E$99&amp;AJ91,"")</f>
        <v/>
      </c>
      <c r="AD163" s="737"/>
      <c r="AE163" s="764"/>
      <c r="AF163" s="764"/>
      <c r="AG163" s="764"/>
      <c r="AH163" s="764"/>
    </row>
    <row r="164" spans="25:34" x14ac:dyDescent="0.2">
      <c r="Y164" s="732" t="s">
        <v>43</v>
      </c>
      <c r="Z164" s="735" t="str">
        <f t="shared" ca="1" si="72"/>
        <v/>
      </c>
      <c r="AA164" s="661">
        <f t="shared" ca="1" si="71"/>
        <v>0</v>
      </c>
      <c r="AB164" s="661" t="str">
        <f ca="1">IF(AA92&gt;0,AI92&amp;Language!$E$99&amp;AH92,"")</f>
        <v/>
      </c>
      <c r="AC164" s="763" t="str">
        <f ca="1">IF(AA92&gt;0,AK92&amp;Language!$E$99&amp;AJ92,"")</f>
        <v/>
      </c>
      <c r="AD164" s="737"/>
      <c r="AE164" s="764"/>
      <c r="AF164" s="764"/>
      <c r="AG164" s="764"/>
      <c r="AH164" s="764"/>
    </row>
    <row r="165" spans="25:34" ht="12.75" thickBot="1" x14ac:dyDescent="0.25">
      <c r="Y165" s="732" t="s">
        <v>44</v>
      </c>
      <c r="Z165" s="735" t="str">
        <f t="shared" ca="1" si="72"/>
        <v/>
      </c>
      <c r="AA165" s="661">
        <f t="shared" ca="1" si="71"/>
        <v>0</v>
      </c>
      <c r="AB165" s="661" t="str">
        <f ca="1">IF(AA93&gt;0,AI93&amp;Language!$E$99&amp;AH93,"")</f>
        <v/>
      </c>
      <c r="AC165" s="763" t="str">
        <f ca="1">IF(AA93&gt;0,AK93&amp;Language!$E$99&amp;AJ93,"")</f>
        <v/>
      </c>
      <c r="AD165" s="737"/>
      <c r="AE165" s="764"/>
      <c r="AF165" s="764"/>
      <c r="AG165" s="764"/>
      <c r="AH165" s="764"/>
    </row>
    <row r="166" spans="25:34" ht="12.75" thickTop="1" x14ac:dyDescent="0.2">
      <c r="Y166" s="742" t="s">
        <v>45</v>
      </c>
      <c r="Z166" s="746" t="str">
        <f>""</f>
        <v/>
      </c>
      <c r="AA166" s="744">
        <v>0</v>
      </c>
      <c r="AB166" s="744" t="str">
        <f>""</f>
        <v/>
      </c>
      <c r="AC166" s="765" t="str">
        <f>""</f>
        <v/>
      </c>
      <c r="AD166" s="737"/>
      <c r="AE166" s="764"/>
      <c r="AF166" s="764"/>
      <c r="AG166" s="764"/>
      <c r="AH166" s="764"/>
    </row>
    <row r="167" spans="25:34" x14ac:dyDescent="0.2">
      <c r="Y167" s="732" t="s">
        <v>46</v>
      </c>
      <c r="Z167" s="735" t="str">
        <f>""</f>
        <v/>
      </c>
      <c r="AA167" s="661">
        <v>0</v>
      </c>
      <c r="AB167" s="661" t="str">
        <f>""</f>
        <v/>
      </c>
      <c r="AC167" s="763" t="str">
        <f>""</f>
        <v/>
      </c>
      <c r="AD167" s="737"/>
      <c r="AE167" s="764"/>
      <c r="AF167" s="764"/>
      <c r="AG167" s="764"/>
      <c r="AH167" s="764"/>
    </row>
    <row r="168" spans="25:34" x14ac:dyDescent="0.2">
      <c r="Y168" s="732" t="s">
        <v>47</v>
      </c>
      <c r="Z168" s="735" t="str">
        <f>""</f>
        <v/>
      </c>
      <c r="AA168" s="661">
        <v>0</v>
      </c>
      <c r="AB168" s="661" t="str">
        <f>""</f>
        <v/>
      </c>
      <c r="AC168" s="763" t="str">
        <f>""</f>
        <v/>
      </c>
      <c r="AD168" s="737"/>
      <c r="AE168" s="764"/>
      <c r="AF168" s="764"/>
      <c r="AG168" s="764"/>
      <c r="AH168" s="764"/>
    </row>
    <row r="169" spans="25:34" x14ac:dyDescent="0.2">
      <c r="Y169" s="732" t="s">
        <v>48</v>
      </c>
      <c r="Z169" s="735" t="str">
        <f>""</f>
        <v/>
      </c>
      <c r="AA169" s="661">
        <v>0</v>
      </c>
      <c r="AB169" s="661" t="str">
        <f>""</f>
        <v/>
      </c>
      <c r="AC169" s="763" t="str">
        <f>""</f>
        <v/>
      </c>
      <c r="AD169" s="737"/>
      <c r="AE169" s="764"/>
      <c r="AF169" s="764"/>
      <c r="AG169" s="764"/>
      <c r="AH169" s="764"/>
    </row>
    <row r="170" spans="25:34" x14ac:dyDescent="0.2">
      <c r="Y170" s="732" t="s">
        <v>49</v>
      </c>
      <c r="Z170" s="735" t="str">
        <f>""</f>
        <v/>
      </c>
      <c r="AA170" s="661">
        <v>0</v>
      </c>
      <c r="AB170" s="661" t="str">
        <f>""</f>
        <v/>
      </c>
      <c r="AC170" s="763" t="str">
        <f>""</f>
        <v/>
      </c>
      <c r="AD170" s="737"/>
      <c r="AE170" s="764"/>
      <c r="AF170" s="764"/>
      <c r="AG170" s="764"/>
      <c r="AH170" s="764"/>
    </row>
    <row r="171" spans="25:34" x14ac:dyDescent="0.2">
      <c r="Y171" s="732" t="s">
        <v>50</v>
      </c>
      <c r="Z171" s="735" t="str">
        <f>""</f>
        <v/>
      </c>
      <c r="AA171" s="661">
        <v>0</v>
      </c>
      <c r="AB171" s="661" t="str">
        <f>""</f>
        <v/>
      </c>
      <c r="AC171" s="763" t="str">
        <f>""</f>
        <v/>
      </c>
      <c r="AD171" s="737"/>
      <c r="AE171" s="764"/>
      <c r="AF171" s="764"/>
      <c r="AG171" s="764"/>
      <c r="AH171" s="764"/>
    </row>
    <row r="172" spans="25:34" x14ac:dyDescent="0.2">
      <c r="Y172" s="732" t="s">
        <v>58</v>
      </c>
      <c r="Z172" s="735" t="str">
        <f>""</f>
        <v/>
      </c>
      <c r="AA172" s="661">
        <v>0</v>
      </c>
      <c r="AB172" s="661" t="str">
        <f>""</f>
        <v/>
      </c>
      <c r="AC172" s="763" t="str">
        <f>""</f>
        <v/>
      </c>
      <c r="AD172" s="737"/>
      <c r="AE172" s="764"/>
      <c r="AF172" s="764"/>
      <c r="AG172" s="764"/>
      <c r="AH172" s="764"/>
    </row>
    <row r="173" spans="25:34" x14ac:dyDescent="0.2">
      <c r="Y173" s="732" t="s">
        <v>59</v>
      </c>
      <c r="Z173" s="735" t="str">
        <f>""</f>
        <v/>
      </c>
      <c r="AA173" s="661">
        <v>0</v>
      </c>
      <c r="AB173" s="661" t="str">
        <f>""</f>
        <v/>
      </c>
      <c r="AC173" s="763" t="str">
        <f>""</f>
        <v/>
      </c>
      <c r="AD173" s="737"/>
      <c r="AE173" s="764"/>
      <c r="AF173" s="764"/>
      <c r="AG173" s="764"/>
      <c r="AH173" s="764"/>
    </row>
    <row r="174" spans="25:34" x14ac:dyDescent="0.2">
      <c r="Y174" s="732" t="s">
        <v>60</v>
      </c>
      <c r="Z174" s="735" t="str">
        <f>""</f>
        <v/>
      </c>
      <c r="AA174" s="661">
        <v>0</v>
      </c>
      <c r="AB174" s="661" t="str">
        <f>""</f>
        <v/>
      </c>
      <c r="AC174" s="763" t="str">
        <f>""</f>
        <v/>
      </c>
      <c r="AD174" s="737"/>
      <c r="AE174" s="764"/>
      <c r="AF174" s="764"/>
      <c r="AG174" s="764"/>
      <c r="AH174" s="764"/>
    </row>
    <row r="175" spans="25:34" x14ac:dyDescent="0.2">
      <c r="Y175" s="732" t="s">
        <v>61</v>
      </c>
      <c r="Z175" s="735" t="str">
        <f>""</f>
        <v/>
      </c>
      <c r="AA175" s="661">
        <v>0</v>
      </c>
      <c r="AB175" s="661" t="str">
        <f>""</f>
        <v/>
      </c>
      <c r="AC175" s="763" t="str">
        <f>""</f>
        <v/>
      </c>
      <c r="AD175" s="737"/>
      <c r="AE175" s="764"/>
      <c r="AF175" s="764"/>
      <c r="AG175" s="764"/>
      <c r="AH175" s="764"/>
    </row>
    <row r="176" spans="25:34" x14ac:dyDescent="0.2">
      <c r="Y176" s="732" t="s">
        <v>62</v>
      </c>
      <c r="Z176" s="735" t="str">
        <f>""</f>
        <v/>
      </c>
      <c r="AA176" s="661">
        <v>0</v>
      </c>
      <c r="AB176" s="661" t="str">
        <f>""</f>
        <v/>
      </c>
      <c r="AC176" s="763" t="str">
        <f>""</f>
        <v/>
      </c>
      <c r="AD176" s="737"/>
      <c r="AE176" s="764"/>
      <c r="AF176" s="764"/>
      <c r="AG176" s="764"/>
      <c r="AH176" s="764"/>
    </row>
    <row r="177" spans="25:34" x14ac:dyDescent="0.2">
      <c r="Y177" s="732" t="s">
        <v>63</v>
      </c>
      <c r="Z177" s="735" t="str">
        <f>""</f>
        <v/>
      </c>
      <c r="AA177" s="661">
        <v>0</v>
      </c>
      <c r="AB177" s="661" t="str">
        <f>""</f>
        <v/>
      </c>
      <c r="AC177" s="763" t="str">
        <f>""</f>
        <v/>
      </c>
      <c r="AD177" s="737"/>
      <c r="AE177" s="764"/>
      <c r="AF177" s="764"/>
      <c r="AG177" s="764"/>
      <c r="AH177" s="764"/>
    </row>
    <row r="178" spans="25:34" x14ac:dyDescent="0.2">
      <c r="Y178" s="732" t="s">
        <v>64</v>
      </c>
      <c r="Z178" s="735" t="str">
        <f>""</f>
        <v/>
      </c>
      <c r="AA178" s="661">
        <v>0</v>
      </c>
      <c r="AB178" s="661" t="str">
        <f>""</f>
        <v/>
      </c>
      <c r="AC178" s="763" t="str">
        <f>""</f>
        <v/>
      </c>
      <c r="AD178" s="737"/>
      <c r="AE178" s="764"/>
      <c r="AF178" s="764"/>
      <c r="AG178" s="764"/>
      <c r="AH178" s="764"/>
    </row>
    <row r="179" spans="25:34" x14ac:dyDescent="0.2">
      <c r="Y179" s="732" t="s">
        <v>65</v>
      </c>
      <c r="Z179" s="735" t="str">
        <f>""</f>
        <v/>
      </c>
      <c r="AA179" s="661">
        <v>0</v>
      </c>
      <c r="AB179" s="661" t="str">
        <f>""</f>
        <v/>
      </c>
      <c r="AC179" s="763" t="str">
        <f>""</f>
        <v/>
      </c>
      <c r="AD179" s="737"/>
      <c r="AE179" s="764"/>
      <c r="AF179" s="764"/>
      <c r="AG179" s="764"/>
      <c r="AH179" s="764"/>
    </row>
    <row r="180" spans="25:34" x14ac:dyDescent="0.2">
      <c r="Y180" s="732" t="s">
        <v>66</v>
      </c>
      <c r="Z180" s="735" t="str">
        <f>""</f>
        <v/>
      </c>
      <c r="AA180" s="661">
        <v>0</v>
      </c>
      <c r="AB180" s="661" t="str">
        <f>""</f>
        <v/>
      </c>
      <c r="AC180" s="763" t="str">
        <f>""</f>
        <v/>
      </c>
      <c r="AD180" s="737"/>
      <c r="AE180" s="764"/>
      <c r="AF180" s="764"/>
      <c r="AG180" s="764"/>
      <c r="AH180" s="764"/>
    </row>
    <row r="181" spans="25:34" x14ac:dyDescent="0.2">
      <c r="Y181" s="732" t="s">
        <v>67</v>
      </c>
      <c r="Z181" s="735" t="str">
        <f>""</f>
        <v/>
      </c>
      <c r="AA181" s="661">
        <v>0</v>
      </c>
      <c r="AB181" s="661" t="str">
        <f>""</f>
        <v/>
      </c>
      <c r="AC181" s="763" t="str">
        <f>""</f>
        <v/>
      </c>
      <c r="AD181" s="737"/>
      <c r="AE181" s="764"/>
      <c r="AF181" s="764"/>
      <c r="AG181" s="764"/>
      <c r="AH181" s="764"/>
    </row>
    <row r="182" spans="25:34" x14ac:dyDescent="0.2">
      <c r="Y182" s="732" t="s">
        <v>68</v>
      </c>
      <c r="Z182" s="735" t="str">
        <f>""</f>
        <v/>
      </c>
      <c r="AA182" s="661">
        <v>0</v>
      </c>
      <c r="AB182" s="661" t="str">
        <f>""</f>
        <v/>
      </c>
      <c r="AC182" s="763" t="str">
        <f>""</f>
        <v/>
      </c>
      <c r="AD182" s="737"/>
      <c r="AE182" s="764"/>
      <c r="AF182" s="764"/>
      <c r="AG182" s="764"/>
      <c r="AH182" s="764"/>
    </row>
    <row r="183" spans="25:34" x14ac:dyDescent="0.2">
      <c r="Y183" s="732" t="s">
        <v>69</v>
      </c>
      <c r="Z183" s="735" t="str">
        <f>""</f>
        <v/>
      </c>
      <c r="AA183" s="661">
        <v>0</v>
      </c>
      <c r="AB183" s="661" t="str">
        <f>""</f>
        <v/>
      </c>
      <c r="AC183" s="763" t="str">
        <f>""</f>
        <v/>
      </c>
      <c r="AD183" s="737"/>
      <c r="AE183" s="764"/>
      <c r="AF183" s="764"/>
      <c r="AG183" s="764"/>
      <c r="AH183" s="764"/>
    </row>
    <row r="184" spans="25:34" x14ac:dyDescent="0.2">
      <c r="Y184" s="732" t="s">
        <v>70</v>
      </c>
      <c r="Z184" s="735" t="str">
        <f>""</f>
        <v/>
      </c>
      <c r="AA184" s="661">
        <v>0</v>
      </c>
      <c r="AB184" s="661" t="str">
        <f>""</f>
        <v/>
      </c>
      <c r="AC184" s="763" t="str">
        <f>""</f>
        <v/>
      </c>
      <c r="AD184" s="737"/>
      <c r="AE184" s="764"/>
      <c r="AF184" s="764"/>
      <c r="AG184" s="764"/>
      <c r="AH184" s="764"/>
    </row>
    <row r="185" spans="25:34" x14ac:dyDescent="0.2">
      <c r="Y185" s="732" t="s">
        <v>71</v>
      </c>
      <c r="Z185" s="735" t="str">
        <f>""</f>
        <v/>
      </c>
      <c r="AA185" s="661">
        <v>0</v>
      </c>
      <c r="AB185" s="661" t="str">
        <f>""</f>
        <v/>
      </c>
      <c r="AC185" s="763" t="str">
        <f>""</f>
        <v/>
      </c>
      <c r="AD185" s="737"/>
      <c r="AE185" s="764"/>
      <c r="AF185" s="764"/>
      <c r="AG185" s="764"/>
      <c r="AH185" s="764"/>
    </row>
    <row r="186" spans="25:34" x14ac:dyDescent="0.2">
      <c r="Y186" s="732" t="s">
        <v>72</v>
      </c>
      <c r="Z186" s="735" t="str">
        <f>""</f>
        <v/>
      </c>
      <c r="AA186" s="661">
        <v>0</v>
      </c>
      <c r="AB186" s="661" t="str">
        <f>""</f>
        <v/>
      </c>
      <c r="AC186" s="763" t="str">
        <f>""</f>
        <v/>
      </c>
      <c r="AD186" s="737"/>
      <c r="AE186" s="764"/>
      <c r="AF186" s="764"/>
      <c r="AG186" s="764"/>
      <c r="AH186" s="764"/>
    </row>
    <row r="187" spans="25:34" x14ac:dyDescent="0.2">
      <c r="Y187" s="732" t="s">
        <v>73</v>
      </c>
      <c r="Z187" s="735" t="str">
        <f>""</f>
        <v/>
      </c>
      <c r="AA187" s="661">
        <v>0</v>
      </c>
      <c r="AB187" s="661" t="str">
        <f>""</f>
        <v/>
      </c>
      <c r="AC187" s="763" t="str">
        <f>""</f>
        <v/>
      </c>
      <c r="AD187" s="737"/>
      <c r="AE187" s="764"/>
      <c r="AF187" s="764"/>
      <c r="AG187" s="764"/>
      <c r="AH187" s="764"/>
    </row>
    <row r="188" spans="25:34" x14ac:dyDescent="0.2">
      <c r="Y188" s="732" t="s">
        <v>74</v>
      </c>
      <c r="Z188" s="735" t="str">
        <f>""</f>
        <v/>
      </c>
      <c r="AA188" s="661">
        <v>0</v>
      </c>
      <c r="AB188" s="661" t="str">
        <f>""</f>
        <v/>
      </c>
      <c r="AC188" s="763" t="str">
        <f>""</f>
        <v/>
      </c>
      <c r="AD188" s="737"/>
      <c r="AE188" s="764"/>
      <c r="AF188" s="764"/>
      <c r="AG188" s="764"/>
      <c r="AH188" s="764"/>
    </row>
    <row r="189" spans="25:34" x14ac:dyDescent="0.2">
      <c r="Y189" s="732" t="s">
        <v>75</v>
      </c>
      <c r="Z189" s="735" t="str">
        <f>""</f>
        <v/>
      </c>
      <c r="AA189" s="661">
        <v>0</v>
      </c>
      <c r="AB189" s="661" t="str">
        <f>""</f>
        <v/>
      </c>
      <c r="AC189" s="763" t="str">
        <f>""</f>
        <v/>
      </c>
      <c r="AD189" s="737"/>
      <c r="AE189" s="764"/>
      <c r="AF189" s="764"/>
      <c r="AG189" s="764"/>
      <c r="AH189" s="764"/>
    </row>
    <row r="190" spans="25:34" x14ac:dyDescent="0.2">
      <c r="Y190" s="732" t="s">
        <v>76</v>
      </c>
      <c r="Z190" s="735" t="str">
        <f>""</f>
        <v/>
      </c>
      <c r="AA190" s="661">
        <v>0</v>
      </c>
      <c r="AB190" s="661" t="str">
        <f>""</f>
        <v/>
      </c>
      <c r="AC190" s="763" t="str">
        <f>""</f>
        <v/>
      </c>
      <c r="AD190" s="737"/>
      <c r="AE190" s="764"/>
      <c r="AF190" s="764"/>
      <c r="AG190" s="764"/>
      <c r="AH190" s="764"/>
    </row>
    <row r="191" spans="25:34" x14ac:dyDescent="0.2">
      <c r="Y191" s="732" t="s">
        <v>77</v>
      </c>
      <c r="Z191" s="735" t="str">
        <f>""</f>
        <v/>
      </c>
      <c r="AA191" s="661">
        <v>0</v>
      </c>
      <c r="AB191" s="661" t="str">
        <f>""</f>
        <v/>
      </c>
      <c r="AC191" s="763" t="str">
        <f>""</f>
        <v/>
      </c>
      <c r="AD191" s="737"/>
      <c r="AE191" s="764"/>
      <c r="AF191" s="764"/>
      <c r="AG191" s="764"/>
      <c r="AH191" s="764"/>
    </row>
    <row r="192" spans="25:34" x14ac:dyDescent="0.2">
      <c r="Y192" s="732" t="s">
        <v>78</v>
      </c>
      <c r="Z192" s="735" t="str">
        <f>""</f>
        <v/>
      </c>
      <c r="AA192" s="661">
        <v>0</v>
      </c>
      <c r="AB192" s="661" t="str">
        <f>""</f>
        <v/>
      </c>
      <c r="AC192" s="763" t="str">
        <f>""</f>
        <v/>
      </c>
      <c r="AD192" s="737"/>
      <c r="AE192" s="764"/>
      <c r="AF192" s="764"/>
      <c r="AG192" s="764"/>
      <c r="AH192" s="764"/>
    </row>
    <row r="193" spans="25:34" x14ac:dyDescent="0.2">
      <c r="Y193" s="732" t="s">
        <v>79</v>
      </c>
      <c r="Z193" s="735" t="str">
        <f>""</f>
        <v/>
      </c>
      <c r="AA193" s="661">
        <v>0</v>
      </c>
      <c r="AB193" s="661" t="str">
        <f>""</f>
        <v/>
      </c>
      <c r="AC193" s="763" t="str">
        <f>""</f>
        <v/>
      </c>
      <c r="AD193" s="737"/>
      <c r="AE193" s="764"/>
      <c r="AF193" s="764"/>
      <c r="AG193" s="764"/>
      <c r="AH193" s="764"/>
    </row>
    <row r="194" spans="25:34" x14ac:dyDescent="0.2">
      <c r="Y194" s="732" t="s">
        <v>80</v>
      </c>
      <c r="Z194" s="735" t="str">
        <f>""</f>
        <v/>
      </c>
      <c r="AA194" s="661">
        <v>0</v>
      </c>
      <c r="AB194" s="661" t="str">
        <f>""</f>
        <v/>
      </c>
      <c r="AC194" s="763" t="str">
        <f>""</f>
        <v/>
      </c>
      <c r="AD194" s="737"/>
      <c r="AE194" s="764"/>
      <c r="AF194" s="764"/>
      <c r="AG194" s="764"/>
      <c r="AH194" s="764"/>
    </row>
    <row r="195" spans="25:34" ht="12.75" thickBot="1" x14ac:dyDescent="0.25">
      <c r="Y195" s="732" t="s">
        <v>81</v>
      </c>
      <c r="Z195" s="735" t="str">
        <f>""</f>
        <v/>
      </c>
      <c r="AA195" s="661">
        <v>0</v>
      </c>
      <c r="AB195" s="661" t="str">
        <f>""</f>
        <v/>
      </c>
      <c r="AC195" s="763" t="str">
        <f>""</f>
        <v/>
      </c>
      <c r="AD195" s="737"/>
      <c r="AE195" s="764"/>
      <c r="AF195" s="764"/>
      <c r="AG195" s="764"/>
      <c r="AH195" s="764"/>
    </row>
    <row r="196" spans="25:34" ht="12.75" thickTop="1" x14ac:dyDescent="0.2">
      <c r="Y196" s="742" t="s">
        <v>82</v>
      </c>
      <c r="Z196" s="746" t="str">
        <f>""</f>
        <v/>
      </c>
      <c r="AA196" s="744">
        <v>0</v>
      </c>
      <c r="AB196" s="744" t="str">
        <f>""</f>
        <v/>
      </c>
      <c r="AC196" s="765"/>
      <c r="AD196" s="737"/>
      <c r="AE196" s="661"/>
      <c r="AF196" s="661"/>
      <c r="AG196" s="661"/>
      <c r="AH196" s="661"/>
    </row>
    <row r="197" spans="25:34" x14ac:dyDescent="0.2">
      <c r="Y197" s="732" t="s">
        <v>83</v>
      </c>
      <c r="Z197" s="735" t="str">
        <f>""</f>
        <v/>
      </c>
      <c r="AA197" s="661">
        <v>0</v>
      </c>
      <c r="AB197" s="661" t="str">
        <f>""</f>
        <v/>
      </c>
      <c r="AC197" s="766"/>
      <c r="AD197" s="737"/>
      <c r="AE197" s="764"/>
      <c r="AF197" s="764"/>
      <c r="AG197" s="764"/>
      <c r="AH197" s="764"/>
    </row>
    <row r="198" spans="25:34" x14ac:dyDescent="0.2">
      <c r="Y198" s="732" t="s">
        <v>84</v>
      </c>
      <c r="Z198" s="735" t="str">
        <f>""</f>
        <v/>
      </c>
      <c r="AA198" s="661">
        <v>0</v>
      </c>
      <c r="AB198" s="661" t="str">
        <f>""</f>
        <v/>
      </c>
      <c r="AC198" s="766"/>
      <c r="AD198" s="737"/>
      <c r="AE198" s="764"/>
      <c r="AF198" s="764"/>
      <c r="AG198" s="764"/>
      <c r="AH198" s="764"/>
    </row>
    <row r="199" spans="25:34" x14ac:dyDescent="0.2">
      <c r="Y199" s="732" t="s">
        <v>85</v>
      </c>
      <c r="Z199" s="735" t="str">
        <f>""</f>
        <v/>
      </c>
      <c r="AA199" s="661">
        <v>0</v>
      </c>
      <c r="AB199" s="661" t="str">
        <f>""</f>
        <v/>
      </c>
      <c r="AC199" s="766"/>
      <c r="AD199" s="737"/>
      <c r="AE199" s="764"/>
      <c r="AF199" s="764"/>
      <c r="AG199" s="764"/>
      <c r="AH199" s="764"/>
    </row>
    <row r="200" spans="25:34" x14ac:dyDescent="0.2">
      <c r="Y200" s="732" t="s">
        <v>86</v>
      </c>
      <c r="Z200" s="735" t="str">
        <f>""</f>
        <v/>
      </c>
      <c r="AA200" s="661">
        <v>0</v>
      </c>
      <c r="AB200" s="661" t="str">
        <f>""</f>
        <v/>
      </c>
      <c r="AC200" s="766"/>
      <c r="AD200" s="737"/>
      <c r="AE200" s="764"/>
      <c r="AF200" s="764"/>
      <c r="AG200" s="764"/>
      <c r="AH200" s="764"/>
    </row>
    <row r="201" spans="25:34" x14ac:dyDescent="0.2">
      <c r="Y201" s="732" t="s">
        <v>87</v>
      </c>
      <c r="Z201" s="735" t="str">
        <f>""</f>
        <v/>
      </c>
      <c r="AA201" s="661">
        <v>0</v>
      </c>
      <c r="AB201" s="661" t="str">
        <f>""</f>
        <v/>
      </c>
      <c r="AC201" s="766"/>
      <c r="AD201" s="737"/>
      <c r="AE201" s="764"/>
      <c r="AF201" s="764"/>
      <c r="AG201" s="764"/>
      <c r="AH201" s="764"/>
    </row>
    <row r="202" spans="25:34" x14ac:dyDescent="0.2">
      <c r="Y202" s="732" t="s">
        <v>88</v>
      </c>
      <c r="Z202" s="735" t="str">
        <f>""</f>
        <v/>
      </c>
      <c r="AA202" s="661">
        <v>0</v>
      </c>
      <c r="AB202" s="661" t="str">
        <f>""</f>
        <v/>
      </c>
      <c r="AC202" s="766"/>
      <c r="AD202" s="737"/>
      <c r="AE202" s="764"/>
      <c r="AF202" s="764"/>
      <c r="AG202" s="764"/>
      <c r="AH202" s="764"/>
    </row>
    <row r="203" spans="25:34" x14ac:dyDescent="0.2">
      <c r="Y203" s="732" t="s">
        <v>89</v>
      </c>
      <c r="Z203" s="735" t="str">
        <f>""</f>
        <v/>
      </c>
      <c r="AA203" s="661">
        <v>0</v>
      </c>
      <c r="AB203" s="661" t="str">
        <f>""</f>
        <v/>
      </c>
      <c r="AC203" s="766"/>
      <c r="AD203" s="737"/>
      <c r="AE203" s="764"/>
      <c r="AF203" s="764"/>
      <c r="AG203" s="764"/>
      <c r="AH203" s="764"/>
    </row>
    <row r="204" spans="25:34" x14ac:dyDescent="0.2">
      <c r="Y204" s="732" t="s">
        <v>90</v>
      </c>
      <c r="Z204" s="735" t="str">
        <f>""</f>
        <v/>
      </c>
      <c r="AA204" s="661">
        <v>0</v>
      </c>
      <c r="AB204" s="661" t="str">
        <f>""</f>
        <v/>
      </c>
      <c r="AC204" s="766"/>
      <c r="AD204" s="737"/>
      <c r="AE204" s="764"/>
      <c r="AF204" s="764"/>
      <c r="AG204" s="764"/>
      <c r="AH204" s="764"/>
    </row>
    <row r="205" spans="25:34" x14ac:dyDescent="0.2">
      <c r="Y205" s="732" t="s">
        <v>91</v>
      </c>
      <c r="Z205" s="735" t="str">
        <f>""</f>
        <v/>
      </c>
      <c r="AA205" s="661">
        <v>0</v>
      </c>
      <c r="AB205" s="661" t="str">
        <f>""</f>
        <v/>
      </c>
      <c r="AC205" s="766"/>
      <c r="AD205" s="737"/>
      <c r="AE205" s="764"/>
      <c r="AF205" s="764"/>
      <c r="AG205" s="764"/>
      <c r="AH205" s="764"/>
    </row>
    <row r="206" spans="25:34" x14ac:dyDescent="0.2">
      <c r="Y206" s="732" t="s">
        <v>92</v>
      </c>
      <c r="Z206" s="735" t="str">
        <f>""</f>
        <v/>
      </c>
      <c r="AA206" s="661">
        <v>0</v>
      </c>
      <c r="AB206" s="661" t="str">
        <f>""</f>
        <v/>
      </c>
      <c r="AC206" s="766"/>
      <c r="AD206" s="737"/>
      <c r="AE206" s="764"/>
      <c r="AF206" s="764"/>
      <c r="AG206" s="764"/>
      <c r="AH206" s="764"/>
    </row>
    <row r="207" spans="25:34" ht="12.75" thickBot="1" x14ac:dyDescent="0.25">
      <c r="Y207" s="751" t="s">
        <v>93</v>
      </c>
      <c r="Z207" s="767" t="str">
        <f>""</f>
        <v/>
      </c>
      <c r="AA207" s="753">
        <v>0</v>
      </c>
      <c r="AB207" s="755" t="str">
        <f>""</f>
        <v/>
      </c>
      <c r="AC207" s="768"/>
      <c r="AD207" s="737"/>
      <c r="AE207" s="764"/>
      <c r="AF207" s="764"/>
      <c r="AG207" s="764"/>
      <c r="AH207" s="764"/>
    </row>
    <row r="208" spans="25:34" ht="12.75" thickTop="1" x14ac:dyDescent="0.2"/>
  </sheetData>
  <mergeCells count="18">
    <mergeCell ref="AS29:AZ29"/>
    <mergeCell ref="BA29:BH29"/>
    <mergeCell ref="BI29:BP29"/>
    <mergeCell ref="X63:Y63"/>
    <mergeCell ref="AD63:AE63"/>
    <mergeCell ref="AF63:AG63"/>
    <mergeCell ref="AH63:AI63"/>
    <mergeCell ref="AJ63:AK63"/>
    <mergeCell ref="AL63:AM63"/>
    <mergeCell ref="W3:AA3"/>
    <mergeCell ref="AB3:AF3"/>
    <mergeCell ref="AG3:AK3"/>
    <mergeCell ref="AL3:AP3"/>
    <mergeCell ref="E29:L29"/>
    <mergeCell ref="M29:T29"/>
    <mergeCell ref="U29:AB29"/>
    <mergeCell ref="AC29:AJ29"/>
    <mergeCell ref="AK29:AR29"/>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923E-DE65-4562-9D16-4BB3B2FB7E1B}">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28515625" style="2" customWidth="1"/>
    <col min="8" max="9" width="6.42578125" style="2" customWidth="1"/>
    <col min="10" max="10" width="8.28515625" style="2" customWidth="1"/>
    <col min="11" max="11" width="7.42578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387</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10" t="s">
        <v>388</v>
      </c>
      <c r="J3" s="666" t="s">
        <v>108</v>
      </c>
      <c r="K3" s="710" t="s">
        <v>101</v>
      </c>
      <c r="L3" s="666" t="s">
        <v>102</v>
      </c>
      <c r="M3" s="666" t="s">
        <v>103</v>
      </c>
      <c r="N3" s="666" t="s">
        <v>104</v>
      </c>
      <c r="O3" s="667">
        <f t="shared" ref="O3:V3" ca="1" si="0">IF(9-COUNTIF(O$17:O$25,"")&gt;1,O$16,99999)</f>
        <v>99999</v>
      </c>
      <c r="P3" s="668">
        <f t="shared" ca="1" si="0"/>
        <v>99999</v>
      </c>
      <c r="Q3" s="668">
        <f t="shared" ca="1" si="0"/>
        <v>99999</v>
      </c>
      <c r="R3" s="668">
        <f t="shared" ca="1" si="0"/>
        <v>99999</v>
      </c>
      <c r="S3" s="668">
        <f t="shared" ca="1" si="0"/>
        <v>99999</v>
      </c>
      <c r="T3" s="668">
        <f t="shared" ca="1" si="0"/>
        <v>99999</v>
      </c>
      <c r="U3" s="668">
        <f t="shared" ca="1" si="0"/>
        <v>99999</v>
      </c>
      <c r="V3" s="668">
        <f t="shared" ca="1" si="0"/>
        <v>99999</v>
      </c>
      <c r="W3" s="1029">
        <f ca="1">IF($O$4&lt;10,$O$4,0)</f>
        <v>0</v>
      </c>
      <c r="X3" s="1030"/>
      <c r="Y3" s="1030"/>
      <c r="Z3" s="1030"/>
      <c r="AA3" s="1030"/>
      <c r="AB3" s="1029">
        <f ca="1">IF($P$4&lt;10,$P$4,0)</f>
        <v>0</v>
      </c>
      <c r="AC3" s="1030"/>
      <c r="AD3" s="1030"/>
      <c r="AE3" s="1030"/>
      <c r="AF3" s="1030"/>
      <c r="AG3" s="1029">
        <f ca="1">IF($Q$4&lt;10,$Q$4,0)</f>
        <v>0</v>
      </c>
      <c r="AH3" s="1030"/>
      <c r="AI3" s="1030"/>
      <c r="AJ3" s="1030"/>
      <c r="AK3" s="1030"/>
      <c r="AL3" s="1029">
        <f ca="1">IF($R$4&lt;10,$R$4,0)</f>
        <v>0</v>
      </c>
      <c r="AM3" s="1030"/>
      <c r="AN3" s="1030"/>
      <c r="AO3" s="1030"/>
      <c r="AP3" s="1030"/>
      <c r="AQ3" s="660"/>
      <c r="AR3" s="660"/>
      <c r="AS3" s="666" t="s">
        <v>358</v>
      </c>
      <c r="AT3" s="666" t="s">
        <v>317</v>
      </c>
      <c r="AU3" s="666" t="s">
        <v>389</v>
      </c>
      <c r="AV3" s="666" t="s">
        <v>357</v>
      </c>
      <c r="AW3" s="666"/>
      <c r="AX3" s="666" t="s">
        <v>390</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5</v>
      </c>
      <c r="D4" s="661">
        <f ca="1">E4+ROW()/1000+(F4="")*10</f>
        <v>5.0039999999999996</v>
      </c>
      <c r="E4" s="671">
        <f ca="1">IF($AI$15,RANK(AH17,AH$17:AH$25,1),RANK(X17,X$17:X$25,1))</f>
        <v>5</v>
      </c>
      <c r="F4" s="662" t="str">
        <f>$Q64</f>
        <v>Mainz 05</v>
      </c>
      <c r="G4" s="662">
        <f ca="1">SUMIFS($AH$64:$AH$135,$V$64:$V$135,$F4)+SUMIFS($AI$64:$AI$135,$W$64:$W$135,$F4)</f>
        <v>161</v>
      </c>
      <c r="H4" s="662">
        <f ca="1">SUMIFS($AI$64:$AI$135,$V$64:$V$135,$F4)+SUMIFS($AH$64:$AH$135,$W$64:$W$135,$F4)</f>
        <v>182</v>
      </c>
      <c r="I4" s="661">
        <f ca="1">IF(Settings!$G$24,G4-H4,IF(H4=0,IF(G4=0,0,Settings!$F$24),G4/H4))</f>
        <v>0.88461538461538458</v>
      </c>
      <c r="J4" s="662">
        <f ca="1">$L4*Settings!$C$4+$M4</f>
        <v>3</v>
      </c>
      <c r="K4" s="662">
        <f ca="1">SUMPRODUCT(($V$64:$V$135=F4)*($AJ$64:$AJ$135&lt;&gt;"")*$AA$64:$AA$135)+SUMPRODUCT(($W$64:$W$135=F4)*($AK$64:$AK$135&lt;&gt;"")*$AA$64:$AA$135)</f>
        <v>4</v>
      </c>
      <c r="L4" s="662">
        <f ca="1">SUMPRODUCT(($V$64:$V$135=F4)*($AJ$64:$AJ$135&gt;$AK$64:$AK$135)*$AA$64:$AA$135)+SUMPRODUCT(($W$64:$W$135=F4)*($AJ$64:$AJ$135&lt;$AK$64:$AK$135)*$AA$64:$AA$135)</f>
        <v>1</v>
      </c>
      <c r="M4" s="662">
        <f t="shared" ref="M4:M12" ca="1" si="1">SUMPRODUCT(($V$64:$W$135=F4)*($AJ$64:$AJ$135=$AK$64:$AK$135)*$AA$64:$AA$135)</f>
        <v>1</v>
      </c>
      <c r="N4" s="662">
        <f ca="1">K4-L4-M4</f>
        <v>2</v>
      </c>
      <c r="O4" s="672">
        <f ca="1">SMALL($O$3:$V$3,1)</f>
        <v>99999</v>
      </c>
      <c r="P4" s="672">
        <f ca="1">SMALL($O$3:$V$3,2)</f>
        <v>99999</v>
      </c>
      <c r="Q4" s="672">
        <f ca="1">SMALL($O$3:$V$3,3)</f>
        <v>99999</v>
      </c>
      <c r="R4" s="672">
        <f ca="1">SMALL($O$3:$V$3,4)</f>
        <v>99999</v>
      </c>
      <c r="S4" s="660"/>
      <c r="T4" s="660"/>
      <c r="U4" s="660"/>
      <c r="V4" s="662"/>
      <c r="W4" s="450" t="str">
        <f ca="1">IFERROR(INDEX($O$17:$V$25,ROW(A1),$W$3),"")</f>
        <v/>
      </c>
      <c r="X4" s="451" t="str">
        <f ca="1">INDEX($W$4:$W$12,MATCH(ROW(A1),$AA$4:$AA$12,0))</f>
        <v/>
      </c>
      <c r="Y4" s="452">
        <f ca="1">IF($W4="",99999,VLOOKUP($W4,$C$17:$Z$25,24,0))</f>
        <v>99999</v>
      </c>
      <c r="Z4" s="453">
        <f ca="1">RANK(Y4,Y$4:Y$12,1)+INDEX($E$4:$E$12,MATCH(W4,$F$4:$F$12,0))/100+ROW()/10000</f>
        <v>1.0604</v>
      </c>
      <c r="AA4" s="454">
        <f ca="1">RANK($Z4,$Z$4:$Z$12,1)</f>
        <v>1</v>
      </c>
      <c r="AB4" s="455" t="str">
        <f t="shared" ref="AB4:AB12" ca="1" si="2">IFERROR(INDEX($O$17:$V$25,ROW(A1),$AB$3),"")</f>
        <v/>
      </c>
      <c r="AC4" s="456" t="str">
        <f ca="1">INDEX($AB$4:$AB$12,MATCH(ROW(A1),$AF$4:$AF$12,0))</f>
        <v/>
      </c>
      <c r="AD4" s="457">
        <f ca="1">IF($AB4="",99999,VLOOKUP($AB4,$C$17:$Z$25,24,0))</f>
        <v>99999</v>
      </c>
      <c r="AE4" s="453">
        <f ca="1">RANK(AD4,AD$4:AD$12,1)+INDEX($E$4:$E$12,MATCH(AB4,$F$4:$F$12,0))/100+ROW()/10000</f>
        <v>1.0604</v>
      </c>
      <c r="AF4" s="453">
        <f ca="1">RANK($AE4,$AE$4:$AE$12,1)</f>
        <v>1</v>
      </c>
      <c r="AG4" s="455" t="str">
        <f t="shared" ref="AG4:AG12" ca="1" si="3">IFERROR(INDEX($O$17:$V$25,ROW(C1),$AG$3),"")</f>
        <v/>
      </c>
      <c r="AH4" s="456" t="str">
        <f ca="1">INDEX($AG$4:$AG$12,MATCH(ROW(A1),$AK$4:$AK$12,0))</f>
        <v/>
      </c>
      <c r="AI4" s="457">
        <f ca="1">IF($AG4="",99999,VLOOKUP($AG4,$C$17:$Z$25,24,0))</f>
        <v>99999</v>
      </c>
      <c r="AJ4" s="453">
        <f ca="1">RANK(AI4,AI$4:AI$12,1)+INDEX($E$4:$E$12,MATCH(AG4,$F$4:$F$12,0))/100+ROW()/10000</f>
        <v>1.0604</v>
      </c>
      <c r="AK4" s="458">
        <f ca="1">RANK($AJ4,$AJ$4:$AJ$12,1)</f>
        <v>1</v>
      </c>
      <c r="AL4" s="456" t="str">
        <f t="shared" ref="AL4:AL12" ca="1" si="4">IFERROR(INDEX($O$17:$V$25,ROW(E1),$AL$3),"")</f>
        <v/>
      </c>
      <c r="AM4" s="456" t="str">
        <f ca="1">INDEX($AL$4:$AL$12,MATCH(ROW(A1),$AP$4:$AP$12,0))</f>
        <v/>
      </c>
      <c r="AN4" s="457">
        <f ca="1">IF($AL4="",99999,VLOOKUP($AL4,$C$17:$Z$25,24,0))</f>
        <v>99999</v>
      </c>
      <c r="AO4" s="453">
        <f ca="1">RANK(AN4,AN$4:AN$12,1)+INDEX($E$4:$E$12,MATCH(AL4,$F$4:$F$12,0))/100+ROW()/10000</f>
        <v>1.0604</v>
      </c>
      <c r="AP4" s="458">
        <f ca="1">RANK($AO4,$AO$4:$AO$12,1)</f>
        <v>1</v>
      </c>
      <c r="AQ4" s="660"/>
      <c r="AR4" s="660"/>
      <c r="AS4" s="662">
        <f ca="1">SUMPRODUCT(($V$64:$V$135=F4)*$AK$64:$AK$135)+SUMPRODUCT(($W$64:$W$135=F4)*$AJ$64:$AJ$135)</f>
        <v>5</v>
      </c>
      <c r="AT4" s="662">
        <f ca="1">SUMPRODUCT(($V$64:$V$135=F4)*$AJ$64:$AJ$135)+SUMPRODUCT(($W$64:$W$135=F4)*$AK$64:$AK$135)</f>
        <v>3</v>
      </c>
      <c r="AU4" s="662">
        <f ca="1">AT4-AS4</f>
        <v>-2</v>
      </c>
      <c r="AV4" s="662">
        <f ca="1">IF(Settings!$G$24,$I4,ROUND($I4,Settings!$H$24))</f>
        <v>0.88500000000000001</v>
      </c>
      <c r="AW4" s="662">
        <f ca="1">I4-(F4="")*10000</f>
        <v>0.88461538461538458</v>
      </c>
      <c r="AX4" s="662">
        <f ca="1" xml:space="preserve"> RANK(AW4,$AW$4:$AW$12,1)</f>
        <v>5</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5">RANK(D5,$D$4:$D$12,1)</f>
        <v>1</v>
      </c>
      <c r="D5" s="661">
        <f t="shared" ref="D5:D12" ca="1" si="6">E5+ROW()/1000+(F5="")*10</f>
        <v>1.0049999999999999</v>
      </c>
      <c r="E5" s="671">
        <f t="shared" ref="E5:E12" ca="1" si="7">IF($AI$15,RANK(AH18,AH$17:AH$25,1),RANK(X18,X$17:X$25,1))</f>
        <v>1</v>
      </c>
      <c r="F5" s="662" t="str">
        <f t="shared" ref="F5:F12" si="8">$Q65</f>
        <v>Inter Mailand</v>
      </c>
      <c r="G5" s="662">
        <f t="shared" ref="G5:G12" ca="1" si="9">SUMIFS($AH$64:$AH$135,$V$64:$V$135,$F5)+SUMIFS($AI$64:$AI$135,$W$64:$W$135,$F5)</f>
        <v>158</v>
      </c>
      <c r="H5" s="662">
        <f t="shared" ref="H5:H12" ca="1" si="10">SUMIFS($AI$64:$AI$135,$V$64:$V$135,$F5)+SUMIFS($AH$64:$AH$135,$W$64:$W$135,$F5)</f>
        <v>133</v>
      </c>
      <c r="I5" s="661">
        <f ca="1">IF(Settings!$G$24,G5-H5,IF(H5=0,IF(G5=0,0,Settings!$F$24),G5/H5))</f>
        <v>1.1879699248120301</v>
      </c>
      <c r="J5" s="662">
        <f ca="1">$L5*Settings!$C$4+$M5</f>
        <v>6</v>
      </c>
      <c r="K5" s="662">
        <f t="shared" ref="K5:K12" ca="1" si="11">SUMPRODUCT(($V$64:$V$135=F5)*($AJ$64:$AJ$135&lt;&gt;"")*$AA$64:$AA$135)+SUMPRODUCT(($W$64:$W$135=F5)*($AK$64:$AK$135&lt;&gt;"")*$AA$64:$AA$135)</f>
        <v>4</v>
      </c>
      <c r="L5" s="662">
        <f t="shared" ref="L5:L12" ca="1" si="12">SUMPRODUCT(($V$64:$V$135=F5)*($AJ$64:$AJ$135&gt;$AK$64:$AK$135)*$AA$64:$AA$135)+SUMPRODUCT(($W$64:$W$135=F5)*($AJ$64:$AJ$135&lt;$AK$64:$AK$135)*$AA$64:$AA$135)</f>
        <v>2</v>
      </c>
      <c r="M5" s="662">
        <f t="shared" ca="1" si="1"/>
        <v>2</v>
      </c>
      <c r="N5" s="662">
        <f t="shared" ref="N5:N12" ca="1" si="13">K5-L5-M5</f>
        <v>0</v>
      </c>
      <c r="O5" s="674"/>
      <c r="P5" s="675"/>
      <c r="Q5" s="660"/>
      <c r="R5" s="660"/>
      <c r="S5" s="660"/>
      <c r="T5" s="660"/>
      <c r="U5" s="660"/>
      <c r="V5" s="662"/>
      <c r="W5" s="455" t="str">
        <f t="shared" ref="W5:W12" ca="1" si="14">IFERROR(INDEX($O$17:$V$25,ROW(A2),$W$3),"")</f>
        <v/>
      </c>
      <c r="X5" s="456" t="str">
        <f t="shared" ref="X5:X12" ca="1" si="15">INDEX($W$4:$W$12,MATCH(ROW(A2),$AA$4:$AA$12,0))</f>
        <v/>
      </c>
      <c r="Y5" s="453">
        <f t="shared" ref="Y5:Y12" ca="1" si="16">IF($W5="",99999,VLOOKUP($W5,$C$17:$Z$25,24,0))</f>
        <v>99999</v>
      </c>
      <c r="Z5" s="453">
        <f ca="1">RANK(Y5,Y$4:Y$12,1)+INDEX($E$4:$E$12,MATCH(W5,$F$4:$F$12,0))/100+ROW()/10000</f>
        <v>1.0605</v>
      </c>
      <c r="AA5" s="458">
        <f t="shared" ref="AA5:AA12" ca="1" si="17">RANK($Z5,$Z$4:$Z$12,1)</f>
        <v>2</v>
      </c>
      <c r="AB5" s="455" t="str">
        <f t="shared" ca="1" si="2"/>
        <v/>
      </c>
      <c r="AC5" s="456" t="str">
        <f t="shared" ref="AC5:AC12" ca="1" si="18">INDEX($AB$4:$AB$12,MATCH(ROW(A2),$AF$4:$AF$12,0))</f>
        <v/>
      </c>
      <c r="AD5" s="457">
        <f t="shared" ref="AD5:AD12" ca="1" si="19">IF($AB5="",99999,VLOOKUP($AB5,$C$17:$Z$25,24,0))</f>
        <v>99999</v>
      </c>
      <c r="AE5" s="453">
        <f ca="1">RANK(AD5,AD$4:AD$12,1)+INDEX($E$4:$E$12,MATCH(AB5,$F$4:$F$12,0))/100+ROW()/10000</f>
        <v>1.0605</v>
      </c>
      <c r="AF5" s="453">
        <f t="shared" ref="AF5:AF12" ca="1" si="20">RANK($AE5,$AE$4:$AE$12,1)</f>
        <v>2</v>
      </c>
      <c r="AG5" s="455" t="str">
        <f t="shared" ca="1" si="3"/>
        <v/>
      </c>
      <c r="AH5" s="456" t="str">
        <f t="shared" ref="AH5:AH12" ca="1" si="21">INDEX($AG$4:$AG$12,MATCH(ROW(A2),$AK$4:$AK$12,0))</f>
        <v/>
      </c>
      <c r="AI5" s="457">
        <f t="shared" ref="AI5:AI12" ca="1" si="22">IF($AG5="",99999,VLOOKUP($AG5,$C$17:$Z$25,24,0))</f>
        <v>99999</v>
      </c>
      <c r="AJ5" s="453">
        <f ca="1">RANK(AI5,AI$4:AI$12,1)+INDEX($E$4:$E$12,MATCH(AG5,$F$4:$F$12,0))/100+ROW()/10000</f>
        <v>1.0605</v>
      </c>
      <c r="AK5" s="458">
        <f t="shared" ref="AK5:AK12" ca="1" si="23">RANK($AJ5,$AJ$4:$AJ$12,1)</f>
        <v>2</v>
      </c>
      <c r="AL5" s="456" t="str">
        <f t="shared" ca="1" si="4"/>
        <v/>
      </c>
      <c r="AM5" s="456" t="str">
        <f t="shared" ref="AM5:AM12" ca="1" si="24">INDEX($AL$4:$AL$12,MATCH(ROW(A2),$AP$4:$AP$12,0))</f>
        <v/>
      </c>
      <c r="AN5" s="457">
        <f t="shared" ref="AN5:AN12" ca="1" si="25">IF($AL5="",99999,VLOOKUP($AL5,$C$17:$Z$25,24,0))</f>
        <v>99999</v>
      </c>
      <c r="AO5" s="453">
        <f ca="1">RANK(AN5,AN$4:AN$12,1)+INDEX($E$4:$E$12,MATCH(AL5,$F$4:$F$12,0))/100+ROW()/10000</f>
        <v>1.0605</v>
      </c>
      <c r="AP5" s="458">
        <f t="shared" ref="AP5:AP12" ca="1" si="26">RANK($AO5,$AO$4:$AO$12,1)</f>
        <v>2</v>
      </c>
      <c r="AQ5" s="660"/>
      <c r="AR5" s="660"/>
      <c r="AS5" s="662">
        <f t="shared" ref="AS5:AS12" ca="1" si="27">SUMPRODUCT(($V$64:$V$135=F5)*$AK$64:$AK$135)+SUMPRODUCT(($W$64:$W$135=F5)*$AJ$64:$AJ$135)</f>
        <v>2</v>
      </c>
      <c r="AT5" s="662">
        <f t="shared" ref="AT5:AT12" ca="1" si="28">SUMPRODUCT(($V$64:$V$135=F5)*$AJ$64:$AJ$135)+SUMPRODUCT(($W$64:$W$135=F5)*$AK$64:$AK$135)</f>
        <v>5</v>
      </c>
      <c r="AU5" s="662">
        <f t="shared" ref="AU5:AU12" ca="1" si="29">AT5-AS5</f>
        <v>3</v>
      </c>
      <c r="AV5" s="662">
        <f ca="1">IF(Settings!$G$24,$I5,ROUND($I5,Settings!$H$24))</f>
        <v>1.1879999999999999</v>
      </c>
      <c r="AW5" s="662">
        <f t="shared" ref="AW5:AW12" ca="1" si="30">I5-(F5="")*10000</f>
        <v>1.1879699248120301</v>
      </c>
      <c r="AX5" s="662">
        <f t="shared" ref="AX5:AX12" ca="1" si="31" xml:space="preserve"> RANK(AW5,$AW$4:$AW$12,1)</f>
        <v>9</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5"/>
        <v>3</v>
      </c>
      <c r="D6" s="661">
        <f t="shared" ca="1" si="6"/>
        <v>3.0059999999999998</v>
      </c>
      <c r="E6" s="671">
        <f t="shared" ca="1" si="7"/>
        <v>3</v>
      </c>
      <c r="F6" s="662" t="str">
        <f t="shared" si="8"/>
        <v>SSV Wildbach</v>
      </c>
      <c r="G6" s="662">
        <f t="shared" ca="1" si="9"/>
        <v>169</v>
      </c>
      <c r="H6" s="662">
        <f t="shared" ca="1" si="10"/>
        <v>180</v>
      </c>
      <c r="I6" s="661">
        <f ca="1">IF(Settings!$G$24,G6-H6,IF(H6=0,IF(G6=0,0,Settings!$F$24),G6/H6))</f>
        <v>0.93888888888888888</v>
      </c>
      <c r="J6" s="662">
        <f ca="1">$L6*Settings!$C$4+$M6</f>
        <v>4</v>
      </c>
      <c r="K6" s="662">
        <f t="shared" ca="1" si="11"/>
        <v>4</v>
      </c>
      <c r="L6" s="662">
        <f t="shared" ca="1" si="12"/>
        <v>1</v>
      </c>
      <c r="M6" s="662">
        <f t="shared" ca="1" si="1"/>
        <v>2</v>
      </c>
      <c r="N6" s="662">
        <f t="shared" ca="1" si="13"/>
        <v>1</v>
      </c>
      <c r="O6" s="674"/>
      <c r="P6" s="675"/>
      <c r="Q6" s="660"/>
      <c r="R6" s="660"/>
      <c r="S6" s="660"/>
      <c r="T6" s="660"/>
      <c r="U6" s="660"/>
      <c r="V6" s="662"/>
      <c r="W6" s="455" t="str">
        <f t="shared" ca="1" si="14"/>
        <v/>
      </c>
      <c r="X6" s="456" t="str">
        <f t="shared" ca="1" si="15"/>
        <v/>
      </c>
      <c r="Y6" s="453">
        <f t="shared" ca="1" si="16"/>
        <v>99999</v>
      </c>
      <c r="Z6" s="453">
        <f ca="1">RANK(Y6,Y$4:Y$12,1)+INDEX($E$4:$E$12,MATCH(W6,$F$4:$F$12,0))/100+ROW()/10000</f>
        <v>1.0606</v>
      </c>
      <c r="AA6" s="458">
        <f t="shared" ca="1" si="17"/>
        <v>3</v>
      </c>
      <c r="AB6" s="455" t="str">
        <f t="shared" ca="1" si="2"/>
        <v/>
      </c>
      <c r="AC6" s="456" t="str">
        <f t="shared" ca="1" si="18"/>
        <v/>
      </c>
      <c r="AD6" s="457">
        <f t="shared" ca="1" si="19"/>
        <v>99999</v>
      </c>
      <c r="AE6" s="453">
        <f ca="1">RANK(AD6,AD$4:AD$12,1)+INDEX($E$4:$E$12,MATCH(AB6,$F$4:$F$12,0))/100+ROW()/10000</f>
        <v>1.0606</v>
      </c>
      <c r="AF6" s="453">
        <f t="shared" ca="1" si="20"/>
        <v>3</v>
      </c>
      <c r="AG6" s="455" t="str">
        <f t="shared" ca="1" si="3"/>
        <v/>
      </c>
      <c r="AH6" s="456" t="str">
        <f t="shared" ca="1" si="21"/>
        <v/>
      </c>
      <c r="AI6" s="457">
        <f t="shared" ca="1" si="22"/>
        <v>99999</v>
      </c>
      <c r="AJ6" s="453">
        <f ca="1">RANK(AI6,AI$4:AI$12,1)+INDEX($E$4:$E$12,MATCH(AG6,$F$4:$F$12,0))/100+ROW()/10000</f>
        <v>1.0606</v>
      </c>
      <c r="AK6" s="458">
        <f t="shared" ca="1" si="23"/>
        <v>3</v>
      </c>
      <c r="AL6" s="456" t="str">
        <f t="shared" ca="1" si="4"/>
        <v/>
      </c>
      <c r="AM6" s="456" t="str">
        <f t="shared" ca="1" si="24"/>
        <v/>
      </c>
      <c r="AN6" s="457">
        <f t="shared" ca="1" si="25"/>
        <v>99999</v>
      </c>
      <c r="AO6" s="453">
        <f ca="1">RANK(AN6,AN$4:AN$12,1)+INDEX($E$4:$E$12,MATCH(AL6,$F$4:$F$12,0))/100+ROW()/10000</f>
        <v>1.0606</v>
      </c>
      <c r="AP6" s="458">
        <f t="shared" ca="1" si="26"/>
        <v>3</v>
      </c>
      <c r="AQ6" s="660"/>
      <c r="AR6" s="660"/>
      <c r="AS6" s="662">
        <f t="shared" ca="1" si="27"/>
        <v>4</v>
      </c>
      <c r="AT6" s="662">
        <f t="shared" ca="1" si="28"/>
        <v>4</v>
      </c>
      <c r="AU6" s="662">
        <f t="shared" ca="1" si="29"/>
        <v>0</v>
      </c>
      <c r="AV6" s="662">
        <f ca="1">IF(Settings!$G$24,$I6,ROUND($I6,Settings!$H$24))</f>
        <v>0.93899999999999995</v>
      </c>
      <c r="AW6" s="662">
        <f t="shared" ca="1" si="30"/>
        <v>0.93888888888888888</v>
      </c>
      <c r="AX6" s="662">
        <f t="shared" ca="1" si="31"/>
        <v>7</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5"/>
        <v>2</v>
      </c>
      <c r="D7" s="661">
        <f t="shared" ca="1" si="6"/>
        <v>2.0070000000000001</v>
      </c>
      <c r="E7" s="671">
        <f t="shared" ca="1" si="7"/>
        <v>2</v>
      </c>
      <c r="F7" s="662" t="str">
        <f t="shared" si="8"/>
        <v>Manchester City</v>
      </c>
      <c r="G7" s="662">
        <f t="shared" ca="1" si="9"/>
        <v>184</v>
      </c>
      <c r="H7" s="662">
        <f t="shared" ca="1" si="10"/>
        <v>160</v>
      </c>
      <c r="I7" s="661">
        <f ca="1">IF(Settings!$G$24,G7-H7,IF(H7=0,IF(G7=0,0,Settings!$F$24),G7/H7))</f>
        <v>1.1499999999999999</v>
      </c>
      <c r="J7" s="662">
        <f ca="1">$L7*Settings!$C$4+$M7</f>
        <v>4</v>
      </c>
      <c r="K7" s="662">
        <f t="shared" ca="1" si="11"/>
        <v>4</v>
      </c>
      <c r="L7" s="662">
        <f t="shared" ca="1" si="12"/>
        <v>1</v>
      </c>
      <c r="M7" s="662">
        <f t="shared" ca="1" si="1"/>
        <v>2</v>
      </c>
      <c r="N7" s="662">
        <f t="shared" ca="1" si="13"/>
        <v>1</v>
      </c>
      <c r="O7" s="674"/>
      <c r="P7" s="675"/>
      <c r="Q7" s="660"/>
      <c r="R7" s="660"/>
      <c r="S7" s="660"/>
      <c r="T7" s="660"/>
      <c r="U7" s="660"/>
      <c r="V7" s="662"/>
      <c r="W7" s="455" t="str">
        <f t="shared" ca="1" si="14"/>
        <v/>
      </c>
      <c r="X7" s="456" t="str">
        <f t="shared" ca="1" si="15"/>
        <v/>
      </c>
      <c r="Y7" s="453">
        <f t="shared" ca="1" si="16"/>
        <v>99999</v>
      </c>
      <c r="Z7" s="453">
        <f ca="1">RANK(Y7,Y$4:Y$12,1)+INDEX($E$4:$E$12,MATCH(W7,$F$4:$F$12,0))/100+ROW()/10000</f>
        <v>1.0607</v>
      </c>
      <c r="AA7" s="458">
        <f t="shared" ca="1" si="17"/>
        <v>4</v>
      </c>
      <c r="AB7" s="455" t="str">
        <f t="shared" ca="1" si="2"/>
        <v/>
      </c>
      <c r="AC7" s="456" t="str">
        <f t="shared" ca="1" si="18"/>
        <v/>
      </c>
      <c r="AD7" s="457">
        <f t="shared" ca="1" si="19"/>
        <v>99999</v>
      </c>
      <c r="AE7" s="453">
        <f ca="1">RANK(AD7,AD$4:AD$12,1)+INDEX($E$4:$E$12,MATCH(AB7,$F$4:$F$12,0))/100+ROW()/10000</f>
        <v>1.0607</v>
      </c>
      <c r="AF7" s="453">
        <f t="shared" ca="1" si="20"/>
        <v>4</v>
      </c>
      <c r="AG7" s="455" t="str">
        <f t="shared" ca="1" si="3"/>
        <v/>
      </c>
      <c r="AH7" s="456" t="str">
        <f t="shared" ca="1" si="21"/>
        <v/>
      </c>
      <c r="AI7" s="457">
        <f t="shared" ca="1" si="22"/>
        <v>99999</v>
      </c>
      <c r="AJ7" s="453">
        <f ca="1">RANK(AI7,AI$4:AI$12,1)+INDEX($E$4:$E$12,MATCH(AG7,$F$4:$F$12,0))/100+ROW()/10000</f>
        <v>1.0607</v>
      </c>
      <c r="AK7" s="458">
        <f t="shared" ca="1" si="23"/>
        <v>4</v>
      </c>
      <c r="AL7" s="456" t="str">
        <f t="shared" ca="1" si="4"/>
        <v/>
      </c>
      <c r="AM7" s="456" t="str">
        <f t="shared" ca="1" si="24"/>
        <v/>
      </c>
      <c r="AN7" s="457">
        <f t="shared" ca="1" si="25"/>
        <v>99999</v>
      </c>
      <c r="AO7" s="453">
        <f ca="1">RANK(AN7,AN$4:AN$12,1)+INDEX($E$4:$E$12,MATCH(AL7,$F$4:$F$12,0))/100+ROW()/10000</f>
        <v>1.0607</v>
      </c>
      <c r="AP7" s="458">
        <f t="shared" ca="1" si="26"/>
        <v>4</v>
      </c>
      <c r="AQ7" s="660"/>
      <c r="AR7" s="660"/>
      <c r="AS7" s="662">
        <f t="shared" ca="1" si="27"/>
        <v>4</v>
      </c>
      <c r="AT7" s="662">
        <f t="shared" ca="1" si="28"/>
        <v>4</v>
      </c>
      <c r="AU7" s="662">
        <f t="shared" ca="1" si="29"/>
        <v>0</v>
      </c>
      <c r="AV7" s="662">
        <f ca="1">IF(Settings!$G$24,$I7,ROUND($I7,Settings!$H$24))</f>
        <v>1.1499999999999999</v>
      </c>
      <c r="AW7" s="662">
        <f t="shared" ca="1" si="30"/>
        <v>1.1499999999999999</v>
      </c>
      <c r="AX7" s="662">
        <f t="shared" ca="1" si="31"/>
        <v>8</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5"/>
        <v>4</v>
      </c>
      <c r="D8" s="661">
        <f t="shared" ca="1" si="6"/>
        <v>4.008</v>
      </c>
      <c r="E8" s="671">
        <f t="shared" ca="1" si="7"/>
        <v>4</v>
      </c>
      <c r="F8" s="662" t="str">
        <f t="shared" si="8"/>
        <v>FC Grönlingen</v>
      </c>
      <c r="G8" s="662">
        <f t="shared" ca="1" si="9"/>
        <v>141</v>
      </c>
      <c r="H8" s="662">
        <f t="shared" ca="1" si="10"/>
        <v>158</v>
      </c>
      <c r="I8" s="661">
        <f ca="1">IF(Settings!$G$24,G8-H8,IF(H8=0,IF(G8=0,0,Settings!$F$24),G8/H8))</f>
        <v>0.89240506329113922</v>
      </c>
      <c r="J8" s="662">
        <f ca="1">$L8*Settings!$C$4+$M8</f>
        <v>3</v>
      </c>
      <c r="K8" s="662">
        <f t="shared" ca="1" si="11"/>
        <v>4</v>
      </c>
      <c r="L8" s="662">
        <f t="shared" ca="1" si="12"/>
        <v>1</v>
      </c>
      <c r="M8" s="662">
        <f t="shared" ca="1" si="1"/>
        <v>1</v>
      </c>
      <c r="N8" s="662">
        <f t="shared" ca="1" si="13"/>
        <v>2</v>
      </c>
      <c r="O8" s="660"/>
      <c r="P8" s="675"/>
      <c r="Q8" s="660"/>
      <c r="R8" s="660"/>
      <c r="S8" s="660"/>
      <c r="T8" s="660"/>
      <c r="U8" s="660"/>
      <c r="V8" s="660"/>
      <c r="W8" s="455" t="str">
        <f t="shared" ca="1" si="14"/>
        <v/>
      </c>
      <c r="X8" s="456" t="str">
        <f t="shared" ca="1" si="15"/>
        <v/>
      </c>
      <c r="Y8" s="453">
        <f t="shared" ca="1" si="16"/>
        <v>99999</v>
      </c>
      <c r="Z8" s="453">
        <f t="shared" ref="Z8:Z12" ca="1" si="32">RANK(Y8,Y$4:Y$12,1)+INDEX($E$4:$E$12,MATCH(W8,$F$4:$F$12,0))/100+ROW()/10000</f>
        <v>1.0608</v>
      </c>
      <c r="AA8" s="458">
        <f t="shared" ca="1" si="17"/>
        <v>5</v>
      </c>
      <c r="AB8" s="455" t="str">
        <f t="shared" ca="1" si="2"/>
        <v/>
      </c>
      <c r="AC8" s="456" t="str">
        <f t="shared" ca="1" si="18"/>
        <v/>
      </c>
      <c r="AD8" s="457">
        <f t="shared" ca="1" si="19"/>
        <v>99999</v>
      </c>
      <c r="AE8" s="453">
        <f t="shared" ref="AE8:AE12" ca="1" si="33">RANK(AD8,AD$4:AD$12,1)+INDEX($E$4:$E$12,MATCH(AB8,$F$4:$F$12,0))/100+ROW()/10000</f>
        <v>1.0608</v>
      </c>
      <c r="AF8" s="453">
        <f t="shared" ca="1" si="20"/>
        <v>5</v>
      </c>
      <c r="AG8" s="455" t="str">
        <f t="shared" ca="1" si="3"/>
        <v/>
      </c>
      <c r="AH8" s="456" t="str">
        <f t="shared" ca="1" si="21"/>
        <v/>
      </c>
      <c r="AI8" s="457">
        <f t="shared" ca="1" si="22"/>
        <v>99999</v>
      </c>
      <c r="AJ8" s="453">
        <f t="shared" ref="AJ8:AJ12" ca="1" si="34">RANK(AI8,AI$4:AI$12,1)+INDEX($E$4:$E$12,MATCH(AG8,$F$4:$F$12,0))/100+ROW()/10000</f>
        <v>1.0608</v>
      </c>
      <c r="AK8" s="458">
        <f t="shared" ca="1" si="23"/>
        <v>5</v>
      </c>
      <c r="AL8" s="456" t="str">
        <f t="shared" ca="1" si="4"/>
        <v/>
      </c>
      <c r="AM8" s="456" t="str">
        <f t="shared" ca="1" si="24"/>
        <v/>
      </c>
      <c r="AN8" s="457">
        <f t="shared" ca="1" si="25"/>
        <v>99999</v>
      </c>
      <c r="AO8" s="453">
        <f t="shared" ref="AO8:AO12" ca="1" si="35">RANK(AN8,AN$4:AN$12,1)+INDEX($E$4:$E$12,MATCH(AL8,$F$4:$F$12,0))/100+ROW()/10000</f>
        <v>1.0608</v>
      </c>
      <c r="AP8" s="458">
        <f t="shared" ca="1" si="26"/>
        <v>5</v>
      </c>
      <c r="AQ8" s="660"/>
      <c r="AR8" s="660"/>
      <c r="AS8" s="662">
        <f t="shared" ca="1" si="27"/>
        <v>4</v>
      </c>
      <c r="AT8" s="662">
        <f t="shared" ca="1" si="28"/>
        <v>3</v>
      </c>
      <c r="AU8" s="662">
        <f t="shared" ca="1" si="29"/>
        <v>-1</v>
      </c>
      <c r="AV8" s="662">
        <f ca="1">IF(Settings!$G$24,$I8,ROUND($I8,Settings!$H$24))</f>
        <v>0.89200000000000002</v>
      </c>
      <c r="AW8" s="662">
        <f t="shared" ca="1" si="30"/>
        <v>0.89240506329113922</v>
      </c>
      <c r="AX8" s="662">
        <f t="shared" ca="1" si="31"/>
        <v>6</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5"/>
        <v>6</v>
      </c>
      <c r="D9" s="661">
        <f t="shared" ca="1" si="6"/>
        <v>16.009</v>
      </c>
      <c r="E9" s="671">
        <f t="shared" ca="1" si="7"/>
        <v>6</v>
      </c>
      <c r="F9" s="662" t="str">
        <f t="shared" si="8"/>
        <v/>
      </c>
      <c r="G9" s="662">
        <f t="shared" ca="1" si="9"/>
        <v>0</v>
      </c>
      <c r="H9" s="662">
        <f t="shared" ca="1" si="10"/>
        <v>0</v>
      </c>
      <c r="I9" s="661">
        <f ca="1">IF(Settings!$G$24,G9-H9,IF(H9=0,IF(G9=0,0,Settings!$F$24),G9/H9))</f>
        <v>0</v>
      </c>
      <c r="J9" s="662">
        <f ca="1">$L9*Settings!$C$4+$M9</f>
        <v>0</v>
      </c>
      <c r="K9" s="662">
        <f t="shared" ca="1" si="11"/>
        <v>0</v>
      </c>
      <c r="L9" s="662">
        <f t="shared" ca="1" si="12"/>
        <v>0</v>
      </c>
      <c r="M9" s="662">
        <f t="shared" ca="1" si="1"/>
        <v>0</v>
      </c>
      <c r="N9" s="662">
        <f t="shared" ca="1" si="13"/>
        <v>0</v>
      </c>
      <c r="O9" s="660"/>
      <c r="P9" s="675"/>
      <c r="Q9" s="660"/>
      <c r="R9" s="660"/>
      <c r="S9" s="660"/>
      <c r="T9" s="660"/>
      <c r="U9" s="660"/>
      <c r="V9" s="660"/>
      <c r="W9" s="455" t="str">
        <f t="shared" ca="1" si="14"/>
        <v/>
      </c>
      <c r="X9" s="456" t="str">
        <f t="shared" ca="1" si="15"/>
        <v/>
      </c>
      <c r="Y9" s="453">
        <f t="shared" ca="1" si="16"/>
        <v>99999</v>
      </c>
      <c r="Z9" s="453">
        <f t="shared" ca="1" si="32"/>
        <v>1.0609</v>
      </c>
      <c r="AA9" s="458">
        <f t="shared" ca="1" si="17"/>
        <v>6</v>
      </c>
      <c r="AB9" s="455" t="str">
        <f t="shared" ca="1" si="2"/>
        <v/>
      </c>
      <c r="AC9" s="456" t="str">
        <f t="shared" ca="1" si="18"/>
        <v/>
      </c>
      <c r="AD9" s="457">
        <f t="shared" ca="1" si="19"/>
        <v>99999</v>
      </c>
      <c r="AE9" s="453">
        <f t="shared" ca="1" si="33"/>
        <v>1.0609</v>
      </c>
      <c r="AF9" s="453">
        <f t="shared" ca="1" si="20"/>
        <v>6</v>
      </c>
      <c r="AG9" s="455" t="str">
        <f t="shared" ca="1" si="3"/>
        <v/>
      </c>
      <c r="AH9" s="456" t="str">
        <f t="shared" ca="1" si="21"/>
        <v/>
      </c>
      <c r="AI9" s="457">
        <f t="shared" ca="1" si="22"/>
        <v>99999</v>
      </c>
      <c r="AJ9" s="453">
        <f t="shared" ca="1" si="34"/>
        <v>1.0609</v>
      </c>
      <c r="AK9" s="458">
        <f t="shared" ca="1" si="23"/>
        <v>6</v>
      </c>
      <c r="AL9" s="456" t="str">
        <f t="shared" ca="1" si="4"/>
        <v/>
      </c>
      <c r="AM9" s="456" t="str">
        <f t="shared" ca="1" si="24"/>
        <v/>
      </c>
      <c r="AN9" s="457">
        <f t="shared" ca="1" si="25"/>
        <v>99999</v>
      </c>
      <c r="AO9" s="453">
        <f t="shared" ca="1" si="35"/>
        <v>1.0609</v>
      </c>
      <c r="AP9" s="458">
        <f t="shared" ca="1" si="26"/>
        <v>6</v>
      </c>
      <c r="AQ9" s="660"/>
      <c r="AR9" s="660"/>
      <c r="AS9" s="662">
        <f t="shared" ca="1" si="27"/>
        <v>0</v>
      </c>
      <c r="AT9" s="662">
        <f t="shared" ca="1" si="28"/>
        <v>0</v>
      </c>
      <c r="AU9" s="662">
        <f t="shared" ca="1" si="29"/>
        <v>0</v>
      </c>
      <c r="AV9" s="662">
        <f ca="1">IF(Settings!$G$24,$I9,ROUND($I9,Settings!$H$24))</f>
        <v>0</v>
      </c>
      <c r="AW9" s="662">
        <f t="shared" ca="1" si="30"/>
        <v>-10000</v>
      </c>
      <c r="AX9" s="662">
        <f t="shared" ca="1" si="31"/>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5"/>
        <v>7</v>
      </c>
      <c r="D10" s="661">
        <f t="shared" ca="1" si="6"/>
        <v>16.009999999999998</v>
      </c>
      <c r="E10" s="671">
        <f t="shared" ca="1" si="7"/>
        <v>6</v>
      </c>
      <c r="F10" s="662" t="str">
        <f t="shared" si="8"/>
        <v/>
      </c>
      <c r="G10" s="662">
        <f t="shared" ca="1" si="9"/>
        <v>0</v>
      </c>
      <c r="H10" s="662">
        <f t="shared" ca="1" si="10"/>
        <v>0</v>
      </c>
      <c r="I10" s="661">
        <f ca="1">IF(Settings!$G$24,G10-H10,IF(H10=0,IF(G10=0,0,Settings!$F$24),G10/H10))</f>
        <v>0</v>
      </c>
      <c r="J10" s="662">
        <f ca="1">$L10*Settings!$C$4+$M10</f>
        <v>0</v>
      </c>
      <c r="K10" s="662">
        <f t="shared" ca="1" si="11"/>
        <v>0</v>
      </c>
      <c r="L10" s="662">
        <f t="shared" ca="1" si="12"/>
        <v>0</v>
      </c>
      <c r="M10" s="662">
        <f t="shared" ca="1" si="1"/>
        <v>0</v>
      </c>
      <c r="N10" s="662">
        <f t="shared" ca="1" si="13"/>
        <v>0</v>
      </c>
      <c r="O10" s="660"/>
      <c r="P10" s="675"/>
      <c r="Q10" s="660"/>
      <c r="R10" s="660"/>
      <c r="S10" s="660"/>
      <c r="T10" s="660"/>
      <c r="U10" s="660"/>
      <c r="V10" s="660"/>
      <c r="W10" s="455" t="str">
        <f t="shared" ca="1" si="14"/>
        <v/>
      </c>
      <c r="X10" s="456" t="str">
        <f t="shared" ca="1" si="15"/>
        <v/>
      </c>
      <c r="Y10" s="453">
        <f t="shared" ca="1" si="16"/>
        <v>99999</v>
      </c>
      <c r="Z10" s="453">
        <f t="shared" ca="1" si="32"/>
        <v>1.0609999999999999</v>
      </c>
      <c r="AA10" s="458">
        <f t="shared" ca="1" si="17"/>
        <v>7</v>
      </c>
      <c r="AB10" s="455" t="str">
        <f t="shared" ca="1" si="2"/>
        <v/>
      </c>
      <c r="AC10" s="456" t="str">
        <f t="shared" ca="1" si="18"/>
        <v/>
      </c>
      <c r="AD10" s="457">
        <f t="shared" ca="1" si="19"/>
        <v>99999</v>
      </c>
      <c r="AE10" s="453">
        <f t="shared" ca="1" si="33"/>
        <v>1.0609999999999999</v>
      </c>
      <c r="AF10" s="453">
        <f t="shared" ca="1" si="20"/>
        <v>7</v>
      </c>
      <c r="AG10" s="455" t="str">
        <f t="shared" ca="1" si="3"/>
        <v/>
      </c>
      <c r="AH10" s="456" t="str">
        <f t="shared" ca="1" si="21"/>
        <v/>
      </c>
      <c r="AI10" s="457">
        <f t="shared" ca="1" si="22"/>
        <v>99999</v>
      </c>
      <c r="AJ10" s="453">
        <f t="shared" ca="1" si="34"/>
        <v>1.0609999999999999</v>
      </c>
      <c r="AK10" s="458">
        <f t="shared" ca="1" si="23"/>
        <v>7</v>
      </c>
      <c r="AL10" s="456" t="str">
        <f t="shared" ca="1" si="4"/>
        <v/>
      </c>
      <c r="AM10" s="456" t="str">
        <f t="shared" ca="1" si="24"/>
        <v/>
      </c>
      <c r="AN10" s="457">
        <f t="shared" ca="1" si="25"/>
        <v>99999</v>
      </c>
      <c r="AO10" s="453">
        <f t="shared" ca="1" si="35"/>
        <v>1.0609999999999999</v>
      </c>
      <c r="AP10" s="458">
        <f t="shared" ca="1" si="26"/>
        <v>7</v>
      </c>
      <c r="AQ10" s="660"/>
      <c r="AR10" s="660"/>
      <c r="AS10" s="662">
        <f t="shared" ca="1" si="27"/>
        <v>0</v>
      </c>
      <c r="AT10" s="662">
        <f t="shared" ca="1" si="28"/>
        <v>0</v>
      </c>
      <c r="AU10" s="662">
        <f t="shared" ca="1" si="29"/>
        <v>0</v>
      </c>
      <c r="AV10" s="662">
        <f ca="1">IF(Settings!$G$24,$I10,ROUND($I10,Settings!$H$24))</f>
        <v>0</v>
      </c>
      <c r="AW10" s="662">
        <f t="shared" ca="1" si="30"/>
        <v>-10000</v>
      </c>
      <c r="AX10" s="662">
        <f t="shared" ca="1" si="31"/>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5"/>
        <v>8</v>
      </c>
      <c r="D11" s="661">
        <f t="shared" ca="1" si="6"/>
        <v>16.010999999999999</v>
      </c>
      <c r="E11" s="671">
        <f t="shared" ca="1" si="7"/>
        <v>6</v>
      </c>
      <c r="F11" s="662" t="str">
        <f t="shared" si="8"/>
        <v/>
      </c>
      <c r="G11" s="662">
        <f t="shared" ca="1" si="9"/>
        <v>0</v>
      </c>
      <c r="H11" s="662">
        <f t="shared" ca="1" si="10"/>
        <v>0</v>
      </c>
      <c r="I11" s="661">
        <f ca="1">IF(Settings!$G$24,G11-H11,IF(H11=0,IF(G11=0,0,Settings!$F$24),G11/H11))</f>
        <v>0</v>
      </c>
      <c r="J11" s="662">
        <f ca="1">$L11*Settings!$C$4+$M11</f>
        <v>0</v>
      </c>
      <c r="K11" s="662">
        <f t="shared" ca="1" si="11"/>
        <v>0</v>
      </c>
      <c r="L11" s="662">
        <f t="shared" ca="1" si="12"/>
        <v>0</v>
      </c>
      <c r="M11" s="662">
        <f t="shared" ca="1" si="1"/>
        <v>0</v>
      </c>
      <c r="N11" s="662">
        <f t="shared" ca="1" si="13"/>
        <v>0</v>
      </c>
      <c r="O11" s="661"/>
      <c r="P11" s="661"/>
      <c r="Q11" s="661"/>
      <c r="R11" s="661"/>
      <c r="S11" s="661"/>
      <c r="T11" s="661"/>
      <c r="U11" s="661"/>
      <c r="V11" s="661"/>
      <c r="W11" s="455" t="str">
        <f t="shared" ca="1" si="14"/>
        <v/>
      </c>
      <c r="X11" s="456" t="str">
        <f t="shared" ca="1" si="15"/>
        <v/>
      </c>
      <c r="Y11" s="453">
        <f t="shared" ca="1" si="16"/>
        <v>99999</v>
      </c>
      <c r="Z11" s="453">
        <f t="shared" ca="1" si="32"/>
        <v>1.0611000000000002</v>
      </c>
      <c r="AA11" s="458">
        <f t="shared" ca="1" si="17"/>
        <v>8</v>
      </c>
      <c r="AB11" s="455" t="str">
        <f t="shared" ca="1" si="2"/>
        <v/>
      </c>
      <c r="AC11" s="456" t="str">
        <f t="shared" ca="1" si="18"/>
        <v/>
      </c>
      <c r="AD11" s="457">
        <f t="shared" ca="1" si="19"/>
        <v>99999</v>
      </c>
      <c r="AE11" s="453">
        <f t="shared" ca="1" si="33"/>
        <v>1.0611000000000002</v>
      </c>
      <c r="AF11" s="453">
        <f t="shared" ca="1" si="20"/>
        <v>8</v>
      </c>
      <c r="AG11" s="455" t="str">
        <f t="shared" ca="1" si="3"/>
        <v/>
      </c>
      <c r="AH11" s="456" t="str">
        <f t="shared" ca="1" si="21"/>
        <v/>
      </c>
      <c r="AI11" s="457">
        <f t="shared" ca="1" si="22"/>
        <v>99999</v>
      </c>
      <c r="AJ11" s="453">
        <f t="shared" ca="1" si="34"/>
        <v>1.0611000000000002</v>
      </c>
      <c r="AK11" s="458">
        <f t="shared" ca="1" si="23"/>
        <v>8</v>
      </c>
      <c r="AL11" s="456" t="str">
        <f t="shared" ca="1" si="4"/>
        <v/>
      </c>
      <c r="AM11" s="456" t="str">
        <f t="shared" ca="1" si="24"/>
        <v/>
      </c>
      <c r="AN11" s="457">
        <f t="shared" ca="1" si="25"/>
        <v>99999</v>
      </c>
      <c r="AO11" s="453">
        <f t="shared" ca="1" si="35"/>
        <v>1.0611000000000002</v>
      </c>
      <c r="AP11" s="458">
        <f t="shared" ca="1" si="26"/>
        <v>8</v>
      </c>
      <c r="AQ11" s="660"/>
      <c r="AR11" s="660"/>
      <c r="AS11" s="662">
        <f t="shared" ca="1" si="27"/>
        <v>0</v>
      </c>
      <c r="AT11" s="662">
        <f t="shared" ca="1" si="28"/>
        <v>0</v>
      </c>
      <c r="AU11" s="662">
        <f t="shared" ca="1" si="29"/>
        <v>0</v>
      </c>
      <c r="AV11" s="662">
        <f ca="1">IF(Settings!$G$24,$I11,ROUND($I11,Settings!$H$24))</f>
        <v>0</v>
      </c>
      <c r="AW11" s="662">
        <f t="shared" ca="1" si="30"/>
        <v>-10000</v>
      </c>
      <c r="AX11" s="662">
        <f t="shared" ca="1" si="31"/>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5"/>
        <v>9</v>
      </c>
      <c r="D12" s="661">
        <f t="shared" ca="1" si="6"/>
        <v>16.012</v>
      </c>
      <c r="E12" s="671">
        <f t="shared" ca="1" si="7"/>
        <v>6</v>
      </c>
      <c r="F12" s="662" t="str">
        <f t="shared" si="8"/>
        <v/>
      </c>
      <c r="G12" s="662">
        <f t="shared" ca="1" si="9"/>
        <v>0</v>
      </c>
      <c r="H12" s="662">
        <f t="shared" ca="1" si="10"/>
        <v>0</v>
      </c>
      <c r="I12" s="661">
        <f ca="1">IF(Settings!$G$24,G12-H12,IF(H12=0,IF(G12=0,0,Settings!$F$24),G12/H12))</f>
        <v>0</v>
      </c>
      <c r="J12" s="662">
        <f ca="1">$L12*Settings!$C$4+$M12</f>
        <v>0</v>
      </c>
      <c r="K12" s="677">
        <f t="shared" ca="1" si="11"/>
        <v>0</v>
      </c>
      <c r="L12" s="662">
        <f t="shared" ca="1" si="12"/>
        <v>0</v>
      </c>
      <c r="M12" s="662">
        <f t="shared" ca="1" si="1"/>
        <v>0</v>
      </c>
      <c r="N12" s="662">
        <f t="shared" ca="1" si="13"/>
        <v>0</v>
      </c>
      <c r="O12" s="662"/>
      <c r="P12" s="662"/>
      <c r="Q12" s="662"/>
      <c r="R12" s="662"/>
      <c r="S12" s="662"/>
      <c r="T12" s="662"/>
      <c r="U12" s="662"/>
      <c r="V12" s="662"/>
      <c r="W12" s="459" t="str">
        <f t="shared" ca="1" si="14"/>
        <v/>
      </c>
      <c r="X12" s="460" t="str">
        <f t="shared" ca="1" si="15"/>
        <v/>
      </c>
      <c r="Y12" s="461">
        <f t="shared" ca="1" si="16"/>
        <v>99999</v>
      </c>
      <c r="Z12" s="461">
        <f t="shared" ca="1" si="32"/>
        <v>1.0612000000000001</v>
      </c>
      <c r="AA12" s="462">
        <f t="shared" ca="1" si="17"/>
        <v>9</v>
      </c>
      <c r="AB12" s="459" t="str">
        <f t="shared" ca="1" si="2"/>
        <v/>
      </c>
      <c r="AC12" s="460" t="str">
        <f t="shared" ca="1" si="18"/>
        <v/>
      </c>
      <c r="AD12" s="463">
        <f t="shared" ca="1" si="19"/>
        <v>99999</v>
      </c>
      <c r="AE12" s="461">
        <f t="shared" ca="1" si="33"/>
        <v>1.0612000000000001</v>
      </c>
      <c r="AF12" s="461">
        <f t="shared" ca="1" si="20"/>
        <v>9</v>
      </c>
      <c r="AG12" s="459" t="str">
        <f t="shared" ca="1" si="3"/>
        <v/>
      </c>
      <c r="AH12" s="460" t="str">
        <f t="shared" ca="1" si="21"/>
        <v/>
      </c>
      <c r="AI12" s="463">
        <f t="shared" ca="1" si="22"/>
        <v>99999</v>
      </c>
      <c r="AJ12" s="461">
        <f t="shared" ca="1" si="34"/>
        <v>1.0612000000000001</v>
      </c>
      <c r="AK12" s="462">
        <f t="shared" ca="1" si="23"/>
        <v>9</v>
      </c>
      <c r="AL12" s="460" t="str">
        <f t="shared" ca="1" si="4"/>
        <v/>
      </c>
      <c r="AM12" s="460" t="str">
        <f t="shared" ca="1" si="24"/>
        <v/>
      </c>
      <c r="AN12" s="463">
        <f t="shared" ca="1" si="25"/>
        <v>99999</v>
      </c>
      <c r="AO12" s="461">
        <f t="shared" ca="1" si="35"/>
        <v>1.0612000000000001</v>
      </c>
      <c r="AP12" s="462">
        <f t="shared" ca="1" si="26"/>
        <v>9</v>
      </c>
      <c r="AQ12" s="660"/>
      <c r="AR12" s="660"/>
      <c r="AS12" s="662">
        <f t="shared" ca="1" si="27"/>
        <v>0</v>
      </c>
      <c r="AT12" s="662">
        <f t="shared" ca="1" si="28"/>
        <v>0</v>
      </c>
      <c r="AU12" s="662">
        <f t="shared" ca="1" si="29"/>
        <v>0</v>
      </c>
      <c r="AV12" s="662">
        <f ca="1">IF(Settings!$G$24,$I12,ROUND($I12,Settings!$H$24))</f>
        <v>0</v>
      </c>
      <c r="AW12" s="662">
        <f t="shared" ca="1" si="30"/>
        <v>-10000</v>
      </c>
      <c r="AX12" s="662">
        <f t="shared" ca="1" si="31"/>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$F$13*($F$13-1)</f>
        <v>20</v>
      </c>
      <c r="C13" s="661"/>
      <c r="D13" s="661"/>
      <c r="E13" s="661"/>
      <c r="F13" s="661">
        <f>9-COUNTBLANK($F$4:$F$12)</f>
        <v>5</v>
      </c>
      <c r="G13" s="661"/>
      <c r="H13" s="661"/>
      <c r="I13" s="661"/>
      <c r="J13" s="661"/>
      <c r="K13" s="666">
        <f ca="1">QUOTIENT(SUM(K4:K12),2)</f>
        <v>10</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c r="C14" s="660"/>
      <c r="D14" s="662"/>
      <c r="E14" s="660"/>
      <c r="F14" s="678"/>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10" t="s">
        <v>96</v>
      </c>
      <c r="D16" s="710" t="s">
        <v>101</v>
      </c>
      <c r="E16" s="710" t="s">
        <v>102</v>
      </c>
      <c r="F16" s="710" t="s">
        <v>103</v>
      </c>
      <c r="G16" s="710" t="s">
        <v>104</v>
      </c>
      <c r="H16" s="710" t="s">
        <v>105</v>
      </c>
      <c r="I16" s="710" t="s">
        <v>106</v>
      </c>
      <c r="J16" s="710" t="s">
        <v>107</v>
      </c>
      <c r="K16" s="710" t="s">
        <v>392</v>
      </c>
      <c r="L16" s="3" t="s">
        <v>319</v>
      </c>
      <c r="M16" s="664" t="s">
        <v>95</v>
      </c>
      <c r="N16" s="664" t="s">
        <v>14</v>
      </c>
      <c r="O16" s="682">
        <v>1</v>
      </c>
      <c r="P16" s="662">
        <v>2</v>
      </c>
      <c r="Q16" s="662">
        <v>3</v>
      </c>
      <c r="R16" s="662">
        <v>4</v>
      </c>
      <c r="S16" s="662">
        <v>5</v>
      </c>
      <c r="T16" s="662">
        <v>6</v>
      </c>
      <c r="U16" s="662">
        <v>7</v>
      </c>
      <c r="V16" s="662">
        <v>8</v>
      </c>
      <c r="W16" s="3" t="s">
        <v>97</v>
      </c>
      <c r="X16" s="651" t="s">
        <v>163</v>
      </c>
      <c r="Y16" s="3" t="s">
        <v>393</v>
      </c>
      <c r="Z16" s="651" t="s">
        <v>394</v>
      </c>
      <c r="AA16" s="662" t="s">
        <v>317</v>
      </c>
      <c r="AB16" s="662" t="s">
        <v>107</v>
      </c>
      <c r="AC16" s="662" t="s">
        <v>105</v>
      </c>
      <c r="AD16" s="683" t="s">
        <v>395</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$Q64</f>
        <v>Mainz 05</v>
      </c>
      <c r="D17" s="662">
        <f t="shared" ref="D17:G25" ca="1" si="36">K4</f>
        <v>4</v>
      </c>
      <c r="E17" s="662">
        <f t="shared" ca="1" si="36"/>
        <v>1</v>
      </c>
      <c r="F17" s="662">
        <f t="shared" ca="1" si="36"/>
        <v>1</v>
      </c>
      <c r="G17" s="662">
        <f t="shared" ca="1" si="36"/>
        <v>2</v>
      </c>
      <c r="H17" s="662">
        <f t="shared" ref="H17:J25" ca="1" si="37">G4</f>
        <v>161</v>
      </c>
      <c r="I17" s="662">
        <f t="shared" ca="1" si="37"/>
        <v>182</v>
      </c>
      <c r="J17" s="661">
        <f t="shared" ca="1" si="37"/>
        <v>0.88461538461538458</v>
      </c>
      <c r="K17" s="662">
        <f ca="1">IF(Settings!$G$9,J4,$AT4)</f>
        <v>3</v>
      </c>
      <c r="L17" s="686">
        <f ca="1">K17*$F$64+(AU4+$H$65)*$F$65*Settings!$G$14+AT4*$F$66*Settings!$G$19+AX4*$F$67</f>
        <v>3000000.0049999999</v>
      </c>
      <c r="M17" s="678">
        <f ca="1">IF($AI$15,COUNTIF($K$17:$K$25,K17),COUNTIF($L$17:$L$25,L17))</f>
        <v>1</v>
      </c>
      <c r="N17" s="678">
        <f t="array" aca="1" ref="N17" ca="1">IF($AI$15,SUM(($K$17:$K$25&gt;=K17)/COUNTIF($K$17:$K$25,$K$17:$K$25)),SUM(($L$17:$L$25&gt;=L17)/COUNTIF($L$17:$L$25,$L$17:$L$25)))</f>
        <v>5</v>
      </c>
      <c r="O17" s="687" t="str">
        <f t="shared" ref="O17:O25" ca="1" si="38">IF(AND(M17&gt;1,N17=1),C17,"")</f>
        <v/>
      </c>
      <c r="P17" s="688" t="str">
        <f t="shared" ref="P17:P25" ca="1" si="39">IF(AND(M17&gt;1,N17=2),C17,"")</f>
        <v/>
      </c>
      <c r="Q17" s="688" t="str">
        <f t="shared" ref="Q17:Q25" ca="1" si="40">IF(AND(M17&gt;1,N17=3),C17,"")</f>
        <v/>
      </c>
      <c r="R17" s="688" t="str">
        <f t="shared" ref="R17:R25" ca="1" si="41">IF(AND(M17&gt;1,N17=4),C17,"")</f>
        <v/>
      </c>
      <c r="S17" s="688" t="str">
        <f t="shared" ref="S17:S25" ca="1" si="42">IF(AND(M17&gt;1,N17=5),C17,"")</f>
        <v/>
      </c>
      <c r="T17" s="688" t="str">
        <f t="shared" ref="T17:T25" ca="1" si="43">IF(AND($M17&gt;1,$N17=6),$C17,"")</f>
        <v/>
      </c>
      <c r="U17" s="688" t="str">
        <f t="shared" ref="U17:U25" ca="1" si="44">IF(AND($M17&gt;1,$N17=7),$C17,"")</f>
        <v/>
      </c>
      <c r="V17" s="689" t="str">
        <f t="shared" ref="V17:V25" ca="1" si="45">IF(AND($M17&gt;1,$N17=8),$C17,"")</f>
        <v/>
      </c>
      <c r="W17" s="690">
        <f ca="1">AA17*$F$64+(AB17+$H$65)*$F$65</f>
        <v>500000</v>
      </c>
      <c r="X17" s="670">
        <f ca="1">RANK($L17,$L$17:$L$25)+RANK($W17,$W$17:$W$25)/100+(9-$Y17)/10000+($C17="")*100</f>
        <v>5.0108999999999995</v>
      </c>
      <c r="Y17" s="661">
        <f>PreliminaryRound!$AX22+$AD17</f>
        <v>0</v>
      </c>
      <c r="Z17" s="662">
        <f ca="1">RANK($W17,$W$17:$W$25)+(9-$Y17)/10</f>
        <v>1.9</v>
      </c>
      <c r="AA17" s="662">
        <f ca="1">SUM(E30:BP30)</f>
        <v>0</v>
      </c>
      <c r="AB17" s="662">
        <f ca="1">SUM(E41:BP41)</f>
        <v>0</v>
      </c>
      <c r="AC17" s="662">
        <f ca="1">SUM(E52:BP52)</f>
        <v>0</v>
      </c>
      <c r="AD17" s="661">
        <f>IF($C17="",0,COUNTIF(Playoffs!$U$12:$U$17,$C17))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si="46">$Q65</f>
        <v>Inter Mailand</v>
      </c>
      <c r="D18" s="662">
        <f t="shared" ca="1" si="36"/>
        <v>4</v>
      </c>
      <c r="E18" s="662">
        <f t="shared" ca="1" si="36"/>
        <v>2</v>
      </c>
      <c r="F18" s="662">
        <f t="shared" ca="1" si="36"/>
        <v>2</v>
      </c>
      <c r="G18" s="662">
        <f t="shared" ca="1" si="36"/>
        <v>0</v>
      </c>
      <c r="H18" s="662">
        <f t="shared" ca="1" si="37"/>
        <v>158</v>
      </c>
      <c r="I18" s="662">
        <f t="shared" ca="1" si="37"/>
        <v>133</v>
      </c>
      <c r="J18" s="661">
        <f t="shared" ca="1" si="37"/>
        <v>1.1879699248120301</v>
      </c>
      <c r="K18" s="662">
        <f ca="1">IF(Settings!$G$9,J5,$AT5)</f>
        <v>5</v>
      </c>
      <c r="L18" s="686">
        <f ca="1">K18*$F$64+(AU5+$H$65)*$F$65*Settings!$G$14+AT5*$F$66*Settings!$G$19+AX5*$F$67</f>
        <v>5000000.0089999996</v>
      </c>
      <c r="M18" s="678">
        <f t="shared" ref="M18:M25" ca="1" si="47">IF($AI$15,COUNTIF($K$17:$K$25,K18),COUNTIF($L$17:$L$25,L18))</f>
        <v>1</v>
      </c>
      <c r="N18" s="678">
        <f t="array" aca="1" ref="N18" ca="1">IF($AI$15,SUM(($K$17:$K$25&gt;=K18)/COUNTIF($K$17:$K$25,$K$17:$K$25)),SUM(($L$17:$L$25&gt;=L18)/COUNTIF($L$17:$L$25,$L$17:$L$25)))</f>
        <v>1</v>
      </c>
      <c r="O18" s="692" t="str">
        <f t="shared" ca="1" si="38"/>
        <v/>
      </c>
      <c r="P18" s="681" t="str">
        <f t="shared" ca="1" si="39"/>
        <v/>
      </c>
      <c r="Q18" s="681" t="str">
        <f t="shared" ca="1" si="40"/>
        <v/>
      </c>
      <c r="R18" s="681" t="str">
        <f t="shared" ca="1" si="41"/>
        <v/>
      </c>
      <c r="S18" s="681" t="str">
        <f t="shared" ca="1" si="42"/>
        <v/>
      </c>
      <c r="T18" s="681" t="str">
        <f t="shared" ca="1" si="43"/>
        <v/>
      </c>
      <c r="U18" s="681" t="str">
        <f t="shared" ca="1" si="44"/>
        <v/>
      </c>
      <c r="V18" s="693" t="str">
        <f t="shared" ca="1" si="45"/>
        <v/>
      </c>
      <c r="W18" s="690">
        <f t="shared" ref="W18:W25" ca="1" si="48">AA18*$F$64+(AB18+$H$65)*$F$65</f>
        <v>500000</v>
      </c>
      <c r="X18" s="673">
        <f t="shared" ref="X18:X25" ca="1" si="49">RANK($L18,$L$17:$L$25)+RANK($W18,$W$17:$W$25)/100+(9-$Y18)/10000+($C18="")*100</f>
        <v>1.0108999999999999</v>
      </c>
      <c r="Y18" s="661">
        <f>PreliminaryRound!$AX23+$AD18</f>
        <v>0</v>
      </c>
      <c r="Z18" s="662">
        <f t="shared" ref="Z18:Z25" ca="1" si="50">RANK($W18,$W$17:$W$25)+(9-$Y18)/10</f>
        <v>1.9</v>
      </c>
      <c r="AA18" s="662">
        <f t="shared" ref="AA18:AA25" ca="1" si="51">SUM(E31:BP31)</f>
        <v>0</v>
      </c>
      <c r="AB18" s="662">
        <f t="shared" ref="AB18:AB25" ca="1" si="52">SUM(E42:BP42)</f>
        <v>0</v>
      </c>
      <c r="AC18" s="662">
        <f t="shared" ref="AC18:AC25" ca="1" si="53">SUM(E53:BP53)</f>
        <v>0</v>
      </c>
      <c r="AD18" s="661">
        <f>IF($C18="",0,COUNTIF(Playoffs!$U$12:$U$17,$C18))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si="46"/>
        <v>SSV Wildbach</v>
      </c>
      <c r="D19" s="662">
        <f t="shared" ca="1" si="36"/>
        <v>4</v>
      </c>
      <c r="E19" s="662">
        <f t="shared" ca="1" si="36"/>
        <v>1</v>
      </c>
      <c r="F19" s="662">
        <f t="shared" ca="1" si="36"/>
        <v>2</v>
      </c>
      <c r="G19" s="662">
        <f t="shared" ca="1" si="36"/>
        <v>1</v>
      </c>
      <c r="H19" s="662">
        <f t="shared" ca="1" si="37"/>
        <v>169</v>
      </c>
      <c r="I19" s="662">
        <f t="shared" ca="1" si="37"/>
        <v>180</v>
      </c>
      <c r="J19" s="661">
        <f t="shared" ca="1" si="37"/>
        <v>0.93888888888888888</v>
      </c>
      <c r="K19" s="662">
        <f ca="1">IF(Settings!$G$9,J6,$AT6)</f>
        <v>4</v>
      </c>
      <c r="L19" s="686">
        <f ca="1">K19*$F$64+(AU6+$H$65)*$F$65*Settings!$G$14+AT6*$F$66*Settings!$G$19+AX6*$F$67</f>
        <v>4000000.0070000002</v>
      </c>
      <c r="M19" s="678">
        <f t="shared" ca="1" si="47"/>
        <v>1</v>
      </c>
      <c r="N19" s="678">
        <f t="array" aca="1" ref="N19" ca="1">IF($AI$15,SUM(($K$17:$K$25&gt;=K19)/COUNTIF($K$17:$K$25,$K$17:$K$25)),SUM(($L$17:$L$25&gt;=L19)/COUNTIF($L$17:$L$25,$L$17:$L$25)))</f>
        <v>3</v>
      </c>
      <c r="O19" s="692" t="str">
        <f t="shared" ca="1" si="38"/>
        <v/>
      </c>
      <c r="P19" s="681" t="str">
        <f t="shared" ca="1" si="39"/>
        <v/>
      </c>
      <c r="Q19" s="681" t="str">
        <f t="shared" ca="1" si="40"/>
        <v/>
      </c>
      <c r="R19" s="681" t="str">
        <f t="shared" ca="1" si="41"/>
        <v/>
      </c>
      <c r="S19" s="681" t="str">
        <f t="shared" ca="1" si="42"/>
        <v/>
      </c>
      <c r="T19" s="681" t="str">
        <f t="shared" ca="1" si="43"/>
        <v/>
      </c>
      <c r="U19" s="681" t="str">
        <f t="shared" ca="1" si="44"/>
        <v/>
      </c>
      <c r="V19" s="693" t="str">
        <f t="shared" ca="1" si="45"/>
        <v/>
      </c>
      <c r="W19" s="690">
        <f t="shared" ca="1" si="48"/>
        <v>500000</v>
      </c>
      <c r="X19" s="673">
        <f t="shared" ca="1" si="49"/>
        <v>3.0108999999999999</v>
      </c>
      <c r="Y19" s="661">
        <f>PreliminaryRound!$AX24+$AD19</f>
        <v>0</v>
      </c>
      <c r="Z19" s="662">
        <f t="shared" ca="1" si="50"/>
        <v>1.9</v>
      </c>
      <c r="AA19" s="662">
        <f t="shared" ca="1" si="51"/>
        <v>0</v>
      </c>
      <c r="AB19" s="662">
        <f t="shared" ca="1" si="52"/>
        <v>0</v>
      </c>
      <c r="AC19" s="662">
        <f t="shared" ca="1" si="53"/>
        <v>0</v>
      </c>
      <c r="AD19" s="661">
        <f>IF($C19="",0,COUNTIF(Playoffs!$U$12:$U$17,$C19))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si="46"/>
        <v>Manchester City</v>
      </c>
      <c r="D20" s="662">
        <f t="shared" ca="1" si="36"/>
        <v>4</v>
      </c>
      <c r="E20" s="662">
        <f t="shared" ca="1" si="36"/>
        <v>1</v>
      </c>
      <c r="F20" s="662">
        <f t="shared" ca="1" si="36"/>
        <v>2</v>
      </c>
      <c r="G20" s="662">
        <f t="shared" ca="1" si="36"/>
        <v>1</v>
      </c>
      <c r="H20" s="662">
        <f t="shared" ca="1" si="37"/>
        <v>184</v>
      </c>
      <c r="I20" s="662">
        <f t="shared" ca="1" si="37"/>
        <v>160</v>
      </c>
      <c r="J20" s="661">
        <f t="shared" ca="1" si="37"/>
        <v>1.1499999999999999</v>
      </c>
      <c r="K20" s="662">
        <f ca="1">IF(Settings!$G$9,J7,$AT7)</f>
        <v>4</v>
      </c>
      <c r="L20" s="686">
        <f ca="1">K20*$F$64+(AU7+$H$65)*$F$65*Settings!$G$14+AT7*$F$66*Settings!$G$19+AX7*$F$67</f>
        <v>4000000.0079999999</v>
      </c>
      <c r="M20" s="678">
        <f t="shared" ca="1" si="47"/>
        <v>1</v>
      </c>
      <c r="N20" s="678">
        <f t="array" aca="1" ref="N20" ca="1">IF($AI$15,SUM(($K$17:$K$25&gt;=K20)/COUNTIF($K$17:$K$25,$K$17:$K$25)),SUM(($L$17:$L$25&gt;=L20)/COUNTIF($L$17:$L$25,$L$17:$L$25)))</f>
        <v>2</v>
      </c>
      <c r="O20" s="692" t="str">
        <f t="shared" ca="1" si="38"/>
        <v/>
      </c>
      <c r="P20" s="681" t="str">
        <f t="shared" ca="1" si="39"/>
        <v/>
      </c>
      <c r="Q20" s="681" t="str">
        <f t="shared" ca="1" si="40"/>
        <v/>
      </c>
      <c r="R20" s="681" t="str">
        <f t="shared" ca="1" si="41"/>
        <v/>
      </c>
      <c r="S20" s="681" t="str">
        <f t="shared" ca="1" si="42"/>
        <v/>
      </c>
      <c r="T20" s="681" t="str">
        <f t="shared" ca="1" si="43"/>
        <v/>
      </c>
      <c r="U20" s="681" t="str">
        <f t="shared" ca="1" si="44"/>
        <v/>
      </c>
      <c r="V20" s="693" t="str">
        <f t="shared" ca="1" si="45"/>
        <v/>
      </c>
      <c r="W20" s="690">
        <f t="shared" ca="1" si="48"/>
        <v>500000</v>
      </c>
      <c r="X20" s="673">
        <f t="shared" ca="1" si="49"/>
        <v>2.0108999999999999</v>
      </c>
      <c r="Y20" s="661">
        <f>PreliminaryRound!$AX25+$AD20</f>
        <v>0</v>
      </c>
      <c r="Z20" s="662">
        <f t="shared" ca="1" si="50"/>
        <v>1.9</v>
      </c>
      <c r="AA20" s="662">
        <f t="shared" ca="1" si="51"/>
        <v>0</v>
      </c>
      <c r="AB20" s="662">
        <f t="shared" ca="1" si="52"/>
        <v>0</v>
      </c>
      <c r="AC20" s="662">
        <f t="shared" ca="1" si="53"/>
        <v>0</v>
      </c>
      <c r="AD20" s="661">
        <f>IF($C20="",0,COUNTIF(Playoffs!$U$12:$U$17,$C20))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46"/>
        <v>FC Grönlingen</v>
      </c>
      <c r="D21" s="662">
        <f t="shared" ca="1" si="36"/>
        <v>4</v>
      </c>
      <c r="E21" s="662">
        <f t="shared" ca="1" si="36"/>
        <v>1</v>
      </c>
      <c r="F21" s="662">
        <f t="shared" ca="1" si="36"/>
        <v>1</v>
      </c>
      <c r="G21" s="662">
        <f t="shared" ca="1" si="36"/>
        <v>2</v>
      </c>
      <c r="H21" s="662">
        <f t="shared" ca="1" si="37"/>
        <v>141</v>
      </c>
      <c r="I21" s="662">
        <f t="shared" ca="1" si="37"/>
        <v>158</v>
      </c>
      <c r="J21" s="661">
        <f t="shared" ca="1" si="37"/>
        <v>0.89240506329113922</v>
      </c>
      <c r="K21" s="662">
        <f ca="1">IF(Settings!$G$9,J8,$AT8)</f>
        <v>3</v>
      </c>
      <c r="L21" s="686">
        <f ca="1">K21*$F$64+(AU8+$H$65)*$F$65*Settings!$G$14+AT8*$F$66*Settings!$G$19+AX8*$F$67</f>
        <v>3000000.0060000001</v>
      </c>
      <c r="M21" s="678">
        <f t="shared" ca="1" si="47"/>
        <v>1</v>
      </c>
      <c r="N21" s="678">
        <f t="array" aca="1" ref="N21" ca="1">IF($AI$15,SUM(($K$17:$K$25&gt;=K21)/COUNTIF($K$17:$K$25,$K$17:$K$25)),SUM(($L$17:$L$25&gt;=L21)/COUNTIF($L$17:$L$25,$L$17:$L$25)))</f>
        <v>4</v>
      </c>
      <c r="O21" s="692" t="str">
        <f t="shared" ca="1" si="38"/>
        <v/>
      </c>
      <c r="P21" s="681" t="str">
        <f t="shared" ca="1" si="39"/>
        <v/>
      </c>
      <c r="Q21" s="681" t="str">
        <f t="shared" ca="1" si="40"/>
        <v/>
      </c>
      <c r="R21" s="681" t="str">
        <f t="shared" ca="1" si="41"/>
        <v/>
      </c>
      <c r="S21" s="681" t="str">
        <f t="shared" ca="1" si="42"/>
        <v/>
      </c>
      <c r="T21" s="681" t="str">
        <f t="shared" ca="1" si="43"/>
        <v/>
      </c>
      <c r="U21" s="681" t="str">
        <f t="shared" ca="1" si="44"/>
        <v/>
      </c>
      <c r="V21" s="693" t="str">
        <f t="shared" ca="1" si="45"/>
        <v/>
      </c>
      <c r="W21" s="690">
        <f t="shared" ca="1" si="48"/>
        <v>500000</v>
      </c>
      <c r="X21" s="673">
        <f t="shared" ca="1" si="49"/>
        <v>4.0108999999999995</v>
      </c>
      <c r="Y21" s="661">
        <f>PreliminaryRound!$AX26+$AD21</f>
        <v>0</v>
      </c>
      <c r="Z21" s="662">
        <f t="shared" ca="1" si="50"/>
        <v>1.9</v>
      </c>
      <c r="AA21" s="662">
        <f t="shared" ca="1" si="51"/>
        <v>0</v>
      </c>
      <c r="AB21" s="662">
        <f t="shared" ca="1" si="52"/>
        <v>0</v>
      </c>
      <c r="AC21" s="662">
        <f t="shared" ca="1" si="53"/>
        <v>0</v>
      </c>
      <c r="AD21" s="661">
        <f>IF($C21="",0,COUNTIF(Playoffs!$U$12:$U$17,$C21))</f>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46"/>
        <v/>
      </c>
      <c r="D22" s="662">
        <f t="shared" ca="1" si="36"/>
        <v>0</v>
      </c>
      <c r="E22" s="662">
        <f t="shared" ca="1" si="36"/>
        <v>0</v>
      </c>
      <c r="F22" s="662">
        <f t="shared" ca="1" si="36"/>
        <v>0</v>
      </c>
      <c r="G22" s="662">
        <f t="shared" ca="1" si="36"/>
        <v>0</v>
      </c>
      <c r="H22" s="662">
        <f t="shared" ca="1" si="37"/>
        <v>0</v>
      </c>
      <c r="I22" s="662">
        <f t="shared" ca="1" si="37"/>
        <v>0</v>
      </c>
      <c r="J22" s="661">
        <f t="shared" ca="1" si="37"/>
        <v>0</v>
      </c>
      <c r="K22" s="662">
        <f ca="1">IF(Settings!$G$9,J9,$AT9)</f>
        <v>0</v>
      </c>
      <c r="L22" s="686">
        <f ca="1">K22*$F$64+(AU9+$H$65)*$F$65*Settings!$G$14+AT9*$F$66*Settings!$G$19+AX9*$F$67</f>
        <v>1E-3</v>
      </c>
      <c r="M22" s="678">
        <f t="shared" ca="1" si="47"/>
        <v>4</v>
      </c>
      <c r="N22" s="678">
        <f t="array" aca="1" ref="N22" ca="1">IF($AI$15,SUM(($K$17:$K$25&gt;=K22)/COUNTIF($K$17:$K$25,$K$17:$K$25)),SUM(($L$17:$L$25&gt;=L22)/COUNTIF($L$17:$L$25,$L$17:$L$25)))</f>
        <v>6</v>
      </c>
      <c r="O22" s="692" t="str">
        <f t="shared" ca="1" si="38"/>
        <v/>
      </c>
      <c r="P22" s="681" t="str">
        <f t="shared" ca="1" si="39"/>
        <v/>
      </c>
      <c r="Q22" s="681" t="str">
        <f t="shared" ca="1" si="40"/>
        <v/>
      </c>
      <c r="R22" s="681" t="str">
        <f t="shared" ca="1" si="41"/>
        <v/>
      </c>
      <c r="S22" s="681" t="str">
        <f t="shared" ca="1" si="42"/>
        <v/>
      </c>
      <c r="T22" s="681" t="str">
        <f t="shared" ca="1" si="43"/>
        <v/>
      </c>
      <c r="U22" s="681" t="str">
        <f t="shared" ca="1" si="44"/>
        <v/>
      </c>
      <c r="V22" s="693" t="str">
        <f t="shared" ca="1" si="45"/>
        <v/>
      </c>
      <c r="W22" s="690">
        <f t="shared" ca="1" si="48"/>
        <v>500000</v>
      </c>
      <c r="X22" s="673">
        <f t="shared" ca="1" si="49"/>
        <v>106.01089999999999</v>
      </c>
      <c r="Y22" s="661">
        <f>PreliminaryRound!$AX27+$AD22</f>
        <v>0</v>
      </c>
      <c r="Z22" s="662">
        <f t="shared" ca="1" si="50"/>
        <v>1.9</v>
      </c>
      <c r="AA22" s="662">
        <f t="shared" ca="1" si="51"/>
        <v>0</v>
      </c>
      <c r="AB22" s="662">
        <f t="shared" ca="1" si="52"/>
        <v>0</v>
      </c>
      <c r="AC22" s="662">
        <f t="shared" ca="1" si="53"/>
        <v>0</v>
      </c>
      <c r="AD22" s="661">
        <f>IF($C22="",0,COUNTIF(Playoffs!$U$12:$U$17,$C22))</f>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46"/>
        <v/>
      </c>
      <c r="D23" s="662">
        <f t="shared" ca="1" si="36"/>
        <v>0</v>
      </c>
      <c r="E23" s="662">
        <f t="shared" ca="1" si="36"/>
        <v>0</v>
      </c>
      <c r="F23" s="662">
        <f t="shared" ca="1" si="36"/>
        <v>0</v>
      </c>
      <c r="G23" s="662">
        <f t="shared" ca="1" si="36"/>
        <v>0</v>
      </c>
      <c r="H23" s="662">
        <f t="shared" ca="1" si="37"/>
        <v>0</v>
      </c>
      <c r="I23" s="662">
        <f t="shared" ca="1" si="37"/>
        <v>0</v>
      </c>
      <c r="J23" s="661">
        <f t="shared" ca="1" si="37"/>
        <v>0</v>
      </c>
      <c r="K23" s="662">
        <f ca="1">IF(Settings!$G$9,J10,$AT10)</f>
        <v>0</v>
      </c>
      <c r="L23" s="686">
        <f ca="1">K23*$F$64+(AU10+$H$65)*$F$65*Settings!$G$14+AT10*$F$66*Settings!$G$19+AX10*$F$67</f>
        <v>1E-3</v>
      </c>
      <c r="M23" s="678">
        <f t="shared" ca="1" si="47"/>
        <v>4</v>
      </c>
      <c r="N23" s="678">
        <f t="array" aca="1" ref="N23" ca="1">IF($AI$15,SUM(($K$17:$K$25&gt;=K23)/COUNTIF($K$17:$K$25,$K$17:$K$25)),SUM(($L$17:$L$25&gt;=L23)/COUNTIF($L$17:$L$25,$L$17:$L$25)))</f>
        <v>6</v>
      </c>
      <c r="O23" s="692" t="str">
        <f t="shared" ca="1" si="38"/>
        <v/>
      </c>
      <c r="P23" s="681" t="str">
        <f t="shared" ca="1" si="39"/>
        <v/>
      </c>
      <c r="Q23" s="681" t="str">
        <f t="shared" ca="1" si="40"/>
        <v/>
      </c>
      <c r="R23" s="681" t="str">
        <f t="shared" ca="1" si="41"/>
        <v/>
      </c>
      <c r="S23" s="681" t="str">
        <f t="shared" ca="1" si="42"/>
        <v/>
      </c>
      <c r="T23" s="681" t="str">
        <f t="shared" ca="1" si="43"/>
        <v/>
      </c>
      <c r="U23" s="681" t="str">
        <f t="shared" ca="1" si="44"/>
        <v/>
      </c>
      <c r="V23" s="693" t="str">
        <f t="shared" ca="1" si="45"/>
        <v/>
      </c>
      <c r="W23" s="690">
        <f t="shared" ca="1" si="48"/>
        <v>500000</v>
      </c>
      <c r="X23" s="673">
        <f t="shared" ca="1" si="49"/>
        <v>106.01089999999999</v>
      </c>
      <c r="Y23" s="661">
        <v>0</v>
      </c>
      <c r="Z23" s="662">
        <f t="shared" ca="1" si="50"/>
        <v>1.9</v>
      </c>
      <c r="AA23" s="662">
        <f t="shared" ca="1" si="51"/>
        <v>0</v>
      </c>
      <c r="AB23" s="662">
        <f t="shared" ca="1" si="52"/>
        <v>0</v>
      </c>
      <c r="AC23" s="662">
        <f t="shared" ca="1" si="53"/>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46"/>
        <v/>
      </c>
      <c r="D24" s="662">
        <f t="shared" ca="1" si="36"/>
        <v>0</v>
      </c>
      <c r="E24" s="662">
        <f t="shared" ca="1" si="36"/>
        <v>0</v>
      </c>
      <c r="F24" s="662">
        <f t="shared" ca="1" si="36"/>
        <v>0</v>
      </c>
      <c r="G24" s="662">
        <f t="shared" ca="1" si="36"/>
        <v>0</v>
      </c>
      <c r="H24" s="662">
        <f t="shared" ca="1" si="37"/>
        <v>0</v>
      </c>
      <c r="I24" s="662">
        <f t="shared" ca="1" si="37"/>
        <v>0</v>
      </c>
      <c r="J24" s="661">
        <f t="shared" ca="1" si="37"/>
        <v>0</v>
      </c>
      <c r="K24" s="662">
        <f ca="1">IF(Settings!$G$9,J11,$AT11)</f>
        <v>0</v>
      </c>
      <c r="L24" s="686">
        <f ca="1">K24*$F$64+(AU11+$H$65)*$F$65*Settings!$G$14+AT11*$F$66*Settings!$G$19+AX11*$F$67</f>
        <v>1E-3</v>
      </c>
      <c r="M24" s="678">
        <f t="shared" ca="1" si="47"/>
        <v>4</v>
      </c>
      <c r="N24" s="678">
        <f t="array" aca="1" ref="N24" ca="1">IF($AI$15,SUM(($K$17:$K$25&gt;=K24)/COUNTIF($K$17:$K$25,$K$17:$K$25)),SUM(($L$17:$L$25&gt;=L24)/COUNTIF($L$17:$L$25,$L$17:$L$25)))</f>
        <v>6</v>
      </c>
      <c r="O24" s="692" t="str">
        <f t="shared" ca="1" si="38"/>
        <v/>
      </c>
      <c r="P24" s="681" t="str">
        <f t="shared" ca="1" si="39"/>
        <v/>
      </c>
      <c r="Q24" s="681" t="str">
        <f t="shared" ca="1" si="40"/>
        <v/>
      </c>
      <c r="R24" s="681" t="str">
        <f t="shared" ca="1" si="41"/>
        <v/>
      </c>
      <c r="S24" s="681" t="str">
        <f t="shared" ca="1" si="42"/>
        <v/>
      </c>
      <c r="T24" s="681" t="str">
        <f t="shared" ca="1" si="43"/>
        <v/>
      </c>
      <c r="U24" s="681" t="str">
        <f t="shared" ca="1" si="44"/>
        <v/>
      </c>
      <c r="V24" s="693" t="str">
        <f t="shared" ca="1" si="45"/>
        <v/>
      </c>
      <c r="W24" s="690">
        <f t="shared" ca="1" si="48"/>
        <v>500000</v>
      </c>
      <c r="X24" s="673">
        <f t="shared" ca="1" si="49"/>
        <v>106.01089999999999</v>
      </c>
      <c r="Y24" s="661">
        <v>0</v>
      </c>
      <c r="Z24" s="662">
        <f t="shared" ca="1" si="50"/>
        <v>1.9</v>
      </c>
      <c r="AA24" s="662">
        <f t="shared" ca="1" si="51"/>
        <v>0</v>
      </c>
      <c r="AB24" s="662">
        <f t="shared" ca="1" si="52"/>
        <v>0</v>
      </c>
      <c r="AC24" s="662">
        <f t="shared" ca="1" si="53"/>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46"/>
        <v/>
      </c>
      <c r="D25" s="662">
        <f t="shared" ca="1" si="36"/>
        <v>0</v>
      </c>
      <c r="E25" s="662">
        <f t="shared" ca="1" si="36"/>
        <v>0</v>
      </c>
      <c r="F25" s="662">
        <f t="shared" ca="1" si="36"/>
        <v>0</v>
      </c>
      <c r="G25" s="662">
        <f t="shared" ca="1" si="36"/>
        <v>0</v>
      </c>
      <c r="H25" s="662">
        <f t="shared" ca="1" si="37"/>
        <v>0</v>
      </c>
      <c r="I25" s="662">
        <f t="shared" ca="1" si="37"/>
        <v>0</v>
      </c>
      <c r="J25" s="661">
        <f t="shared" ca="1" si="37"/>
        <v>0</v>
      </c>
      <c r="K25" s="662">
        <f ca="1">IF(Settings!$G$9,J12,$AT12)</f>
        <v>0</v>
      </c>
      <c r="L25" s="686">
        <f ca="1">K25*$F$64+(AU12+$H$65)*$F$65*Settings!$G$14+AT12*$F$66*Settings!$G$19+AX12*$F$67</f>
        <v>1E-3</v>
      </c>
      <c r="M25" s="678">
        <f t="shared" ca="1" si="47"/>
        <v>4</v>
      </c>
      <c r="N25" s="678">
        <f t="array" aca="1" ref="N25" ca="1">IF($AI$15,SUM(($K$17:$K$25&gt;=K25)/COUNTIF($K$17:$K$25,$K$17:$K$25)),SUM(($L$17:$L$25&gt;=L25)/COUNTIF($L$17:$L$25,$L$17:$L$25)))</f>
        <v>6</v>
      </c>
      <c r="O25" s="694" t="str">
        <f t="shared" ca="1" si="38"/>
        <v/>
      </c>
      <c r="P25" s="695" t="str">
        <f t="shared" ca="1" si="39"/>
        <v/>
      </c>
      <c r="Q25" s="695" t="str">
        <f t="shared" ca="1" si="40"/>
        <v/>
      </c>
      <c r="R25" s="695" t="str">
        <f t="shared" ca="1" si="41"/>
        <v/>
      </c>
      <c r="S25" s="695" t="str">
        <f t="shared" ca="1" si="42"/>
        <v/>
      </c>
      <c r="T25" s="695" t="str">
        <f t="shared" ca="1" si="43"/>
        <v/>
      </c>
      <c r="U25" s="695" t="str">
        <f t="shared" ca="1" si="44"/>
        <v/>
      </c>
      <c r="V25" s="696" t="str">
        <f t="shared" ca="1" si="45"/>
        <v/>
      </c>
      <c r="W25" s="690">
        <f t="shared" ca="1" si="48"/>
        <v>500000</v>
      </c>
      <c r="X25" s="676">
        <f t="shared" ca="1" si="49"/>
        <v>106.01089999999999</v>
      </c>
      <c r="Y25" s="661">
        <v>0</v>
      </c>
      <c r="Z25" s="662">
        <f t="shared" ca="1" si="50"/>
        <v>1.9</v>
      </c>
      <c r="AA25" s="662">
        <f t="shared" ca="1" si="51"/>
        <v>0</v>
      </c>
      <c r="AB25" s="662">
        <f t="shared" ca="1" si="52"/>
        <v>0</v>
      </c>
      <c r="AC25" s="662">
        <f t="shared" ca="1" si="53"/>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396</v>
      </c>
      <c r="C29" s="660"/>
      <c r="D29" s="660"/>
      <c r="E29" s="1031">
        <v>1</v>
      </c>
      <c r="F29" s="1032"/>
      <c r="G29" s="1032"/>
      <c r="H29" s="1032"/>
      <c r="I29" s="1032"/>
      <c r="J29" s="1032"/>
      <c r="K29" s="1032"/>
      <c r="L29" s="1033"/>
      <c r="M29" s="1034">
        <v>2</v>
      </c>
      <c r="N29" s="1032"/>
      <c r="O29" s="1032"/>
      <c r="P29" s="1032"/>
      <c r="Q29" s="1032"/>
      <c r="R29" s="1032"/>
      <c r="S29" s="1032"/>
      <c r="T29" s="1033"/>
      <c r="U29" s="1034">
        <v>3</v>
      </c>
      <c r="V29" s="1032"/>
      <c r="W29" s="1032"/>
      <c r="X29" s="1032"/>
      <c r="Y29" s="1032"/>
      <c r="Z29" s="1032"/>
      <c r="AA29" s="1032"/>
      <c r="AB29" s="1033"/>
      <c r="AC29" s="1034">
        <v>4</v>
      </c>
      <c r="AD29" s="1032"/>
      <c r="AE29" s="1032"/>
      <c r="AF29" s="1032"/>
      <c r="AG29" s="1032"/>
      <c r="AH29" s="1032"/>
      <c r="AI29" s="1032"/>
      <c r="AJ29" s="1033"/>
      <c r="AK29" s="1034">
        <v>5</v>
      </c>
      <c r="AL29" s="1032"/>
      <c r="AM29" s="1032"/>
      <c r="AN29" s="1032"/>
      <c r="AO29" s="1032"/>
      <c r="AP29" s="1032"/>
      <c r="AQ29" s="1032"/>
      <c r="AR29" s="1033"/>
      <c r="AS29" s="1034">
        <v>6</v>
      </c>
      <c r="AT29" s="1032"/>
      <c r="AU29" s="1032"/>
      <c r="AV29" s="1032"/>
      <c r="AW29" s="1032"/>
      <c r="AX29" s="1032"/>
      <c r="AY29" s="1032"/>
      <c r="AZ29" s="1033"/>
      <c r="BA29" s="1034">
        <v>7</v>
      </c>
      <c r="BB29" s="1032"/>
      <c r="BC29" s="1032"/>
      <c r="BD29" s="1032"/>
      <c r="BE29" s="1032"/>
      <c r="BF29" s="1032"/>
      <c r="BG29" s="1032"/>
      <c r="BH29" s="1033"/>
      <c r="BI29" s="1034">
        <v>8</v>
      </c>
      <c r="BJ29" s="1032"/>
      <c r="BK29" s="1032"/>
      <c r="BL29" s="1032"/>
      <c r="BM29" s="1032"/>
      <c r="BN29" s="1032"/>
      <c r="BO29" s="1032"/>
      <c r="BP29" s="1035"/>
      <c r="BQ29" s="661"/>
      <c r="BR29" s="697" t="s">
        <v>94</v>
      </c>
      <c r="BS29" s="660" t="str">
        <f>$F$4</f>
        <v>Mainz 05</v>
      </c>
      <c r="BT29" s="660" t="str">
        <f>$F$5</f>
        <v>Inter Mailand</v>
      </c>
      <c r="BU29" s="660" t="str">
        <f>$F$6</f>
        <v>SSV Wildbach</v>
      </c>
      <c r="BV29" s="660" t="str">
        <f>$F$7</f>
        <v>Manchester City</v>
      </c>
      <c r="BW29" s="660" t="str">
        <f>$F$8</f>
        <v>FC Grönlingen</v>
      </c>
      <c r="BX29" s="660" t="str">
        <f>$F$9</f>
        <v/>
      </c>
      <c r="BY29" s="660" t="str">
        <f>$F$10</f>
        <v/>
      </c>
      <c r="BZ29" s="660" t="str">
        <f>$F$11</f>
        <v/>
      </c>
      <c r="CA29" s="660" t="str">
        <f>$F$12</f>
        <v/>
      </c>
      <c r="CB29" s="699"/>
    </row>
    <row r="30" spans="1:80" s="1" customFormat="1" x14ac:dyDescent="0.2">
      <c r="A30" s="660"/>
      <c r="B30" s="660"/>
      <c r="C30" s="660" t="str">
        <f>$Q64</f>
        <v>Mainz 05</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si="54">F4</f>
        <v>Mainz 05</v>
      </c>
      <c r="BS30" s="702"/>
      <c r="BT30" s="703">
        <f t="shared" ref="BT30:CA30" ca="1" si="55">SUMIFS($AH$64:$AH$135,$V$64:$V$135,$BR30,$W$64:$W$135,BT$29)+SUMIFS($AI$64:$AI$135,$W$64:$W$135,$BR30,$V$64:$V$135,BT$29)</f>
        <v>33</v>
      </c>
      <c r="BU30" s="703">
        <f t="shared" ca="1" si="55"/>
        <v>50</v>
      </c>
      <c r="BV30" s="703">
        <f t="shared" ca="1" si="55"/>
        <v>39</v>
      </c>
      <c r="BW30" s="703">
        <f t="shared" ca="1" si="55"/>
        <v>39</v>
      </c>
      <c r="BX30" s="703">
        <f t="shared" ca="1" si="55"/>
        <v>0</v>
      </c>
      <c r="BY30" s="703">
        <f t="shared" ca="1" si="55"/>
        <v>0</v>
      </c>
      <c r="BZ30" s="703">
        <f t="shared" ca="1" si="55"/>
        <v>0</v>
      </c>
      <c r="CA30" s="703">
        <f t="shared" ca="1" si="55"/>
        <v>0</v>
      </c>
      <c r="CB30" s="681"/>
    </row>
    <row r="31" spans="1:80" s="1" customFormat="1" x14ac:dyDescent="0.2">
      <c r="A31" s="660"/>
      <c r="B31" s="660"/>
      <c r="C31" s="660" t="str">
        <f t="shared" ref="C31:C38" si="56">$Q65</f>
        <v>Inter Mailand</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si="54"/>
        <v>Inter Mailand</v>
      </c>
      <c r="BS31" s="704">
        <f t="shared" ref="BS31:BS38" ca="1" si="57">SUMIFS($AH$64:$AH$135,$V$64:$V$135,$BR31,$W$64:$W$135,BS$29)+SUMIFS($AI$64:$AI$135,$W$64:$W$135,$BR31,$V$64:$V$135,BS$29)</f>
        <v>50</v>
      </c>
      <c r="BT31" s="702"/>
      <c r="BU31" s="703">
        <f t="shared" ref="BU31:CA31" ca="1" si="58">SUMIFS($AH$64:$AH$135,$V$64:$V$135,$BR31,$W$64:$W$135,BU$29)+SUMIFS($AI$64:$AI$135,$W$64:$W$135,$BR31,$V$64:$V$135,BU$29)</f>
        <v>44</v>
      </c>
      <c r="BV31" s="703">
        <f t="shared" ca="1" si="58"/>
        <v>39</v>
      </c>
      <c r="BW31" s="703">
        <f t="shared" ca="1" si="58"/>
        <v>25</v>
      </c>
      <c r="BX31" s="703">
        <f t="shared" ca="1" si="58"/>
        <v>0</v>
      </c>
      <c r="BY31" s="703">
        <f t="shared" ca="1" si="58"/>
        <v>0</v>
      </c>
      <c r="BZ31" s="703">
        <f t="shared" ca="1" si="58"/>
        <v>0</v>
      </c>
      <c r="CA31" s="703">
        <f t="shared" ca="1" si="58"/>
        <v>0</v>
      </c>
      <c r="CB31" s="681"/>
    </row>
    <row r="32" spans="1:80" s="1" customFormat="1" x14ac:dyDescent="0.2">
      <c r="A32" s="660"/>
      <c r="B32" s="660"/>
      <c r="C32" s="660" t="str">
        <f t="shared" si="56"/>
        <v>SSV Wildbach</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si="54"/>
        <v>SSV Wildbach</v>
      </c>
      <c r="BS32" s="704">
        <f t="shared" ca="1" si="57"/>
        <v>38</v>
      </c>
      <c r="BT32" s="704">
        <f t="shared" ref="BT32:BT38" ca="1" si="59">SUMIFS($AH$64:$AH$135,$V$64:$V$135,$BR32,$W$64:$W$135,BT$29)+SUMIFS($AI$64:$AI$135,$W$64:$W$135,$BR32,$V$64:$V$135,BT$29)</f>
        <v>37</v>
      </c>
      <c r="BU32" s="702"/>
      <c r="BV32" s="703">
        <f t="shared" ref="BV32:CA32" ca="1" si="60">SUMIFS($AH$64:$AH$135,$V$64:$V$135,$BR32,$W$64:$W$135,BV$29)+SUMIFS($AI$64:$AI$135,$W$64:$W$135,$BR32,$V$64:$V$135,BV$29)</f>
        <v>50</v>
      </c>
      <c r="BW32" s="703">
        <f t="shared" ca="1" si="60"/>
        <v>44</v>
      </c>
      <c r="BX32" s="703">
        <f t="shared" ca="1" si="60"/>
        <v>0</v>
      </c>
      <c r="BY32" s="703">
        <f t="shared" ca="1" si="60"/>
        <v>0</v>
      </c>
      <c r="BZ32" s="703">
        <f t="shared" ca="1" si="60"/>
        <v>0</v>
      </c>
      <c r="CA32" s="703">
        <f t="shared" ca="1" si="60"/>
        <v>0</v>
      </c>
      <c r="CB32" s="681"/>
    </row>
    <row r="33" spans="1:80" s="1" customFormat="1" x14ac:dyDescent="0.2">
      <c r="A33" s="660"/>
      <c r="B33" s="660"/>
      <c r="C33" s="660" t="str">
        <f t="shared" si="56"/>
        <v>Manchester City</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si="54"/>
        <v>Manchester City</v>
      </c>
      <c r="BS33" s="704">
        <f t="shared" ca="1" si="57"/>
        <v>44</v>
      </c>
      <c r="BT33" s="704">
        <f t="shared" ca="1" si="59"/>
        <v>48</v>
      </c>
      <c r="BU33" s="704">
        <f t="shared" ref="BU33:BU38" ca="1" si="61">SUMIFS($AH$64:$AH$135,$V$64:$V$135,$BR33,$W$64:$W$135,BU$29)+SUMIFS($AI$64:$AI$135,$W$64:$W$135,$BR33,$V$64:$V$135,BU$29)</f>
        <v>42</v>
      </c>
      <c r="BV33" s="702"/>
      <c r="BW33" s="703">
        <f ca="1">SUMIFS($AH$64:$AH$135,$V$64:$V$135,$BR33,$W$64:$W$135,BW$29)+SUMIFS($AI$64:$AI$135,$W$64:$W$135,$BR33,$V$64:$V$135,BW$29)</f>
        <v>50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56"/>
        <v>FC Grönlingen</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54"/>
        <v>FC Grönlingen</v>
      </c>
      <c r="BS34" s="704">
        <f t="shared" ca="1" si="57"/>
        <v>50</v>
      </c>
      <c r="BT34" s="704">
        <f t="shared" ca="1" si="59"/>
        <v>15</v>
      </c>
      <c r="BU34" s="704">
        <f t="shared" ca="1" si="61"/>
        <v>44</v>
      </c>
      <c r="BV34" s="704">
        <f ca="1">SUMIFS($AH$64:$AH$135,$V$64:$V$135,$BR34,$W$64:$W$135,BV$29)+SUMIFS($AI$64:$AI$135,$W$64:$W$135,$BR34,$V$64:$V$135,BV$29)</f>
        <v>32</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56"/>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54"/>
        <v/>
      </c>
      <c r="BS35" s="704">
        <f t="shared" ca="1" si="57"/>
        <v>0</v>
      </c>
      <c r="BT35" s="704">
        <f t="shared" ca="1" si="59"/>
        <v>0</v>
      </c>
      <c r="BU35" s="704">
        <f t="shared" ca="1" si="61"/>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56"/>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54"/>
        <v/>
      </c>
      <c r="BS36" s="704">
        <f t="shared" ca="1" si="57"/>
        <v>0</v>
      </c>
      <c r="BT36" s="704">
        <f t="shared" ca="1" si="59"/>
        <v>0</v>
      </c>
      <c r="BU36" s="704">
        <f t="shared" ca="1" si="61"/>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56"/>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54"/>
        <v/>
      </c>
      <c r="BS37" s="704">
        <f t="shared" ca="1" si="57"/>
        <v>0</v>
      </c>
      <c r="BT37" s="704">
        <f t="shared" ca="1" si="59"/>
        <v>0</v>
      </c>
      <c r="BU37" s="704">
        <f t="shared" ca="1" si="61"/>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56"/>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54"/>
        <v/>
      </c>
      <c r="BS38" s="704">
        <f t="shared" ca="1" si="57"/>
        <v>0</v>
      </c>
      <c r="BT38" s="704">
        <f t="shared" ca="1" si="59"/>
        <v>0</v>
      </c>
      <c r="BU38" s="704">
        <f t="shared" ca="1" si="61"/>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$F$4</f>
        <v>Mainz 05</v>
      </c>
      <c r="BT40" s="660" t="str">
        <f>$F$5</f>
        <v>Inter Mailand</v>
      </c>
      <c r="BU40" s="660" t="str">
        <f>$F$6</f>
        <v>SSV Wildbach</v>
      </c>
      <c r="BV40" s="660" t="str">
        <f>$F$7</f>
        <v>Manchester City</v>
      </c>
      <c r="BW40" s="660" t="str">
        <f>$F$8</f>
        <v>FC Grönlingen</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si="62">F4</f>
        <v>Mainz 05</v>
      </c>
      <c r="BS41" s="702"/>
      <c r="BT41" s="703">
        <f ca="1">BT30-BS31</f>
        <v>-17</v>
      </c>
      <c r="BU41" s="703">
        <f ca="1">BU30-BS32</f>
        <v>12</v>
      </c>
      <c r="BV41" s="703">
        <f ca="1">BV30-BS33</f>
        <v>-5</v>
      </c>
      <c r="BW41" s="703">
        <f ca="1">BW30-BS34</f>
        <v>-11</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si="62"/>
        <v>Inter Mailand</v>
      </c>
      <c r="BS42" s="704">
        <f ca="1">IF(BT41="","",-1*BT41)</f>
        <v>17</v>
      </c>
      <c r="BT42" s="702"/>
      <c r="BU42" s="703">
        <f ca="1">BU31-BT32</f>
        <v>7</v>
      </c>
      <c r="BV42" s="703">
        <f ca="1">BV31-BT33</f>
        <v>-9</v>
      </c>
      <c r="BW42" s="703">
        <f ca="1">BW31-BT34</f>
        <v>10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si="62"/>
        <v>SSV Wildbach</v>
      </c>
      <c r="BS43" s="704">
        <f ca="1">IF(BU41="","",-1*BU41)</f>
        <v>-12</v>
      </c>
      <c r="BT43" s="704">
        <f ca="1">IF(BU42="","",-1*BU42)</f>
        <v>-7</v>
      </c>
      <c r="BU43" s="702"/>
      <c r="BV43" s="703">
        <f ca="1">BV32-BU33</f>
        <v>8</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si="62"/>
        <v>Manchester City</v>
      </c>
      <c r="BS44" s="704">
        <f ca="1">IF(BV41="","",-1*BV41)</f>
        <v>5</v>
      </c>
      <c r="BT44" s="704">
        <f ca="1">IF(BV42="","",-1*BV42)</f>
        <v>9</v>
      </c>
      <c r="BU44" s="704">
        <f ca="1">IF(BV43="","",-1*BV43)</f>
        <v>-8</v>
      </c>
      <c r="BV44" s="702"/>
      <c r="BW44" s="703">
        <f ca="1">BW33-BV34</f>
        <v>18</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62"/>
        <v>FC Grönlingen</v>
      </c>
      <c r="BS45" s="704">
        <f ca="1">IF(BW41="","",-1*BW41)</f>
        <v>11</v>
      </c>
      <c r="BT45" s="704">
        <f ca="1">IF(BW42="","",-1*BW42)</f>
        <v>-10</v>
      </c>
      <c r="BU45" s="704">
        <f ca="1">IF(BW43="","",-1*BW43)</f>
        <v>0</v>
      </c>
      <c r="BV45" s="704">
        <f ca="1">IF(BW44="","",-1*BW44)</f>
        <v>-18</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62"/>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62"/>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62"/>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62"/>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63">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396</v>
      </c>
      <c r="BS51" s="660" t="str">
        <f>$F$4</f>
        <v>Mainz 05</v>
      </c>
      <c r="BT51" s="660" t="str">
        <f>$F$5</f>
        <v>Inter Mailand</v>
      </c>
      <c r="BU51" s="660" t="str">
        <f>$F$6</f>
        <v>SSV Wildbach</v>
      </c>
      <c r="BV51" s="660" t="str">
        <f>$F$7</f>
        <v>Manchester City</v>
      </c>
      <c r="BW51" s="660" t="str">
        <f>$F$8</f>
        <v>FC Grönlingen</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si="64">F4</f>
        <v>Mainz 05</v>
      </c>
      <c r="BS52" s="702"/>
      <c r="BT52" s="703">
        <f t="shared" ref="BT52:CA54" ca="1" si="65">SUMIFS($AJ$64:$AJ$135,$V$64:$V$135,$BR52,$W$64:$W$135,BT$51)+SUMIFS($AK$64:$AK$135,$W$64:$W$135,$BR52,$V$64:$V$135,BT$51)</f>
        <v>0</v>
      </c>
      <c r="BU52" s="703">
        <f t="shared" ca="1" si="65"/>
        <v>2</v>
      </c>
      <c r="BV52" s="703">
        <f t="shared" ca="1" si="65"/>
        <v>1</v>
      </c>
      <c r="BW52" s="703">
        <f t="shared" ca="1" si="65"/>
        <v>0</v>
      </c>
      <c r="BX52" s="703">
        <f t="shared" ca="1" si="65"/>
        <v>0</v>
      </c>
      <c r="BY52" s="703">
        <f t="shared" ca="1" si="65"/>
        <v>0</v>
      </c>
      <c r="BZ52" s="703">
        <f t="shared" ca="1" si="65"/>
        <v>0</v>
      </c>
      <c r="CA52" s="703">
        <f t="shared" ca="1" si="65"/>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si="64"/>
        <v>Inter Mailand</v>
      </c>
      <c r="BS53" s="704">
        <f t="shared" ref="BS53:BU60" ca="1" si="66">SUMIFS($AJ$64:$AJ$135,$V$64:$V$135,$BR53,$W$64:$W$135,BS$51)+SUMIFS($AK$64:$AK$135,$W$64:$W$135,$BR53,$V$64:$V$135,BS$51)</f>
        <v>2</v>
      </c>
      <c r="BT53" s="702"/>
      <c r="BU53" s="703">
        <f t="shared" ca="1" si="65"/>
        <v>1</v>
      </c>
      <c r="BV53" s="703">
        <f t="shared" ca="1" si="65"/>
        <v>1</v>
      </c>
      <c r="BW53" s="703">
        <f t="shared" ca="1" si="65"/>
        <v>1</v>
      </c>
      <c r="BX53" s="703">
        <f t="shared" ca="1" si="65"/>
        <v>0</v>
      </c>
      <c r="BY53" s="703">
        <f t="shared" ca="1" si="65"/>
        <v>0</v>
      </c>
      <c r="BZ53" s="703">
        <f t="shared" ca="1" si="65"/>
        <v>0</v>
      </c>
      <c r="CA53" s="703">
        <f t="shared" ca="1" si="65"/>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si="64"/>
        <v>SSV Wildbach</v>
      </c>
      <c r="BS54" s="704">
        <f t="shared" ca="1" si="66"/>
        <v>0</v>
      </c>
      <c r="BT54" s="704">
        <f t="shared" ca="1" si="66"/>
        <v>1</v>
      </c>
      <c r="BU54" s="702"/>
      <c r="BV54" s="703">
        <f t="shared" ca="1" si="65"/>
        <v>2</v>
      </c>
      <c r="BW54" s="703">
        <f t="shared" ca="1" si="65"/>
        <v>1</v>
      </c>
      <c r="BX54" s="703">
        <f t="shared" ca="1" si="65"/>
        <v>0</v>
      </c>
      <c r="BY54" s="703">
        <f t="shared" ca="1" si="65"/>
        <v>0</v>
      </c>
      <c r="BZ54" s="703">
        <f t="shared" ca="1" si="65"/>
        <v>0</v>
      </c>
      <c r="CA54" s="703">
        <f t="shared" ca="1" si="65"/>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si="64"/>
        <v>Manchester City</v>
      </c>
      <c r="BS55" s="704">
        <f t="shared" ca="1" si="66"/>
        <v>1</v>
      </c>
      <c r="BT55" s="704">
        <f t="shared" ca="1" si="66"/>
        <v>1</v>
      </c>
      <c r="BU55" s="704">
        <f t="shared" ca="1" si="66"/>
        <v>0</v>
      </c>
      <c r="BV55" s="702"/>
      <c r="BW55" s="703">
        <f ca="1">SUMIFS($AJ$64:$AJ$135,$V$64:$V$135,$BR55,$W$64:$W$135,BW$51)+SUMIFS($AK$64:$AK$135,$W$64:$W$135,$BR55,$V$64:$V$135,BW$51)</f>
        <v>2</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64"/>
        <v>FC Grönlingen</v>
      </c>
      <c r="BS56" s="704">
        <f t="shared" ca="1" si="66"/>
        <v>2</v>
      </c>
      <c r="BT56" s="704">
        <f t="shared" ca="1" si="66"/>
        <v>0</v>
      </c>
      <c r="BU56" s="704">
        <f t="shared" ca="1" si="66"/>
        <v>1</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64"/>
        <v/>
      </c>
      <c r="BS57" s="704">
        <f t="shared" ca="1" si="66"/>
        <v>0</v>
      </c>
      <c r="BT57" s="704">
        <f t="shared" ca="1" si="66"/>
        <v>0</v>
      </c>
      <c r="BU57" s="704">
        <f t="shared" ca="1" si="66"/>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64"/>
        <v/>
      </c>
      <c r="BS58" s="704">
        <f t="shared" ca="1" si="66"/>
        <v>0</v>
      </c>
      <c r="BT58" s="704">
        <f t="shared" ca="1" si="66"/>
        <v>0</v>
      </c>
      <c r="BU58" s="704">
        <f t="shared" ca="1" si="66"/>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64"/>
        <v/>
      </c>
      <c r="BS59" s="704">
        <f t="shared" ca="1" si="66"/>
        <v>0</v>
      </c>
      <c r="BT59" s="704">
        <f t="shared" ca="1" si="66"/>
        <v>0</v>
      </c>
      <c r="BU59" s="704">
        <f t="shared" ca="1" si="66"/>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64"/>
        <v/>
      </c>
      <c r="BS60" s="704">
        <f t="shared" ca="1" si="66"/>
        <v>0</v>
      </c>
      <c r="BT60" s="704">
        <f t="shared" ca="1" si="66"/>
        <v>0</v>
      </c>
      <c r="BU60" s="704">
        <f t="shared" ca="1" si="66"/>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6" t="s">
        <v>309</v>
      </c>
      <c r="Y63" s="1036"/>
      <c r="Z63" s="664" t="s">
        <v>150</v>
      </c>
      <c r="AA63" s="664" t="s">
        <v>15</v>
      </c>
      <c r="AB63" s="664" t="s">
        <v>397</v>
      </c>
      <c r="AC63" s="711" t="s">
        <v>396</v>
      </c>
      <c r="AD63" s="1037" t="s">
        <v>311</v>
      </c>
      <c r="AE63" s="1037"/>
      <c r="AF63" s="1037" t="s">
        <v>315</v>
      </c>
      <c r="AG63" s="1037"/>
      <c r="AH63" s="1037" t="s">
        <v>397</v>
      </c>
      <c r="AI63" s="1037"/>
      <c r="AJ63" s="1038" t="s">
        <v>396</v>
      </c>
      <c r="AK63" s="1038"/>
      <c r="AL63" s="1037" t="s">
        <v>108</v>
      </c>
      <c r="AM63" s="1037"/>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398</v>
      </c>
      <c r="H64" s="660"/>
      <c r="I64" s="660"/>
      <c r="J64" s="660"/>
      <c r="K64" s="660"/>
      <c r="L64" s="715"/>
      <c r="M64" s="660"/>
      <c r="N64" s="660"/>
      <c r="O64" s="660"/>
      <c r="P64" s="716" t="s">
        <v>6</v>
      </c>
      <c r="Q64" s="717" t="str">
        <f>IF(Planning!$C$24="","",Planning!$C$24)</f>
        <v>Mainz 05</v>
      </c>
      <c r="R64" s="660"/>
      <c r="S64" s="660"/>
      <c r="T64" s="660"/>
      <c r="U64" s="718" t="s">
        <v>6</v>
      </c>
      <c r="V64" s="719" t="str">
        <f ca="1">Planning!$L6</f>
        <v>VFB Essenheim</v>
      </c>
      <c r="W64" s="720" t="str">
        <f ca="1">Planning!$N6</f>
        <v>FC Barcelona</v>
      </c>
      <c r="X64" s="720">
        <f ca="1">IF(AND($AA64=1,PreliminaryRound!$I12&lt;&gt;"",PreliminaryRound!$K12&lt;&gt;"",ABS(PreliminaryRound!$I12-PreliminaryRound!$K12)&gt;1),PreliminaryRound!$I12,"")</f>
        <v>25</v>
      </c>
      <c r="Y64" s="721">
        <f ca="1">IF(AND($AA64=1,PreliminaryRound!$I12&lt;&gt;"",PreliminaryRound!$K12&lt;&gt;"",ABS(PreliminaryRound!$I12-PreliminaryRound!$K12)&gt;1),PreliminaryRound!$K12,"")</f>
        <v>15</v>
      </c>
      <c r="Z64" s="722" t="str">
        <f ca="1">V64&amp;W64</f>
        <v>VFB EssenheimFC Barcelona</v>
      </c>
      <c r="AA64" s="720">
        <f ca="1">IF(AND(V64&lt;&gt;"",W64&lt;&gt;"",V64&lt;&gt;W64,PreliminaryRound!$R12&lt;&gt;"",PreliminaryRound!$T12&lt;&gt;""),1,0)</f>
        <v>1</v>
      </c>
      <c r="AB64" s="723" t="str">
        <f ca="1">IF(AA64&gt;0,AH64&amp;Language!$E$99&amp;AI64,"")</f>
        <v>50 - 25</v>
      </c>
      <c r="AC64" s="724" t="str">
        <f ca="1">IF(AA64&gt;0,AJ64&amp;Language!$E$99&amp;AK64,"")</f>
        <v>2 - 0</v>
      </c>
      <c r="AD64" s="725">
        <f ca="1">IF(AND($AA64=1,PreliminaryRound!$L12&lt;&gt;"",PreliminaryRound!$N12&lt;&gt;"",ABS(PreliminaryRound!$L12-PreliminaryRound!$N12)&gt;1),PreliminaryRound!$L12,"")</f>
        <v>25</v>
      </c>
      <c r="AE64" s="724">
        <f ca="1">IF(AND($AA64=1,PreliminaryRound!$L12&lt;&gt;"",PreliminaryRound!$N12&lt;&gt;"",ABS(PreliminaryRound!$L12-PreliminaryRound!$N12)&gt;1),PreliminaryRound!$N12,"")</f>
        <v>10</v>
      </c>
      <c r="AF64" s="725" t="str">
        <f ca="1">IF(AND($AA64=1,PreliminaryRound!$O12&lt;&gt;"",PreliminaryRound!$Q12&lt;&gt;"",ABS(PreliminaryRound!$O12-PreliminaryRound!$Q12)&gt;1),PreliminaryRound!$O12,"")</f>
        <v/>
      </c>
      <c r="AG64" s="724" t="str">
        <f ca="1">IF(AND($AA64=1,PreliminaryRound!$O12&lt;&gt;"",PreliminaryRound!$Q12&lt;&gt;"",ABS(PreliminaryRound!$O12-PreliminaryRound!$Q12)&gt;1),PreliminaryRound!$Q12,"")</f>
        <v/>
      </c>
      <c r="AH64" s="725">
        <f ca="1">IF(AA64&gt;0,SUM(X64,AD64,AF64),"")</f>
        <v>50</v>
      </c>
      <c r="AI64" s="724">
        <f ca="1">IF(AA64&gt;0,SUM(Y64,AE64,AG64),"")</f>
        <v>25</v>
      </c>
      <c r="AJ64" s="725">
        <f ca="1">IF(PreliminaryRound!$R12="",0,PreliminaryRound!$R12)</f>
        <v>2</v>
      </c>
      <c r="AK64" s="724">
        <f ca="1">IF(PreliminaryRound!$T12="",0,PreliminaryRound!$T12)</f>
        <v>0</v>
      </c>
      <c r="AL64" s="725">
        <f ca="1">IF($AA64=0,"",IF($AJ64&gt;$AK64,Settings!$C$4,IF($AJ64=$AK64,1,0)))</f>
        <v>2</v>
      </c>
      <c r="AM64" s="724">
        <f ca="1">IF($AA64=0,"",IF($AJ64&lt;$AK64,Settings!$C$4,IF($AJ64=$AK64,1,0)))</f>
        <v>0</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399</v>
      </c>
      <c r="H65" s="728">
        <v>500</v>
      </c>
      <c r="I65" s="729" t="s">
        <v>400</v>
      </c>
      <c r="J65" s="660"/>
      <c r="K65" s="660"/>
      <c r="L65" s="715"/>
      <c r="M65" s="660"/>
      <c r="N65" s="660"/>
      <c r="O65" s="660"/>
      <c r="P65" s="730" t="s">
        <v>7</v>
      </c>
      <c r="Q65" s="731" t="str">
        <f>IF(Planning!$C$26="","",Planning!$C$26)</f>
        <v>Inter Mailand</v>
      </c>
      <c r="R65" s="660"/>
      <c r="S65" s="660"/>
      <c r="T65" s="660"/>
      <c r="U65" s="732" t="s">
        <v>7</v>
      </c>
      <c r="V65" s="733" t="str">
        <f ca="1">Planning!$L7</f>
        <v>FC Grönlingen</v>
      </c>
      <c r="W65" s="661" t="str">
        <f ca="1">Planning!$N7</f>
        <v>Inter Mailand</v>
      </c>
      <c r="X65" s="661">
        <f ca="1">IF(AND($AA65=1,PreliminaryRound!$I13&lt;&gt;"",PreliminaryRound!$K13&lt;&gt;"",ABS(PreliminaryRound!$I13-PreliminaryRound!$K13)&gt;1),PreliminaryRound!$I13,"")</f>
        <v>15</v>
      </c>
      <c r="Y65" s="734">
        <f ca="1">IF(AND($AA65=1,PreliminaryRound!$I13&lt;&gt;"",PreliminaryRound!$K13&lt;&gt;"",ABS(PreliminaryRound!$I13-PreliminaryRound!$K13)&gt;1),PreliminaryRound!$K13,"")</f>
        <v>25</v>
      </c>
      <c r="Z65" s="735" t="str">
        <f t="shared" ref="Z65:Z73" ca="1" si="67">V65&amp;W65</f>
        <v>FC GrönlingenInter Mailand</v>
      </c>
      <c r="AA65" s="661">
        <f ca="1">IF(AND(V65&lt;&gt;"",W65&lt;&gt;"",V65&lt;&gt;W65,PreliminaryRound!$R13&lt;&gt;"",PreliminaryRound!$T13&lt;&gt;""),1,0)</f>
        <v>1</v>
      </c>
      <c r="AB65" s="661" t="str">
        <f ca="1">IF(AA65&gt;0,AH65&amp;Language!$E$99&amp;AI65,"")</f>
        <v>15 - 25</v>
      </c>
      <c r="AC65" s="736" t="str">
        <f ca="1">IF(AA65&gt;0,AJ65&amp;Language!$E$99&amp;AK65,"")</f>
        <v>0 - 1</v>
      </c>
      <c r="AD65" s="737" t="str">
        <f ca="1">IF(AND($AA65=1,PreliminaryRound!$L13&lt;&gt;"",PreliminaryRound!$N13&lt;&gt;"",ABS(PreliminaryRound!$L13-PreliminaryRound!$N13)&gt;1),PreliminaryRound!$L13,"")</f>
        <v/>
      </c>
      <c r="AE65" s="736" t="str">
        <f ca="1">IF(AND($AA65=1,PreliminaryRound!$L13&lt;&gt;"",PreliminaryRound!$N13&lt;&gt;"",ABS(PreliminaryRound!$L13-PreliminaryRound!$N13)&gt;1),PreliminaryRound!$N13,"")</f>
        <v/>
      </c>
      <c r="AF65" s="737" t="str">
        <f ca="1">IF(AND($AA65=1,PreliminaryRound!$O13&lt;&gt;"",PreliminaryRound!$Q13&lt;&gt;"",ABS(PreliminaryRound!$O13-PreliminaryRound!$Q13)&gt;1),PreliminaryRound!$O13,"")</f>
        <v/>
      </c>
      <c r="AG65" s="736" t="str">
        <f ca="1">IF(AND($AA65=1,PreliminaryRound!$O13&lt;&gt;"",PreliminaryRound!$Q13&lt;&gt;"",ABS(PreliminaryRound!$O13-PreliminaryRound!$Q13)&gt;1),PreliminaryRound!$Q13,"")</f>
        <v/>
      </c>
      <c r="AH65" s="737">
        <f t="shared" ref="AH65:AH93" ca="1" si="68">IF(AA65&gt;0,SUM(X65,AD65,AF65),"")</f>
        <v>15</v>
      </c>
      <c r="AI65" s="736">
        <f t="shared" ref="AI65:AI93" ca="1" si="69">IF(AA65&gt;0,SUM(Y65,AE65,AG65),"")</f>
        <v>25</v>
      </c>
      <c r="AJ65" s="737">
        <f ca="1">IF(PreliminaryRound!$R13="",0,PreliminaryRound!$R13)</f>
        <v>0</v>
      </c>
      <c r="AK65" s="736">
        <f ca="1">IF(PreliminaryRound!$T13="",0,PreliminaryRound!$T13)</f>
        <v>1</v>
      </c>
      <c r="AL65" s="737">
        <f ca="1">IF($AA65=0,"",IF($AJ65&gt;$AK65,Settings!$C$4,IF($AJ65=$AK65,1,0)))</f>
        <v>0</v>
      </c>
      <c r="AM65" s="736">
        <f ca="1">IF($AA65=0,"",IF($AJ65&lt;$AK65,Settings!$C$4,IF($AJ65=$AK65,1,0)))</f>
        <v>2</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401</v>
      </c>
      <c r="H66" s="660"/>
      <c r="I66" s="660"/>
      <c r="J66" s="660"/>
      <c r="K66" s="660"/>
      <c r="L66" s="715"/>
      <c r="M66" s="660"/>
      <c r="N66" s="660"/>
      <c r="O66" s="660"/>
      <c r="P66" s="730" t="s">
        <v>8</v>
      </c>
      <c r="Q66" s="731" t="str">
        <f>IF(Planning!$C$28="","",Planning!$C$28)</f>
        <v>SSV Wildbach</v>
      </c>
      <c r="R66" s="660"/>
      <c r="S66" s="660"/>
      <c r="T66" s="660"/>
      <c r="U66" s="732" t="s">
        <v>8</v>
      </c>
      <c r="V66" s="733" t="str">
        <f ca="1">Planning!$L8</f>
        <v>Eintracht Frankfurt</v>
      </c>
      <c r="W66" s="661" t="str">
        <f ca="1">Planning!$N8</f>
        <v>Maibach 1822 eV</v>
      </c>
      <c r="X66" s="661">
        <f ca="1">IF(AND($AA66=1,PreliminaryRound!$I14&lt;&gt;"",PreliminaryRound!$K14&lt;&gt;"",ABS(PreliminaryRound!$I14-PreliminaryRound!$K14)&gt;1),PreliminaryRound!$I14,"")</f>
        <v>13</v>
      </c>
      <c r="Y66" s="734">
        <f ca="1">IF(AND($AA66=1,PreliminaryRound!$I14&lt;&gt;"",PreliminaryRound!$K14&lt;&gt;"",ABS(PreliminaryRound!$I14-PreliminaryRound!$K14)&gt;1),PreliminaryRound!$K14,"")</f>
        <v>17</v>
      </c>
      <c r="Z66" s="735" t="str">
        <f t="shared" ca="1" si="67"/>
        <v>Eintracht FrankfurtMaibach 1822 eV</v>
      </c>
      <c r="AA66" s="661">
        <f ca="1">IF(AND(V66&lt;&gt;"",W66&lt;&gt;"",V66&lt;&gt;W66,PreliminaryRound!$R14&lt;&gt;"",PreliminaryRound!$T14&lt;&gt;""),1,0)</f>
        <v>1</v>
      </c>
      <c r="AB66" s="661" t="str">
        <f ca="1">IF(AA66&gt;0,AH66&amp;Language!$E$99&amp;AI66,"")</f>
        <v>24 - 35</v>
      </c>
      <c r="AC66" s="736" t="str">
        <f ca="1">IF(AA66&gt;0,AJ66&amp;Language!$E$99&amp;AK66,"")</f>
        <v>0 - 2</v>
      </c>
      <c r="AD66" s="737">
        <f ca="1">IF(AND($AA66=1,PreliminaryRound!$L14&lt;&gt;"",PreliminaryRound!$N14&lt;&gt;"",ABS(PreliminaryRound!$L14-PreliminaryRound!$N14)&gt;1),PreliminaryRound!$L14,"")</f>
        <v>11</v>
      </c>
      <c r="AE66" s="736">
        <f ca="1">IF(AND($AA66=1,PreliminaryRound!$L14&lt;&gt;"",PreliminaryRound!$N14&lt;&gt;"",ABS(PreliminaryRound!$L14-PreliminaryRound!$N14)&gt;1),PreliminaryRound!$N14,"")</f>
        <v>18</v>
      </c>
      <c r="AF66" s="737" t="str">
        <f ca="1">IF(AND($AA66=1,PreliminaryRound!$O14&lt;&gt;"",PreliminaryRound!$Q14&lt;&gt;"",ABS(PreliminaryRound!$O14-PreliminaryRound!$Q14)&gt;1),PreliminaryRound!$O14,"")</f>
        <v/>
      </c>
      <c r="AG66" s="736" t="str">
        <f ca="1">IF(AND($AA66=1,PreliminaryRound!$O14&lt;&gt;"",PreliminaryRound!$Q14&lt;&gt;"",ABS(PreliminaryRound!$O14-PreliminaryRound!$Q14)&gt;1),PreliminaryRound!$Q14,"")</f>
        <v/>
      </c>
      <c r="AH66" s="737">
        <f t="shared" ca="1" si="68"/>
        <v>24</v>
      </c>
      <c r="AI66" s="736">
        <f t="shared" ca="1" si="69"/>
        <v>35</v>
      </c>
      <c r="AJ66" s="737">
        <f ca="1">IF(PreliminaryRound!$R14="",0,PreliminaryRound!$R14)</f>
        <v>0</v>
      </c>
      <c r="AK66" s="736">
        <f ca="1">IF(PreliminaryRound!$T14="",0,PreliminaryRound!$T14)</f>
        <v>2</v>
      </c>
      <c r="AL66" s="737">
        <f ca="1">IF($AA66=0,"",IF($AJ66&gt;$AK66,Settings!$C$4,IF($AJ66=$AK66,1,0)))</f>
        <v>0</v>
      </c>
      <c r="AM66" s="736">
        <f ca="1">IF($AA66=0,"",IF($AJ66&lt;$AK66,Settings!$C$4,IF($AJ66=$AK66,1,0)))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402</v>
      </c>
      <c r="H67" s="660"/>
      <c r="I67" s="660"/>
      <c r="J67" s="660"/>
      <c r="K67" s="660"/>
      <c r="L67" s="660"/>
      <c r="M67" s="660"/>
      <c r="N67" s="660"/>
      <c r="O67" s="660"/>
      <c r="P67" s="730" t="s">
        <v>9</v>
      </c>
      <c r="Q67" s="731" t="str">
        <f>IF(Planning!$C$30="","",Planning!$C$30)</f>
        <v>Manchester City</v>
      </c>
      <c r="R67" s="660"/>
      <c r="S67" s="660"/>
      <c r="T67" s="660"/>
      <c r="U67" s="732" t="s">
        <v>9</v>
      </c>
      <c r="V67" s="733" t="str">
        <f ca="1">Planning!$L9</f>
        <v>SSV Wildbach</v>
      </c>
      <c r="W67" s="661" t="str">
        <f ca="1">Planning!$N9</f>
        <v>Manchester City</v>
      </c>
      <c r="X67" s="661">
        <f ca="1">IF(AND($AA67=1,PreliminaryRound!$I15&lt;&gt;"",PreliminaryRound!$K15&lt;&gt;"",ABS(PreliminaryRound!$I15-PreliminaryRound!$K15)&gt;1),PreliminaryRound!$I15,"")</f>
        <v>25</v>
      </c>
      <c r="Y67" s="734">
        <f ca="1">IF(AND($AA67=1,PreliminaryRound!$I15&lt;&gt;"",PreliminaryRound!$K15&lt;&gt;"",ABS(PreliminaryRound!$I15-PreliminaryRound!$K15)&gt;1),PreliminaryRound!$K15,"")</f>
        <v>22</v>
      </c>
      <c r="Z67" s="735" t="str">
        <f t="shared" ca="1" si="67"/>
        <v>SSV WildbachManchester City</v>
      </c>
      <c r="AA67" s="661">
        <f ca="1">IF(AND(V67&lt;&gt;"",W67&lt;&gt;"",V67&lt;&gt;W67,PreliminaryRound!$R15&lt;&gt;"",PreliminaryRound!$T15&lt;&gt;""),1,0)</f>
        <v>1</v>
      </c>
      <c r="AB67" s="661" t="str">
        <f ca="1">IF(AA67&gt;0,AH67&amp;Language!$E$99&amp;AI67,"")</f>
        <v>50 - 42</v>
      </c>
      <c r="AC67" s="736" t="str">
        <f ca="1">IF(AA67&gt;0,AJ67&amp;Language!$E$99&amp;AK67,"")</f>
        <v>2 - 0</v>
      </c>
      <c r="AD67" s="737">
        <f ca="1">IF(AND($AA67=1,PreliminaryRound!$L15&lt;&gt;"",PreliminaryRound!$N15&lt;&gt;"",ABS(PreliminaryRound!$L15-PreliminaryRound!$N15)&gt;1),PreliminaryRound!$L15,"")</f>
        <v>25</v>
      </c>
      <c r="AE67" s="736">
        <f ca="1">IF(AND($AA67=1,PreliminaryRound!$L15&lt;&gt;"",PreliminaryRound!$N15&lt;&gt;"",ABS(PreliminaryRound!$L15-PreliminaryRound!$N15)&gt;1),PreliminaryRound!$N15,"")</f>
        <v>20</v>
      </c>
      <c r="AF67" s="737" t="str">
        <f ca="1">IF(AND($AA67=1,PreliminaryRound!$O15&lt;&gt;"",PreliminaryRound!$Q15&lt;&gt;"",ABS(PreliminaryRound!$O15-PreliminaryRound!$Q15)&gt;1),PreliminaryRound!$O15,"")</f>
        <v/>
      </c>
      <c r="AG67" s="736" t="str">
        <f ca="1">IF(AND($AA67=1,PreliminaryRound!$O15&lt;&gt;"",PreliminaryRound!$Q15&lt;&gt;"",ABS(PreliminaryRound!$O15-PreliminaryRound!$Q15)&gt;1),PreliminaryRound!$Q15,"")</f>
        <v/>
      </c>
      <c r="AH67" s="737">
        <f t="shared" ca="1" si="68"/>
        <v>50</v>
      </c>
      <c r="AI67" s="736">
        <f t="shared" ca="1" si="69"/>
        <v>42</v>
      </c>
      <c r="AJ67" s="737">
        <f ca="1">IF(PreliminaryRound!$R15="",0,PreliminaryRound!$R15)</f>
        <v>2</v>
      </c>
      <c r="AK67" s="736">
        <f ca="1">IF(PreliminaryRound!$T15="",0,PreliminaryRound!$T15)</f>
        <v>0</v>
      </c>
      <c r="AL67" s="737">
        <f ca="1">IF($AA67=0,"",IF($AJ67&gt;$AK67,Settings!$C$4,IF($AJ67=$AK67,1,0)))</f>
        <v>2</v>
      </c>
      <c r="AM67" s="736">
        <f ca="1">IF($AA67=0,"",IF($AJ67&lt;$AK67,Settings!$C$4,IF($AJ67=$AK67,1,0)))</f>
        <v>0</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t="s">
        <v>10</v>
      </c>
      <c r="Q68" s="731" t="str">
        <f>IF(Planning!$C$32="","",Planning!$C$32)</f>
        <v>FC Grönlingen</v>
      </c>
      <c r="R68" s="660"/>
      <c r="S68" s="660"/>
      <c r="T68" s="660"/>
      <c r="U68" s="732" t="s">
        <v>10</v>
      </c>
      <c r="V68" s="733" t="str">
        <f ca="1">Planning!$L10</f>
        <v>VFB Essenheim</v>
      </c>
      <c r="W68" s="661" t="str">
        <f ca="1">Planning!$N10</f>
        <v>1. FC Riedwald</v>
      </c>
      <c r="X68" s="661">
        <f ca="1">IF(AND($AA68=1,PreliminaryRound!$I16&lt;&gt;"",PreliminaryRound!$K16&lt;&gt;"",ABS(PreliminaryRound!$I16-PreliminaryRound!$K16)&gt;1),PreliminaryRound!$I16,"")</f>
        <v>25</v>
      </c>
      <c r="Y68" s="734">
        <f ca="1">IF(AND($AA68=1,PreliminaryRound!$I16&lt;&gt;"",PreliminaryRound!$K16&lt;&gt;"",ABS(PreliminaryRound!$I16-PreliminaryRound!$K16)&gt;1),PreliminaryRound!$K16,"")</f>
        <v>23</v>
      </c>
      <c r="Z68" s="735" t="str">
        <f t="shared" ca="1" si="67"/>
        <v>VFB Essenheim1. FC Riedwald</v>
      </c>
      <c r="AA68" s="661">
        <f ca="1">IF(AND(V68&lt;&gt;"",W68&lt;&gt;"",V68&lt;&gt;W68,PreliminaryRound!$R16&lt;&gt;"",PreliminaryRound!$T16&lt;&gt;""),1,0)</f>
        <v>1</v>
      </c>
      <c r="AB68" s="661" t="str">
        <f ca="1">IF(AA68&gt;0,AH68&amp;Language!$E$99&amp;AI68,"")</f>
        <v>50 - 44</v>
      </c>
      <c r="AC68" s="736" t="str">
        <f ca="1">IF(AA68&gt;0,AJ68&amp;Language!$E$99&amp;AK68,"")</f>
        <v>2 - 0</v>
      </c>
      <c r="AD68" s="737">
        <f ca="1">IF(AND($AA68=1,PreliminaryRound!$L16&lt;&gt;"",PreliminaryRound!$N16&lt;&gt;"",ABS(PreliminaryRound!$L16-PreliminaryRound!$N16)&gt;1),PreliminaryRound!$L16,"")</f>
        <v>25</v>
      </c>
      <c r="AE68" s="736">
        <f ca="1">IF(AND($AA68=1,PreliminaryRound!$L16&lt;&gt;"",PreliminaryRound!$N16&lt;&gt;"",ABS(PreliminaryRound!$L16-PreliminaryRound!$N16)&gt;1),PreliminaryRound!$N16,"")</f>
        <v>21</v>
      </c>
      <c r="AF68" s="737" t="str">
        <f ca="1">IF(AND($AA68=1,PreliminaryRound!$O16&lt;&gt;"",PreliminaryRound!$Q16&lt;&gt;"",ABS(PreliminaryRound!$O16-PreliminaryRound!$Q16)&gt;1),PreliminaryRound!$O16,"")</f>
        <v/>
      </c>
      <c r="AG68" s="736" t="str">
        <f ca="1">IF(AND($AA68=1,PreliminaryRound!$O16&lt;&gt;"",PreliminaryRound!$Q16&lt;&gt;"",ABS(PreliminaryRound!$O16-PreliminaryRound!$Q16)&gt;1),PreliminaryRound!$Q16,"")</f>
        <v/>
      </c>
      <c r="AH68" s="737">
        <f t="shared" ca="1" si="68"/>
        <v>50</v>
      </c>
      <c r="AI68" s="736">
        <f t="shared" ca="1" si="69"/>
        <v>44</v>
      </c>
      <c r="AJ68" s="737">
        <f ca="1">IF(PreliminaryRound!$R16="",0,PreliminaryRound!$R16)</f>
        <v>2</v>
      </c>
      <c r="AK68" s="736">
        <f ca="1">IF(PreliminaryRound!$T16="",0,PreliminaryRound!$T16)</f>
        <v>0</v>
      </c>
      <c r="AL68" s="737">
        <f ca="1">IF($AA68=0,"",IF($AJ68&gt;$AK68,Settings!$C$4,IF($AJ68=$AK68,1,0)))</f>
        <v>2</v>
      </c>
      <c r="AM68" s="736">
        <f ca="1">IF($AA68=0,"",IF($AJ68&lt;$AK68,Settings!$C$4,IF($AJ68=$AK68,1,0)))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t="s">
        <v>11</v>
      </c>
      <c r="Q69" s="731" t="str">
        <f>IF(Planning!$C$34="","",Planning!$C$34)</f>
        <v/>
      </c>
      <c r="R69" s="660"/>
      <c r="S69" s="660"/>
      <c r="T69" s="660"/>
      <c r="U69" s="732" t="s">
        <v>11</v>
      </c>
      <c r="V69" s="733" t="str">
        <f ca="1">Planning!$L11</f>
        <v>FC Grönlingen</v>
      </c>
      <c r="W69" s="661" t="str">
        <f ca="1">Planning!$N11</f>
        <v>Mainz 05</v>
      </c>
      <c r="X69" s="661">
        <f ca="1">IF(AND($AA69=1,PreliminaryRound!$I17&lt;&gt;"",PreliminaryRound!$K17&lt;&gt;"",ABS(PreliminaryRound!$I17-PreliminaryRound!$K17)&gt;1),PreliminaryRound!$I17,"")</f>
        <v>25</v>
      </c>
      <c r="Y69" s="734">
        <f ca="1">IF(AND($AA69=1,PreliminaryRound!$I17&lt;&gt;"",PreliminaryRound!$K17&lt;&gt;"",ABS(PreliminaryRound!$I17-PreliminaryRound!$K17)&gt;1),PreliminaryRound!$K17,"")</f>
        <v>17</v>
      </c>
      <c r="Z69" s="735" t="str">
        <f t="shared" ca="1" si="67"/>
        <v>FC GrönlingenMainz 05</v>
      </c>
      <c r="AA69" s="661">
        <f ca="1">IF(AND(V69&lt;&gt;"",W69&lt;&gt;"",V69&lt;&gt;W69,PreliminaryRound!$R17&lt;&gt;"",PreliminaryRound!$T17&lt;&gt;""),1,0)</f>
        <v>1</v>
      </c>
      <c r="AB69" s="661" t="str">
        <f ca="1">IF(AA69&gt;0,AH69&amp;Language!$E$99&amp;AI69,"")</f>
        <v>50 - 39</v>
      </c>
      <c r="AC69" s="736" t="str">
        <f ca="1">IF(AA69&gt;0,AJ69&amp;Language!$E$99&amp;AK69,"")</f>
        <v>2 - 0</v>
      </c>
      <c r="AD69" s="737">
        <f ca="1">IF(AND($AA69=1,PreliminaryRound!$L17&lt;&gt;"",PreliminaryRound!$N17&lt;&gt;"",ABS(PreliminaryRound!$L17-PreliminaryRound!$N17)&gt;1),PreliminaryRound!$L17,"")</f>
        <v>25</v>
      </c>
      <c r="AE69" s="736">
        <f ca="1">IF(AND($AA69=1,PreliminaryRound!$L17&lt;&gt;"",PreliminaryRound!$N17&lt;&gt;"",ABS(PreliminaryRound!$L17-PreliminaryRound!$N17)&gt;1),PreliminaryRound!$N17,"")</f>
        <v>22</v>
      </c>
      <c r="AF69" s="737" t="str">
        <f ca="1">IF(AND($AA69=1,PreliminaryRound!$O17&lt;&gt;"",PreliminaryRound!$Q17&lt;&gt;"",ABS(PreliminaryRound!$O17-PreliminaryRound!$Q17)&gt;1),PreliminaryRound!$O17,"")</f>
        <v/>
      </c>
      <c r="AG69" s="736" t="str">
        <f ca="1">IF(AND($AA69=1,PreliminaryRound!$O17&lt;&gt;"",PreliminaryRound!$Q17&lt;&gt;"",ABS(PreliminaryRound!$O17-PreliminaryRound!$Q17)&gt;1),PreliminaryRound!$Q17,"")</f>
        <v/>
      </c>
      <c r="AH69" s="737">
        <f t="shared" ca="1" si="68"/>
        <v>50</v>
      </c>
      <c r="AI69" s="736">
        <f t="shared" ca="1" si="69"/>
        <v>39</v>
      </c>
      <c r="AJ69" s="737">
        <f ca="1">IF(PreliminaryRound!$R17="",0,PreliminaryRound!$R17)</f>
        <v>2</v>
      </c>
      <c r="AK69" s="736">
        <f ca="1">IF(PreliminaryRound!$T17="",0,PreliminaryRound!$T17)</f>
        <v>0</v>
      </c>
      <c r="AL69" s="737">
        <f ca="1">IF($AA69=0,"",IF($AJ69&gt;$AK69,Settings!$C$4,IF($AJ69=$AK69,1,0)))</f>
        <v>2</v>
      </c>
      <c r="AM69" s="736">
        <f ca="1">IF($AA69=0,"",IF($AJ69&lt;$AK69,Settings!$C$4,IF($AJ69=$AK69,1,0)))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Planning!$L12</f>
        <v>FC Barcelona</v>
      </c>
      <c r="W70" s="661" t="str">
        <f ca="1">Planning!$N12</f>
        <v>Eintracht Frankfurt</v>
      </c>
      <c r="X70" s="661">
        <f ca="1">IF(AND($AA70=1,PreliminaryRound!$I18&lt;&gt;"",PreliminaryRound!$K18&lt;&gt;"",ABS(PreliminaryRound!$I18-PreliminaryRound!$K18)&gt;1),PreliminaryRound!$I18,"")</f>
        <v>23</v>
      </c>
      <c r="Y70" s="734">
        <f ca="1">IF(AND($AA70=1,PreliminaryRound!$I18&lt;&gt;"",PreliminaryRound!$K18&lt;&gt;"",ABS(PreliminaryRound!$I18-PreliminaryRound!$K18)&gt;1),PreliminaryRound!$K18,"")</f>
        <v>25</v>
      </c>
      <c r="Z70" s="735" t="str">
        <f t="shared" ca="1" si="67"/>
        <v>FC BarcelonaEintracht Frankfurt</v>
      </c>
      <c r="AA70" s="661">
        <f ca="1">IF(AND(V70&lt;&gt;"",W70&lt;&gt;"",V70&lt;&gt;W70,PreliminaryRound!$R18&lt;&gt;"",PreliminaryRound!$T18&lt;&gt;""),1,0)</f>
        <v>1</v>
      </c>
      <c r="AB70" s="661" t="str">
        <f ca="1">IF(AA70&gt;0,AH70&amp;Language!$E$99&amp;AI70,"")</f>
        <v>48 - 48</v>
      </c>
      <c r="AC70" s="736" t="str">
        <f ca="1">IF(AA70&gt;0,AJ70&amp;Language!$E$99&amp;AK70,"")</f>
        <v>1 - 1</v>
      </c>
      <c r="AD70" s="737">
        <f ca="1">IF(AND($AA70=1,PreliminaryRound!$L18&lt;&gt;"",PreliminaryRound!$N18&lt;&gt;"",ABS(PreliminaryRound!$L18-PreliminaryRound!$N18)&gt;1),PreliminaryRound!$L18,"")</f>
        <v>25</v>
      </c>
      <c r="AE70" s="736">
        <f ca="1">IF(AND($AA70=1,PreliminaryRound!$L18&lt;&gt;"",PreliminaryRound!$N18&lt;&gt;"",ABS(PreliminaryRound!$L18-PreliminaryRound!$N18)&gt;1),PreliminaryRound!$N18,"")</f>
        <v>23</v>
      </c>
      <c r="AF70" s="737" t="str">
        <f ca="1">IF(AND($AA70=1,PreliminaryRound!$O18&lt;&gt;"",PreliminaryRound!$Q18&lt;&gt;"",ABS(PreliminaryRound!$O18-PreliminaryRound!$Q18)&gt;1),PreliminaryRound!$O18,"")</f>
        <v/>
      </c>
      <c r="AG70" s="736" t="str">
        <f ca="1">IF(AND($AA70=1,PreliminaryRound!$O18&lt;&gt;"",PreliminaryRound!$Q18&lt;&gt;"",ABS(PreliminaryRound!$O18-PreliminaryRound!$Q18)&gt;1),PreliminaryRound!$Q18,"")</f>
        <v/>
      </c>
      <c r="AH70" s="737">
        <f t="shared" ca="1" si="68"/>
        <v>48</v>
      </c>
      <c r="AI70" s="736">
        <f t="shared" ca="1" si="69"/>
        <v>48</v>
      </c>
      <c r="AJ70" s="737">
        <f ca="1">IF(PreliminaryRound!$R18="",0,PreliminaryRound!$R18)</f>
        <v>1</v>
      </c>
      <c r="AK70" s="736">
        <f ca="1">IF(PreliminaryRound!$T18="",0,PreliminaryRound!$T18)</f>
        <v>1</v>
      </c>
      <c r="AL70" s="737">
        <f ca="1">IF($AA70=0,"",IF($AJ70&gt;$AK70,Settings!$C$4,IF($AJ70=$AK70,1,0)))</f>
        <v>1</v>
      </c>
      <c r="AM70" s="736">
        <f ca="1">IF($AA70=0,"",IF($AJ70&lt;$AK70,Settings!$C$4,IF($AJ70=$AK70,1,0)))</f>
        <v>1</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Planning!$L13</f>
        <v>Inter Mailand</v>
      </c>
      <c r="W71" s="661" t="str">
        <f ca="1">Planning!$N13</f>
        <v>SSV Wildbach</v>
      </c>
      <c r="X71" s="661">
        <f ca="1">IF(AND($AA71=1,PreliminaryRound!$I19&lt;&gt;"",PreliminaryRound!$K19&lt;&gt;"",ABS(PreliminaryRound!$I19-PreliminaryRound!$K19)&gt;1),PreliminaryRound!$I19,"")</f>
        <v>19</v>
      </c>
      <c r="Y71" s="734">
        <f ca="1">IF(AND($AA71=1,PreliminaryRound!$I19&lt;&gt;"",PreliminaryRound!$K19&lt;&gt;"",ABS(PreliminaryRound!$I19-PreliminaryRound!$K19)&gt;1),PreliminaryRound!$K19,"")</f>
        <v>25</v>
      </c>
      <c r="Z71" s="735" t="str">
        <f t="shared" ca="1" si="67"/>
        <v>Inter MailandSSV Wildbach</v>
      </c>
      <c r="AA71" s="661">
        <f ca="1">IF(AND(V71&lt;&gt;"",W71&lt;&gt;"",V71&lt;&gt;W71,PreliminaryRound!$R19&lt;&gt;"",PreliminaryRound!$T19&lt;&gt;""),1,0)</f>
        <v>1</v>
      </c>
      <c r="AB71" s="661" t="str">
        <f ca="1">IF(AA71&gt;0,AH71&amp;Language!$E$99&amp;AI71,"")</f>
        <v>44 - 37</v>
      </c>
      <c r="AC71" s="736" t="str">
        <f ca="1">IF(AA71&gt;0,AJ71&amp;Language!$E$99&amp;AK71,"")</f>
        <v>1 - 1</v>
      </c>
      <c r="AD71" s="737">
        <f ca="1">IF(AND($AA71=1,PreliminaryRound!$L19&lt;&gt;"",PreliminaryRound!$N19&lt;&gt;"",ABS(PreliminaryRound!$L19-PreliminaryRound!$N19)&gt;1),PreliminaryRound!$L19,"")</f>
        <v>25</v>
      </c>
      <c r="AE71" s="736">
        <f ca="1">IF(AND($AA71=1,PreliminaryRound!$L19&lt;&gt;"",PreliminaryRound!$N19&lt;&gt;"",ABS(PreliminaryRound!$L19-PreliminaryRound!$N19)&gt;1),PreliminaryRound!$N19,"")</f>
        <v>12</v>
      </c>
      <c r="AF71" s="737" t="str">
        <f ca="1">IF(AND($AA71=1,PreliminaryRound!$O19&lt;&gt;"",PreliminaryRound!$Q19&lt;&gt;"",ABS(PreliminaryRound!$O19-PreliminaryRound!$Q19)&gt;1),PreliminaryRound!$O19,"")</f>
        <v/>
      </c>
      <c r="AG71" s="736" t="str">
        <f ca="1">IF(AND($AA71=1,PreliminaryRound!$O19&lt;&gt;"",PreliminaryRound!$Q19&lt;&gt;"",ABS(PreliminaryRound!$O19-PreliminaryRound!$Q19)&gt;1),PreliminaryRound!$Q19,"")</f>
        <v/>
      </c>
      <c r="AH71" s="737">
        <f t="shared" ca="1" si="68"/>
        <v>44</v>
      </c>
      <c r="AI71" s="736">
        <f t="shared" ca="1" si="69"/>
        <v>37</v>
      </c>
      <c r="AJ71" s="737">
        <f ca="1">IF(PreliminaryRound!$R19="",0,PreliminaryRound!$R19)</f>
        <v>1</v>
      </c>
      <c r="AK71" s="736">
        <f ca="1">IF(PreliminaryRound!$T19="",0,PreliminaryRound!$T19)</f>
        <v>1</v>
      </c>
      <c r="AL71" s="737">
        <f ca="1">IF($AA71=0,"",IF($AJ71&gt;$AK71,Settings!$C$4,IF($AJ71=$AK71,1,0)))</f>
        <v>1</v>
      </c>
      <c r="AM71" s="736">
        <f ca="1">IF($AA71=0,"",IF($AJ71&lt;$AK71,Settings!$C$4,IF($AJ71=$AK71,1,0)))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Planning!$L14</f>
        <v>1. FC Riedwald</v>
      </c>
      <c r="W72" s="661" t="str">
        <f ca="1">Planning!$N14</f>
        <v>Maibach 1822 eV</v>
      </c>
      <c r="X72" s="661">
        <f ca="1">IF(AND($AA72=1,PreliminaryRound!$I20&lt;&gt;"",PreliminaryRound!$K20&lt;&gt;"",ABS(PreliminaryRound!$I20-PreliminaryRound!$K20)&gt;1),PreliminaryRound!$I20,"")</f>
        <v>16</v>
      </c>
      <c r="Y72" s="734">
        <f ca="1">IF(AND($AA72=1,PreliminaryRound!$I20&lt;&gt;"",PreliminaryRound!$K20&lt;&gt;"",ABS(PreliminaryRound!$I20-PreliminaryRound!$K20)&gt;1),PreliminaryRound!$K20,"")</f>
        <v>25</v>
      </c>
      <c r="Z72" s="735" t="str">
        <f t="shared" ca="1" si="67"/>
        <v>1. FC RiedwaldMaibach 1822 eV</v>
      </c>
      <c r="AA72" s="661">
        <f ca="1">IF(AND(V72&lt;&gt;"",W72&lt;&gt;"",V72&lt;&gt;W72,PreliminaryRound!$R20&lt;&gt;"",PreliminaryRound!$T20&lt;&gt;""),1,0)</f>
        <v>1</v>
      </c>
      <c r="AB72" s="661" t="str">
        <f ca="1">IF(AA72&gt;0,AH72&amp;Language!$E$99&amp;AI72,"")</f>
        <v>41 - 43</v>
      </c>
      <c r="AC72" s="736" t="str">
        <f ca="1">IF(AA72&gt;0,AJ72&amp;Language!$E$99&amp;AK72,"")</f>
        <v>1 - 1</v>
      </c>
      <c r="AD72" s="737">
        <f ca="1">IF(AND($AA72=1,PreliminaryRound!$L20&lt;&gt;"",PreliminaryRound!$N20&lt;&gt;"",ABS(PreliminaryRound!$L20-PreliminaryRound!$N20)&gt;1),PreliminaryRound!$L20,"")</f>
        <v>25</v>
      </c>
      <c r="AE72" s="736">
        <f ca="1">IF(AND($AA72=1,PreliminaryRound!$L20&lt;&gt;"",PreliminaryRound!$N20&lt;&gt;"",ABS(PreliminaryRound!$L20-PreliminaryRound!$N20)&gt;1),PreliminaryRound!$N20,"")</f>
        <v>18</v>
      </c>
      <c r="AF72" s="737" t="str">
        <f ca="1">IF(AND($AA72=1,PreliminaryRound!$O20&lt;&gt;"",PreliminaryRound!$Q20&lt;&gt;"",ABS(PreliminaryRound!$O20-PreliminaryRound!$Q20)&gt;1),PreliminaryRound!$O20,"")</f>
        <v/>
      </c>
      <c r="AG72" s="736" t="str">
        <f ca="1">IF(AND($AA72=1,PreliminaryRound!$O20&lt;&gt;"",PreliminaryRound!$Q20&lt;&gt;"",ABS(PreliminaryRound!$O20-PreliminaryRound!$Q20)&gt;1),PreliminaryRound!$Q20,"")</f>
        <v/>
      </c>
      <c r="AH72" s="737">
        <f t="shared" ca="1" si="68"/>
        <v>41</v>
      </c>
      <c r="AI72" s="736">
        <f t="shared" ca="1" si="69"/>
        <v>43</v>
      </c>
      <c r="AJ72" s="737">
        <f ca="1">IF(PreliminaryRound!$R20="",0,PreliminaryRound!$R20)</f>
        <v>1</v>
      </c>
      <c r="AK72" s="736">
        <f ca="1">IF(PreliminaryRound!$T20="",0,PreliminaryRound!$T20)</f>
        <v>1</v>
      </c>
      <c r="AL72" s="737">
        <f ca="1">IF($AA72=0,"",IF($AJ72&gt;$AK72,Settings!$C$4,IF($AJ72=$AK72,1,0)))</f>
        <v>1</v>
      </c>
      <c r="AM72" s="736">
        <f ca="1">IF($AA72=0,"",IF($AJ72&lt;$AK72,Settings!$C$4,IF($AJ72=$AK72,1,0)))</f>
        <v>1</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Planning!$L15</f>
        <v>Mainz 05</v>
      </c>
      <c r="W73" s="661" t="str">
        <f ca="1">Planning!$N15</f>
        <v>Manchester City</v>
      </c>
      <c r="X73" s="661">
        <f ca="1">IF(AND($AA73=1,PreliminaryRound!$I21&lt;&gt;"",PreliminaryRound!$K21&lt;&gt;"",ABS(PreliminaryRound!$I21-PreliminaryRound!$K21)&gt;1),PreliminaryRound!$I21,"")</f>
        <v>14</v>
      </c>
      <c r="Y73" s="734">
        <f ca="1">IF(AND($AA73=1,PreliminaryRound!$I21&lt;&gt;"",PreliminaryRound!$K21&lt;&gt;"",ABS(PreliminaryRound!$I21-PreliminaryRound!$K21)&gt;1),PreliminaryRound!$K21,"")</f>
        <v>25</v>
      </c>
      <c r="Z73" s="735" t="str">
        <f t="shared" ca="1" si="67"/>
        <v>Mainz 05Manchester City</v>
      </c>
      <c r="AA73" s="661">
        <f ca="1">IF(AND(V73&lt;&gt;"",W73&lt;&gt;"",V73&lt;&gt;W73,PreliminaryRound!$R21&lt;&gt;"",PreliminaryRound!$T21&lt;&gt;""),1,0)</f>
        <v>1</v>
      </c>
      <c r="AB73" s="661" t="str">
        <f ca="1">IF(AA73&gt;0,AH73&amp;Language!$E$99&amp;AI73,"")</f>
        <v>39 - 44</v>
      </c>
      <c r="AC73" s="736" t="str">
        <f ca="1">IF(AA73&gt;0,AJ73&amp;Language!$E$99&amp;AK73,"")</f>
        <v>1 - 1</v>
      </c>
      <c r="AD73" s="737">
        <f ca="1">IF(AND($AA73=1,PreliminaryRound!$L21&lt;&gt;"",PreliminaryRound!$N21&lt;&gt;"",ABS(PreliminaryRound!$L21-PreliminaryRound!$N21)&gt;1),PreliminaryRound!$L21,"")</f>
        <v>25</v>
      </c>
      <c r="AE73" s="736">
        <f ca="1">IF(AND($AA73=1,PreliminaryRound!$L21&lt;&gt;"",PreliminaryRound!$N21&lt;&gt;"",ABS(PreliminaryRound!$L21-PreliminaryRound!$N21)&gt;1),PreliminaryRound!$N21,"")</f>
        <v>19</v>
      </c>
      <c r="AF73" s="737" t="str">
        <f ca="1">IF(AND($AA73=1,PreliminaryRound!$O21&lt;&gt;"",PreliminaryRound!$Q21&lt;&gt;"",ABS(PreliminaryRound!$O21-PreliminaryRound!$Q21)&gt;1),PreliminaryRound!$O21,"")</f>
        <v/>
      </c>
      <c r="AG73" s="736" t="str">
        <f ca="1">IF(AND($AA73=1,PreliminaryRound!$O21&lt;&gt;"",PreliminaryRound!$Q21&lt;&gt;"",ABS(PreliminaryRound!$O21-PreliminaryRound!$Q21)&gt;1),PreliminaryRound!$Q21,"")</f>
        <v/>
      </c>
      <c r="AH73" s="737">
        <f t="shared" ca="1" si="68"/>
        <v>39</v>
      </c>
      <c r="AI73" s="736">
        <f t="shared" ca="1" si="69"/>
        <v>44</v>
      </c>
      <c r="AJ73" s="737">
        <f ca="1">IF(PreliminaryRound!$R21="",0,PreliminaryRound!$R21)</f>
        <v>1</v>
      </c>
      <c r="AK73" s="736">
        <f ca="1">IF(PreliminaryRound!$T21="",0,PreliminaryRound!$T21)</f>
        <v>1</v>
      </c>
      <c r="AL73" s="737">
        <f ca="1">IF($AA73=0,"",IF($AJ73&gt;$AK73,Settings!$C$4,IF($AJ73=$AK73,1,0)))</f>
        <v>1</v>
      </c>
      <c r="AM73" s="736">
        <f ca="1">IF($AA73=0,"",IF($AJ73&lt;$AK73,Settings!$C$4,IF($AJ73=$AK73,1,0)))</f>
        <v>1</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Planning!$L16</f>
        <v>Eintracht Frankfurt</v>
      </c>
      <c r="W74" s="661" t="str">
        <f ca="1">Planning!$N16</f>
        <v>VFB Essenheim</v>
      </c>
      <c r="X74" s="661">
        <f ca="1">IF(AND($AA74=1,PreliminaryRound!$I22&lt;&gt;"",PreliminaryRound!$K22&lt;&gt;"",ABS(PreliminaryRound!$I22-PreliminaryRound!$K22)&gt;1),PreliminaryRound!$I22,"")</f>
        <v>22</v>
      </c>
      <c r="Y74" s="734">
        <f ca="1">IF(AND($AA74=1,PreliminaryRound!$I22&lt;&gt;"",PreliminaryRound!$K22&lt;&gt;"",ABS(PreliminaryRound!$I22-PreliminaryRound!$K22)&gt;1),PreliminaryRound!$K22,"")</f>
        <v>25</v>
      </c>
      <c r="Z74" s="735" t="str">
        <f ca="1">V74&amp;W74</f>
        <v>Eintracht FrankfurtVFB Essenheim</v>
      </c>
      <c r="AA74" s="661">
        <f ca="1">IF(AND(V74&lt;&gt;"",W74&lt;&gt;"",V74&lt;&gt;W74,PreliminaryRound!$R22&lt;&gt;"",PreliminaryRound!$T22&lt;&gt;""),1,0)</f>
        <v>1</v>
      </c>
      <c r="AB74" s="661" t="str">
        <f ca="1">IF(AA74&gt;0,AH74&amp;Language!$E$99&amp;AI74,"")</f>
        <v>47 - 45</v>
      </c>
      <c r="AC74" s="736" t="str">
        <f ca="1">IF(AA74&gt;0,AJ74&amp;Language!$E$99&amp;AK74,"")</f>
        <v>1 - 1</v>
      </c>
      <c r="AD74" s="737">
        <f ca="1">IF(AND($AA74=1,PreliminaryRound!$L22&lt;&gt;"",PreliminaryRound!$N22&lt;&gt;"",ABS(PreliminaryRound!$L22-PreliminaryRound!$N22)&gt;1),PreliminaryRound!$L22,"")</f>
        <v>25</v>
      </c>
      <c r="AE74" s="736">
        <f ca="1">IF(AND($AA74=1,PreliminaryRound!$L22&lt;&gt;"",PreliminaryRound!$N22&lt;&gt;"",ABS(PreliminaryRound!$L22-PreliminaryRound!$N22)&gt;1),PreliminaryRound!$N22,"")</f>
        <v>20</v>
      </c>
      <c r="AF74" s="737" t="str">
        <f ca="1">IF(AND($AA74=1,PreliminaryRound!$O22&lt;&gt;"",PreliminaryRound!$Q22&lt;&gt;"",ABS(PreliminaryRound!$O22-PreliminaryRound!$Q22)&gt;1),PreliminaryRound!$O22,"")</f>
        <v/>
      </c>
      <c r="AG74" s="736" t="str">
        <f ca="1">IF(AND($AA74=1,PreliminaryRound!$O22&lt;&gt;"",PreliminaryRound!$Q22&lt;&gt;"",ABS(PreliminaryRound!$O22-PreliminaryRound!$Q22)&gt;1),PreliminaryRound!$Q22,"")</f>
        <v/>
      </c>
      <c r="AH74" s="737">
        <f t="shared" ca="1" si="68"/>
        <v>47</v>
      </c>
      <c r="AI74" s="736">
        <f t="shared" ca="1" si="69"/>
        <v>45</v>
      </c>
      <c r="AJ74" s="737">
        <f ca="1">IF(PreliminaryRound!$R22="",0,PreliminaryRound!$R22)</f>
        <v>1</v>
      </c>
      <c r="AK74" s="736">
        <f ca="1">IF(PreliminaryRound!$T22="",0,PreliminaryRound!$T22)</f>
        <v>1</v>
      </c>
      <c r="AL74" s="737">
        <f ca="1">IF($AA74=0,"",IF($AJ74&gt;$AK74,Settings!$C$4,IF($AJ74=$AK74,1,0)))</f>
        <v>1</v>
      </c>
      <c r="AM74" s="736">
        <f ca="1">IF($AA74=0,"",IF($AJ74&lt;$AK74,Settings!$C$4,IF($AJ74=$AK74,1,0)))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Planning!$L17</f>
        <v>SSV Wildbach</v>
      </c>
      <c r="W75" s="661" t="str">
        <f ca="1">Planning!$N17</f>
        <v>FC Grönlingen</v>
      </c>
      <c r="X75" s="661">
        <f ca="1">IF(AND($AA75=1,PreliminaryRound!$I23&lt;&gt;"",PreliminaryRound!$K23&lt;&gt;"",ABS(PreliminaryRound!$I23-PreliminaryRound!$K23)&gt;1),PreliminaryRound!$I23,"")</f>
        <v>19</v>
      </c>
      <c r="Y75" s="734">
        <f ca="1">IF(AND($AA75=1,PreliminaryRound!$I23&lt;&gt;"",PreliminaryRound!$K23&lt;&gt;"",ABS(PreliminaryRound!$I23-PreliminaryRound!$K23)&gt;1),PreliminaryRound!$K23,"")</f>
        <v>25</v>
      </c>
      <c r="Z75" s="735" t="str">
        <f t="shared" ref="Z75:Z93" ca="1" si="70">V75&amp;W75</f>
        <v>SSV WildbachFC Grönlingen</v>
      </c>
      <c r="AA75" s="661">
        <f ca="1">IF(AND(V75&lt;&gt;"",W75&lt;&gt;"",V75&lt;&gt;W75,PreliminaryRound!$R23&lt;&gt;"",PreliminaryRound!$T23&lt;&gt;""),1,0)</f>
        <v>1</v>
      </c>
      <c r="AB75" s="661" t="str">
        <f ca="1">IF(AA75&gt;0,AH75&amp;Language!$E$99&amp;AI75,"")</f>
        <v>44 - 44</v>
      </c>
      <c r="AC75" s="736" t="str">
        <f ca="1">IF(AA75&gt;0,AJ75&amp;Language!$E$99&amp;AK75,"")</f>
        <v>1 - 1</v>
      </c>
      <c r="AD75" s="737">
        <f ca="1">IF(AND($AA75=1,PreliminaryRound!$L23&lt;&gt;"",PreliminaryRound!$N23&lt;&gt;"",ABS(PreliminaryRound!$L23-PreliminaryRound!$N23)&gt;1),PreliminaryRound!$L23,"")</f>
        <v>25</v>
      </c>
      <c r="AE75" s="736">
        <f ca="1">IF(AND($AA75=1,PreliminaryRound!$L23&lt;&gt;"",PreliminaryRound!$N23&lt;&gt;"",ABS(PreliminaryRound!$L23-PreliminaryRound!$N23)&gt;1),PreliminaryRound!$N23,"")</f>
        <v>19</v>
      </c>
      <c r="AF75" s="737" t="str">
        <f ca="1">IF(AND($AA75=1,PreliminaryRound!$O23&lt;&gt;"",PreliminaryRound!$Q23&lt;&gt;"",ABS(PreliminaryRound!$O23-PreliminaryRound!$Q23)&gt;1),PreliminaryRound!$O23,"")</f>
        <v/>
      </c>
      <c r="AG75" s="736" t="str">
        <f ca="1">IF(AND($AA75=1,PreliminaryRound!$O23&lt;&gt;"",PreliminaryRound!$Q23&lt;&gt;"",ABS(PreliminaryRound!$O23-PreliminaryRound!$Q23)&gt;1),PreliminaryRound!$Q23,"")</f>
        <v/>
      </c>
      <c r="AH75" s="737">
        <f t="shared" ca="1" si="68"/>
        <v>44</v>
      </c>
      <c r="AI75" s="736">
        <f t="shared" ca="1" si="69"/>
        <v>44</v>
      </c>
      <c r="AJ75" s="737">
        <f ca="1">IF(PreliminaryRound!$R23="",0,PreliminaryRound!$R23)</f>
        <v>1</v>
      </c>
      <c r="AK75" s="736">
        <f ca="1">IF(PreliminaryRound!$T23="",0,PreliminaryRound!$T23)</f>
        <v>1</v>
      </c>
      <c r="AL75" s="737">
        <f ca="1">IF($AA75=0,"",IF($AJ75&gt;$AK75,Settings!$C$4,IF($AJ75=$AK75,1,0)))</f>
        <v>1</v>
      </c>
      <c r="AM75" s="736">
        <f ca="1">IF($AA75=0,"",IF($AJ75&lt;$AK75,Settings!$C$4,IF($AJ75=$AK75,1,0)))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Planning!$L18</f>
        <v>FC Barcelona</v>
      </c>
      <c r="W76" s="661" t="str">
        <f ca="1">Planning!$N18</f>
        <v>Maibach 1822 eV</v>
      </c>
      <c r="X76" s="661">
        <f ca="1">IF(AND($AA76=1,PreliminaryRound!$I24&lt;&gt;"",PreliminaryRound!$K24&lt;&gt;"",ABS(PreliminaryRound!$I24-PreliminaryRound!$K24)&gt;1),PreliminaryRound!$I24,"")</f>
        <v>17</v>
      </c>
      <c r="Y76" s="734">
        <f ca="1">IF(AND($AA76=1,PreliminaryRound!$I24&lt;&gt;"",PreliminaryRound!$K24&lt;&gt;"",ABS(PreliminaryRound!$I24-PreliminaryRound!$K24)&gt;1),PreliminaryRound!$K24,"")</f>
        <v>25</v>
      </c>
      <c r="Z76" s="735" t="str">
        <f t="shared" ca="1" si="70"/>
        <v>FC BarcelonaMaibach 1822 eV</v>
      </c>
      <c r="AA76" s="661">
        <f ca="1">IF(AND(V76&lt;&gt;"",W76&lt;&gt;"",V76&lt;&gt;W76,PreliminaryRound!$R24&lt;&gt;"",PreliminaryRound!$T24&lt;&gt;""),1,0)</f>
        <v>1</v>
      </c>
      <c r="AB76" s="661" t="str">
        <f ca="1">IF(AA76&gt;0,AH76&amp;Language!$E$99&amp;AI76,"")</f>
        <v>29 - 50</v>
      </c>
      <c r="AC76" s="736" t="str">
        <f ca="1">IF(AA76&gt;0,AJ76&amp;Language!$E$99&amp;AK76,"")</f>
        <v>0 - 2</v>
      </c>
      <c r="AD76" s="737">
        <f ca="1">IF(AND($AA76=1,PreliminaryRound!$L24&lt;&gt;"",PreliminaryRound!$N24&lt;&gt;"",ABS(PreliminaryRound!$L24-PreliminaryRound!$N24)&gt;1),PreliminaryRound!$L24,"")</f>
        <v>12</v>
      </c>
      <c r="AE76" s="736">
        <f ca="1">IF(AND($AA76=1,PreliminaryRound!$L24&lt;&gt;"",PreliminaryRound!$N24&lt;&gt;"",ABS(PreliminaryRound!$L24-PreliminaryRound!$N24)&gt;1),PreliminaryRound!$N24,"")</f>
        <v>25</v>
      </c>
      <c r="AF76" s="737" t="str">
        <f ca="1">IF(AND($AA76=1,PreliminaryRound!$O24&lt;&gt;"",PreliminaryRound!$Q24&lt;&gt;"",ABS(PreliminaryRound!$O24-PreliminaryRound!$Q24)&gt;1),PreliminaryRound!$O24,"")</f>
        <v/>
      </c>
      <c r="AG76" s="736" t="str">
        <f ca="1">IF(AND($AA76=1,PreliminaryRound!$O24&lt;&gt;"",PreliminaryRound!$Q24&lt;&gt;"",ABS(PreliminaryRound!$O24-PreliminaryRound!$Q24)&gt;1),PreliminaryRound!$Q24,"")</f>
        <v/>
      </c>
      <c r="AH76" s="737">
        <f t="shared" ca="1" si="68"/>
        <v>29</v>
      </c>
      <c r="AI76" s="736">
        <f t="shared" ca="1" si="69"/>
        <v>50</v>
      </c>
      <c r="AJ76" s="737">
        <f ca="1">IF(PreliminaryRound!$R24="",0,PreliminaryRound!$R24)</f>
        <v>0</v>
      </c>
      <c r="AK76" s="736">
        <f ca="1">IF(PreliminaryRound!$T24="",0,PreliminaryRound!$T24)</f>
        <v>2</v>
      </c>
      <c r="AL76" s="737">
        <f ca="1">IF($AA76=0,"",IF($AJ76&gt;$AK76,Settings!$C$4,IF($AJ76=$AK76,1,0)))</f>
        <v>0</v>
      </c>
      <c r="AM76" s="736">
        <f ca="1">IF($AA76=0,"",IF($AJ76&lt;$AK76,Settings!$C$4,IF($AJ76=$AK76,1,0)))</f>
        <v>2</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Planning!$L19</f>
        <v>Inter Mailand</v>
      </c>
      <c r="W77" s="661" t="str">
        <f ca="1">Planning!$N19</f>
        <v>Manchester City</v>
      </c>
      <c r="X77" s="661">
        <f ca="1">IF(AND($AA77=1,PreliminaryRound!$I25&lt;&gt;"",PreliminaryRound!$K25&lt;&gt;"",ABS(PreliminaryRound!$I25-PreliminaryRound!$K25)&gt;1),PreliminaryRound!$I25,"")</f>
        <v>14</v>
      </c>
      <c r="Y77" s="734">
        <f ca="1">IF(AND($AA77=1,PreliminaryRound!$I25&lt;&gt;"",PreliminaryRound!$K25&lt;&gt;"",ABS(PreliminaryRound!$I25-PreliminaryRound!$K25)&gt;1),PreliminaryRound!$K25,"")</f>
        <v>25</v>
      </c>
      <c r="Z77" s="735" t="str">
        <f t="shared" ca="1" si="70"/>
        <v>Inter MailandManchester City</v>
      </c>
      <c r="AA77" s="661">
        <f ca="1">IF(AND(V77&lt;&gt;"",W77&lt;&gt;"",V77&lt;&gt;W77,PreliminaryRound!$R25&lt;&gt;"",PreliminaryRound!$T25&lt;&gt;""),1,0)</f>
        <v>1</v>
      </c>
      <c r="AB77" s="661" t="str">
        <f ca="1">IF(AA77&gt;0,AH77&amp;Language!$E$99&amp;AI77,"")</f>
        <v>39 - 48</v>
      </c>
      <c r="AC77" s="736" t="str">
        <f ca="1">IF(AA77&gt;0,AJ77&amp;Language!$E$99&amp;AK77,"")</f>
        <v>1 - 1</v>
      </c>
      <c r="AD77" s="737">
        <f ca="1">IF(AND($AA77=1,PreliminaryRound!$L25&lt;&gt;"",PreliminaryRound!$N25&lt;&gt;"",ABS(PreliminaryRound!$L25-PreliminaryRound!$N25)&gt;1),PreliminaryRound!$L25,"")</f>
        <v>25</v>
      </c>
      <c r="AE77" s="736">
        <f ca="1">IF(AND($AA77=1,PreliminaryRound!$L25&lt;&gt;"",PreliminaryRound!$N25&lt;&gt;"",ABS(PreliminaryRound!$L25-PreliminaryRound!$N25)&gt;1),PreliminaryRound!$N25,"")</f>
        <v>23</v>
      </c>
      <c r="AF77" s="737" t="str">
        <f ca="1">IF(AND($AA77=1,PreliminaryRound!$O25&lt;&gt;"",PreliminaryRound!$Q25&lt;&gt;"",ABS(PreliminaryRound!$O25-PreliminaryRound!$Q25)&gt;1),PreliminaryRound!$O25,"")</f>
        <v/>
      </c>
      <c r="AG77" s="736" t="str">
        <f ca="1">IF(AND($AA77=1,PreliminaryRound!$O25&lt;&gt;"",PreliminaryRound!$Q25&lt;&gt;"",ABS(PreliminaryRound!$O25-PreliminaryRound!$Q25)&gt;1),PreliminaryRound!$Q25,"")</f>
        <v/>
      </c>
      <c r="AH77" s="737">
        <f t="shared" ca="1" si="68"/>
        <v>39</v>
      </c>
      <c r="AI77" s="736">
        <f t="shared" ca="1" si="69"/>
        <v>48</v>
      </c>
      <c r="AJ77" s="737">
        <f ca="1">IF(PreliminaryRound!$R25="",0,PreliminaryRound!$R25)</f>
        <v>1</v>
      </c>
      <c r="AK77" s="736">
        <f ca="1">IF(PreliminaryRound!$T25="",0,PreliminaryRound!$T25)</f>
        <v>1</v>
      </c>
      <c r="AL77" s="737">
        <f ca="1">IF($AA77=0,"",IF($AJ77&gt;$AK77,Settings!$C$4,IF($AJ77=$AK77,1,0)))</f>
        <v>1</v>
      </c>
      <c r="AM77" s="736">
        <f ca="1">IF($AA77=0,"",IF($AJ77&lt;$AK77,Settings!$C$4,IF($AJ77=$AK77,1,0)))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Planning!$L20</f>
        <v>Eintracht Frankfurt</v>
      </c>
      <c r="W78" s="661" t="str">
        <f ca="1">Planning!$N20</f>
        <v>1. FC Riedwald</v>
      </c>
      <c r="X78" s="661">
        <f ca="1">IF(AND($AA78=1,PreliminaryRound!$I26&lt;&gt;"",PreliminaryRound!$K26&lt;&gt;"",ABS(PreliminaryRound!$I26-PreliminaryRound!$K26)&gt;1),PreliminaryRound!$I26,"")</f>
        <v>21</v>
      </c>
      <c r="Y78" s="734">
        <f ca="1">IF(AND($AA78=1,PreliminaryRound!$I26&lt;&gt;"",PreliminaryRound!$K26&lt;&gt;"",ABS(PreliminaryRound!$I26-PreliminaryRound!$K26)&gt;1),PreliminaryRound!$K26,"")</f>
        <v>25</v>
      </c>
      <c r="Z78" s="735" t="str">
        <f t="shared" ca="1" si="70"/>
        <v>Eintracht Frankfurt1. FC Riedwald</v>
      </c>
      <c r="AA78" s="661">
        <f ca="1">IF(AND(V78&lt;&gt;"",W78&lt;&gt;"",V78&lt;&gt;W78,PreliminaryRound!$R26&lt;&gt;"",PreliminaryRound!$T26&lt;&gt;""),1,0)</f>
        <v>1</v>
      </c>
      <c r="AB78" s="661" t="str">
        <f ca="1">IF(AA78&gt;0,AH78&amp;Language!$E$99&amp;AI78,"")</f>
        <v>46 - 42</v>
      </c>
      <c r="AC78" s="736" t="str">
        <f ca="1">IF(AA78&gt;0,AJ78&amp;Language!$E$99&amp;AK78,"")</f>
        <v>1 - 1</v>
      </c>
      <c r="AD78" s="737">
        <f ca="1">IF(AND($AA78=1,PreliminaryRound!$L26&lt;&gt;"",PreliminaryRound!$N26&lt;&gt;"",ABS(PreliminaryRound!$L26-PreliminaryRound!$N26)&gt;1),PreliminaryRound!$L26,"")</f>
        <v>25</v>
      </c>
      <c r="AE78" s="736">
        <f ca="1">IF(AND($AA78=1,PreliminaryRound!$L26&lt;&gt;"",PreliminaryRound!$N26&lt;&gt;"",ABS(PreliminaryRound!$L26-PreliminaryRound!$N26)&gt;1),PreliminaryRound!$N26,"")</f>
        <v>17</v>
      </c>
      <c r="AF78" s="737" t="str">
        <f ca="1">IF(AND($AA78=1,PreliminaryRound!$O26&lt;&gt;"",PreliminaryRound!$Q26&lt;&gt;"",ABS(PreliminaryRound!$O26-PreliminaryRound!$Q26)&gt;1),PreliminaryRound!$O26,"")</f>
        <v/>
      </c>
      <c r="AG78" s="736" t="str">
        <f ca="1">IF(AND($AA78=1,PreliminaryRound!$O26&lt;&gt;"",PreliminaryRound!$Q26&lt;&gt;"",ABS(PreliminaryRound!$O26-PreliminaryRound!$Q26)&gt;1),PreliminaryRound!$Q26,"")</f>
        <v/>
      </c>
      <c r="AH78" s="737">
        <f t="shared" ca="1" si="68"/>
        <v>46</v>
      </c>
      <c r="AI78" s="736">
        <f t="shared" ca="1" si="69"/>
        <v>42</v>
      </c>
      <c r="AJ78" s="737">
        <f ca="1">IF(PreliminaryRound!$R26="",0,PreliminaryRound!$R26)</f>
        <v>1</v>
      </c>
      <c r="AK78" s="736">
        <f ca="1">IF(PreliminaryRound!$T26="",0,PreliminaryRound!$T26)</f>
        <v>1</v>
      </c>
      <c r="AL78" s="737">
        <f ca="1">IF($AA78=0,"",IF($AJ78&gt;$AK78,Settings!$C$4,IF($AJ78=$AK78,1,0)))</f>
        <v>1</v>
      </c>
      <c r="AM78" s="736">
        <f ca="1">IF($AA78=0,"",IF($AJ78&lt;$AK78,Settings!$C$4,IF($AJ78=$AK78,1,0)))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Planning!$L21</f>
        <v>SSV Wildbach</v>
      </c>
      <c r="W79" s="661" t="str">
        <f ca="1">Planning!$N21</f>
        <v>Mainz 05</v>
      </c>
      <c r="X79" s="661">
        <f ca="1">IF(AND($AA79=1,PreliminaryRound!$I27&lt;&gt;"",PreliminaryRound!$K27&lt;&gt;"",ABS(PreliminaryRound!$I27-PreliminaryRound!$K27)&gt;1),PreliminaryRound!$I27,"")</f>
        <v>20</v>
      </c>
      <c r="Y79" s="734">
        <f ca="1">IF(AND($AA79=1,PreliminaryRound!$I27&lt;&gt;"",PreliminaryRound!$K27&lt;&gt;"",ABS(PreliminaryRound!$I27-PreliminaryRound!$K27)&gt;1),PreliminaryRound!$K27,"")</f>
        <v>25</v>
      </c>
      <c r="Z79" s="735" t="str">
        <f t="shared" ca="1" si="70"/>
        <v>SSV WildbachMainz 05</v>
      </c>
      <c r="AA79" s="661">
        <f ca="1">IF(AND(V79&lt;&gt;"",W79&lt;&gt;"",V79&lt;&gt;W79,PreliminaryRound!$R27&lt;&gt;"",PreliminaryRound!$T27&lt;&gt;""),1,0)</f>
        <v>1</v>
      </c>
      <c r="AB79" s="661" t="str">
        <f ca="1">IF(AA79&gt;0,AH79&amp;Language!$E$99&amp;AI79,"")</f>
        <v>38 - 50</v>
      </c>
      <c r="AC79" s="736" t="str">
        <f ca="1">IF(AA79&gt;0,AJ79&amp;Language!$E$99&amp;AK79,"")</f>
        <v>0 - 2</v>
      </c>
      <c r="AD79" s="737">
        <f ca="1">IF(AND($AA79=1,PreliminaryRound!$L27&lt;&gt;"",PreliminaryRound!$N27&lt;&gt;"",ABS(PreliminaryRound!$L27-PreliminaryRound!$N27)&gt;1),PreliminaryRound!$L27,"")</f>
        <v>18</v>
      </c>
      <c r="AE79" s="736">
        <f ca="1">IF(AND($AA79=1,PreliminaryRound!$L27&lt;&gt;"",PreliminaryRound!$N27&lt;&gt;"",ABS(PreliminaryRound!$L27-PreliminaryRound!$N27)&gt;1),PreliminaryRound!$N27,"")</f>
        <v>25</v>
      </c>
      <c r="AF79" s="737" t="str">
        <f ca="1">IF(AND($AA79=1,PreliminaryRound!$O27&lt;&gt;"",PreliminaryRound!$Q27&lt;&gt;"",ABS(PreliminaryRound!$O27-PreliminaryRound!$Q27)&gt;1),PreliminaryRound!$O27,"")</f>
        <v/>
      </c>
      <c r="AG79" s="736" t="str">
        <f ca="1">IF(AND($AA79=1,PreliminaryRound!$O27&lt;&gt;"",PreliminaryRound!$Q27&lt;&gt;"",ABS(PreliminaryRound!$O27-PreliminaryRound!$Q27)&gt;1),PreliminaryRound!$Q27,"")</f>
        <v/>
      </c>
      <c r="AH79" s="737">
        <f t="shared" ca="1" si="68"/>
        <v>38</v>
      </c>
      <c r="AI79" s="736">
        <f t="shared" ca="1" si="69"/>
        <v>50</v>
      </c>
      <c r="AJ79" s="737">
        <f ca="1">IF(PreliminaryRound!$R27="",0,PreliminaryRound!$R27)</f>
        <v>0</v>
      </c>
      <c r="AK79" s="736">
        <f ca="1">IF(PreliminaryRound!$T27="",0,PreliminaryRound!$T27)</f>
        <v>2</v>
      </c>
      <c r="AL79" s="737">
        <f ca="1">IF($AA79=0,"",IF($AJ79&gt;$AK79,Settings!$C$4,IF($AJ79=$AK79,1,0)))</f>
        <v>0</v>
      </c>
      <c r="AM79" s="736">
        <f ca="1">IF($AA79=0,"",IF($AJ79&lt;$AK79,Settings!$C$4,IF($AJ79=$AK79,1,0)))</f>
        <v>2</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Planning!$L22</f>
        <v>Maibach 1822 eV</v>
      </c>
      <c r="W80" s="661" t="str">
        <f ca="1">Planning!$N22</f>
        <v>VFB Essenheim</v>
      </c>
      <c r="X80" s="661">
        <f ca="1">IF(AND($AA80=1,PreliminaryRound!$I28&lt;&gt;"",PreliminaryRound!$K28&lt;&gt;"",ABS(PreliminaryRound!$I28-PreliminaryRound!$K28)&gt;1),PreliminaryRound!$I28,"")</f>
        <v>25</v>
      </c>
      <c r="Y80" s="734">
        <f ca="1">IF(AND($AA80=1,PreliminaryRound!$I28&lt;&gt;"",PreliminaryRound!$K28&lt;&gt;"",ABS(PreliminaryRound!$I28-PreliminaryRound!$K28)&gt;1),PreliminaryRound!$K28,"")</f>
        <v>21</v>
      </c>
      <c r="Z80" s="735" t="str">
        <f t="shared" ca="1" si="70"/>
        <v>Maibach 1822 eVVFB Essenheim</v>
      </c>
      <c r="AA80" s="661">
        <f ca="1">IF(AND(V80&lt;&gt;"",W80&lt;&gt;"",V80&lt;&gt;W80,PreliminaryRound!$R28&lt;&gt;"",PreliminaryRound!$T28&lt;&gt;""),1,0)</f>
        <v>1</v>
      </c>
      <c r="AB80" s="661" t="str">
        <f ca="1">IF(AA80&gt;0,AH80&amp;Language!$E$99&amp;AI80,"")</f>
        <v>50 - 40</v>
      </c>
      <c r="AC80" s="736" t="str">
        <f ca="1">IF(AA80&gt;0,AJ80&amp;Language!$E$99&amp;AK80,"")</f>
        <v>2 - 0</v>
      </c>
      <c r="AD80" s="737">
        <f ca="1">IF(AND($AA80=1,PreliminaryRound!$L28&lt;&gt;"",PreliminaryRound!$N28&lt;&gt;"",ABS(PreliminaryRound!$L28-PreliminaryRound!$N28)&gt;1),PreliminaryRound!$L28,"")</f>
        <v>25</v>
      </c>
      <c r="AE80" s="736">
        <f ca="1">IF(AND($AA80=1,PreliminaryRound!$L28&lt;&gt;"",PreliminaryRound!$N28&lt;&gt;"",ABS(PreliminaryRound!$L28-PreliminaryRound!$N28)&gt;1),PreliminaryRound!$N28,"")</f>
        <v>19</v>
      </c>
      <c r="AF80" s="737" t="str">
        <f ca="1">IF(AND($AA80=1,PreliminaryRound!$O28&lt;&gt;"",PreliminaryRound!$Q28&lt;&gt;"",ABS(PreliminaryRound!$O28-PreliminaryRound!$Q28)&gt;1),PreliminaryRound!$O28,"")</f>
        <v/>
      </c>
      <c r="AG80" s="736" t="str">
        <f ca="1">IF(AND($AA80=1,PreliminaryRound!$O28&lt;&gt;"",PreliminaryRound!$Q28&lt;&gt;"",ABS(PreliminaryRound!$O28-PreliminaryRound!$Q28)&gt;1),PreliminaryRound!$Q28,"")</f>
        <v/>
      </c>
      <c r="AH80" s="737">
        <f t="shared" ca="1" si="68"/>
        <v>50</v>
      </c>
      <c r="AI80" s="736">
        <f t="shared" ca="1" si="69"/>
        <v>40</v>
      </c>
      <c r="AJ80" s="737">
        <f ca="1">IF(PreliminaryRound!$R28="",0,PreliminaryRound!$R28)</f>
        <v>2</v>
      </c>
      <c r="AK80" s="736">
        <f ca="1">IF(PreliminaryRound!$T28="",0,PreliminaryRound!$T28)</f>
        <v>0</v>
      </c>
      <c r="AL80" s="737">
        <f ca="1">IF($AA80=0,"",IF($AJ80&gt;$AK80,Settings!$C$4,IF($AJ80=$AK80,1,0)))</f>
        <v>2</v>
      </c>
      <c r="AM80" s="736">
        <f ca="1">IF($AA80=0,"",IF($AJ80&lt;$AK80,Settings!$C$4,IF($AJ80=$AK80,1,0)))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x14ac:dyDescent="0.2">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Planning!$L23</f>
        <v>Manchester City</v>
      </c>
      <c r="W81" s="661" t="str">
        <f ca="1">Planning!$N23</f>
        <v>FC Grönlingen</v>
      </c>
      <c r="X81" s="661">
        <f ca="1">IF(AND($AA81=1,PreliminaryRound!$I29&lt;&gt;"",PreliminaryRound!$K29&lt;&gt;"",ABS(PreliminaryRound!$I29-PreliminaryRound!$K29)&gt;1),PreliminaryRound!$I29,"")</f>
        <v>25</v>
      </c>
      <c r="Y81" s="734">
        <f ca="1">IF(AND($AA81=1,PreliminaryRound!$I29&lt;&gt;"",PreliminaryRound!$K29&lt;&gt;"",ABS(PreliminaryRound!$I29-PreliminaryRound!$K29)&gt;1),PreliminaryRound!$K29,"")</f>
        <v>12</v>
      </c>
      <c r="Z81" s="735" t="str">
        <f t="shared" ca="1" si="70"/>
        <v>Manchester CityFC Grönlingen</v>
      </c>
      <c r="AA81" s="661">
        <f ca="1">IF(AND(V81&lt;&gt;"",W81&lt;&gt;"",V81&lt;&gt;W81,PreliminaryRound!$R29&lt;&gt;"",PreliminaryRound!$T29&lt;&gt;""),1,0)</f>
        <v>1</v>
      </c>
      <c r="AB81" s="661" t="str">
        <f ca="1">IF(AA81&gt;0,AH81&amp;Language!$E$99&amp;AI81,"")</f>
        <v>50 - 32</v>
      </c>
      <c r="AC81" s="736" t="str">
        <f ca="1">IF(AA81&gt;0,AJ81&amp;Language!$E$99&amp;AK81,"")</f>
        <v>2 - 0</v>
      </c>
      <c r="AD81" s="737">
        <f ca="1">IF(AND($AA81=1,PreliminaryRound!$L29&lt;&gt;"",PreliminaryRound!$N29&lt;&gt;"",ABS(PreliminaryRound!$L29-PreliminaryRound!$N29)&gt;1),PreliminaryRound!$L29,"")</f>
        <v>25</v>
      </c>
      <c r="AE81" s="736">
        <f ca="1">IF(AND($AA81=1,PreliminaryRound!$L29&lt;&gt;"",PreliminaryRound!$N29&lt;&gt;"",ABS(PreliminaryRound!$L29-PreliminaryRound!$N29)&gt;1),PreliminaryRound!$N29,"")</f>
        <v>20</v>
      </c>
      <c r="AF81" s="737" t="str">
        <f ca="1">IF(AND($AA81=1,PreliminaryRound!$O29&lt;&gt;"",PreliminaryRound!$Q29&lt;&gt;"",ABS(PreliminaryRound!$O29-PreliminaryRound!$Q29)&gt;1),PreliminaryRound!$O29,"")</f>
        <v/>
      </c>
      <c r="AG81" s="736" t="str">
        <f ca="1">IF(AND($AA81=1,PreliminaryRound!$O29&lt;&gt;"",PreliminaryRound!$Q29&lt;&gt;"",ABS(PreliminaryRound!$O29-PreliminaryRound!$Q29)&gt;1),PreliminaryRound!$Q29,"")</f>
        <v/>
      </c>
      <c r="AH81" s="737">
        <f t="shared" ca="1" si="68"/>
        <v>50</v>
      </c>
      <c r="AI81" s="736">
        <f t="shared" ca="1" si="69"/>
        <v>32</v>
      </c>
      <c r="AJ81" s="737">
        <f ca="1">IF(PreliminaryRound!$R29="",0,PreliminaryRound!$R29)</f>
        <v>2</v>
      </c>
      <c r="AK81" s="736">
        <f ca="1">IF(PreliminaryRound!$T29="",0,PreliminaryRound!$T29)</f>
        <v>0</v>
      </c>
      <c r="AL81" s="737">
        <f ca="1">IF($AA81=0,"",IF($AJ81&gt;$AK81,Settings!$C$4,IF($AJ81=$AK81,1,0)))</f>
        <v>2</v>
      </c>
      <c r="AM81" s="736">
        <f ca="1">IF($AA81=0,"",IF($AJ81&lt;$AK81,Settings!$C$4,IF($AJ81=$AK81,1,0)))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x14ac:dyDescent="0.2">
      <c r="A82" s="660"/>
      <c r="B82" s="681"/>
      <c r="C82" s="681"/>
      <c r="D82" s="681"/>
      <c r="E82" s="681"/>
      <c r="F82" s="661"/>
      <c r="G82" s="661"/>
      <c r="H82" s="661"/>
      <c r="I82" s="661"/>
      <c r="J82" s="661"/>
      <c r="K82" s="661"/>
      <c r="L82" s="661"/>
      <c r="M82" s="661"/>
      <c r="N82" s="660"/>
      <c r="O82" s="660"/>
      <c r="P82" s="660"/>
      <c r="Q82" s="660"/>
      <c r="R82" s="660"/>
      <c r="S82" s="660"/>
      <c r="T82" s="660"/>
      <c r="U82" s="732" t="s">
        <v>33</v>
      </c>
      <c r="V82" s="733" t="str">
        <f ca="1">Planning!$L24</f>
        <v>1. FC Riedwald</v>
      </c>
      <c r="W82" s="661" t="str">
        <f ca="1">Planning!$N24</f>
        <v>FC Barcelona</v>
      </c>
      <c r="X82" s="661">
        <f ca="1">IF(AND($AA82=1,PreliminaryRound!$I30&lt;&gt;"",PreliminaryRound!$K30&lt;&gt;"",ABS(PreliminaryRound!$I30-PreliminaryRound!$K30)&gt;1),PreliminaryRound!$I30,"")</f>
        <v>25</v>
      </c>
      <c r="Y82" s="734">
        <f ca="1">IF(AND($AA82=1,PreliminaryRound!$I30&lt;&gt;"",PreliminaryRound!$K30&lt;&gt;"",ABS(PreliminaryRound!$I30-PreliminaryRound!$K30)&gt;1),PreliminaryRound!$K30,"")</f>
        <v>16</v>
      </c>
      <c r="Z82" s="735" t="str">
        <f t="shared" ca="1" si="70"/>
        <v>1. FC RiedwaldFC Barcelona</v>
      </c>
      <c r="AA82" s="661">
        <f ca="1">IF(AND(V82&lt;&gt;"",W82&lt;&gt;"",V82&lt;&gt;W82,PreliminaryRound!$R30&lt;&gt;"",PreliminaryRound!$T30&lt;&gt;""),1,0)</f>
        <v>1</v>
      </c>
      <c r="AB82" s="661" t="str">
        <f ca="1">IF(AA82&gt;0,AH82&amp;Language!$E$99&amp;AI82,"")</f>
        <v>50 - 37</v>
      </c>
      <c r="AC82" s="736" t="str">
        <f ca="1">IF(AA82&gt;0,AJ82&amp;Language!$E$99&amp;AK82,"")</f>
        <v>2 - 0</v>
      </c>
      <c r="AD82" s="737">
        <f ca="1">IF(AND($AA82=1,PreliminaryRound!$L30&lt;&gt;"",PreliminaryRound!$N30&lt;&gt;"",ABS(PreliminaryRound!$L30-PreliminaryRound!$N30)&gt;1),PreliminaryRound!$L30,"")</f>
        <v>25</v>
      </c>
      <c r="AE82" s="736">
        <f ca="1">IF(AND($AA82=1,PreliminaryRound!$L30&lt;&gt;"",PreliminaryRound!$N30&lt;&gt;"",ABS(PreliminaryRound!$L30-PreliminaryRound!$N30)&gt;1),PreliminaryRound!$N30,"")</f>
        <v>21</v>
      </c>
      <c r="AF82" s="737" t="str">
        <f ca="1">IF(AND($AA82=1,PreliminaryRound!$O30&lt;&gt;"",PreliminaryRound!$Q30&lt;&gt;"",ABS(PreliminaryRound!$O30-PreliminaryRound!$Q30)&gt;1),PreliminaryRound!$O30,"")</f>
        <v/>
      </c>
      <c r="AG82" s="736" t="str">
        <f ca="1">IF(AND($AA82=1,PreliminaryRound!$O30&lt;&gt;"",PreliminaryRound!$Q30&lt;&gt;"",ABS(PreliminaryRound!$O30-PreliminaryRound!$Q30)&gt;1),PreliminaryRound!$Q30,"")</f>
        <v/>
      </c>
      <c r="AH82" s="737">
        <f t="shared" ca="1" si="68"/>
        <v>50</v>
      </c>
      <c r="AI82" s="736">
        <f t="shared" ca="1" si="69"/>
        <v>37</v>
      </c>
      <c r="AJ82" s="737">
        <f ca="1">IF(PreliminaryRound!$R30="",0,PreliminaryRound!$R30)</f>
        <v>2</v>
      </c>
      <c r="AK82" s="736">
        <f ca="1">IF(PreliminaryRound!$T30="",0,PreliminaryRound!$T30)</f>
        <v>0</v>
      </c>
      <c r="AL82" s="737">
        <f ca="1">IF($AA82=0,"",IF($AJ82&gt;$AK82,Settings!$C$4,IF($AJ82=$AK82,1,0)))</f>
        <v>2</v>
      </c>
      <c r="AM82" s="736">
        <f ca="1">IF($AA82=0,"",IF($AJ82&lt;$AK82,Settings!$C$4,IF($AJ82=$AK82,1,0)))</f>
        <v>0</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 ca="1">Planning!$L25</f>
        <v>Mainz 05</v>
      </c>
      <c r="W83" s="661" t="str">
        <f ca="1">Planning!$N25</f>
        <v>Inter Mailand</v>
      </c>
      <c r="X83" s="661">
        <f ca="1">IF(AND($AA83=1,PreliminaryRound!$I31&lt;&gt;"",PreliminaryRound!$K31&lt;&gt;"",ABS(PreliminaryRound!$I31-PreliminaryRound!$K31)&gt;1),PreliminaryRound!$I31,"")</f>
        <v>15</v>
      </c>
      <c r="Y83" s="734">
        <f ca="1">IF(AND($AA83=1,PreliminaryRound!$I31&lt;&gt;"",PreliminaryRound!$K31&lt;&gt;"",ABS(PreliminaryRound!$I31-PreliminaryRound!$K31)&gt;1),PreliminaryRound!$K31,"")</f>
        <v>25</v>
      </c>
      <c r="Z83" s="735" t="str">
        <f t="shared" ca="1" si="70"/>
        <v>Mainz 05Inter Mailand</v>
      </c>
      <c r="AA83" s="661">
        <f ca="1">IF(AND(V83&lt;&gt;"",W83&lt;&gt;"",V83&lt;&gt;W83,PreliminaryRound!$R31&lt;&gt;"",PreliminaryRound!$T31&lt;&gt;""),1,0)</f>
        <v>1</v>
      </c>
      <c r="AB83" s="661" t="str">
        <f ca="1">IF(AA83&gt;0,AH83&amp;Language!$E$99&amp;AI83,"")</f>
        <v>33 - 50</v>
      </c>
      <c r="AC83" s="736" t="str">
        <f ca="1">IF(AA83&gt;0,AJ83&amp;Language!$E$99&amp;AK83,"")</f>
        <v>0 - 2</v>
      </c>
      <c r="AD83" s="737">
        <f ca="1">IF(AND($AA83=1,PreliminaryRound!$L31&lt;&gt;"",PreliminaryRound!$N31&lt;&gt;"",ABS(PreliminaryRound!$L31-PreliminaryRound!$N31)&gt;1),PreliminaryRound!$L31,"")</f>
        <v>18</v>
      </c>
      <c r="AE83" s="736">
        <f ca="1">IF(AND($AA83=1,PreliminaryRound!$L31&lt;&gt;"",PreliminaryRound!$N31&lt;&gt;"",ABS(PreliminaryRound!$L31-PreliminaryRound!$N31)&gt;1),PreliminaryRound!$N31,"")</f>
        <v>25</v>
      </c>
      <c r="AF83" s="737" t="str">
        <f ca="1">IF(AND($AA83=1,PreliminaryRound!$O31&lt;&gt;"",PreliminaryRound!$Q31&lt;&gt;"",ABS(PreliminaryRound!$O31-PreliminaryRound!$Q31)&gt;1),PreliminaryRound!$O31,"")</f>
        <v/>
      </c>
      <c r="AG83" s="736" t="str">
        <f ca="1">IF(AND($AA83=1,PreliminaryRound!$O31&lt;&gt;"",PreliminaryRound!$Q31&lt;&gt;"",ABS(PreliminaryRound!$O31-PreliminaryRound!$Q31)&gt;1),PreliminaryRound!$Q31,"")</f>
        <v/>
      </c>
      <c r="AH83" s="737">
        <f t="shared" ca="1" si="68"/>
        <v>33</v>
      </c>
      <c r="AI83" s="736">
        <f t="shared" ca="1" si="69"/>
        <v>50</v>
      </c>
      <c r="AJ83" s="737">
        <f ca="1">IF(PreliminaryRound!$R31="",0,PreliminaryRound!$R31)</f>
        <v>0</v>
      </c>
      <c r="AK83" s="736">
        <f ca="1">IF(PreliminaryRound!$T31="",0,PreliminaryRound!$T31)</f>
        <v>2</v>
      </c>
      <c r="AL83" s="737">
        <f ca="1">IF($AA83=0,"",IF($AJ83&gt;$AK83,Settings!$C$4,IF($AJ83=$AK83,1,0)))</f>
        <v>0</v>
      </c>
      <c r="AM83" s="736">
        <f ca="1">IF($AA83=0,"",IF($AJ83&lt;$AK83,Settings!$C$4,IF($AJ83=$AK83,1,0)))</f>
        <v>2</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 ca="1">Planning!$L26</f>
        <v/>
      </c>
      <c r="W84" s="661" t="str">
        <f ca="1">Planning!$N26</f>
        <v/>
      </c>
      <c r="X84" s="661" t="str">
        <f ca="1">IF(AND($AA84=1,PreliminaryRound!$I32&lt;&gt;"",PreliminaryRound!$K32&lt;&gt;"",ABS(PreliminaryRound!$I32-PreliminaryRound!$K32)&gt;1),PreliminaryRound!$I32,"")</f>
        <v/>
      </c>
      <c r="Y84" s="734" t="str">
        <f ca="1">IF(AND($AA84=1,PreliminaryRound!$I32&lt;&gt;"",PreliminaryRound!$K32&lt;&gt;"",ABS(PreliminaryRound!$I32-PreliminaryRound!$K32)&gt;1),PreliminaryRound!$K32,"")</f>
        <v/>
      </c>
      <c r="Z84" s="735" t="str">
        <f t="shared" ca="1" si="70"/>
        <v/>
      </c>
      <c r="AA84" s="661">
        <f ca="1">IF(AND(V84&lt;&gt;"",W84&lt;&gt;"",V84&lt;&gt;W84,PreliminaryRound!$R32&lt;&gt;"",PreliminaryRound!$T32&lt;&gt;""),1,0)</f>
        <v>0</v>
      </c>
      <c r="AB84" s="661" t="str">
        <f ca="1">IF(AA84&gt;0,AH84&amp;Language!$E$99&amp;AI84,"")</f>
        <v/>
      </c>
      <c r="AC84" s="736" t="str">
        <f ca="1">IF(AA84&gt;0,AJ84&amp;Language!$E$99&amp;AK84,"")</f>
        <v/>
      </c>
      <c r="AD84" s="737" t="str">
        <f ca="1">IF(AND($AA84=1,PreliminaryRound!$L32&lt;&gt;"",PreliminaryRound!$N32&lt;&gt;"",ABS(PreliminaryRound!$L32-PreliminaryRound!$N32)&gt;1),PreliminaryRound!$L32,"")</f>
        <v/>
      </c>
      <c r="AE84" s="736" t="str">
        <f ca="1">IF(AND($AA84=1,PreliminaryRound!$L32&lt;&gt;"",PreliminaryRound!$N32&lt;&gt;"",ABS(PreliminaryRound!$L32-PreliminaryRound!$N32)&gt;1),PreliminaryRound!$N32,"")</f>
        <v/>
      </c>
      <c r="AF84" s="737" t="str">
        <f ca="1">IF(AND($AA84=1,PreliminaryRound!$O32&lt;&gt;"",PreliminaryRound!$Q32&lt;&gt;"",ABS(PreliminaryRound!$O32-PreliminaryRound!$Q32)&gt;1),PreliminaryRound!$O32,"")</f>
        <v/>
      </c>
      <c r="AG84" s="736" t="str">
        <f ca="1">IF(AND($AA84=1,PreliminaryRound!$O32&lt;&gt;"",PreliminaryRound!$Q32&lt;&gt;"",ABS(PreliminaryRound!$O32-PreliminaryRound!$Q32)&gt;1),PreliminaryRound!$Q32,"")</f>
        <v/>
      </c>
      <c r="AH84" s="737" t="str">
        <f t="shared" ca="1" si="68"/>
        <v/>
      </c>
      <c r="AI84" s="736" t="str">
        <f t="shared" ca="1" si="69"/>
        <v/>
      </c>
      <c r="AJ84" s="737">
        <f ca="1">IF(PreliminaryRound!$R32="",0,PreliminaryRound!$R32)</f>
        <v>0</v>
      </c>
      <c r="AK84" s="736">
        <f ca="1">IF(PreliminaryRound!$T32="",0,PreliminaryRound!$T32)</f>
        <v>0</v>
      </c>
      <c r="AL84" s="737" t="str">
        <f ca="1">IF($AA84=0,"",IF($AJ84&gt;$AK84,Settings!$C$4,IF($AJ84=$AK84,1,0)))</f>
        <v/>
      </c>
      <c r="AM84" s="736" t="str">
        <f ca="1">IF($AA84=0,"",IF($AJ84&lt;$AK84,Settings!$C$4,IF($AJ84=$AK84,1,0)))</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 ca="1">Planning!$L27</f>
        <v/>
      </c>
      <c r="W85" s="661" t="str">
        <f ca="1">Planning!$N27</f>
        <v/>
      </c>
      <c r="X85" s="661" t="str">
        <f ca="1">IF(AND($AA85=1,PreliminaryRound!$I33&lt;&gt;"",PreliminaryRound!$K33&lt;&gt;"",ABS(PreliminaryRound!$I33-PreliminaryRound!$K33)&gt;1),PreliminaryRound!$I33,"")</f>
        <v/>
      </c>
      <c r="Y85" s="734" t="str">
        <f ca="1">IF(AND($AA85=1,PreliminaryRound!$I33&lt;&gt;"",PreliminaryRound!$K33&lt;&gt;"",ABS(PreliminaryRound!$I33-PreliminaryRound!$K33)&gt;1),PreliminaryRound!$K33,"")</f>
        <v/>
      </c>
      <c r="Z85" s="735" t="str">
        <f t="shared" ca="1" si="70"/>
        <v/>
      </c>
      <c r="AA85" s="661">
        <f ca="1">IF(AND(V85&lt;&gt;"",W85&lt;&gt;"",V85&lt;&gt;W85,PreliminaryRound!$R33&lt;&gt;"",PreliminaryRound!$T33&lt;&gt;""),1,0)</f>
        <v>0</v>
      </c>
      <c r="AB85" s="661" t="str">
        <f ca="1">IF(AA85&gt;0,AH85&amp;Language!$E$99&amp;AI85,"")</f>
        <v/>
      </c>
      <c r="AC85" s="736" t="str">
        <f ca="1">IF(AA85&gt;0,AJ85&amp;Language!$E$99&amp;AK85,"")</f>
        <v/>
      </c>
      <c r="AD85" s="737" t="str">
        <f ca="1">IF(AND($AA85=1,PreliminaryRound!$L33&lt;&gt;"",PreliminaryRound!$N33&lt;&gt;"",ABS(PreliminaryRound!$L33-PreliminaryRound!$N33)&gt;1),PreliminaryRound!$L33,"")</f>
        <v/>
      </c>
      <c r="AE85" s="736" t="str">
        <f ca="1">IF(AND($AA85=1,PreliminaryRound!$L33&lt;&gt;"",PreliminaryRound!$N33&lt;&gt;"",ABS(PreliminaryRound!$L33-PreliminaryRound!$N33)&gt;1),PreliminaryRound!$N33,"")</f>
        <v/>
      </c>
      <c r="AF85" s="737" t="str">
        <f ca="1">IF(AND($AA85=1,PreliminaryRound!$O33&lt;&gt;"",PreliminaryRound!$Q33&lt;&gt;"",ABS(PreliminaryRound!$O33-PreliminaryRound!$Q33)&gt;1),PreliminaryRound!$O33,"")</f>
        <v/>
      </c>
      <c r="AG85" s="736" t="str">
        <f ca="1">IF(AND($AA85=1,PreliminaryRound!$O33&lt;&gt;"",PreliminaryRound!$Q33&lt;&gt;"",ABS(PreliminaryRound!$O33-PreliminaryRound!$Q33)&gt;1),PreliminaryRound!$Q33,"")</f>
        <v/>
      </c>
      <c r="AH85" s="737" t="str">
        <f t="shared" ca="1" si="68"/>
        <v/>
      </c>
      <c r="AI85" s="736" t="str">
        <f t="shared" ca="1" si="69"/>
        <v/>
      </c>
      <c r="AJ85" s="737">
        <f ca="1">IF(PreliminaryRound!$R33="",0,PreliminaryRound!$R33)</f>
        <v>0</v>
      </c>
      <c r="AK85" s="736">
        <f ca="1">IF(PreliminaryRound!$T33="",0,PreliminaryRound!$T33)</f>
        <v>0</v>
      </c>
      <c r="AL85" s="737" t="str">
        <f ca="1">IF($AA85=0,"",IF($AJ85&gt;$AK85,Settings!$C$4,IF($AJ85=$AK85,1,0)))</f>
        <v/>
      </c>
      <c r="AM85" s="736" t="str">
        <f ca="1">IF($AA85=0,"",IF($AJ85&lt;$AK85,Settings!$C$4,IF($AJ85=$AK85,1,0)))</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 ca="1">Planning!$L28</f>
        <v/>
      </c>
      <c r="W86" s="661" t="str">
        <f ca="1">Planning!$N28</f>
        <v/>
      </c>
      <c r="X86" s="661" t="str">
        <f ca="1">IF(AND($AA86=1,PreliminaryRound!$I34&lt;&gt;"",PreliminaryRound!$K34&lt;&gt;"",ABS(PreliminaryRound!$I34-PreliminaryRound!$K34)&gt;1),PreliminaryRound!$I34,"")</f>
        <v/>
      </c>
      <c r="Y86" s="734" t="str">
        <f ca="1">IF(AND($AA86=1,PreliminaryRound!$I34&lt;&gt;"",PreliminaryRound!$K34&lt;&gt;"",ABS(PreliminaryRound!$I34-PreliminaryRound!$K34)&gt;1),PreliminaryRound!$K34,"")</f>
        <v/>
      </c>
      <c r="Z86" s="735" t="str">
        <f t="shared" ca="1" si="70"/>
        <v/>
      </c>
      <c r="AA86" s="661">
        <f ca="1">IF(AND(V86&lt;&gt;"",W86&lt;&gt;"",V86&lt;&gt;W86,PreliminaryRound!$R34&lt;&gt;"",PreliminaryRound!$T34&lt;&gt;""),1,0)</f>
        <v>0</v>
      </c>
      <c r="AB86" s="661" t="str">
        <f ca="1">IF(AA86&gt;0,AH86&amp;Language!$E$99&amp;AI86,"")</f>
        <v/>
      </c>
      <c r="AC86" s="736" t="str">
        <f ca="1">IF(AA86&gt;0,AJ86&amp;Language!$E$99&amp;AK86,"")</f>
        <v/>
      </c>
      <c r="AD86" s="737" t="str">
        <f ca="1">IF(AND($AA86=1,PreliminaryRound!$L34&lt;&gt;"",PreliminaryRound!$N34&lt;&gt;"",ABS(PreliminaryRound!$L34-PreliminaryRound!$N34)&gt;1),PreliminaryRound!$L34,"")</f>
        <v/>
      </c>
      <c r="AE86" s="736" t="str">
        <f ca="1">IF(AND($AA86=1,PreliminaryRound!$L34&lt;&gt;"",PreliminaryRound!$N34&lt;&gt;"",ABS(PreliminaryRound!$L34-PreliminaryRound!$N34)&gt;1),PreliminaryRound!$N34,"")</f>
        <v/>
      </c>
      <c r="AF86" s="737" t="str">
        <f ca="1">IF(AND($AA86=1,PreliminaryRound!$O34&lt;&gt;"",PreliminaryRound!$Q34&lt;&gt;"",ABS(PreliminaryRound!$O34-PreliminaryRound!$Q34)&gt;1),PreliminaryRound!$O34,"")</f>
        <v/>
      </c>
      <c r="AG86" s="736" t="str">
        <f ca="1">IF(AND($AA86=1,PreliminaryRound!$O34&lt;&gt;"",PreliminaryRound!$Q34&lt;&gt;"",ABS(PreliminaryRound!$O34-PreliminaryRound!$Q34)&gt;1),PreliminaryRound!$Q34,"")</f>
        <v/>
      </c>
      <c r="AH86" s="737" t="str">
        <f t="shared" ca="1" si="68"/>
        <v/>
      </c>
      <c r="AI86" s="736" t="str">
        <f t="shared" ca="1" si="69"/>
        <v/>
      </c>
      <c r="AJ86" s="737">
        <f ca="1">IF(PreliminaryRound!$R34="",0,PreliminaryRound!$R34)</f>
        <v>0</v>
      </c>
      <c r="AK86" s="736">
        <f ca="1">IF(PreliminaryRound!$T34="",0,PreliminaryRound!$T34)</f>
        <v>0</v>
      </c>
      <c r="AL86" s="737" t="str">
        <f ca="1">IF($AA86=0,"",IF($AJ86&gt;$AK86,Settings!$C$4,IF($AJ86=$AK86,1,0)))</f>
        <v/>
      </c>
      <c r="AM86" s="736" t="str">
        <f ca="1">IF($AA86=0,"",IF($AJ86&lt;$AK86,Settings!$C$4,IF($AJ86=$AK86,1,0)))</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 ca="1">Planning!$L29</f>
        <v/>
      </c>
      <c r="W87" s="661" t="str">
        <f ca="1">Planning!$N29</f>
        <v/>
      </c>
      <c r="X87" s="661" t="str">
        <f ca="1">IF(AND($AA87=1,PreliminaryRound!$I35&lt;&gt;"",PreliminaryRound!$K35&lt;&gt;"",ABS(PreliminaryRound!$I35-PreliminaryRound!$K35)&gt;1),PreliminaryRound!$I35,"")</f>
        <v/>
      </c>
      <c r="Y87" s="734" t="str">
        <f ca="1">IF(AND($AA87=1,PreliminaryRound!$I35&lt;&gt;"",PreliminaryRound!$K35&lt;&gt;"",ABS(PreliminaryRound!$I35-PreliminaryRound!$K35)&gt;1),PreliminaryRound!$K35,"")</f>
        <v/>
      </c>
      <c r="Z87" s="735" t="str">
        <f t="shared" ca="1" si="70"/>
        <v/>
      </c>
      <c r="AA87" s="661">
        <f ca="1">IF(AND(V87&lt;&gt;"",W87&lt;&gt;"",V87&lt;&gt;W87,PreliminaryRound!$R35&lt;&gt;"",PreliminaryRound!$T35&lt;&gt;""),1,0)</f>
        <v>0</v>
      </c>
      <c r="AB87" s="661" t="str">
        <f ca="1">IF(AA87&gt;0,AH87&amp;Language!$E$99&amp;AI87,"")</f>
        <v/>
      </c>
      <c r="AC87" s="736" t="str">
        <f ca="1">IF(AA87&gt;0,AJ87&amp;Language!$E$99&amp;AK87,"")</f>
        <v/>
      </c>
      <c r="AD87" s="737" t="str">
        <f ca="1">IF(AND($AA87=1,PreliminaryRound!$L35&lt;&gt;"",PreliminaryRound!$N35&lt;&gt;"",ABS(PreliminaryRound!$L35-PreliminaryRound!$N35)&gt;1),PreliminaryRound!$L35,"")</f>
        <v/>
      </c>
      <c r="AE87" s="736" t="str">
        <f ca="1">IF(AND($AA87=1,PreliminaryRound!$L35&lt;&gt;"",PreliminaryRound!$N35&lt;&gt;"",ABS(PreliminaryRound!$L35-PreliminaryRound!$N35)&gt;1),PreliminaryRound!$N35,"")</f>
        <v/>
      </c>
      <c r="AF87" s="737" t="str">
        <f ca="1">IF(AND($AA87=1,PreliminaryRound!$O35&lt;&gt;"",PreliminaryRound!$Q35&lt;&gt;"",ABS(PreliminaryRound!$O35-PreliminaryRound!$Q35)&gt;1),PreliminaryRound!$O35,"")</f>
        <v/>
      </c>
      <c r="AG87" s="736" t="str">
        <f ca="1">IF(AND($AA87=1,PreliminaryRound!$O35&lt;&gt;"",PreliminaryRound!$Q35&lt;&gt;"",ABS(PreliminaryRound!$O35-PreliminaryRound!$Q35)&gt;1),PreliminaryRound!$Q35,"")</f>
        <v/>
      </c>
      <c r="AH87" s="737" t="str">
        <f t="shared" ca="1" si="68"/>
        <v/>
      </c>
      <c r="AI87" s="736" t="str">
        <f t="shared" ca="1" si="69"/>
        <v/>
      </c>
      <c r="AJ87" s="737">
        <f ca="1">IF(PreliminaryRound!$R35="",0,PreliminaryRound!$R35)</f>
        <v>0</v>
      </c>
      <c r="AK87" s="736">
        <f ca="1">IF(PreliminaryRound!$T35="",0,PreliminaryRound!$T35)</f>
        <v>0</v>
      </c>
      <c r="AL87" s="737" t="str">
        <f ca="1">IF($AA87=0,"",IF($AJ87&gt;$AK87,Settings!$C$4,IF($AJ87=$AK87,1,0)))</f>
        <v/>
      </c>
      <c r="AM87" s="736" t="str">
        <f ca="1">IF($AA87=0,"",IF($AJ87&lt;$AK87,Settings!$C$4,IF($AJ87=$AK87,1,0)))</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 ca="1">Planning!$L30</f>
        <v/>
      </c>
      <c r="W88" s="661" t="str">
        <f ca="1">Planning!$N30</f>
        <v/>
      </c>
      <c r="X88" s="661" t="str">
        <f ca="1">IF(AND($AA88=1,PreliminaryRound!$I36&lt;&gt;"",PreliminaryRound!$K36&lt;&gt;"",ABS(PreliminaryRound!$I36-PreliminaryRound!$K36)&gt;1),PreliminaryRound!$I36,"")</f>
        <v/>
      </c>
      <c r="Y88" s="734" t="str">
        <f ca="1">IF(AND($AA88=1,PreliminaryRound!$I36&lt;&gt;"",PreliminaryRound!$K36&lt;&gt;"",ABS(PreliminaryRound!$I36-PreliminaryRound!$K36)&gt;1),PreliminaryRound!$K36,"")</f>
        <v/>
      </c>
      <c r="Z88" s="735" t="str">
        <f t="shared" ca="1" si="70"/>
        <v/>
      </c>
      <c r="AA88" s="661">
        <f ca="1">IF(AND(V88&lt;&gt;"",W88&lt;&gt;"",V88&lt;&gt;W88,PreliminaryRound!$R36&lt;&gt;"",PreliminaryRound!$T36&lt;&gt;""),1,0)</f>
        <v>0</v>
      </c>
      <c r="AB88" s="661" t="str">
        <f ca="1">IF(AA88&gt;0,AH88&amp;Language!$E$99&amp;AI88,"")</f>
        <v/>
      </c>
      <c r="AC88" s="736" t="str">
        <f ca="1">IF(AA88&gt;0,AJ88&amp;Language!$E$99&amp;AK88,"")</f>
        <v/>
      </c>
      <c r="AD88" s="737" t="str">
        <f ca="1">IF(AND($AA88=1,PreliminaryRound!$L36&lt;&gt;"",PreliminaryRound!$N36&lt;&gt;"",ABS(PreliminaryRound!$L36-PreliminaryRound!$N36)&gt;1),PreliminaryRound!$L36,"")</f>
        <v/>
      </c>
      <c r="AE88" s="736" t="str">
        <f ca="1">IF(AND($AA88=1,PreliminaryRound!$L36&lt;&gt;"",PreliminaryRound!$N36&lt;&gt;"",ABS(PreliminaryRound!$L36-PreliminaryRound!$N36)&gt;1),PreliminaryRound!$N36,"")</f>
        <v/>
      </c>
      <c r="AF88" s="737" t="str">
        <f ca="1">IF(AND($AA88=1,PreliminaryRound!$O36&lt;&gt;"",PreliminaryRound!$Q36&lt;&gt;"",ABS(PreliminaryRound!$O36-PreliminaryRound!$Q36)&gt;1),PreliminaryRound!$O36,"")</f>
        <v/>
      </c>
      <c r="AG88" s="736" t="str">
        <f ca="1">IF(AND($AA88=1,PreliminaryRound!$O36&lt;&gt;"",PreliminaryRound!$Q36&lt;&gt;"",ABS(PreliminaryRound!$O36-PreliminaryRound!$Q36)&gt;1),PreliminaryRound!$Q36,"")</f>
        <v/>
      </c>
      <c r="AH88" s="737" t="str">
        <f t="shared" ca="1" si="68"/>
        <v/>
      </c>
      <c r="AI88" s="736" t="str">
        <f t="shared" ca="1" si="69"/>
        <v/>
      </c>
      <c r="AJ88" s="737">
        <f ca="1">IF(PreliminaryRound!$R36="",0,PreliminaryRound!$R36)</f>
        <v>0</v>
      </c>
      <c r="AK88" s="736">
        <f ca="1">IF(PreliminaryRound!$T36="",0,PreliminaryRound!$T36)</f>
        <v>0</v>
      </c>
      <c r="AL88" s="737" t="str">
        <f ca="1">IF($AA88=0,"",IF($AJ88&gt;$AK88,Settings!$C$4,IF($AJ88=$AK88,1,0)))</f>
        <v/>
      </c>
      <c r="AM88" s="736" t="str">
        <f ca="1">IF($AA88=0,"",IF($AJ88&lt;$AK88,Settings!$C$4,IF($AJ88=$AK88,1,0)))</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 ca="1">Planning!$L31</f>
        <v/>
      </c>
      <c r="W89" s="661" t="str">
        <f ca="1">Planning!$N31</f>
        <v/>
      </c>
      <c r="X89" s="661" t="str">
        <f ca="1">IF(AND($AA89=1,PreliminaryRound!$I37&lt;&gt;"",PreliminaryRound!$K37&lt;&gt;"",ABS(PreliminaryRound!$I37-PreliminaryRound!$K37)&gt;1),PreliminaryRound!$I37,"")</f>
        <v/>
      </c>
      <c r="Y89" s="734" t="str">
        <f ca="1">IF(AND($AA89=1,PreliminaryRound!$I37&lt;&gt;"",PreliminaryRound!$K37&lt;&gt;"",ABS(PreliminaryRound!$I37-PreliminaryRound!$K37)&gt;1),PreliminaryRound!$K37,"")</f>
        <v/>
      </c>
      <c r="Z89" s="735" t="str">
        <f t="shared" ca="1" si="70"/>
        <v/>
      </c>
      <c r="AA89" s="661">
        <f ca="1">IF(AND(V89&lt;&gt;"",W89&lt;&gt;"",V89&lt;&gt;W89,PreliminaryRound!$R37&lt;&gt;"",PreliminaryRound!$T37&lt;&gt;""),1,0)</f>
        <v>0</v>
      </c>
      <c r="AB89" s="661" t="str">
        <f ca="1">IF(AA89&gt;0,AH89&amp;Language!$E$99&amp;AI89,"")</f>
        <v/>
      </c>
      <c r="AC89" s="736" t="str">
        <f ca="1">IF(AA89&gt;0,AJ89&amp;Language!$E$99&amp;AK89,"")</f>
        <v/>
      </c>
      <c r="AD89" s="737" t="str">
        <f ca="1">IF(AND($AA89=1,PreliminaryRound!$L37&lt;&gt;"",PreliminaryRound!$N37&lt;&gt;"",ABS(PreliminaryRound!$L37-PreliminaryRound!$N37)&gt;1),PreliminaryRound!$L37,"")</f>
        <v/>
      </c>
      <c r="AE89" s="736" t="str">
        <f ca="1">IF(AND($AA89=1,PreliminaryRound!$L37&lt;&gt;"",PreliminaryRound!$N37&lt;&gt;"",ABS(PreliminaryRound!$L37-PreliminaryRound!$N37)&gt;1),PreliminaryRound!$N37,"")</f>
        <v/>
      </c>
      <c r="AF89" s="737" t="str">
        <f ca="1">IF(AND($AA89=1,PreliminaryRound!$O37&lt;&gt;"",PreliminaryRound!$Q37&lt;&gt;"",ABS(PreliminaryRound!$O37-PreliminaryRound!$Q37)&gt;1),PreliminaryRound!$O37,"")</f>
        <v/>
      </c>
      <c r="AG89" s="736" t="str">
        <f ca="1">IF(AND($AA89=1,PreliminaryRound!$O37&lt;&gt;"",PreliminaryRound!$Q37&lt;&gt;"",ABS(PreliminaryRound!$O37-PreliminaryRound!$Q37)&gt;1),PreliminaryRound!$Q37,"")</f>
        <v/>
      </c>
      <c r="AH89" s="737" t="str">
        <f t="shared" ca="1" si="68"/>
        <v/>
      </c>
      <c r="AI89" s="736" t="str">
        <f t="shared" ca="1" si="69"/>
        <v/>
      </c>
      <c r="AJ89" s="737">
        <f ca="1">IF(PreliminaryRound!$R37="",0,PreliminaryRound!$R37)</f>
        <v>0</v>
      </c>
      <c r="AK89" s="736">
        <f ca="1">IF(PreliminaryRound!$T37="",0,PreliminaryRound!$T37)</f>
        <v>0</v>
      </c>
      <c r="AL89" s="737" t="str">
        <f ca="1">IF($AA89=0,"",IF($AJ89&gt;$AK89,Settings!$C$4,IF($AJ89=$AK89,1,0)))</f>
        <v/>
      </c>
      <c r="AM89" s="736" t="str">
        <f ca="1">IF($AA89=0,"",IF($AJ89&lt;$AK89,Settings!$C$4,IF($AJ89=$AK89,1,0)))</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 ca="1">Planning!$L32</f>
        <v/>
      </c>
      <c r="W90" s="661" t="str">
        <f ca="1">Planning!$N32</f>
        <v/>
      </c>
      <c r="X90" s="661" t="str">
        <f ca="1">IF(AND($AA90=1,PreliminaryRound!$I38&lt;&gt;"",PreliminaryRound!$K38&lt;&gt;"",ABS(PreliminaryRound!$I38-PreliminaryRound!$K38)&gt;1),PreliminaryRound!$I38,"")</f>
        <v/>
      </c>
      <c r="Y90" s="734" t="str">
        <f ca="1">IF(AND($AA90=1,PreliminaryRound!$I38&lt;&gt;"",PreliminaryRound!$K38&lt;&gt;"",ABS(PreliminaryRound!$I38-PreliminaryRound!$K38)&gt;1),PreliminaryRound!$K38,"")</f>
        <v/>
      </c>
      <c r="Z90" s="735" t="str">
        <f t="shared" ca="1" si="70"/>
        <v/>
      </c>
      <c r="AA90" s="661">
        <f ca="1">IF(AND(V90&lt;&gt;"",W90&lt;&gt;"",V90&lt;&gt;W90,PreliminaryRound!$R38&lt;&gt;"",PreliminaryRound!$T38&lt;&gt;""),1,0)</f>
        <v>0</v>
      </c>
      <c r="AB90" s="661" t="str">
        <f ca="1">IF(AA90&gt;0,AH90&amp;Language!$E$99&amp;AI90,"")</f>
        <v/>
      </c>
      <c r="AC90" s="736" t="str">
        <f ca="1">IF(AA90&gt;0,AJ90&amp;Language!$E$99&amp;AK90,"")</f>
        <v/>
      </c>
      <c r="AD90" s="737" t="str">
        <f ca="1">IF(AND($AA90=1,PreliminaryRound!$L38&lt;&gt;"",PreliminaryRound!$N38&lt;&gt;"",ABS(PreliminaryRound!$L38-PreliminaryRound!$N38)&gt;1),PreliminaryRound!$L38,"")</f>
        <v/>
      </c>
      <c r="AE90" s="736" t="str">
        <f ca="1">IF(AND($AA90=1,PreliminaryRound!$L38&lt;&gt;"",PreliminaryRound!$N38&lt;&gt;"",ABS(PreliminaryRound!$L38-PreliminaryRound!$N38)&gt;1),PreliminaryRound!$N38,"")</f>
        <v/>
      </c>
      <c r="AF90" s="737" t="str">
        <f ca="1">IF(AND($AA90=1,PreliminaryRound!$O38&lt;&gt;"",PreliminaryRound!$Q38&lt;&gt;"",ABS(PreliminaryRound!$O38-PreliminaryRound!$Q38)&gt;1),PreliminaryRound!$O38,"")</f>
        <v/>
      </c>
      <c r="AG90" s="736" t="str">
        <f ca="1">IF(AND($AA90=1,PreliminaryRound!$O38&lt;&gt;"",PreliminaryRound!$Q38&lt;&gt;"",ABS(PreliminaryRound!$O38-PreliminaryRound!$Q38)&gt;1),PreliminaryRound!$Q38,"")</f>
        <v/>
      </c>
      <c r="AH90" s="737" t="str">
        <f t="shared" ca="1" si="68"/>
        <v/>
      </c>
      <c r="AI90" s="736" t="str">
        <f t="shared" ca="1" si="69"/>
        <v/>
      </c>
      <c r="AJ90" s="737">
        <f ca="1">IF(PreliminaryRound!$R38="",0,PreliminaryRound!$R38)</f>
        <v>0</v>
      </c>
      <c r="AK90" s="736">
        <f ca="1">IF(PreliminaryRound!$T38="",0,PreliminaryRound!$T38)</f>
        <v>0</v>
      </c>
      <c r="AL90" s="737" t="str">
        <f ca="1">IF($AA90=0,"",IF($AJ90&gt;$AK90,Settings!$C$4,IF($AJ90=$AK90,1,0)))</f>
        <v/>
      </c>
      <c r="AM90" s="736" t="str">
        <f ca="1">IF($AA90=0,"",IF($AJ90&lt;$AK90,Settings!$C$4,IF($AJ90=$AK90,1,0)))</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 ca="1">Planning!$L33</f>
        <v/>
      </c>
      <c r="W91" s="661" t="str">
        <f ca="1">Planning!$N33</f>
        <v/>
      </c>
      <c r="X91" s="661" t="str">
        <f ca="1">IF(AND($AA91=1,PreliminaryRound!$I39&lt;&gt;"",PreliminaryRound!$K39&lt;&gt;"",ABS(PreliminaryRound!$I39-PreliminaryRound!$K39)&gt;1),PreliminaryRound!$I39,"")</f>
        <v/>
      </c>
      <c r="Y91" s="734" t="str">
        <f ca="1">IF(AND($AA91=1,PreliminaryRound!$I39&lt;&gt;"",PreliminaryRound!$K39&lt;&gt;"",ABS(PreliminaryRound!$I39-PreliminaryRound!$K39)&gt;1),PreliminaryRound!$K39,"")</f>
        <v/>
      </c>
      <c r="Z91" s="735" t="str">
        <f t="shared" ca="1" si="70"/>
        <v/>
      </c>
      <c r="AA91" s="661">
        <f ca="1">IF(AND(V91&lt;&gt;"",W91&lt;&gt;"",V91&lt;&gt;W91,PreliminaryRound!$R39&lt;&gt;"",PreliminaryRound!$T39&lt;&gt;""),1,0)</f>
        <v>0</v>
      </c>
      <c r="AB91" s="661" t="str">
        <f ca="1">IF(AA91&gt;0,AH91&amp;Language!$E$99&amp;AI91,"")</f>
        <v/>
      </c>
      <c r="AC91" s="736" t="str">
        <f ca="1">IF(AA91&gt;0,AJ91&amp;Language!$E$99&amp;AK91,"")</f>
        <v/>
      </c>
      <c r="AD91" s="737" t="str">
        <f ca="1">IF(AND($AA91=1,PreliminaryRound!$L39&lt;&gt;"",PreliminaryRound!$N39&lt;&gt;"",ABS(PreliminaryRound!$L39-PreliminaryRound!$N39)&gt;1),PreliminaryRound!$L39,"")</f>
        <v/>
      </c>
      <c r="AE91" s="736" t="str">
        <f ca="1">IF(AND($AA91=1,PreliminaryRound!$L39&lt;&gt;"",PreliminaryRound!$N39&lt;&gt;"",ABS(PreliminaryRound!$L39-PreliminaryRound!$N39)&gt;1),PreliminaryRound!$N39,"")</f>
        <v/>
      </c>
      <c r="AF91" s="737" t="str">
        <f ca="1">IF(AND($AA91=1,PreliminaryRound!$O39&lt;&gt;"",PreliminaryRound!$Q39&lt;&gt;"",ABS(PreliminaryRound!$O39-PreliminaryRound!$Q39)&gt;1),PreliminaryRound!$O39,"")</f>
        <v/>
      </c>
      <c r="AG91" s="736" t="str">
        <f ca="1">IF(AND($AA91=1,PreliminaryRound!$O39&lt;&gt;"",PreliminaryRound!$Q39&lt;&gt;"",ABS(PreliminaryRound!$O39-PreliminaryRound!$Q39)&gt;1),PreliminaryRound!$Q39,"")</f>
        <v/>
      </c>
      <c r="AH91" s="737" t="str">
        <f t="shared" ca="1" si="68"/>
        <v/>
      </c>
      <c r="AI91" s="736" t="str">
        <f t="shared" ca="1" si="69"/>
        <v/>
      </c>
      <c r="AJ91" s="737">
        <f ca="1">IF(PreliminaryRound!$R39="",0,PreliminaryRound!$R39)</f>
        <v>0</v>
      </c>
      <c r="AK91" s="736">
        <f ca="1">IF(PreliminaryRound!$T39="",0,PreliminaryRound!$T39)</f>
        <v>0</v>
      </c>
      <c r="AL91" s="737" t="str">
        <f ca="1">IF($AA91=0,"",IF($AJ91&gt;$AK91,Settings!$C$4,IF($AJ91=$AK91,1,0)))</f>
        <v/>
      </c>
      <c r="AM91" s="736" t="str">
        <f ca="1">IF($AA91=0,"",IF($AJ91&lt;$AK91,Settings!$C$4,IF($AJ91=$AK91,1,0)))</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 ca="1">Planning!$L34</f>
        <v/>
      </c>
      <c r="W92" s="661" t="str">
        <f ca="1">Planning!$N34</f>
        <v/>
      </c>
      <c r="X92" s="661" t="str">
        <f ca="1">IF(AND($AA92=1,PreliminaryRound!$I40&lt;&gt;"",PreliminaryRound!$K40&lt;&gt;"",ABS(PreliminaryRound!$I40-PreliminaryRound!$K40)&gt;1),PreliminaryRound!$I40,"")</f>
        <v/>
      </c>
      <c r="Y92" s="734" t="str">
        <f ca="1">IF(AND($AA92=1,PreliminaryRound!$I40&lt;&gt;"",PreliminaryRound!$K40&lt;&gt;"",ABS(PreliminaryRound!$I40-PreliminaryRound!$K40)&gt;1),PreliminaryRound!$K40,"")</f>
        <v/>
      </c>
      <c r="Z92" s="735" t="str">
        <f t="shared" ca="1" si="70"/>
        <v/>
      </c>
      <c r="AA92" s="661">
        <f ca="1">IF(AND(V92&lt;&gt;"",W92&lt;&gt;"",V92&lt;&gt;W92,PreliminaryRound!$R40&lt;&gt;"",PreliminaryRound!$T40&lt;&gt;""),1,0)</f>
        <v>0</v>
      </c>
      <c r="AB92" s="661" t="str">
        <f ca="1">IF(AA92&gt;0,AH92&amp;Language!$E$99&amp;AI92,"")</f>
        <v/>
      </c>
      <c r="AC92" s="736" t="str">
        <f ca="1">IF(AA92&gt;0,AJ92&amp;Language!$E$99&amp;AK92,"")</f>
        <v/>
      </c>
      <c r="AD92" s="737" t="str">
        <f ca="1">IF(AND($AA92=1,PreliminaryRound!$L40&lt;&gt;"",PreliminaryRound!$N40&lt;&gt;"",ABS(PreliminaryRound!$L40-PreliminaryRound!$N40)&gt;1),PreliminaryRound!$L40,"")</f>
        <v/>
      </c>
      <c r="AE92" s="736" t="str">
        <f ca="1">IF(AND($AA92=1,PreliminaryRound!$L40&lt;&gt;"",PreliminaryRound!$N40&lt;&gt;"",ABS(PreliminaryRound!$L40-PreliminaryRound!$N40)&gt;1),PreliminaryRound!$N40,"")</f>
        <v/>
      </c>
      <c r="AF92" s="737" t="str">
        <f ca="1">IF(AND($AA92=1,PreliminaryRound!$O40&lt;&gt;"",PreliminaryRound!$Q40&lt;&gt;"",ABS(PreliminaryRound!$O40-PreliminaryRound!$Q40)&gt;1),PreliminaryRound!$O40,"")</f>
        <v/>
      </c>
      <c r="AG92" s="736" t="str">
        <f ca="1">IF(AND($AA92=1,PreliminaryRound!$O40&lt;&gt;"",PreliminaryRound!$Q40&lt;&gt;"",ABS(PreliminaryRound!$O40-PreliminaryRound!$Q40)&gt;1),PreliminaryRound!$Q40,"")</f>
        <v/>
      </c>
      <c r="AH92" s="737" t="str">
        <f t="shared" ca="1" si="68"/>
        <v/>
      </c>
      <c r="AI92" s="736" t="str">
        <f t="shared" ca="1" si="69"/>
        <v/>
      </c>
      <c r="AJ92" s="737">
        <f ca="1">IF(PreliminaryRound!$R40="",0,PreliminaryRound!$R40)</f>
        <v>0</v>
      </c>
      <c r="AK92" s="736">
        <f ca="1">IF(PreliminaryRound!$T40="",0,PreliminaryRound!$T40)</f>
        <v>0</v>
      </c>
      <c r="AL92" s="737" t="str">
        <f ca="1">IF($AA92=0,"",IF($AJ92&gt;$AK92,Settings!$C$4,IF($AJ92=$AK92,1,0)))</f>
        <v/>
      </c>
      <c r="AM92" s="736" t="str">
        <f ca="1">IF($AA92=0,"",IF($AJ92&lt;$AK92,Settings!$C$4,IF($AJ92=$AK92,1,0)))</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ht="12.75" thickBot="1" x14ac:dyDescent="0.25">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 ca="1">Planning!$L35</f>
        <v/>
      </c>
      <c r="W93" s="661" t="str">
        <f ca="1">Planning!$N35</f>
        <v/>
      </c>
      <c r="X93" s="661" t="str">
        <f ca="1">IF(AND($AA93=1,PreliminaryRound!$I41&lt;&gt;"",PreliminaryRound!$K41&lt;&gt;"",ABS(PreliminaryRound!$I41-PreliminaryRound!$K41)&gt;1),PreliminaryRound!$I41,"")</f>
        <v/>
      </c>
      <c r="Y93" s="734" t="str">
        <f ca="1">IF(AND($AA93=1,PreliminaryRound!$I41&lt;&gt;"",PreliminaryRound!$K41&lt;&gt;"",ABS(PreliminaryRound!$I41-PreliminaryRound!$K41)&gt;1),PreliminaryRound!$K41,"")</f>
        <v/>
      </c>
      <c r="Z93" s="735" t="str">
        <f t="shared" ca="1" si="70"/>
        <v/>
      </c>
      <c r="AA93" s="661">
        <f ca="1">IF(AND(V93&lt;&gt;"",W93&lt;&gt;"",V93&lt;&gt;W93,PreliminaryRound!$R41&lt;&gt;"",PreliminaryRound!$T41&lt;&gt;""),1,0)</f>
        <v>0</v>
      </c>
      <c r="AB93" s="661" t="str">
        <f ca="1">IF(AA93&gt;0,AH93&amp;Language!$E$99&amp;AI93,"")</f>
        <v/>
      </c>
      <c r="AC93" s="736" t="str">
        <f ca="1">IF(AA93&gt;0,AJ93&amp;Language!$E$99&amp;AK93,"")</f>
        <v/>
      </c>
      <c r="AD93" s="737" t="str">
        <f ca="1">IF(AND($AA93=1,PreliminaryRound!$L41&lt;&gt;"",PreliminaryRound!$N41&lt;&gt;"",ABS(PreliminaryRound!$L41-PreliminaryRound!$N41)&gt;1),PreliminaryRound!$L41,"")</f>
        <v/>
      </c>
      <c r="AE93" s="736" t="str">
        <f ca="1">IF(AND($AA93=1,PreliminaryRound!$L41&lt;&gt;"",PreliminaryRound!$N41&lt;&gt;"",ABS(PreliminaryRound!$L41-PreliminaryRound!$N41)&gt;1),PreliminaryRound!$N41,"")</f>
        <v/>
      </c>
      <c r="AF93" s="737" t="str">
        <f ca="1">IF(AND($AA93=1,PreliminaryRound!$O41&lt;&gt;"",PreliminaryRound!$Q41&lt;&gt;"",ABS(PreliminaryRound!$O41-PreliminaryRound!$Q41)&gt;1),PreliminaryRound!$O41,"")</f>
        <v/>
      </c>
      <c r="AG93" s="736" t="str">
        <f ca="1">IF(AND($AA93=1,PreliminaryRound!$O41&lt;&gt;"",PreliminaryRound!$Q41&lt;&gt;"",ABS(PreliminaryRound!$O41-PreliminaryRound!$Q41)&gt;1),PreliminaryRound!$Q41,"")</f>
        <v/>
      </c>
      <c r="AH93" s="737" t="str">
        <f t="shared" ca="1" si="68"/>
        <v/>
      </c>
      <c r="AI93" s="736" t="str">
        <f t="shared" ca="1" si="69"/>
        <v/>
      </c>
      <c r="AJ93" s="737">
        <f ca="1">IF(PreliminaryRound!$R41="",0,PreliminaryRound!$R41)</f>
        <v>0</v>
      </c>
      <c r="AK93" s="736">
        <f ca="1">IF(PreliminaryRound!$T41="",0,PreliminaryRound!$T41)</f>
        <v>0</v>
      </c>
      <c r="AL93" s="737" t="str">
        <f ca="1">IF($AA93=0,"",IF($AJ93&gt;$AK93,Settings!$C$4,IF($AJ93=$AK93,1,0)))</f>
        <v/>
      </c>
      <c r="AM93" s="736" t="str">
        <f ca="1">IF($AA93=0,"",IF($AJ93&lt;$AK93,Settings!$C$4,IF($AJ93=$AK93,1,0)))</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ht="12.75" thickTop="1" x14ac:dyDescent="0.2">
      <c r="A94" s="660"/>
      <c r="B94" s="681"/>
      <c r="C94" s="681"/>
      <c r="D94" s="681"/>
      <c r="E94" s="681"/>
      <c r="F94" s="661"/>
      <c r="G94" s="661"/>
      <c r="H94" s="661"/>
      <c r="I94" s="661"/>
      <c r="J94" s="661"/>
      <c r="K94" s="661"/>
      <c r="L94" s="661"/>
      <c r="M94" s="661"/>
      <c r="N94" s="660"/>
      <c r="O94" s="660"/>
      <c r="P94" s="660"/>
      <c r="Q94" s="660"/>
      <c r="R94" s="660"/>
      <c r="S94" s="660"/>
      <c r="T94" s="660"/>
      <c r="U94" s="742" t="s">
        <v>45</v>
      </c>
      <c r="V94" s="743" t="str">
        <f>""</f>
        <v/>
      </c>
      <c r="W94" s="744" t="str">
        <f>""</f>
        <v/>
      </c>
      <c r="X94" s="744" t="str">
        <f>""</f>
        <v/>
      </c>
      <c r="Y94" s="745" t="str">
        <f>""</f>
        <v/>
      </c>
      <c r="Z94" s="746" t="str">
        <f>""</f>
        <v/>
      </c>
      <c r="AA94" s="744">
        <v>0</v>
      </c>
      <c r="AB94" s="744" t="str">
        <f>""</f>
        <v/>
      </c>
      <c r="AC94" s="747"/>
      <c r="AD94" s="748" t="str">
        <f>""</f>
        <v/>
      </c>
      <c r="AE94" s="747" t="str">
        <f>""</f>
        <v/>
      </c>
      <c r="AF94" s="748" t="str">
        <f>""</f>
        <v/>
      </c>
      <c r="AG94" s="747" t="str">
        <f>""</f>
        <v/>
      </c>
      <c r="AH94" s="748" t="str">
        <f>""</f>
        <v/>
      </c>
      <c r="AI94" s="747" t="str">
        <f>""</f>
        <v/>
      </c>
      <c r="AJ94" s="748"/>
      <c r="AK94" s="747"/>
      <c r="AL94" s="748" t="str">
        <f>""</f>
        <v/>
      </c>
      <c r="AM94" s="747"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BarcelonaVFB Essenheim</v>
      </c>
      <c r="AA136" s="720">
        <f ca="1">AA64</f>
        <v>1</v>
      </c>
      <c r="AB136" s="661" t="str">
        <f ca="1">IF(AA64&gt;0,AI64&amp;Language!$E$99&amp;AH64,"")</f>
        <v>25 - 50</v>
      </c>
      <c r="AC136" s="760" t="str">
        <f ca="1">IF(AA64&gt;0,AK64&amp;Language!$E$99&amp;AJ64,"")</f>
        <v>0 - 2</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Inter MailandFC Grönlingen</v>
      </c>
      <c r="AA137" s="661">
        <f t="shared" ref="AA137:AA165" ca="1" si="71">AA65</f>
        <v>1</v>
      </c>
      <c r="AB137" s="661" t="str">
        <f ca="1">IF(AA65&gt;0,AI65&amp;Language!$E$99&amp;AH65,"")</f>
        <v>25 - 15</v>
      </c>
      <c r="AC137" s="763" t="str">
        <f ca="1">IF(AA65&gt;0,AK65&amp;Language!$E$99&amp;AJ65,"")</f>
        <v>1 - 0</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65" ca="1" si="72">W66&amp;V66</f>
        <v>Maibach 1822 eVEintracht Frankfurt</v>
      </c>
      <c r="AA138" s="661">
        <f t="shared" ca="1" si="71"/>
        <v>1</v>
      </c>
      <c r="AB138" s="661" t="str">
        <f ca="1">IF(AA66&gt;0,AI66&amp;Language!$E$99&amp;AH66,"")</f>
        <v>35 - 24</v>
      </c>
      <c r="AC138" s="763" t="str">
        <f ca="1">IF(AA66&gt;0,AK66&amp;Language!$E$99&amp;AJ66,"")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72"/>
        <v>Manchester CitySSV Wildbach</v>
      </c>
      <c r="AA139" s="661">
        <f t="shared" ca="1" si="71"/>
        <v>1</v>
      </c>
      <c r="AB139" s="661" t="str">
        <f ca="1">IF(AA67&gt;0,AI67&amp;Language!$E$99&amp;AH67,"")</f>
        <v>42 - 50</v>
      </c>
      <c r="AC139" s="763" t="str">
        <f ca="1">IF(AA67&gt;0,AK67&amp;Language!$E$99&amp;AJ67,"")</f>
        <v>0 - 2</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72"/>
        <v>1. FC RiedwaldVFB Essenheim</v>
      </c>
      <c r="AA140" s="661">
        <f t="shared" ca="1" si="71"/>
        <v>1</v>
      </c>
      <c r="AB140" s="661" t="str">
        <f ca="1">IF(AA68&gt;0,AI68&amp;Language!$E$99&amp;AH68,"")</f>
        <v>44 - 50</v>
      </c>
      <c r="AC140" s="763" t="str">
        <f ca="1">IF(AA68&gt;0,AK68&amp;Language!$E$99&amp;AJ68,"")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72"/>
        <v>Mainz 05FC Grönlingen</v>
      </c>
      <c r="AA141" s="661">
        <f t="shared" ca="1" si="71"/>
        <v>1</v>
      </c>
      <c r="AB141" s="661" t="str">
        <f ca="1">IF(AA69&gt;0,AI69&amp;Language!$E$99&amp;AH69,"")</f>
        <v>39 - 50</v>
      </c>
      <c r="AC141" s="763" t="str">
        <f ca="1">IF(AA69&gt;0,AK69&amp;Language!$E$99&amp;AJ69,"")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72"/>
        <v>Eintracht FrankfurtFC Barcelona</v>
      </c>
      <c r="AA142" s="661">
        <f t="shared" ca="1" si="71"/>
        <v>1</v>
      </c>
      <c r="AB142" s="661" t="str">
        <f ca="1">IF(AA70&gt;0,AI70&amp;Language!$E$99&amp;AH70,"")</f>
        <v>48 - 48</v>
      </c>
      <c r="AC142" s="763" t="str">
        <f ca="1">IF(AA70&gt;0,AK70&amp;Language!$E$99&amp;AJ70,"")</f>
        <v>1 - 1</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72"/>
        <v>SSV WildbachInter Mailand</v>
      </c>
      <c r="AA143" s="661">
        <f t="shared" ca="1" si="71"/>
        <v>1</v>
      </c>
      <c r="AB143" s="661" t="str">
        <f ca="1">IF(AA71&gt;0,AI71&amp;Language!$E$99&amp;AH71,"")</f>
        <v>37 - 44</v>
      </c>
      <c r="AC143" s="763" t="str">
        <f ca="1">IF(AA71&gt;0,AK71&amp;Language!$E$99&amp;AJ71,"")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72"/>
        <v>Maibach 1822 eV1. FC Riedwald</v>
      </c>
      <c r="AA144" s="661">
        <f t="shared" ca="1" si="71"/>
        <v>1</v>
      </c>
      <c r="AB144" s="661" t="str">
        <f ca="1">IF(AA72&gt;0,AI72&amp;Language!$E$99&amp;AH72,"")</f>
        <v>43 - 41</v>
      </c>
      <c r="AC144" s="763" t="str">
        <f ca="1">IF(AA72&gt;0,AK72&amp;Language!$E$99&amp;AJ72,"")</f>
        <v>1 - 1</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72"/>
        <v>Manchester CityMainz 05</v>
      </c>
      <c r="AA145" s="661">
        <f t="shared" ca="1" si="71"/>
        <v>1</v>
      </c>
      <c r="AB145" s="661" t="str">
        <f ca="1">IF(AA73&gt;0,AI73&amp;Language!$E$99&amp;AH73,"")</f>
        <v>44 - 39</v>
      </c>
      <c r="AC145" s="763" t="str">
        <f ca="1">IF(AA73&gt;0,AK73&amp;Language!$E$99&amp;AJ73,"")</f>
        <v>1 - 1</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72"/>
        <v>VFB EssenheimEintracht Frankfurt</v>
      </c>
      <c r="AA146" s="661">
        <f t="shared" ca="1" si="71"/>
        <v>1</v>
      </c>
      <c r="AB146" s="661" t="str">
        <f ca="1">IF(AA74&gt;0,AI74&amp;Language!$E$99&amp;AH74,"")</f>
        <v>45 - 47</v>
      </c>
      <c r="AC146" s="763" t="str">
        <f ca="1">IF(AA74&gt;0,AK74&amp;Language!$E$99&amp;AJ74,"")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72"/>
        <v>FC GrönlingenSSV Wildbach</v>
      </c>
      <c r="AA147" s="661">
        <f t="shared" ca="1" si="71"/>
        <v>1</v>
      </c>
      <c r="AB147" s="661" t="str">
        <f ca="1">IF(AA75&gt;0,AI75&amp;Language!$E$99&amp;AH75,"")</f>
        <v>44 - 44</v>
      </c>
      <c r="AC147" s="763" t="str">
        <f ca="1">IF(AA75&gt;0,AK75&amp;Language!$E$99&amp;AJ75,"")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72"/>
        <v>Maibach 1822 eVFC Barcelona</v>
      </c>
      <c r="AA148" s="661">
        <f t="shared" ca="1" si="71"/>
        <v>1</v>
      </c>
      <c r="AB148" s="661" t="str">
        <f ca="1">IF(AA76&gt;0,AI76&amp;Language!$E$99&amp;AH76,"")</f>
        <v>50 - 29</v>
      </c>
      <c r="AC148" s="763" t="str">
        <f ca="1">IF(AA76&gt;0,AK76&amp;Language!$E$99&amp;AJ76,"")</f>
        <v>2 - 0</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72"/>
        <v>Manchester CityInter Mailand</v>
      </c>
      <c r="AA149" s="661">
        <f t="shared" ca="1" si="71"/>
        <v>1</v>
      </c>
      <c r="AB149" s="661" t="str">
        <f ca="1">IF(AA77&gt;0,AI77&amp;Language!$E$99&amp;AH77,"")</f>
        <v>48 - 39</v>
      </c>
      <c r="AC149" s="763" t="str">
        <f ca="1">IF(AA77&gt;0,AK77&amp;Language!$E$99&amp;AJ77,"")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72"/>
        <v>1. FC RiedwaldEintracht Frankfurt</v>
      </c>
      <c r="AA150" s="661">
        <f t="shared" ca="1" si="71"/>
        <v>1</v>
      </c>
      <c r="AB150" s="661" t="str">
        <f ca="1">IF(AA78&gt;0,AI78&amp;Language!$E$99&amp;AH78,"")</f>
        <v>42 - 46</v>
      </c>
      <c r="AC150" s="763" t="str">
        <f ca="1">IF(AA78&gt;0,AK78&amp;Language!$E$99&amp;AJ78,"")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72"/>
        <v>Mainz 05SSV Wildbach</v>
      </c>
      <c r="AA151" s="661">
        <f t="shared" ca="1" si="71"/>
        <v>1</v>
      </c>
      <c r="AB151" s="661" t="str">
        <f ca="1">IF(AA79&gt;0,AI79&amp;Language!$E$99&amp;AH79,"")</f>
        <v>50 - 38</v>
      </c>
      <c r="AC151" s="763" t="str">
        <f ca="1">IF(AA79&gt;0,AK79&amp;Language!$E$99&amp;AJ79,"")</f>
        <v>2 - 0</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72"/>
        <v>VFB EssenheimMaibach 1822 eV</v>
      </c>
      <c r="AA152" s="661">
        <f t="shared" ca="1" si="71"/>
        <v>1</v>
      </c>
      <c r="AB152" s="661" t="str">
        <f ca="1">IF(AA80&gt;0,AI80&amp;Language!$E$99&amp;AH80,"")</f>
        <v>40 - 50</v>
      </c>
      <c r="AC152" s="763" t="str">
        <f ca="1">IF(AA80&gt;0,AK80&amp;Language!$E$99&amp;AJ80,"")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x14ac:dyDescent="0.2">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72"/>
        <v>FC GrönlingenManchester City</v>
      </c>
      <c r="AA153" s="661">
        <f t="shared" ca="1" si="71"/>
        <v>1</v>
      </c>
      <c r="AB153" s="661" t="str">
        <f ca="1">IF(AA81&gt;0,AI81&amp;Language!$E$99&amp;AH81,"")</f>
        <v>32 - 50</v>
      </c>
      <c r="AC153" s="763" t="str">
        <f ca="1">IF(AA81&gt;0,AK81&amp;Language!$E$99&amp;AJ81,"")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32" t="s">
        <v>33</v>
      </c>
      <c r="Z154" s="735" t="str">
        <f t="shared" ca="1" si="72"/>
        <v>FC Barcelona1. FC Riedwald</v>
      </c>
      <c r="AA154" s="661">
        <f t="shared" ca="1" si="71"/>
        <v>1</v>
      </c>
      <c r="AB154" s="661" t="str">
        <f ca="1">IF(AA82&gt;0,AI82&amp;Language!$E$99&amp;AH82,"")</f>
        <v>37 - 50</v>
      </c>
      <c r="AC154" s="763" t="str">
        <f ca="1">IF(AA82&gt;0,AK82&amp;Language!$E$99&amp;AJ82,"")</f>
        <v>0 - 2</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 t="shared" ca="1" si="72"/>
        <v>Inter MailandMainz 05</v>
      </c>
      <c r="AA155" s="661">
        <f t="shared" ca="1" si="71"/>
        <v>1</v>
      </c>
      <c r="AB155" s="661" t="str">
        <f ca="1">IF(AA83&gt;0,AI83&amp;Language!$E$99&amp;AH83,"")</f>
        <v>50 - 33</v>
      </c>
      <c r="AC155" s="763" t="str">
        <f ca="1">IF(AA83&gt;0,AK83&amp;Language!$E$99&amp;AJ83,"")</f>
        <v>2 - 0</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 t="shared" ca="1" si="72"/>
        <v/>
      </c>
      <c r="AA156" s="661">
        <f t="shared" ca="1" si="71"/>
        <v>0</v>
      </c>
      <c r="AB156" s="661" t="str">
        <f ca="1">IF(AA84&gt;0,AI84&amp;Language!$E$99&amp;AH84,"")</f>
        <v/>
      </c>
      <c r="AC156" s="763" t="str">
        <f ca="1">IF(AA84&gt;0,AK84&amp;Language!$E$99&amp;AJ84,"")</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 t="shared" ca="1" si="72"/>
        <v/>
      </c>
      <c r="AA157" s="661">
        <f t="shared" ca="1" si="71"/>
        <v>0</v>
      </c>
      <c r="AB157" s="661" t="str">
        <f ca="1">IF(AA85&gt;0,AI85&amp;Language!$E$99&amp;AH85,"")</f>
        <v/>
      </c>
      <c r="AC157" s="763" t="str">
        <f ca="1">IF(AA85&gt;0,AK85&amp;Language!$E$99&amp;AJ85,"")</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 t="shared" ca="1" si="72"/>
        <v/>
      </c>
      <c r="AA158" s="661">
        <f t="shared" ca="1" si="71"/>
        <v>0</v>
      </c>
      <c r="AB158" s="661" t="str">
        <f ca="1">IF(AA86&gt;0,AI86&amp;Language!$E$99&amp;AH86,"")</f>
        <v/>
      </c>
      <c r="AC158" s="763" t="str">
        <f ca="1">IF(AA86&gt;0,AK86&amp;Language!$E$99&amp;AJ86,"")</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 t="shared" ca="1" si="72"/>
        <v/>
      </c>
      <c r="AA159" s="661">
        <f t="shared" ca="1" si="71"/>
        <v>0</v>
      </c>
      <c r="AB159" s="661" t="str">
        <f ca="1">IF(AA87&gt;0,AI87&amp;Language!$E$99&amp;AH87,"")</f>
        <v/>
      </c>
      <c r="AC159" s="763" t="str">
        <f ca="1">IF(AA87&gt;0,AK87&amp;Language!$E$99&amp;AJ87,"")</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 t="shared" ca="1" si="72"/>
        <v/>
      </c>
      <c r="AA160" s="661">
        <f t="shared" ca="1" si="71"/>
        <v>0</v>
      </c>
      <c r="AB160" s="661" t="str">
        <f ca="1">IF(AA88&gt;0,AI88&amp;Language!$E$99&amp;AH88,"")</f>
        <v/>
      </c>
      <c r="AC160" s="763" t="str">
        <f ca="1">IF(AA88&gt;0,AK88&amp;Language!$E$99&amp;AJ88,"")</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 t="shared" ca="1" si="72"/>
        <v/>
      </c>
      <c r="AA161" s="661">
        <f t="shared" ca="1" si="71"/>
        <v>0</v>
      </c>
      <c r="AB161" s="661" t="str">
        <f ca="1">IF(AA89&gt;0,AI89&amp;Language!$E$99&amp;AH89,"")</f>
        <v/>
      </c>
      <c r="AC161" s="763" t="str">
        <f ca="1">IF(AA89&gt;0,AK89&amp;Language!$E$99&amp;AJ89,"")</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 t="shared" ca="1" si="72"/>
        <v/>
      </c>
      <c r="AA162" s="661">
        <f t="shared" ca="1" si="71"/>
        <v>0</v>
      </c>
      <c r="AB162" s="661" t="str">
        <f ca="1">IF(AA90&gt;0,AI90&amp;Language!$E$99&amp;AH90,"")</f>
        <v/>
      </c>
      <c r="AC162" s="763" t="str">
        <f ca="1">IF(AA90&gt;0,AK90&amp;Language!$E$99&amp;AJ90,"")</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 t="shared" ca="1" si="72"/>
        <v/>
      </c>
      <c r="AA163" s="661">
        <f t="shared" ca="1" si="71"/>
        <v>0</v>
      </c>
      <c r="AB163" s="661" t="str">
        <f ca="1">IF(AA91&gt;0,AI91&amp;Language!$E$99&amp;AH91,"")</f>
        <v/>
      </c>
      <c r="AC163" s="763" t="str">
        <f ca="1">IF(AA91&gt;0,AK91&amp;Language!$E$99&amp;AJ91,"")</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 t="shared" ca="1" si="72"/>
        <v/>
      </c>
      <c r="AA164" s="661">
        <f t="shared" ca="1" si="71"/>
        <v>0</v>
      </c>
      <c r="AB164" s="661" t="str">
        <f ca="1">IF(AA92&gt;0,AI92&amp;Language!$E$99&amp;AH92,"")</f>
        <v/>
      </c>
      <c r="AC164" s="763" t="str">
        <f ca="1">IF(AA92&gt;0,AK92&amp;Language!$E$99&amp;AJ92,"")</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ht="12.75" thickBot="1" x14ac:dyDescent="0.25">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 t="shared" ca="1" si="72"/>
        <v/>
      </c>
      <c r="AA165" s="661">
        <f t="shared" ca="1" si="71"/>
        <v>0</v>
      </c>
      <c r="AB165" s="661" t="str">
        <f ca="1">IF(AA93&gt;0,AI93&amp;Language!$E$99&amp;AH93,"")</f>
        <v/>
      </c>
      <c r="AC165" s="763" t="str">
        <f ca="1">IF(AA93&gt;0,AK93&amp;Language!$E$99&amp;AJ93,"")</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ht="12.75" thickTop="1"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42" t="s">
        <v>45</v>
      </c>
      <c r="Z166" s="746" t="str">
        <f>""</f>
        <v/>
      </c>
      <c r="AA166" s="744">
        <v>0</v>
      </c>
      <c r="AB166" s="744" t="str">
        <f>""</f>
        <v/>
      </c>
      <c r="AC166" s="765"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L63:AM63"/>
    <mergeCell ref="E29:L29"/>
    <mergeCell ref="M29:T29"/>
    <mergeCell ref="U29:AB29"/>
    <mergeCell ref="AC29:AJ29"/>
    <mergeCell ref="AK29:AR29"/>
    <mergeCell ref="X63:Y63"/>
    <mergeCell ref="AD63:AE63"/>
    <mergeCell ref="AF63:AG63"/>
    <mergeCell ref="AH63:AI63"/>
    <mergeCell ref="AJ63:AK63"/>
    <mergeCell ref="AS29:AZ29"/>
    <mergeCell ref="BA29:BH29"/>
    <mergeCell ref="BI29:BP29"/>
    <mergeCell ref="W3:AA3"/>
    <mergeCell ref="AB3:AF3"/>
    <mergeCell ref="AG3:AK3"/>
    <mergeCell ref="AL3:AP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B8FCE-00C8-4784-8A2D-A68F65E0ADBF}">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8.42578125" style="2" customWidth="1"/>
    <col min="8" max="9" width="6.42578125" style="2" customWidth="1"/>
    <col min="10" max="10" width="8.28515625" style="2" customWidth="1"/>
    <col min="11" max="11" width="12.5703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8.140625" style="2" customWidth="1"/>
    <col min="47" max="47" width="9.42578125" style="2" customWidth="1"/>
    <col min="48" max="48" width="8.42578125" style="2" customWidth="1"/>
    <col min="49" max="49" width="8" style="2" customWidth="1"/>
    <col min="50"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387</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71" t="s">
        <v>388</v>
      </c>
      <c r="J3" s="666" t="s">
        <v>108</v>
      </c>
      <c r="K3" s="771" t="s">
        <v>101</v>
      </c>
      <c r="L3" s="666" t="s">
        <v>102</v>
      </c>
      <c r="M3" s="666" t="s">
        <v>103</v>
      </c>
      <c r="N3" s="666" t="s">
        <v>104</v>
      </c>
      <c r="O3" s="667"/>
      <c r="P3" s="668"/>
      <c r="Q3" s="668"/>
      <c r="R3" s="668"/>
      <c r="S3" s="668"/>
      <c r="T3" s="668"/>
      <c r="U3" s="668"/>
      <c r="V3" s="668"/>
      <c r="W3" s="1029"/>
      <c r="X3" s="1030"/>
      <c r="Y3" s="1030"/>
      <c r="Z3" s="1030"/>
      <c r="AA3" s="1030"/>
      <c r="AB3" s="1029"/>
      <c r="AC3" s="1030"/>
      <c r="AD3" s="1030"/>
      <c r="AE3" s="1030"/>
      <c r="AF3" s="1030"/>
      <c r="AG3" s="1029"/>
      <c r="AH3" s="1030"/>
      <c r="AI3" s="1030"/>
      <c r="AJ3" s="1030"/>
      <c r="AK3" s="1030"/>
      <c r="AL3" s="1029"/>
      <c r="AM3" s="1030"/>
      <c r="AN3" s="1030"/>
      <c r="AO3" s="1030"/>
      <c r="AP3" s="1030"/>
      <c r="AQ3" s="660"/>
      <c r="AR3" s="660"/>
      <c r="AS3" s="666" t="s">
        <v>358</v>
      </c>
      <c r="AT3" s="666" t="s">
        <v>317</v>
      </c>
      <c r="AU3" s="666" t="s">
        <v>389</v>
      </c>
      <c r="AV3" s="666" t="s">
        <v>357</v>
      </c>
      <c r="AW3" s="666"/>
      <c r="AX3" s="666" t="s">
        <v>390</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4</v>
      </c>
      <c r="D4" s="661">
        <f ca="1">E4+ROW()/1000+(F4="")*10</f>
        <v>4.0039999999999996</v>
      </c>
      <c r="E4" s="671">
        <f ca="1">IF($AI$15,RANK(AH17,AH$17:AH$25,1),RANK(X17,X$17:X$25,1))</f>
        <v>4</v>
      </c>
      <c r="F4" s="662" t="str">
        <f ca="1">$Q64</f>
        <v>Maibach 1822 eV</v>
      </c>
      <c r="G4" s="662">
        <f ca="1">SUMIFS($AH$64:$AH$135,$V$64:$V$135,$F4)+SUMIFS($AI$64:$AI$135,$W$64:$W$135,$F4)</f>
        <v>116</v>
      </c>
      <c r="H4" s="662">
        <f ca="1">SUMIFS($AI$64:$AI$135,$V$64:$V$135,$F4)+SUMIFS($AH$64:$AH$135,$W$64:$W$135,$F4)</f>
        <v>133</v>
      </c>
      <c r="I4" s="661">
        <f ca="1">IF(Settings!$G$24,G4-H4,IF(H4=0,IF(G4=0,0,Settings!$F$24),G4/H4))</f>
        <v>0.8721804511278195</v>
      </c>
      <c r="J4" s="662">
        <f ca="1">$L4*Settings!$C$4+$M4</f>
        <v>2</v>
      </c>
      <c r="K4" s="662">
        <f ca="1">SUMPRODUCT(($V$64:$V$135=F4)*($AJ$64:$AJ$135&lt;&gt;"")*$AA$64:$AA$135)+SUMPRODUCT(($W$64:$W$135=F4)*($AK$64:$AK$135&lt;&gt;"")*$AA$64:$AA$135)</f>
        <v>3</v>
      </c>
      <c r="L4" s="662">
        <f ca="1">SUMPRODUCT(($V$64:$V$135=F4)*($AJ$64:$AJ$135&gt;$AK$64:$AK$135)*$AA$64:$AA$135)+SUMPRODUCT(($W$64:$W$135=F4)*($AJ$64:$AJ$135&lt;$AK$64:$AK$135)*$AA$64:$AA$135)</f>
        <v>1</v>
      </c>
      <c r="M4" s="662">
        <f t="shared" ref="M4:M12" ca="1" si="0">SUMPRODUCT(($V$64:$W$135=F4)*($AJ$64:$AJ$135=$AK$64:$AK$135)*$AA$64:$AA$135)</f>
        <v>0</v>
      </c>
      <c r="N4" s="662">
        <f ca="1">K4-L4-M4</f>
        <v>2</v>
      </c>
      <c r="O4" s="672"/>
      <c r="P4" s="672"/>
      <c r="Q4" s="672"/>
      <c r="R4" s="672"/>
      <c r="S4" s="660"/>
      <c r="T4" s="660"/>
      <c r="U4" s="660"/>
      <c r="V4" s="662"/>
      <c r="W4" s="450"/>
      <c r="X4" s="451"/>
      <c r="Y4" s="452"/>
      <c r="Z4" s="453"/>
      <c r="AA4" s="454"/>
      <c r="AB4" s="455"/>
      <c r="AC4" s="456"/>
      <c r="AD4" s="457"/>
      <c r="AE4" s="453"/>
      <c r="AF4" s="453"/>
      <c r="AG4" s="455"/>
      <c r="AH4" s="456"/>
      <c r="AI4" s="457"/>
      <c r="AJ4" s="453"/>
      <c r="AK4" s="458"/>
      <c r="AL4" s="456"/>
      <c r="AM4" s="456"/>
      <c r="AN4" s="457"/>
      <c r="AO4" s="453"/>
      <c r="AP4" s="458"/>
      <c r="AQ4" s="660"/>
      <c r="AR4" s="660"/>
      <c r="AS4" s="662">
        <f ca="1">SUMPRODUCT(($V$64:$V$135=F4)*$AK$64:$AK$135)+SUMPRODUCT(($W$64:$W$135=F4)*$AJ$64:$AJ$135)</f>
        <v>4</v>
      </c>
      <c r="AT4" s="662">
        <f ca="1">SUMPRODUCT(($V$64:$V$135=F4)*$AJ$64:$AJ$135)+SUMPRODUCT(($W$64:$W$135=F4)*$AK$64:$AK$135)</f>
        <v>2</v>
      </c>
      <c r="AU4" s="662">
        <f ca="1">AT4-AS4</f>
        <v>-2</v>
      </c>
      <c r="AV4" s="662">
        <f ca="1">IF(Settings!$G$24,$I4,ROUND($I4,Settings!$H$24))</f>
        <v>0.872</v>
      </c>
      <c r="AW4" s="662">
        <f ca="1">I4-(F4="")*10000</f>
        <v>0.8721804511278195</v>
      </c>
      <c r="AX4" s="662">
        <f ca="1" xml:space="preserve"> RANK(AW4,$AW$4:$AW$12,1)</f>
        <v>6</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1">RANK(D5,$D$4:$D$12,1)</f>
        <v>3</v>
      </c>
      <c r="D5" s="661">
        <f t="shared" ref="D5:D12" ca="1" si="2">E5+ROW()/1000+(F5="")*10</f>
        <v>3.0049999999999999</v>
      </c>
      <c r="E5" s="671">
        <f t="shared" ref="E5:E12" ca="1" si="3">IF($AI$15,RANK(AH18,AH$17:AH$25,1),RANK(X18,X$17:X$25,1))</f>
        <v>3</v>
      </c>
      <c r="F5" s="662" t="str">
        <f t="shared" ref="F5:F12" ca="1" si="4">$Q65</f>
        <v>Inter Mailand</v>
      </c>
      <c r="G5" s="662">
        <f t="shared" ref="G5:G12" ca="1" si="5">SUMIFS($AH$64:$AH$135,$V$64:$V$135,$F5)+SUMIFS($AI$64:$AI$135,$W$64:$W$135,$F5)</f>
        <v>127</v>
      </c>
      <c r="H5" s="662">
        <f t="shared" ref="H5:H12" ca="1" si="6">SUMIFS($AI$64:$AI$135,$V$64:$V$135,$F5)+SUMIFS($AH$64:$AH$135,$W$64:$W$135,$F5)</f>
        <v>133</v>
      </c>
      <c r="I5" s="661">
        <f ca="1">IF(Settings!$G$24,G5-H5,IF(H5=0,IF(G5=0,0,Settings!$F$24),G5/H5))</f>
        <v>0.95488721804511278</v>
      </c>
      <c r="J5" s="662">
        <f ca="1">$L5*Settings!$C$4+$M5</f>
        <v>3</v>
      </c>
      <c r="K5" s="662">
        <f t="shared" ref="K5:K12" ca="1" si="7">SUMPRODUCT(($V$64:$V$135=F5)*($AJ$64:$AJ$135&lt;&gt;"")*$AA$64:$AA$135)+SUMPRODUCT(($W$64:$W$135=F5)*($AK$64:$AK$135&lt;&gt;"")*$AA$64:$AA$135)</f>
        <v>3</v>
      </c>
      <c r="L5" s="662">
        <f t="shared" ref="L5:L12" ca="1" si="8">SUMPRODUCT(($V$64:$V$135=F5)*($AJ$64:$AJ$135&gt;$AK$64:$AK$135)*$AA$64:$AA$135)+SUMPRODUCT(($W$64:$W$135=F5)*($AJ$64:$AJ$135&lt;$AK$64:$AK$135)*$AA$64:$AA$135)</f>
        <v>1</v>
      </c>
      <c r="M5" s="662">
        <f t="shared" ca="1" si="0"/>
        <v>1</v>
      </c>
      <c r="N5" s="662">
        <f t="shared" ref="N5:N12" ca="1" si="9">K5-L5-M5</f>
        <v>1</v>
      </c>
      <c r="O5" s="674"/>
      <c r="P5" s="675"/>
      <c r="Q5" s="660"/>
      <c r="R5" s="660"/>
      <c r="S5" s="660"/>
      <c r="T5" s="660"/>
      <c r="U5" s="660"/>
      <c r="V5" s="662"/>
      <c r="W5" s="455"/>
      <c r="X5" s="456"/>
      <c r="Y5" s="453"/>
      <c r="Z5" s="453"/>
      <c r="AA5" s="458"/>
      <c r="AB5" s="455"/>
      <c r="AC5" s="456"/>
      <c r="AD5" s="457"/>
      <c r="AE5" s="453"/>
      <c r="AF5" s="453"/>
      <c r="AG5" s="455"/>
      <c r="AH5" s="456"/>
      <c r="AI5" s="457"/>
      <c r="AJ5" s="453"/>
      <c r="AK5" s="458"/>
      <c r="AL5" s="456"/>
      <c r="AM5" s="456"/>
      <c r="AN5" s="457"/>
      <c r="AO5" s="453"/>
      <c r="AP5" s="458"/>
      <c r="AQ5" s="660"/>
      <c r="AR5" s="660"/>
      <c r="AS5" s="662">
        <f t="shared" ref="AS5:AS12" ca="1" si="10">SUMPRODUCT(($V$64:$V$135=F5)*$AK$64:$AK$135)+SUMPRODUCT(($W$64:$W$135=F5)*$AJ$64:$AJ$135)</f>
        <v>3</v>
      </c>
      <c r="AT5" s="662">
        <f t="shared" ref="AT5:AT12" ca="1" si="11">SUMPRODUCT(($V$64:$V$135=F5)*$AJ$64:$AJ$135)+SUMPRODUCT(($W$64:$W$135=F5)*$AK$64:$AK$135)</f>
        <v>3</v>
      </c>
      <c r="AU5" s="662">
        <f t="shared" ref="AU5:AU12" ca="1" si="12">AT5-AS5</f>
        <v>0</v>
      </c>
      <c r="AV5" s="662">
        <f ca="1">IF(Settings!$G$24,$I5,ROUND($I5,Settings!$H$24))</f>
        <v>0.95499999999999996</v>
      </c>
      <c r="AW5" s="662">
        <f t="shared" ref="AW5:AW12" ca="1" si="13">I5-(F5="")*10000</f>
        <v>0.95488721804511278</v>
      </c>
      <c r="AX5" s="662">
        <f t="shared" ref="AX5:AX12" ca="1" si="14" xml:space="preserve"> RANK(AW5,$AW$4:$AW$12,1)</f>
        <v>7</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1"/>
        <v>2</v>
      </c>
      <c r="D6" s="661">
        <f t="shared" ca="1" si="2"/>
        <v>2.0059999999999998</v>
      </c>
      <c r="E6" s="671">
        <f t="shared" ca="1" si="3"/>
        <v>2</v>
      </c>
      <c r="F6" s="662" t="str">
        <f t="shared" ca="1" si="4"/>
        <v>VFB Essenheim</v>
      </c>
      <c r="G6" s="662">
        <f t="shared" ca="1" si="5"/>
        <v>135</v>
      </c>
      <c r="H6" s="662">
        <f t="shared" ca="1" si="6"/>
        <v>123</v>
      </c>
      <c r="I6" s="661">
        <f ca="1">IF(Settings!$G$24,G6-H6,IF(H6=0,IF(G6=0,0,Settings!$F$24),G6/H6))</f>
        <v>1.0975609756097562</v>
      </c>
      <c r="J6" s="662">
        <f ca="1">$L6*Settings!$C$4+$M6</f>
        <v>3</v>
      </c>
      <c r="K6" s="662">
        <f t="shared" ca="1" si="7"/>
        <v>3</v>
      </c>
      <c r="L6" s="662">
        <f t="shared" ca="1" si="8"/>
        <v>1</v>
      </c>
      <c r="M6" s="662">
        <f t="shared" ca="1" si="0"/>
        <v>1</v>
      </c>
      <c r="N6" s="662">
        <f t="shared" ca="1" si="9"/>
        <v>1</v>
      </c>
      <c r="O6" s="674"/>
      <c r="P6" s="675"/>
      <c r="Q6" s="660"/>
      <c r="R6" s="660"/>
      <c r="S6" s="660"/>
      <c r="T6" s="660"/>
      <c r="U6" s="660"/>
      <c r="V6" s="662"/>
      <c r="W6" s="455"/>
      <c r="X6" s="456"/>
      <c r="Y6" s="453"/>
      <c r="Z6" s="453"/>
      <c r="AA6" s="458"/>
      <c r="AB6" s="455"/>
      <c r="AC6" s="456"/>
      <c r="AD6" s="457"/>
      <c r="AE6" s="453"/>
      <c r="AF6" s="453"/>
      <c r="AG6" s="455"/>
      <c r="AH6" s="456"/>
      <c r="AI6" s="457"/>
      <c r="AJ6" s="453"/>
      <c r="AK6" s="458"/>
      <c r="AL6" s="456"/>
      <c r="AM6" s="456"/>
      <c r="AN6" s="457"/>
      <c r="AO6" s="453"/>
      <c r="AP6" s="458"/>
      <c r="AQ6" s="660"/>
      <c r="AR6" s="660"/>
      <c r="AS6" s="662">
        <f t="shared" ca="1" si="10"/>
        <v>3</v>
      </c>
      <c r="AT6" s="662">
        <f t="shared" ca="1" si="11"/>
        <v>3</v>
      </c>
      <c r="AU6" s="662">
        <f t="shared" ca="1" si="12"/>
        <v>0</v>
      </c>
      <c r="AV6" s="662">
        <f ca="1">IF(Settings!$G$24,$I6,ROUND($I6,Settings!$H$24))</f>
        <v>1.0980000000000001</v>
      </c>
      <c r="AW6" s="662">
        <f t="shared" ca="1" si="13"/>
        <v>1.0975609756097562</v>
      </c>
      <c r="AX6" s="662">
        <f t="shared" ca="1" si="14"/>
        <v>9</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1"/>
        <v>1</v>
      </c>
      <c r="D7" s="661">
        <f t="shared" ca="1" si="2"/>
        <v>1.0069999999999999</v>
      </c>
      <c r="E7" s="671">
        <f t="shared" ca="1" si="3"/>
        <v>1</v>
      </c>
      <c r="F7" s="662" t="str">
        <f t="shared" ca="1" si="4"/>
        <v>Manchester City</v>
      </c>
      <c r="G7" s="662">
        <f t="shared" ca="1" si="5"/>
        <v>136</v>
      </c>
      <c r="H7" s="662">
        <f t="shared" ca="1" si="6"/>
        <v>125</v>
      </c>
      <c r="I7" s="661">
        <f ca="1">IF(Settings!$G$24,G7-H7,IF(H7=0,IF(G7=0,0,Settings!$F$24),G7/H7))</f>
        <v>1.0880000000000001</v>
      </c>
      <c r="J7" s="662">
        <f ca="1">$L7*Settings!$C$4+$M7</f>
        <v>4</v>
      </c>
      <c r="K7" s="662">
        <f t="shared" ca="1" si="7"/>
        <v>3</v>
      </c>
      <c r="L7" s="662">
        <f t="shared" ca="1" si="8"/>
        <v>1</v>
      </c>
      <c r="M7" s="662">
        <f t="shared" ca="1" si="0"/>
        <v>2</v>
      </c>
      <c r="N7" s="662">
        <f t="shared" ca="1" si="9"/>
        <v>0</v>
      </c>
      <c r="O7" s="674"/>
      <c r="P7" s="675"/>
      <c r="Q7" s="660"/>
      <c r="R7" s="660"/>
      <c r="S7" s="660"/>
      <c r="T7" s="660"/>
      <c r="U7" s="660"/>
      <c r="V7" s="662"/>
      <c r="W7" s="455"/>
      <c r="X7" s="456"/>
      <c r="Y7" s="453"/>
      <c r="Z7" s="453"/>
      <c r="AA7" s="458"/>
      <c r="AB7" s="455"/>
      <c r="AC7" s="456"/>
      <c r="AD7" s="457"/>
      <c r="AE7" s="453"/>
      <c r="AF7" s="453"/>
      <c r="AG7" s="455"/>
      <c r="AH7" s="456"/>
      <c r="AI7" s="457"/>
      <c r="AJ7" s="453"/>
      <c r="AK7" s="458"/>
      <c r="AL7" s="456"/>
      <c r="AM7" s="456"/>
      <c r="AN7" s="457"/>
      <c r="AO7" s="453"/>
      <c r="AP7" s="458"/>
      <c r="AQ7" s="660"/>
      <c r="AR7" s="660"/>
      <c r="AS7" s="662">
        <f t="shared" ca="1" si="10"/>
        <v>2</v>
      </c>
      <c r="AT7" s="662">
        <f t="shared" ca="1" si="11"/>
        <v>4</v>
      </c>
      <c r="AU7" s="662">
        <f t="shared" ca="1" si="12"/>
        <v>2</v>
      </c>
      <c r="AV7" s="662">
        <f ca="1">IF(Settings!$G$24,$I7,ROUND($I7,Settings!$H$24))</f>
        <v>1.0880000000000001</v>
      </c>
      <c r="AW7" s="662">
        <f t="shared" ca="1" si="13"/>
        <v>1.0880000000000001</v>
      </c>
      <c r="AX7" s="662">
        <f t="shared" ca="1" si="14"/>
        <v>8</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1"/>
        <v>5</v>
      </c>
      <c r="D8" s="661">
        <f t="shared" ca="1" si="2"/>
        <v>15.007999999999999</v>
      </c>
      <c r="E8" s="671">
        <f t="shared" ca="1" si="3"/>
        <v>5</v>
      </c>
      <c r="F8" s="662" t="str">
        <f t="shared" si="4"/>
        <v/>
      </c>
      <c r="G8" s="662">
        <f t="shared" ca="1" si="5"/>
        <v>0</v>
      </c>
      <c r="H8" s="662">
        <f t="shared" ca="1" si="6"/>
        <v>0</v>
      </c>
      <c r="I8" s="661">
        <f ca="1">IF(Settings!$G$24,G8-H8,IF(H8=0,IF(G8=0,0,Settings!$F$24),G8/H8))</f>
        <v>0</v>
      </c>
      <c r="J8" s="662">
        <f ca="1">$L8*Settings!$C$4+$M8</f>
        <v>0</v>
      </c>
      <c r="K8" s="662">
        <f t="shared" ca="1" si="7"/>
        <v>0</v>
      </c>
      <c r="L8" s="662">
        <f t="shared" ca="1" si="8"/>
        <v>0</v>
      </c>
      <c r="M8" s="662">
        <f t="shared" ca="1" si="0"/>
        <v>0</v>
      </c>
      <c r="N8" s="662">
        <f t="shared" ca="1" si="9"/>
        <v>0</v>
      </c>
      <c r="O8" s="660"/>
      <c r="P8" s="675"/>
      <c r="Q8" s="660"/>
      <c r="R8" s="660"/>
      <c r="S8" s="660"/>
      <c r="T8" s="660"/>
      <c r="U8" s="660"/>
      <c r="V8" s="660"/>
      <c r="W8" s="455"/>
      <c r="X8" s="456"/>
      <c r="Y8" s="453"/>
      <c r="Z8" s="453"/>
      <c r="AA8" s="458"/>
      <c r="AB8" s="455"/>
      <c r="AC8" s="456"/>
      <c r="AD8" s="457"/>
      <c r="AE8" s="453"/>
      <c r="AF8" s="453"/>
      <c r="AG8" s="455"/>
      <c r="AH8" s="456"/>
      <c r="AI8" s="457"/>
      <c r="AJ8" s="453"/>
      <c r="AK8" s="458"/>
      <c r="AL8" s="456"/>
      <c r="AM8" s="456"/>
      <c r="AN8" s="457"/>
      <c r="AO8" s="453"/>
      <c r="AP8" s="458"/>
      <c r="AQ8" s="660"/>
      <c r="AR8" s="660"/>
      <c r="AS8" s="662">
        <f t="shared" ca="1" si="10"/>
        <v>0</v>
      </c>
      <c r="AT8" s="662">
        <f t="shared" ca="1" si="11"/>
        <v>0</v>
      </c>
      <c r="AU8" s="662">
        <f t="shared" ca="1" si="12"/>
        <v>0</v>
      </c>
      <c r="AV8" s="662">
        <f ca="1">IF(Settings!$G$24,$I8,ROUND($I8,Settings!$H$24))</f>
        <v>0</v>
      </c>
      <c r="AW8" s="662">
        <f t="shared" ca="1" si="13"/>
        <v>-10000</v>
      </c>
      <c r="AX8" s="662">
        <f t="shared" ca="1" si="14"/>
        <v>1</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1"/>
        <v>6</v>
      </c>
      <c r="D9" s="661">
        <f t="shared" ca="1" si="2"/>
        <v>15.009</v>
      </c>
      <c r="E9" s="671">
        <f t="shared" ca="1" si="3"/>
        <v>5</v>
      </c>
      <c r="F9" s="662" t="str">
        <f t="shared" si="4"/>
        <v/>
      </c>
      <c r="G9" s="662">
        <f t="shared" ca="1" si="5"/>
        <v>0</v>
      </c>
      <c r="H9" s="662">
        <f t="shared" ca="1" si="6"/>
        <v>0</v>
      </c>
      <c r="I9" s="661">
        <f ca="1">IF(Settings!$G$24,G9-H9,IF(H9=0,IF(G9=0,0,Settings!$F$24),G9/H9))</f>
        <v>0</v>
      </c>
      <c r="J9" s="662">
        <f ca="1">$L9*Settings!$C$4+$M9</f>
        <v>0</v>
      </c>
      <c r="K9" s="662">
        <f t="shared" ca="1" si="7"/>
        <v>0</v>
      </c>
      <c r="L9" s="662">
        <f t="shared" ca="1" si="8"/>
        <v>0</v>
      </c>
      <c r="M9" s="662">
        <f t="shared" ca="1" si="0"/>
        <v>0</v>
      </c>
      <c r="N9" s="662">
        <f t="shared" ca="1" si="9"/>
        <v>0</v>
      </c>
      <c r="O9" s="660"/>
      <c r="P9" s="675"/>
      <c r="Q9" s="660"/>
      <c r="R9" s="660"/>
      <c r="S9" s="660"/>
      <c r="T9" s="660"/>
      <c r="U9" s="660"/>
      <c r="V9" s="660"/>
      <c r="W9" s="455"/>
      <c r="X9" s="456"/>
      <c r="Y9" s="453"/>
      <c r="Z9" s="453"/>
      <c r="AA9" s="458"/>
      <c r="AB9" s="455"/>
      <c r="AC9" s="456"/>
      <c r="AD9" s="457"/>
      <c r="AE9" s="453"/>
      <c r="AF9" s="453"/>
      <c r="AG9" s="455"/>
      <c r="AH9" s="456"/>
      <c r="AI9" s="457"/>
      <c r="AJ9" s="453"/>
      <c r="AK9" s="458"/>
      <c r="AL9" s="456"/>
      <c r="AM9" s="456"/>
      <c r="AN9" s="457"/>
      <c r="AO9" s="453"/>
      <c r="AP9" s="458"/>
      <c r="AQ9" s="660"/>
      <c r="AR9" s="660"/>
      <c r="AS9" s="662">
        <f t="shared" ca="1" si="10"/>
        <v>0</v>
      </c>
      <c r="AT9" s="662">
        <f t="shared" ca="1" si="11"/>
        <v>0</v>
      </c>
      <c r="AU9" s="662">
        <f t="shared" ca="1" si="12"/>
        <v>0</v>
      </c>
      <c r="AV9" s="662">
        <f ca="1">IF(Settings!$G$24,$I9,ROUND($I9,Settings!$H$24))</f>
        <v>0</v>
      </c>
      <c r="AW9" s="662">
        <f t="shared" ca="1" si="13"/>
        <v>-10000</v>
      </c>
      <c r="AX9" s="662">
        <f t="shared" ca="1" si="14"/>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1"/>
        <v>7</v>
      </c>
      <c r="D10" s="661">
        <f t="shared" ca="1" si="2"/>
        <v>15.01</v>
      </c>
      <c r="E10" s="671">
        <f t="shared" ca="1" si="3"/>
        <v>5</v>
      </c>
      <c r="F10" s="662" t="str">
        <f t="shared" si="4"/>
        <v/>
      </c>
      <c r="G10" s="662">
        <f t="shared" ca="1" si="5"/>
        <v>0</v>
      </c>
      <c r="H10" s="662">
        <f t="shared" ca="1" si="6"/>
        <v>0</v>
      </c>
      <c r="I10" s="661">
        <f ca="1">IF(Settings!$G$24,G10-H10,IF(H10=0,IF(G10=0,0,Settings!$F$24),G10/H10))</f>
        <v>0</v>
      </c>
      <c r="J10" s="662">
        <f ca="1">$L10*Settings!$C$4+$M10</f>
        <v>0</v>
      </c>
      <c r="K10" s="662">
        <f t="shared" ca="1" si="7"/>
        <v>0</v>
      </c>
      <c r="L10" s="662">
        <f t="shared" ca="1" si="8"/>
        <v>0</v>
      </c>
      <c r="M10" s="662">
        <f t="shared" ca="1" si="0"/>
        <v>0</v>
      </c>
      <c r="N10" s="662">
        <f t="shared" ca="1" si="9"/>
        <v>0</v>
      </c>
      <c r="O10" s="660"/>
      <c r="P10" s="675"/>
      <c r="Q10" s="660"/>
      <c r="R10" s="660"/>
      <c r="S10" s="660"/>
      <c r="T10" s="660"/>
      <c r="U10" s="660"/>
      <c r="V10" s="660"/>
      <c r="W10" s="455"/>
      <c r="X10" s="456"/>
      <c r="Y10" s="453"/>
      <c r="Z10" s="453"/>
      <c r="AA10" s="458"/>
      <c r="AB10" s="455"/>
      <c r="AC10" s="456"/>
      <c r="AD10" s="457"/>
      <c r="AE10" s="453"/>
      <c r="AF10" s="453"/>
      <c r="AG10" s="455"/>
      <c r="AH10" s="456"/>
      <c r="AI10" s="457"/>
      <c r="AJ10" s="453"/>
      <c r="AK10" s="458"/>
      <c r="AL10" s="456"/>
      <c r="AM10" s="456"/>
      <c r="AN10" s="457"/>
      <c r="AO10" s="453"/>
      <c r="AP10" s="458"/>
      <c r="AQ10" s="660"/>
      <c r="AR10" s="660"/>
      <c r="AS10" s="662">
        <f t="shared" ca="1" si="10"/>
        <v>0</v>
      </c>
      <c r="AT10" s="662">
        <f t="shared" ca="1" si="11"/>
        <v>0</v>
      </c>
      <c r="AU10" s="662">
        <f t="shared" ca="1" si="12"/>
        <v>0</v>
      </c>
      <c r="AV10" s="662">
        <f ca="1">IF(Settings!$G$24,$I10,ROUND($I10,Settings!$H$24))</f>
        <v>0</v>
      </c>
      <c r="AW10" s="662">
        <f t="shared" ca="1" si="13"/>
        <v>-10000</v>
      </c>
      <c r="AX10" s="662">
        <f t="shared" ca="1" si="14"/>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1"/>
        <v>8</v>
      </c>
      <c r="D11" s="661">
        <f t="shared" ca="1" si="2"/>
        <v>15.010999999999999</v>
      </c>
      <c r="E11" s="671">
        <f t="shared" ca="1" si="3"/>
        <v>5</v>
      </c>
      <c r="F11" s="662" t="str">
        <f t="shared" si="4"/>
        <v/>
      </c>
      <c r="G11" s="662">
        <f t="shared" ca="1" si="5"/>
        <v>0</v>
      </c>
      <c r="H11" s="662">
        <f t="shared" ca="1" si="6"/>
        <v>0</v>
      </c>
      <c r="I11" s="661">
        <f ca="1">IF(Settings!$G$24,G11-H11,IF(H11=0,IF(G11=0,0,Settings!$F$24),G11/H11))</f>
        <v>0</v>
      </c>
      <c r="J11" s="662">
        <f ca="1">$L11*Settings!$C$4+$M11</f>
        <v>0</v>
      </c>
      <c r="K11" s="662">
        <f t="shared" ca="1" si="7"/>
        <v>0</v>
      </c>
      <c r="L11" s="662">
        <f t="shared" ca="1" si="8"/>
        <v>0</v>
      </c>
      <c r="M11" s="662">
        <f t="shared" ca="1" si="0"/>
        <v>0</v>
      </c>
      <c r="N11" s="662">
        <f t="shared" ca="1" si="9"/>
        <v>0</v>
      </c>
      <c r="O11" s="661"/>
      <c r="P11" s="661"/>
      <c r="Q11" s="661"/>
      <c r="R11" s="661"/>
      <c r="S11" s="661"/>
      <c r="T11" s="661"/>
      <c r="U11" s="661"/>
      <c r="V11" s="661"/>
      <c r="W11" s="455"/>
      <c r="X11" s="456"/>
      <c r="Y11" s="453"/>
      <c r="Z11" s="453"/>
      <c r="AA11" s="458"/>
      <c r="AB11" s="455"/>
      <c r="AC11" s="456"/>
      <c r="AD11" s="457"/>
      <c r="AE11" s="453"/>
      <c r="AF11" s="453"/>
      <c r="AG11" s="455"/>
      <c r="AH11" s="456"/>
      <c r="AI11" s="457"/>
      <c r="AJ11" s="453"/>
      <c r="AK11" s="458"/>
      <c r="AL11" s="456"/>
      <c r="AM11" s="456"/>
      <c r="AN11" s="457"/>
      <c r="AO11" s="453"/>
      <c r="AP11" s="458"/>
      <c r="AQ11" s="660"/>
      <c r="AR11" s="660"/>
      <c r="AS11" s="662">
        <f t="shared" ca="1" si="10"/>
        <v>0</v>
      </c>
      <c r="AT11" s="662">
        <f t="shared" ca="1" si="11"/>
        <v>0</v>
      </c>
      <c r="AU11" s="662">
        <f t="shared" ca="1" si="12"/>
        <v>0</v>
      </c>
      <c r="AV11" s="662">
        <f ca="1">IF(Settings!$G$24,$I11,ROUND($I11,Settings!$H$24))</f>
        <v>0</v>
      </c>
      <c r="AW11" s="662">
        <f t="shared" ca="1" si="13"/>
        <v>-10000</v>
      </c>
      <c r="AX11" s="662">
        <f t="shared" ca="1" si="14"/>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1"/>
        <v>9</v>
      </c>
      <c r="D12" s="661">
        <f t="shared" ca="1" si="2"/>
        <v>15.012</v>
      </c>
      <c r="E12" s="671">
        <f t="shared" ca="1" si="3"/>
        <v>5</v>
      </c>
      <c r="F12" s="662" t="str">
        <f t="shared" si="4"/>
        <v/>
      </c>
      <c r="G12" s="662">
        <f t="shared" ca="1" si="5"/>
        <v>0</v>
      </c>
      <c r="H12" s="662">
        <f t="shared" ca="1" si="6"/>
        <v>0</v>
      </c>
      <c r="I12" s="661">
        <f ca="1">IF(Settings!$G$24,G12-H12,IF(H12=0,IF(G12=0,0,Settings!$F$24),G12/H12))</f>
        <v>0</v>
      </c>
      <c r="J12" s="662">
        <f ca="1">$L12*Settings!$C$4+$M12</f>
        <v>0</v>
      </c>
      <c r="K12" s="677">
        <f t="shared" ca="1" si="7"/>
        <v>0</v>
      </c>
      <c r="L12" s="662">
        <f t="shared" ca="1" si="8"/>
        <v>0</v>
      </c>
      <c r="M12" s="662">
        <f t="shared" ca="1" si="0"/>
        <v>0</v>
      </c>
      <c r="N12" s="662">
        <f t="shared" ca="1" si="9"/>
        <v>0</v>
      </c>
      <c r="O12" s="662"/>
      <c r="P12" s="662"/>
      <c r="Q12" s="662"/>
      <c r="R12" s="662"/>
      <c r="S12" s="662"/>
      <c r="T12" s="662"/>
      <c r="U12" s="662"/>
      <c r="V12" s="662"/>
      <c r="W12" s="459"/>
      <c r="X12" s="460"/>
      <c r="Y12" s="461"/>
      <c r="Z12" s="461"/>
      <c r="AA12" s="462"/>
      <c r="AB12" s="459"/>
      <c r="AC12" s="460"/>
      <c r="AD12" s="463"/>
      <c r="AE12" s="461"/>
      <c r="AF12" s="461"/>
      <c r="AG12" s="459"/>
      <c r="AH12" s="460"/>
      <c r="AI12" s="463"/>
      <c r="AJ12" s="461"/>
      <c r="AK12" s="462"/>
      <c r="AL12" s="460"/>
      <c r="AM12" s="460"/>
      <c r="AN12" s="463"/>
      <c r="AO12" s="461"/>
      <c r="AP12" s="462"/>
      <c r="AQ12" s="660"/>
      <c r="AR12" s="660"/>
      <c r="AS12" s="662">
        <f t="shared" ca="1" si="10"/>
        <v>0</v>
      </c>
      <c r="AT12" s="662">
        <f t="shared" ca="1" si="11"/>
        <v>0</v>
      </c>
      <c r="AU12" s="662">
        <f t="shared" ca="1" si="12"/>
        <v>0</v>
      </c>
      <c r="AV12" s="662">
        <f ca="1">IF(Settings!$G$24,$I12,ROUND($I12,Settings!$H$24))</f>
        <v>0</v>
      </c>
      <c r="AW12" s="662">
        <f t="shared" ca="1" si="13"/>
        <v>-10000</v>
      </c>
      <c r="AX12" s="662">
        <f t="shared" ca="1" si="14"/>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 ca="1">$F$13*($F$13-1)</f>
        <v>12</v>
      </c>
      <c r="C13" s="661"/>
      <c r="D13" s="661"/>
      <c r="E13" s="661"/>
      <c r="F13" s="661">
        <f ca="1">9-COUNTBLANK($F$4:$F$12)</f>
        <v>4</v>
      </c>
      <c r="G13" s="661"/>
      <c r="H13" s="661"/>
      <c r="I13" s="661"/>
      <c r="J13" s="661"/>
      <c r="K13" s="666">
        <f ca="1">QUOTIENT(SUM(K4:K12),2)</f>
        <v>6</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f ca="1">MAX($B$13,Calc2!$B$13)/2*3</f>
        <v>30</v>
      </c>
      <c r="C14" s="660"/>
      <c r="D14" s="662" t="s">
        <v>391</v>
      </c>
      <c r="E14" s="660"/>
      <c r="F14" s="678">
        <f ca="1">MAX($F$13,Calc2!$F$13)</f>
        <v>5</v>
      </c>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71" t="s">
        <v>96</v>
      </c>
      <c r="D16" s="771" t="s">
        <v>101</v>
      </c>
      <c r="E16" s="771" t="s">
        <v>102</v>
      </c>
      <c r="F16" s="771" t="s">
        <v>103</v>
      </c>
      <c r="G16" s="771" t="s">
        <v>104</v>
      </c>
      <c r="H16" s="771" t="s">
        <v>105</v>
      </c>
      <c r="I16" s="771" t="s">
        <v>106</v>
      </c>
      <c r="J16" s="771" t="s">
        <v>107</v>
      </c>
      <c r="K16" s="771" t="s">
        <v>392</v>
      </c>
      <c r="L16" s="3" t="s">
        <v>319</v>
      </c>
      <c r="M16" s="664" t="s">
        <v>95</v>
      </c>
      <c r="N16" s="664" t="s">
        <v>14</v>
      </c>
      <c r="O16" s="682">
        <v>1</v>
      </c>
      <c r="P16" s="662">
        <v>2</v>
      </c>
      <c r="Q16" s="662">
        <v>3</v>
      </c>
      <c r="R16" s="662">
        <v>4</v>
      </c>
      <c r="S16" s="662">
        <v>5</v>
      </c>
      <c r="T16" s="662">
        <v>6</v>
      </c>
      <c r="U16" s="662">
        <v>7</v>
      </c>
      <c r="V16" s="662">
        <v>8</v>
      </c>
      <c r="W16" s="3" t="s">
        <v>97</v>
      </c>
      <c r="X16" s="651" t="s">
        <v>163</v>
      </c>
      <c r="Y16" s="3" t="s">
        <v>393</v>
      </c>
      <c r="Z16" s="651" t="s">
        <v>394</v>
      </c>
      <c r="AA16" s="662" t="s">
        <v>317</v>
      </c>
      <c r="AB16" s="662" t="s">
        <v>107</v>
      </c>
      <c r="AC16" s="662" t="s">
        <v>105</v>
      </c>
      <c r="AD16" s="683" t="s">
        <v>395</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 ca="1">$Q64</f>
        <v>Maibach 1822 eV</v>
      </c>
      <c r="D17" s="662">
        <f t="shared" ref="D17:G25" ca="1" si="15">K4</f>
        <v>3</v>
      </c>
      <c r="E17" s="662">
        <f t="shared" ca="1" si="15"/>
        <v>1</v>
      </c>
      <c r="F17" s="662">
        <f t="shared" ca="1" si="15"/>
        <v>0</v>
      </c>
      <c r="G17" s="662">
        <f t="shared" ca="1" si="15"/>
        <v>2</v>
      </c>
      <c r="H17" s="662">
        <f t="shared" ref="H17:J25" ca="1" si="16">G4</f>
        <v>116</v>
      </c>
      <c r="I17" s="662">
        <f t="shared" ca="1" si="16"/>
        <v>133</v>
      </c>
      <c r="J17" s="661">
        <f t="shared" ca="1" si="16"/>
        <v>0.8721804511278195</v>
      </c>
      <c r="K17" s="662">
        <f ca="1">IF(Settings!$G$9,J4,$AT4)</f>
        <v>2</v>
      </c>
      <c r="L17" s="686">
        <f ca="1">K17*$F$64+(AU4+$H$65)*$F$65*Settings!$G$14+AT4*$F$66*Settings!$G$19+AX4*$F$67</f>
        <v>2000000.0060000001</v>
      </c>
      <c r="M17" s="678">
        <f ca="1">IF($AI$15,COUNTIF($K$17:$K$25,K17),COUNTIF($L$17:$L$25,L17))</f>
        <v>1</v>
      </c>
      <c r="N17" s="678">
        <f t="array" aca="1" ref="N17" ca="1">IF($AI$15,SUM(($K$17:$K$25&gt;=K17)/COUNTIF($K$17:$K$25,$K$17:$K$25)),SUM(($L$17:$L$25&gt;=L17)/COUNTIF($L$17:$L$25,$L$17:$L$25)))</f>
        <v>4</v>
      </c>
      <c r="O17" s="687" t="str">
        <f t="shared" ref="O17:O25" ca="1" si="17">IF(AND(M17&gt;1,N17=1),C17,"")</f>
        <v/>
      </c>
      <c r="P17" s="688" t="str">
        <f t="shared" ref="P17:P25" ca="1" si="18">IF(AND(M17&gt;1,N17=2),C17,"")</f>
        <v/>
      </c>
      <c r="Q17" s="688" t="str">
        <f t="shared" ref="Q17:Q25" ca="1" si="19">IF(AND(M17&gt;1,N17=3),C17,"")</f>
        <v/>
      </c>
      <c r="R17" s="688" t="str">
        <f t="shared" ref="R17:R25" ca="1" si="20">IF(AND(M17&gt;1,N17=4),C17,"")</f>
        <v/>
      </c>
      <c r="S17" s="688" t="str">
        <f t="shared" ref="S17:S25" ca="1" si="21">IF(AND(M17&gt;1,N17=5),C17,"")</f>
        <v/>
      </c>
      <c r="T17" s="688" t="str">
        <f t="shared" ref="T17:T25" ca="1" si="22">IF(AND($M17&gt;1,$N17=6),$C17,"")</f>
        <v/>
      </c>
      <c r="U17" s="688" t="str">
        <f t="shared" ref="U17:U25" ca="1" si="23">IF(AND($M17&gt;1,$N17=7),$C17,"")</f>
        <v/>
      </c>
      <c r="V17" s="689" t="str">
        <f t="shared" ref="V17:V25" ca="1" si="24">IF(AND($M17&gt;1,$N17=8),$C17,"")</f>
        <v/>
      </c>
      <c r="W17" s="690">
        <f ca="1">AA17*$F$64+(AB17+$H$65)*$F$65</f>
        <v>500000</v>
      </c>
      <c r="X17" s="670">
        <f ca="1">RANK($L17,$L$17:$L$25)+RANK($W17,$W$17:$W$25)/100+(9-$Y17)/10000+($C17="")*100</f>
        <v>4.0108999999999995</v>
      </c>
      <c r="Y17" s="661">
        <f ca="1">'Finals 4'!$AU12+$AD17</f>
        <v>0</v>
      </c>
      <c r="Z17" s="662">
        <f ca="1">RANK($W17,$W$17:$W$25)+(9-$Y17)/10</f>
        <v>1.9</v>
      </c>
      <c r="AA17" s="662">
        <f ca="1">SUM(E30:BP30)</f>
        <v>0</v>
      </c>
      <c r="AB17" s="662">
        <f ca="1">SUM(E41:BP41)</f>
        <v>0</v>
      </c>
      <c r="AC17" s="662">
        <f ca="1">SUM(E52:BP52)</f>
        <v>0</v>
      </c>
      <c r="AD17" s="661">
        <f ca="1">IF($C17="",0,COUNTIF(Playoffs!$U$25:$U$30,$C17))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ca="1" si="25">$Q65</f>
        <v>Inter Mailand</v>
      </c>
      <c r="D18" s="662">
        <f t="shared" ca="1" si="15"/>
        <v>3</v>
      </c>
      <c r="E18" s="662">
        <f t="shared" ca="1" si="15"/>
        <v>1</v>
      </c>
      <c r="F18" s="662">
        <f t="shared" ca="1" si="15"/>
        <v>1</v>
      </c>
      <c r="G18" s="662">
        <f t="shared" ca="1" si="15"/>
        <v>1</v>
      </c>
      <c r="H18" s="662">
        <f t="shared" ca="1" si="16"/>
        <v>127</v>
      </c>
      <c r="I18" s="662">
        <f t="shared" ca="1" si="16"/>
        <v>133</v>
      </c>
      <c r="J18" s="661">
        <f t="shared" ca="1" si="16"/>
        <v>0.95488721804511278</v>
      </c>
      <c r="K18" s="662">
        <f ca="1">IF(Settings!$G$9,J5,$AT5)</f>
        <v>3</v>
      </c>
      <c r="L18" s="686">
        <f ca="1">K18*$F$64+(AU5+$H$65)*$F$65*Settings!$G$14+AT5*$F$66*Settings!$G$19+AX5*$F$67</f>
        <v>3000000.0070000002</v>
      </c>
      <c r="M18" s="678">
        <f t="shared" ref="M18:M25" ca="1" si="26">IF($AI$15,COUNTIF($K$17:$K$25,K18),COUNTIF($L$17:$L$25,L18))</f>
        <v>1</v>
      </c>
      <c r="N18" s="678">
        <f t="array" aca="1" ref="N18" ca="1">IF($AI$15,SUM(($K$17:$K$25&gt;=K18)/COUNTIF($K$17:$K$25,$K$17:$K$25)),SUM(($L$17:$L$25&gt;=L18)/COUNTIF($L$17:$L$25,$L$17:$L$25)))</f>
        <v>3</v>
      </c>
      <c r="O18" s="692" t="str">
        <f t="shared" ca="1" si="17"/>
        <v/>
      </c>
      <c r="P18" s="681" t="str">
        <f t="shared" ca="1" si="18"/>
        <v/>
      </c>
      <c r="Q18" s="681" t="str">
        <f t="shared" ca="1" si="19"/>
        <v/>
      </c>
      <c r="R18" s="681" t="str">
        <f t="shared" ca="1" si="20"/>
        <v/>
      </c>
      <c r="S18" s="681" t="str">
        <f t="shared" ca="1" si="21"/>
        <v/>
      </c>
      <c r="T18" s="681" t="str">
        <f t="shared" ca="1" si="22"/>
        <v/>
      </c>
      <c r="U18" s="681" t="str">
        <f t="shared" ca="1" si="23"/>
        <v/>
      </c>
      <c r="V18" s="693" t="str">
        <f t="shared" ca="1" si="24"/>
        <v/>
      </c>
      <c r="W18" s="690">
        <f t="shared" ref="W18:W25" ca="1" si="27">AA18*$F$64+(AB18+$H$65)*$F$65</f>
        <v>500000</v>
      </c>
      <c r="X18" s="673">
        <f t="shared" ref="X18:X25" ca="1" si="28">RANK($L18,$L$17:$L$25)+RANK($W18,$W$17:$W$25)/100+(9-$Y18)/10000+($C18="")*100</f>
        <v>3.0108999999999999</v>
      </c>
      <c r="Y18" s="661">
        <f ca="1">'Finals 4'!$AU13+$AD18</f>
        <v>0</v>
      </c>
      <c r="Z18" s="662">
        <f t="shared" ref="Z18:Z25" ca="1" si="29">RANK($W18,$W$17:$W$25)+(9-$Y18)/10</f>
        <v>1.9</v>
      </c>
      <c r="AA18" s="662">
        <f t="shared" ref="AA18:AA25" ca="1" si="30">SUM(E31:BP31)</f>
        <v>0</v>
      </c>
      <c r="AB18" s="662">
        <f t="shared" ref="AB18:AB25" ca="1" si="31">SUM(E42:BP42)</f>
        <v>0</v>
      </c>
      <c r="AC18" s="662">
        <f t="shared" ref="AC18:AC25" ca="1" si="32">SUM(E53:BP53)</f>
        <v>0</v>
      </c>
      <c r="AD18" s="661">
        <f ca="1">IF($C18="",0,COUNTIF(Playoffs!$U$25:$U$30,$C18))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ca="1" si="25"/>
        <v>VFB Essenheim</v>
      </c>
      <c r="D19" s="662">
        <f t="shared" ca="1" si="15"/>
        <v>3</v>
      </c>
      <c r="E19" s="662">
        <f t="shared" ca="1" si="15"/>
        <v>1</v>
      </c>
      <c r="F19" s="662">
        <f t="shared" ca="1" si="15"/>
        <v>1</v>
      </c>
      <c r="G19" s="662">
        <f t="shared" ca="1" si="15"/>
        <v>1</v>
      </c>
      <c r="H19" s="662">
        <f t="shared" ca="1" si="16"/>
        <v>135</v>
      </c>
      <c r="I19" s="662">
        <f t="shared" ca="1" si="16"/>
        <v>123</v>
      </c>
      <c r="J19" s="661">
        <f t="shared" ca="1" si="16"/>
        <v>1.0975609756097562</v>
      </c>
      <c r="K19" s="662">
        <f ca="1">IF(Settings!$G$9,J6,$AT6)</f>
        <v>3</v>
      </c>
      <c r="L19" s="686">
        <f ca="1">K19*$F$64+(AU6+$H$65)*$F$65*Settings!$G$14+AT6*$F$66*Settings!$G$19+AX6*$F$67</f>
        <v>3000000.0090000001</v>
      </c>
      <c r="M19" s="678">
        <f t="shared" ca="1" si="26"/>
        <v>1</v>
      </c>
      <c r="N19" s="678">
        <f t="array" aca="1" ref="N19" ca="1">IF($AI$15,SUM(($K$17:$K$25&gt;=K19)/COUNTIF($K$17:$K$25,$K$17:$K$25)),SUM(($L$17:$L$25&gt;=L19)/COUNTIF($L$17:$L$25,$L$17:$L$25)))</f>
        <v>2</v>
      </c>
      <c r="O19" s="692" t="str">
        <f t="shared" ca="1" si="17"/>
        <v/>
      </c>
      <c r="P19" s="681" t="str">
        <f t="shared" ca="1" si="18"/>
        <v/>
      </c>
      <c r="Q19" s="681" t="str">
        <f t="shared" ca="1" si="19"/>
        <v/>
      </c>
      <c r="R19" s="681" t="str">
        <f t="shared" ca="1" si="20"/>
        <v/>
      </c>
      <c r="S19" s="681" t="str">
        <f t="shared" ca="1" si="21"/>
        <v/>
      </c>
      <c r="T19" s="681" t="str">
        <f t="shared" ca="1" si="22"/>
        <v/>
      </c>
      <c r="U19" s="681" t="str">
        <f t="shared" ca="1" si="23"/>
        <v/>
      </c>
      <c r="V19" s="693" t="str">
        <f t="shared" ca="1" si="24"/>
        <v/>
      </c>
      <c r="W19" s="690">
        <f t="shared" ca="1" si="27"/>
        <v>500000</v>
      </c>
      <c r="X19" s="673">
        <f t="shared" ca="1" si="28"/>
        <v>2.0108999999999999</v>
      </c>
      <c r="Y19" s="661">
        <f ca="1">'Finals 4'!$AU14+$AD19</f>
        <v>0</v>
      </c>
      <c r="Z19" s="662">
        <f t="shared" ca="1" si="29"/>
        <v>1.9</v>
      </c>
      <c r="AA19" s="662">
        <f t="shared" ca="1" si="30"/>
        <v>0</v>
      </c>
      <c r="AB19" s="662">
        <f t="shared" ca="1" si="31"/>
        <v>0</v>
      </c>
      <c r="AC19" s="662">
        <f t="shared" ca="1" si="32"/>
        <v>0</v>
      </c>
      <c r="AD19" s="661">
        <f ca="1">IF($C19="",0,COUNTIF(Playoffs!$U$25:$U$30,$C19))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ca="1" si="25"/>
        <v>Manchester City</v>
      </c>
      <c r="D20" s="662">
        <f t="shared" ca="1" si="15"/>
        <v>3</v>
      </c>
      <c r="E20" s="662">
        <f t="shared" ca="1" si="15"/>
        <v>1</v>
      </c>
      <c r="F20" s="662">
        <f t="shared" ca="1" si="15"/>
        <v>2</v>
      </c>
      <c r="G20" s="662">
        <f t="shared" ca="1" si="15"/>
        <v>0</v>
      </c>
      <c r="H20" s="662">
        <f t="shared" ca="1" si="16"/>
        <v>136</v>
      </c>
      <c r="I20" s="662">
        <f t="shared" ca="1" si="16"/>
        <v>125</v>
      </c>
      <c r="J20" s="661">
        <f t="shared" ca="1" si="16"/>
        <v>1.0880000000000001</v>
      </c>
      <c r="K20" s="662">
        <f ca="1">IF(Settings!$G$9,J7,$AT7)</f>
        <v>4</v>
      </c>
      <c r="L20" s="686">
        <f ca="1">K20*$F$64+(AU7+$H$65)*$F$65*Settings!$G$14+AT7*$F$66*Settings!$G$19+AX7*$F$67</f>
        <v>4000000.0079999999</v>
      </c>
      <c r="M20" s="678">
        <f t="shared" ca="1" si="26"/>
        <v>1</v>
      </c>
      <c r="N20" s="678">
        <f t="array" aca="1" ref="N20" ca="1">IF($AI$15,SUM(($K$17:$K$25&gt;=K20)/COUNTIF($K$17:$K$25,$K$17:$K$25)),SUM(($L$17:$L$25&gt;=L20)/COUNTIF($L$17:$L$25,$L$17:$L$25)))</f>
        <v>1</v>
      </c>
      <c r="O20" s="692" t="str">
        <f t="shared" ca="1" si="17"/>
        <v/>
      </c>
      <c r="P20" s="681" t="str">
        <f t="shared" ca="1" si="18"/>
        <v/>
      </c>
      <c r="Q20" s="681" t="str">
        <f t="shared" ca="1" si="19"/>
        <v/>
      </c>
      <c r="R20" s="681" t="str">
        <f t="shared" ca="1" si="20"/>
        <v/>
      </c>
      <c r="S20" s="681" t="str">
        <f t="shared" ca="1" si="21"/>
        <v/>
      </c>
      <c r="T20" s="681" t="str">
        <f t="shared" ca="1" si="22"/>
        <v/>
      </c>
      <c r="U20" s="681" t="str">
        <f t="shared" ca="1" si="23"/>
        <v/>
      </c>
      <c r="V20" s="693" t="str">
        <f t="shared" ca="1" si="24"/>
        <v/>
      </c>
      <c r="W20" s="690">
        <f t="shared" ca="1" si="27"/>
        <v>500000</v>
      </c>
      <c r="X20" s="673">
        <f t="shared" ca="1" si="28"/>
        <v>1.0108999999999999</v>
      </c>
      <c r="Y20" s="661">
        <f ca="1">'Finals 4'!$AU15+$AD20</f>
        <v>0</v>
      </c>
      <c r="Z20" s="662">
        <f t="shared" ca="1" si="29"/>
        <v>1.9</v>
      </c>
      <c r="AA20" s="662">
        <f t="shared" ca="1" si="30"/>
        <v>0</v>
      </c>
      <c r="AB20" s="662">
        <f t="shared" ca="1" si="31"/>
        <v>0</v>
      </c>
      <c r="AC20" s="662">
        <f t="shared" ca="1" si="32"/>
        <v>0</v>
      </c>
      <c r="AD20" s="661">
        <f ca="1">IF($C20="",0,COUNTIF(Playoffs!$U$25:$U$30,$C20))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25"/>
        <v/>
      </c>
      <c r="D21" s="662">
        <f t="shared" ca="1" si="15"/>
        <v>0</v>
      </c>
      <c r="E21" s="662">
        <f t="shared" ca="1" si="15"/>
        <v>0</v>
      </c>
      <c r="F21" s="662">
        <f t="shared" ca="1" si="15"/>
        <v>0</v>
      </c>
      <c r="G21" s="662">
        <f t="shared" ca="1" si="15"/>
        <v>0</v>
      </c>
      <c r="H21" s="662">
        <f t="shared" ca="1" si="16"/>
        <v>0</v>
      </c>
      <c r="I21" s="662">
        <f t="shared" ca="1" si="16"/>
        <v>0</v>
      </c>
      <c r="J21" s="661">
        <f t="shared" ca="1" si="16"/>
        <v>0</v>
      </c>
      <c r="K21" s="662">
        <f ca="1">IF(Settings!$G$9,J8,$AT8)</f>
        <v>0</v>
      </c>
      <c r="L21" s="686">
        <f ca="1">K21*$F$64+(AU8+$H$65)*$F$65*Settings!$G$14+AT8*$F$66*Settings!$G$19+AX8*$F$67</f>
        <v>1E-3</v>
      </c>
      <c r="M21" s="678">
        <f t="shared" ca="1" si="26"/>
        <v>5</v>
      </c>
      <c r="N21" s="678">
        <f t="array" aca="1" ref="N21" ca="1">IF($AI$15,SUM(($K$17:$K$25&gt;=K21)/COUNTIF($K$17:$K$25,$K$17:$K$25)),SUM(($L$17:$L$25&gt;=L21)/COUNTIF($L$17:$L$25,$L$17:$L$25)))</f>
        <v>5.0000000000000009</v>
      </c>
      <c r="O21" s="692" t="str">
        <f t="shared" ca="1" si="17"/>
        <v/>
      </c>
      <c r="P21" s="681" t="str">
        <f t="shared" ca="1" si="18"/>
        <v/>
      </c>
      <c r="Q21" s="681" t="str">
        <f t="shared" ca="1" si="19"/>
        <v/>
      </c>
      <c r="R21" s="681" t="str">
        <f t="shared" ca="1" si="20"/>
        <v/>
      </c>
      <c r="S21" s="681" t="str">
        <f t="shared" ca="1" si="21"/>
        <v/>
      </c>
      <c r="T21" s="681" t="str">
        <f t="shared" ca="1" si="22"/>
        <v/>
      </c>
      <c r="U21" s="681" t="str">
        <f t="shared" ca="1" si="23"/>
        <v/>
      </c>
      <c r="V21" s="693" t="str">
        <f t="shared" ca="1" si="24"/>
        <v/>
      </c>
      <c r="W21" s="690">
        <f t="shared" ca="1" si="27"/>
        <v>500000</v>
      </c>
      <c r="X21" s="673">
        <f t="shared" ca="1" si="28"/>
        <v>105.01089999999999</v>
      </c>
      <c r="Y21" s="661">
        <v>0</v>
      </c>
      <c r="Z21" s="662">
        <f t="shared" ca="1" si="29"/>
        <v>1.9</v>
      </c>
      <c r="AA21" s="662">
        <f t="shared" ca="1" si="30"/>
        <v>0</v>
      </c>
      <c r="AB21" s="662">
        <f t="shared" ca="1" si="31"/>
        <v>0</v>
      </c>
      <c r="AC21" s="662">
        <f t="shared" ca="1" si="32"/>
        <v>0</v>
      </c>
      <c r="AD21" s="661">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25"/>
        <v/>
      </c>
      <c r="D22" s="662">
        <f t="shared" ca="1" si="15"/>
        <v>0</v>
      </c>
      <c r="E22" s="662">
        <f t="shared" ca="1" si="15"/>
        <v>0</v>
      </c>
      <c r="F22" s="662">
        <f t="shared" ca="1" si="15"/>
        <v>0</v>
      </c>
      <c r="G22" s="662">
        <f t="shared" ca="1" si="15"/>
        <v>0</v>
      </c>
      <c r="H22" s="662">
        <f t="shared" ca="1" si="16"/>
        <v>0</v>
      </c>
      <c r="I22" s="662">
        <f t="shared" ca="1" si="16"/>
        <v>0</v>
      </c>
      <c r="J22" s="661">
        <f t="shared" ca="1" si="16"/>
        <v>0</v>
      </c>
      <c r="K22" s="662">
        <f ca="1">IF(Settings!$G$9,J9,$AT9)</f>
        <v>0</v>
      </c>
      <c r="L22" s="686">
        <f ca="1">K22*$F$64+(AU9+$H$65)*$F$65*Settings!$G$14+AT9*$F$66*Settings!$G$19+AX9*$F$67</f>
        <v>1E-3</v>
      </c>
      <c r="M22" s="678">
        <f t="shared" ca="1" si="26"/>
        <v>5</v>
      </c>
      <c r="N22" s="678">
        <f t="array" aca="1" ref="N22" ca="1">IF($AI$15,SUM(($K$17:$K$25&gt;=K22)/COUNTIF($K$17:$K$25,$K$17:$K$25)),SUM(($L$17:$L$25&gt;=L22)/COUNTIF($L$17:$L$25,$L$17:$L$25)))</f>
        <v>5.0000000000000009</v>
      </c>
      <c r="O22" s="692" t="str">
        <f t="shared" ca="1" si="17"/>
        <v/>
      </c>
      <c r="P22" s="681" t="str">
        <f t="shared" ca="1" si="18"/>
        <v/>
      </c>
      <c r="Q22" s="681" t="str">
        <f t="shared" ca="1" si="19"/>
        <v/>
      </c>
      <c r="R22" s="681" t="str">
        <f t="shared" ca="1" si="20"/>
        <v/>
      </c>
      <c r="S22" s="681" t="str">
        <f t="shared" ca="1" si="21"/>
        <v/>
      </c>
      <c r="T22" s="681" t="str">
        <f t="shared" ca="1" si="22"/>
        <v/>
      </c>
      <c r="U22" s="681" t="str">
        <f t="shared" ca="1" si="23"/>
        <v/>
      </c>
      <c r="V22" s="693" t="str">
        <f t="shared" ca="1" si="24"/>
        <v/>
      </c>
      <c r="W22" s="690">
        <f t="shared" ca="1" si="27"/>
        <v>500000</v>
      </c>
      <c r="X22" s="673">
        <f t="shared" ca="1" si="28"/>
        <v>105.01089999999999</v>
      </c>
      <c r="Y22" s="661">
        <v>0</v>
      </c>
      <c r="Z22" s="662">
        <f t="shared" ca="1" si="29"/>
        <v>1.9</v>
      </c>
      <c r="AA22" s="662">
        <f t="shared" ca="1" si="30"/>
        <v>0</v>
      </c>
      <c r="AB22" s="662">
        <f t="shared" ca="1" si="31"/>
        <v>0</v>
      </c>
      <c r="AC22" s="662">
        <f t="shared" ca="1" si="32"/>
        <v>0</v>
      </c>
      <c r="AD22" s="661">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25"/>
        <v/>
      </c>
      <c r="D23" s="662">
        <f t="shared" ca="1" si="15"/>
        <v>0</v>
      </c>
      <c r="E23" s="662">
        <f t="shared" ca="1" si="15"/>
        <v>0</v>
      </c>
      <c r="F23" s="662">
        <f t="shared" ca="1" si="15"/>
        <v>0</v>
      </c>
      <c r="G23" s="662">
        <f t="shared" ca="1" si="15"/>
        <v>0</v>
      </c>
      <c r="H23" s="662">
        <f t="shared" ca="1" si="16"/>
        <v>0</v>
      </c>
      <c r="I23" s="662">
        <f t="shared" ca="1" si="16"/>
        <v>0</v>
      </c>
      <c r="J23" s="661">
        <f t="shared" ca="1" si="16"/>
        <v>0</v>
      </c>
      <c r="K23" s="662">
        <f ca="1">IF(Settings!$G$9,J10,$AT10)</f>
        <v>0</v>
      </c>
      <c r="L23" s="686">
        <f ca="1">K23*$F$64+(AU10+$H$65)*$F$65*Settings!$G$14+AT10*$F$66*Settings!$G$19+AX10*$F$67</f>
        <v>1E-3</v>
      </c>
      <c r="M23" s="678">
        <f t="shared" ca="1" si="26"/>
        <v>5</v>
      </c>
      <c r="N23" s="678">
        <f t="array" aca="1" ref="N23" ca="1">IF($AI$15,SUM(($K$17:$K$25&gt;=K23)/COUNTIF($K$17:$K$25,$K$17:$K$25)),SUM(($L$17:$L$25&gt;=L23)/COUNTIF($L$17:$L$25,$L$17:$L$25)))</f>
        <v>5.0000000000000009</v>
      </c>
      <c r="O23" s="692" t="str">
        <f t="shared" ca="1" si="17"/>
        <v/>
      </c>
      <c r="P23" s="681" t="str">
        <f t="shared" ca="1" si="18"/>
        <v/>
      </c>
      <c r="Q23" s="681" t="str">
        <f t="shared" ca="1" si="19"/>
        <v/>
      </c>
      <c r="R23" s="681" t="str">
        <f t="shared" ca="1" si="20"/>
        <v/>
      </c>
      <c r="S23" s="681" t="str">
        <f t="shared" ca="1" si="21"/>
        <v/>
      </c>
      <c r="T23" s="681" t="str">
        <f t="shared" ca="1" si="22"/>
        <v/>
      </c>
      <c r="U23" s="681" t="str">
        <f t="shared" ca="1" si="23"/>
        <v/>
      </c>
      <c r="V23" s="693" t="str">
        <f t="shared" ca="1" si="24"/>
        <v/>
      </c>
      <c r="W23" s="690">
        <f t="shared" ca="1" si="27"/>
        <v>500000</v>
      </c>
      <c r="X23" s="673">
        <f t="shared" ca="1" si="28"/>
        <v>105.01089999999999</v>
      </c>
      <c r="Y23" s="661">
        <v>0</v>
      </c>
      <c r="Z23" s="662">
        <f t="shared" ca="1" si="29"/>
        <v>1.9</v>
      </c>
      <c r="AA23" s="662">
        <f t="shared" ca="1" si="30"/>
        <v>0</v>
      </c>
      <c r="AB23" s="662">
        <f t="shared" ca="1" si="31"/>
        <v>0</v>
      </c>
      <c r="AC23" s="662">
        <f t="shared" ca="1" si="32"/>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25"/>
        <v/>
      </c>
      <c r="D24" s="662">
        <f t="shared" ca="1" si="15"/>
        <v>0</v>
      </c>
      <c r="E24" s="662">
        <f t="shared" ca="1" si="15"/>
        <v>0</v>
      </c>
      <c r="F24" s="662">
        <f t="shared" ca="1" si="15"/>
        <v>0</v>
      </c>
      <c r="G24" s="662">
        <f t="shared" ca="1" si="15"/>
        <v>0</v>
      </c>
      <c r="H24" s="662">
        <f t="shared" ca="1" si="16"/>
        <v>0</v>
      </c>
      <c r="I24" s="662">
        <f t="shared" ca="1" si="16"/>
        <v>0</v>
      </c>
      <c r="J24" s="661">
        <f t="shared" ca="1" si="16"/>
        <v>0</v>
      </c>
      <c r="K24" s="662">
        <f ca="1">IF(Settings!$G$9,J11,$AT11)</f>
        <v>0</v>
      </c>
      <c r="L24" s="686">
        <f ca="1">K24*$F$64+(AU11+$H$65)*$F$65*Settings!$G$14+AT11*$F$66*Settings!$G$19+AX11*$F$67</f>
        <v>1E-3</v>
      </c>
      <c r="M24" s="678">
        <f t="shared" ca="1" si="26"/>
        <v>5</v>
      </c>
      <c r="N24" s="678">
        <f t="array" aca="1" ref="N24" ca="1">IF($AI$15,SUM(($K$17:$K$25&gt;=K24)/COUNTIF($K$17:$K$25,$K$17:$K$25)),SUM(($L$17:$L$25&gt;=L24)/COUNTIF($L$17:$L$25,$L$17:$L$25)))</f>
        <v>5.0000000000000009</v>
      </c>
      <c r="O24" s="692" t="str">
        <f t="shared" ca="1" si="17"/>
        <v/>
      </c>
      <c r="P24" s="681" t="str">
        <f t="shared" ca="1" si="18"/>
        <v/>
      </c>
      <c r="Q24" s="681" t="str">
        <f t="shared" ca="1" si="19"/>
        <v/>
      </c>
      <c r="R24" s="681" t="str">
        <f t="shared" ca="1" si="20"/>
        <v/>
      </c>
      <c r="S24" s="681" t="str">
        <f t="shared" ca="1" si="21"/>
        <v/>
      </c>
      <c r="T24" s="681" t="str">
        <f t="shared" ca="1" si="22"/>
        <v/>
      </c>
      <c r="U24" s="681" t="str">
        <f t="shared" ca="1" si="23"/>
        <v/>
      </c>
      <c r="V24" s="693" t="str">
        <f t="shared" ca="1" si="24"/>
        <v/>
      </c>
      <c r="W24" s="690">
        <f t="shared" ca="1" si="27"/>
        <v>500000</v>
      </c>
      <c r="X24" s="673">
        <f t="shared" ca="1" si="28"/>
        <v>105.01089999999999</v>
      </c>
      <c r="Y24" s="661">
        <v>0</v>
      </c>
      <c r="Z24" s="662">
        <f t="shared" ca="1" si="29"/>
        <v>1.9</v>
      </c>
      <c r="AA24" s="662">
        <f t="shared" ca="1" si="30"/>
        <v>0</v>
      </c>
      <c r="AB24" s="662">
        <f t="shared" ca="1" si="31"/>
        <v>0</v>
      </c>
      <c r="AC24" s="662">
        <f t="shared" ca="1" si="32"/>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25"/>
        <v/>
      </c>
      <c r="D25" s="662">
        <f t="shared" ca="1" si="15"/>
        <v>0</v>
      </c>
      <c r="E25" s="662">
        <f t="shared" ca="1" si="15"/>
        <v>0</v>
      </c>
      <c r="F25" s="662">
        <f t="shared" ca="1" si="15"/>
        <v>0</v>
      </c>
      <c r="G25" s="662">
        <f t="shared" ca="1" si="15"/>
        <v>0</v>
      </c>
      <c r="H25" s="662">
        <f t="shared" ca="1" si="16"/>
        <v>0</v>
      </c>
      <c r="I25" s="662">
        <f t="shared" ca="1" si="16"/>
        <v>0</v>
      </c>
      <c r="J25" s="661">
        <f t="shared" ca="1" si="16"/>
        <v>0</v>
      </c>
      <c r="K25" s="662">
        <f ca="1">IF(Settings!$G$9,J12,$AT12)</f>
        <v>0</v>
      </c>
      <c r="L25" s="686">
        <f ca="1">K25*$F$64+(AU12+$H$65)*$F$65*Settings!$G$14+AT12*$F$66*Settings!$G$19+AX12*$F$67</f>
        <v>1E-3</v>
      </c>
      <c r="M25" s="678">
        <f t="shared" ca="1" si="26"/>
        <v>5</v>
      </c>
      <c r="N25" s="678">
        <f t="array" aca="1" ref="N25" ca="1">IF($AI$15,SUM(($K$17:$K$25&gt;=K25)/COUNTIF($K$17:$K$25,$K$17:$K$25)),SUM(($L$17:$L$25&gt;=L25)/COUNTIF($L$17:$L$25,$L$17:$L$25)))</f>
        <v>5.0000000000000009</v>
      </c>
      <c r="O25" s="694" t="str">
        <f t="shared" ca="1" si="17"/>
        <v/>
      </c>
      <c r="P25" s="695" t="str">
        <f t="shared" ca="1" si="18"/>
        <v/>
      </c>
      <c r="Q25" s="695" t="str">
        <f t="shared" ca="1" si="19"/>
        <v/>
      </c>
      <c r="R25" s="695" t="str">
        <f t="shared" ca="1" si="20"/>
        <v/>
      </c>
      <c r="S25" s="695" t="str">
        <f t="shared" ca="1" si="21"/>
        <v/>
      </c>
      <c r="T25" s="695" t="str">
        <f t="shared" ca="1" si="22"/>
        <v/>
      </c>
      <c r="U25" s="695" t="str">
        <f t="shared" ca="1" si="23"/>
        <v/>
      </c>
      <c r="V25" s="696" t="str">
        <f t="shared" ca="1" si="24"/>
        <v/>
      </c>
      <c r="W25" s="690">
        <f t="shared" ca="1" si="27"/>
        <v>500000</v>
      </c>
      <c r="X25" s="676">
        <f t="shared" ca="1" si="28"/>
        <v>105.01089999999999</v>
      </c>
      <c r="Y25" s="661">
        <v>0</v>
      </c>
      <c r="Z25" s="662">
        <f t="shared" ca="1" si="29"/>
        <v>1.9</v>
      </c>
      <c r="AA25" s="662">
        <f t="shared" ca="1" si="30"/>
        <v>0</v>
      </c>
      <c r="AB25" s="662">
        <f t="shared" ca="1" si="31"/>
        <v>0</v>
      </c>
      <c r="AC25" s="662">
        <f t="shared" ca="1" si="32"/>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396</v>
      </c>
      <c r="C29" s="660"/>
      <c r="D29" s="660"/>
      <c r="E29" s="1031">
        <v>1</v>
      </c>
      <c r="F29" s="1032"/>
      <c r="G29" s="1032"/>
      <c r="H29" s="1032"/>
      <c r="I29" s="1032"/>
      <c r="J29" s="1032"/>
      <c r="K29" s="1032"/>
      <c r="L29" s="1033"/>
      <c r="M29" s="1034">
        <v>2</v>
      </c>
      <c r="N29" s="1032"/>
      <c r="O29" s="1032"/>
      <c r="P29" s="1032"/>
      <c r="Q29" s="1032"/>
      <c r="R29" s="1032"/>
      <c r="S29" s="1032"/>
      <c r="T29" s="1033"/>
      <c r="U29" s="1034">
        <v>3</v>
      </c>
      <c r="V29" s="1032"/>
      <c r="W29" s="1032"/>
      <c r="X29" s="1032"/>
      <c r="Y29" s="1032"/>
      <c r="Z29" s="1032"/>
      <c r="AA29" s="1032"/>
      <c r="AB29" s="1033"/>
      <c r="AC29" s="1034">
        <v>4</v>
      </c>
      <c r="AD29" s="1032"/>
      <c r="AE29" s="1032"/>
      <c r="AF29" s="1032"/>
      <c r="AG29" s="1032"/>
      <c r="AH29" s="1032"/>
      <c r="AI29" s="1032"/>
      <c r="AJ29" s="1033"/>
      <c r="AK29" s="1034">
        <v>5</v>
      </c>
      <c r="AL29" s="1032"/>
      <c r="AM29" s="1032"/>
      <c r="AN29" s="1032"/>
      <c r="AO29" s="1032"/>
      <c r="AP29" s="1032"/>
      <c r="AQ29" s="1032"/>
      <c r="AR29" s="1033"/>
      <c r="AS29" s="1034">
        <v>6</v>
      </c>
      <c r="AT29" s="1032"/>
      <c r="AU29" s="1032"/>
      <c r="AV29" s="1032"/>
      <c r="AW29" s="1032"/>
      <c r="AX29" s="1032"/>
      <c r="AY29" s="1032"/>
      <c r="AZ29" s="1033"/>
      <c r="BA29" s="1034">
        <v>7</v>
      </c>
      <c r="BB29" s="1032"/>
      <c r="BC29" s="1032"/>
      <c r="BD29" s="1032"/>
      <c r="BE29" s="1032"/>
      <c r="BF29" s="1032"/>
      <c r="BG29" s="1032"/>
      <c r="BH29" s="1033"/>
      <c r="BI29" s="1034">
        <v>8</v>
      </c>
      <c r="BJ29" s="1032"/>
      <c r="BK29" s="1032"/>
      <c r="BL29" s="1032"/>
      <c r="BM29" s="1032"/>
      <c r="BN29" s="1032"/>
      <c r="BO29" s="1032"/>
      <c r="BP29" s="1035"/>
      <c r="BQ29" s="661"/>
      <c r="BR29" s="697" t="s">
        <v>94</v>
      </c>
      <c r="BS29" s="660" t="str">
        <f ca="1">$F$4</f>
        <v>Maibach 1822 eV</v>
      </c>
      <c r="BT29" s="660" t="str">
        <f ca="1">$F$5</f>
        <v>Inter Mailand</v>
      </c>
      <c r="BU29" s="660" t="str">
        <f ca="1">$F$6</f>
        <v>VFB Essenheim</v>
      </c>
      <c r="BV29" s="660" t="str">
        <f ca="1">$F$7</f>
        <v>Manchester City</v>
      </c>
      <c r="BW29" s="660" t="str">
        <f>$F$8</f>
        <v/>
      </c>
      <c r="BX29" s="660" t="str">
        <f>$F$9</f>
        <v/>
      </c>
      <c r="BY29" s="660" t="str">
        <f>$F$10</f>
        <v/>
      </c>
      <c r="BZ29" s="660" t="str">
        <f>$F$11</f>
        <v/>
      </c>
      <c r="CA29" s="660" t="str">
        <f>$F$12</f>
        <v/>
      </c>
      <c r="CB29" s="699"/>
    </row>
    <row r="30" spans="1:80" s="1" customFormat="1" x14ac:dyDescent="0.2">
      <c r="A30" s="660"/>
      <c r="B30" s="660"/>
      <c r="C30" s="660" t="str">
        <f ca="1">$Q64</f>
        <v>Maibach 1822 eV</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ca="1" si="33">F4</f>
        <v>Maibach 1822 eV</v>
      </c>
      <c r="BS30" s="702"/>
      <c r="BT30" s="703">
        <f t="shared" ref="BT30:CA30" ca="1" si="34">SUMIFS($AH$64:$AH$135,$V$64:$V$135,$BR30,$W$64:$W$135,BT$29)+SUMIFS($AI$64:$AI$135,$W$64:$W$135,$BR30,$V$64:$V$135,BT$29)</f>
        <v>50</v>
      </c>
      <c r="BU30" s="703">
        <f t="shared" ca="1" si="34"/>
        <v>31</v>
      </c>
      <c r="BV30" s="703">
        <f t="shared" ca="1" si="34"/>
        <v>35</v>
      </c>
      <c r="BW30" s="703">
        <f t="shared" ca="1" si="34"/>
        <v>0</v>
      </c>
      <c r="BX30" s="703">
        <f t="shared" ca="1" si="34"/>
        <v>0</v>
      </c>
      <c r="BY30" s="703">
        <f t="shared" ca="1" si="34"/>
        <v>0</v>
      </c>
      <c r="BZ30" s="703">
        <f t="shared" ca="1" si="34"/>
        <v>0</v>
      </c>
      <c r="CA30" s="703">
        <f t="shared" ca="1" si="34"/>
        <v>0</v>
      </c>
      <c r="CB30" s="681"/>
    </row>
    <row r="31" spans="1:80" s="1" customFormat="1" x14ac:dyDescent="0.2">
      <c r="A31" s="660"/>
      <c r="B31" s="660"/>
      <c r="C31" s="660" t="str">
        <f t="shared" ref="C31:C38" ca="1" si="35">$Q65</f>
        <v>Inter Mailand</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ca="1" si="33"/>
        <v>Inter Mailand</v>
      </c>
      <c r="BS31" s="704">
        <f t="shared" ref="BS31:BS38" ca="1" si="36">SUMIFS($AH$64:$AH$135,$V$64:$V$135,$BR31,$W$64:$W$135,BS$29)+SUMIFS($AI$64:$AI$135,$W$64:$W$135,$BR31,$V$64:$V$135,BS$29)</f>
        <v>33</v>
      </c>
      <c r="BT31" s="702"/>
      <c r="BU31" s="703">
        <f t="shared" ref="BU31:CA31" ca="1" si="37">SUMIFS($AH$64:$AH$135,$V$64:$V$135,$BR31,$W$64:$W$135,BU$29)+SUMIFS($AI$64:$AI$135,$W$64:$W$135,$BR31,$V$64:$V$135,BU$29)</f>
        <v>50</v>
      </c>
      <c r="BV31" s="703">
        <f t="shared" ca="1" si="37"/>
        <v>44</v>
      </c>
      <c r="BW31" s="703">
        <f t="shared" ca="1" si="37"/>
        <v>0</v>
      </c>
      <c r="BX31" s="703">
        <f t="shared" ca="1" si="37"/>
        <v>0</v>
      </c>
      <c r="BY31" s="703">
        <f t="shared" ca="1" si="37"/>
        <v>0</v>
      </c>
      <c r="BZ31" s="703">
        <f t="shared" ca="1" si="37"/>
        <v>0</v>
      </c>
      <c r="CA31" s="703">
        <f t="shared" ca="1" si="37"/>
        <v>0</v>
      </c>
      <c r="CB31" s="681"/>
    </row>
    <row r="32" spans="1:80" s="1" customFormat="1" x14ac:dyDescent="0.2">
      <c r="A32" s="660"/>
      <c r="B32" s="660"/>
      <c r="C32" s="660" t="str">
        <f t="shared" ca="1" si="35"/>
        <v>VFB Essenheim</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ca="1" si="33"/>
        <v>VFB Essenheim</v>
      </c>
      <c r="BS32" s="704">
        <f t="shared" ca="1" si="36"/>
        <v>50</v>
      </c>
      <c r="BT32" s="704">
        <f t="shared" ref="BT32:BT38" ca="1" si="38">SUMIFS($AH$64:$AH$135,$V$64:$V$135,$BR32,$W$64:$W$135,BT$29)+SUMIFS($AI$64:$AI$135,$W$64:$W$135,$BR32,$V$64:$V$135,BT$29)</f>
        <v>39</v>
      </c>
      <c r="BU32" s="702"/>
      <c r="BV32" s="703">
        <f t="shared" ref="BV32:CA32" ca="1" si="39">SUMIFS($AH$64:$AH$135,$V$64:$V$135,$BR32,$W$64:$W$135,BV$29)+SUMIFS($AI$64:$AI$135,$W$64:$W$135,$BR32,$V$64:$V$135,BV$29)</f>
        <v>46</v>
      </c>
      <c r="BW32" s="703">
        <f t="shared" ca="1" si="39"/>
        <v>0</v>
      </c>
      <c r="BX32" s="703">
        <f t="shared" ca="1" si="39"/>
        <v>0</v>
      </c>
      <c r="BY32" s="703">
        <f t="shared" ca="1" si="39"/>
        <v>0</v>
      </c>
      <c r="BZ32" s="703">
        <f t="shared" ca="1" si="39"/>
        <v>0</v>
      </c>
      <c r="CA32" s="703">
        <f t="shared" ca="1" si="39"/>
        <v>0</v>
      </c>
      <c r="CB32" s="681"/>
    </row>
    <row r="33" spans="1:80" s="1" customFormat="1" x14ac:dyDescent="0.2">
      <c r="A33" s="660"/>
      <c r="B33" s="660"/>
      <c r="C33" s="660" t="str">
        <f t="shared" ca="1" si="35"/>
        <v>Manchester City</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ca="1" si="33"/>
        <v>Manchester City</v>
      </c>
      <c r="BS33" s="704">
        <f t="shared" ca="1" si="36"/>
        <v>50</v>
      </c>
      <c r="BT33" s="704">
        <f t="shared" ca="1" si="38"/>
        <v>44</v>
      </c>
      <c r="BU33" s="704">
        <f t="shared" ref="BU33:BU38" ca="1" si="40">SUMIFS($AH$64:$AH$135,$V$64:$V$135,$BR33,$W$64:$W$135,BU$29)+SUMIFS($AI$64:$AI$135,$W$64:$W$135,$BR33,$V$64:$V$135,BU$29)</f>
        <v>42</v>
      </c>
      <c r="BV33" s="702"/>
      <c r="BW33" s="703">
        <f ca="1">SUMIFS($AH$64:$AH$135,$V$64:$V$135,$BR33,$W$64:$W$135,BW$29)+SUMIFS($AI$64:$AI$135,$W$64:$W$135,$BR33,$V$64:$V$135,BW$29)</f>
        <v>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35"/>
        <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33"/>
        <v/>
      </c>
      <c r="BS34" s="704">
        <f t="shared" ca="1" si="36"/>
        <v>0</v>
      </c>
      <c r="BT34" s="704">
        <f t="shared" ca="1" si="38"/>
        <v>0</v>
      </c>
      <c r="BU34" s="704">
        <f t="shared" ca="1" si="40"/>
        <v>0</v>
      </c>
      <c r="BV34" s="704">
        <f ca="1">SUMIFS($AH$64:$AH$135,$V$64:$V$135,$BR34,$W$64:$W$135,BV$29)+SUMIFS($AI$64:$AI$135,$W$64:$W$135,$BR34,$V$64:$V$135,BV$29)</f>
        <v>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35"/>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33"/>
        <v/>
      </c>
      <c r="BS35" s="704">
        <f t="shared" ca="1" si="36"/>
        <v>0</v>
      </c>
      <c r="BT35" s="704">
        <f t="shared" ca="1" si="38"/>
        <v>0</v>
      </c>
      <c r="BU35" s="704">
        <f t="shared" ca="1" si="40"/>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35"/>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33"/>
        <v/>
      </c>
      <c r="BS36" s="704">
        <f t="shared" ca="1" si="36"/>
        <v>0</v>
      </c>
      <c r="BT36" s="704">
        <f t="shared" ca="1" si="38"/>
        <v>0</v>
      </c>
      <c r="BU36" s="704">
        <f t="shared" ca="1" si="40"/>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35"/>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33"/>
        <v/>
      </c>
      <c r="BS37" s="704">
        <f t="shared" ca="1" si="36"/>
        <v>0</v>
      </c>
      <c r="BT37" s="704">
        <f t="shared" ca="1" si="38"/>
        <v>0</v>
      </c>
      <c r="BU37" s="704">
        <f t="shared" ca="1" si="40"/>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35"/>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33"/>
        <v/>
      </c>
      <c r="BS38" s="704">
        <f t="shared" ca="1" si="36"/>
        <v>0</v>
      </c>
      <c r="BT38" s="704">
        <f t="shared" ca="1" si="38"/>
        <v>0</v>
      </c>
      <c r="BU38" s="704">
        <f t="shared" ca="1" si="40"/>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 ca="1">$F$4</f>
        <v>Maibach 1822 eV</v>
      </c>
      <c r="BT40" s="660" t="str">
        <f ca="1">$F$5</f>
        <v>Inter Mailand</v>
      </c>
      <c r="BU40" s="660" t="str">
        <f ca="1">$F$6</f>
        <v>VFB Essenheim</v>
      </c>
      <c r="BV40" s="660" t="str">
        <f ca="1">$F$7</f>
        <v>Manchester City</v>
      </c>
      <c r="BW40" s="660" t="str">
        <f>$F$8</f>
        <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ca="1" si="41">F4</f>
        <v>Maibach 1822 eV</v>
      </c>
      <c r="BS41" s="702"/>
      <c r="BT41" s="703">
        <f ca="1">BT30-BS31</f>
        <v>17</v>
      </c>
      <c r="BU41" s="703">
        <f ca="1">BU30-BS32</f>
        <v>-19</v>
      </c>
      <c r="BV41" s="703">
        <f ca="1">BV30-BS33</f>
        <v>-15</v>
      </c>
      <c r="BW41" s="703">
        <f ca="1">BW30-BS34</f>
        <v>0</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ca="1" si="41"/>
        <v>Inter Mailand</v>
      </c>
      <c r="BS42" s="704">
        <f ca="1">IF(BT41="","",-1*BT41)</f>
        <v>-17</v>
      </c>
      <c r="BT42" s="702"/>
      <c r="BU42" s="703">
        <f ca="1">BU31-BT32</f>
        <v>11</v>
      </c>
      <c r="BV42" s="703">
        <f ca="1">BV31-BT33</f>
        <v>0</v>
      </c>
      <c r="BW42" s="703">
        <f ca="1">BW31-BT34</f>
        <v>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ca="1" si="41"/>
        <v>VFB Essenheim</v>
      </c>
      <c r="BS43" s="704">
        <f ca="1">IF(BU41="","",-1*BU41)</f>
        <v>19</v>
      </c>
      <c r="BT43" s="704">
        <f ca="1">IF(BU42="","",-1*BU42)</f>
        <v>-11</v>
      </c>
      <c r="BU43" s="702"/>
      <c r="BV43" s="703">
        <f ca="1">BV32-BU33</f>
        <v>4</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ca="1" si="41"/>
        <v>Manchester City</v>
      </c>
      <c r="BS44" s="704">
        <f ca="1">IF(BV41="","",-1*BV41)</f>
        <v>15</v>
      </c>
      <c r="BT44" s="704">
        <f ca="1">IF(BV42="","",-1*BV42)</f>
        <v>0</v>
      </c>
      <c r="BU44" s="704">
        <f ca="1">IF(BV43="","",-1*BV43)</f>
        <v>-4</v>
      </c>
      <c r="BV44" s="702"/>
      <c r="BW44" s="703">
        <f ca="1">BW33-BV34</f>
        <v>0</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41"/>
        <v/>
      </c>
      <c r="BS45" s="704">
        <f ca="1">IF(BW41="","",-1*BW41)</f>
        <v>0</v>
      </c>
      <c r="BT45" s="704">
        <f ca="1">IF(BW42="","",-1*BW42)</f>
        <v>0</v>
      </c>
      <c r="BU45" s="704">
        <f ca="1">IF(BW43="","",-1*BW43)</f>
        <v>0</v>
      </c>
      <c r="BV45" s="704">
        <f ca="1">IF(BW44="","",-1*BW44)</f>
        <v>0</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41"/>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41"/>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41"/>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41"/>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42">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396</v>
      </c>
      <c r="BS51" s="660" t="str">
        <f ca="1">$F$4</f>
        <v>Maibach 1822 eV</v>
      </c>
      <c r="BT51" s="660" t="str">
        <f ca="1">$F$5</f>
        <v>Inter Mailand</v>
      </c>
      <c r="BU51" s="660" t="str">
        <f ca="1">$F$6</f>
        <v>VFB Essenheim</v>
      </c>
      <c r="BV51" s="660" t="str">
        <f ca="1">$F$7</f>
        <v>Manchester City</v>
      </c>
      <c r="BW51" s="660" t="str">
        <f>$F$8</f>
        <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ca="1" si="43">F4</f>
        <v>Maibach 1822 eV</v>
      </c>
      <c r="BS52" s="702"/>
      <c r="BT52" s="703">
        <f t="shared" ref="BT52:CA54" ca="1" si="44">SUMIFS($AJ$64:$AJ$135,$V$64:$V$135,$BR52,$W$64:$W$135,BT$51)+SUMIFS($AK$64:$AK$135,$W$64:$W$135,$BR52,$V$64:$V$135,BT$51)</f>
        <v>2</v>
      </c>
      <c r="BU52" s="703">
        <f t="shared" ca="1" si="44"/>
        <v>0</v>
      </c>
      <c r="BV52" s="703">
        <f t="shared" ca="1" si="44"/>
        <v>0</v>
      </c>
      <c r="BW52" s="703">
        <f t="shared" ca="1" si="44"/>
        <v>0</v>
      </c>
      <c r="BX52" s="703">
        <f t="shared" ca="1" si="44"/>
        <v>0</v>
      </c>
      <c r="BY52" s="703">
        <f t="shared" ca="1" si="44"/>
        <v>0</v>
      </c>
      <c r="BZ52" s="703">
        <f t="shared" ca="1" si="44"/>
        <v>0</v>
      </c>
      <c r="CA52" s="703">
        <f t="shared" ca="1" si="44"/>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ca="1" si="43"/>
        <v>Inter Mailand</v>
      </c>
      <c r="BS53" s="704">
        <f t="shared" ref="BS53:BU60" ca="1" si="45">SUMIFS($AJ$64:$AJ$135,$V$64:$V$135,$BR53,$W$64:$W$135,BS$51)+SUMIFS($AK$64:$AK$135,$W$64:$W$135,$BR53,$V$64:$V$135,BS$51)</f>
        <v>0</v>
      </c>
      <c r="BT53" s="702"/>
      <c r="BU53" s="703">
        <f t="shared" ca="1" si="44"/>
        <v>2</v>
      </c>
      <c r="BV53" s="703">
        <f t="shared" ca="1" si="44"/>
        <v>1</v>
      </c>
      <c r="BW53" s="703">
        <f t="shared" ca="1" si="44"/>
        <v>0</v>
      </c>
      <c r="BX53" s="703">
        <f t="shared" ca="1" si="44"/>
        <v>0</v>
      </c>
      <c r="BY53" s="703">
        <f t="shared" ca="1" si="44"/>
        <v>0</v>
      </c>
      <c r="BZ53" s="703">
        <f t="shared" ca="1" si="44"/>
        <v>0</v>
      </c>
      <c r="CA53" s="703">
        <f t="shared" ca="1" si="44"/>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ca="1" si="43"/>
        <v>VFB Essenheim</v>
      </c>
      <c r="BS54" s="704">
        <f t="shared" ca="1" si="45"/>
        <v>2</v>
      </c>
      <c r="BT54" s="704">
        <f t="shared" ca="1" si="45"/>
        <v>0</v>
      </c>
      <c r="BU54" s="702"/>
      <c r="BV54" s="703">
        <f t="shared" ca="1" si="44"/>
        <v>1</v>
      </c>
      <c r="BW54" s="703">
        <f t="shared" ca="1" si="44"/>
        <v>0</v>
      </c>
      <c r="BX54" s="703">
        <f t="shared" ca="1" si="44"/>
        <v>0</v>
      </c>
      <c r="BY54" s="703">
        <f t="shared" ca="1" si="44"/>
        <v>0</v>
      </c>
      <c r="BZ54" s="703">
        <f t="shared" ca="1" si="44"/>
        <v>0</v>
      </c>
      <c r="CA54" s="703">
        <f t="shared" ca="1" si="44"/>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ca="1" si="43"/>
        <v>Manchester City</v>
      </c>
      <c r="BS55" s="704">
        <f t="shared" ca="1" si="45"/>
        <v>2</v>
      </c>
      <c r="BT55" s="704">
        <f t="shared" ca="1" si="45"/>
        <v>1</v>
      </c>
      <c r="BU55" s="704">
        <f t="shared" ca="1" si="45"/>
        <v>1</v>
      </c>
      <c r="BV55" s="702"/>
      <c r="BW55" s="703">
        <f ca="1">SUMIFS($AJ$64:$AJ$135,$V$64:$V$135,$BR55,$W$64:$W$135,BW$51)+SUMIFS($AK$64:$AK$135,$W$64:$W$135,$BR55,$V$64:$V$135,BW$51)</f>
        <v>0</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43"/>
        <v/>
      </c>
      <c r="BS56" s="704">
        <f t="shared" ca="1" si="45"/>
        <v>0</v>
      </c>
      <c r="BT56" s="704">
        <f t="shared" ca="1" si="45"/>
        <v>0</v>
      </c>
      <c r="BU56" s="704">
        <f t="shared" ca="1" si="45"/>
        <v>0</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43"/>
        <v/>
      </c>
      <c r="BS57" s="704">
        <f t="shared" ca="1" si="45"/>
        <v>0</v>
      </c>
      <c r="BT57" s="704">
        <f t="shared" ca="1" si="45"/>
        <v>0</v>
      </c>
      <c r="BU57" s="704">
        <f t="shared" ca="1" si="45"/>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43"/>
        <v/>
      </c>
      <c r="BS58" s="704">
        <f t="shared" ca="1" si="45"/>
        <v>0</v>
      </c>
      <c r="BT58" s="704">
        <f t="shared" ca="1" si="45"/>
        <v>0</v>
      </c>
      <c r="BU58" s="704">
        <f t="shared" ca="1" si="45"/>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43"/>
        <v/>
      </c>
      <c r="BS59" s="704">
        <f t="shared" ca="1" si="45"/>
        <v>0</v>
      </c>
      <c r="BT59" s="704">
        <f t="shared" ca="1" si="45"/>
        <v>0</v>
      </c>
      <c r="BU59" s="704">
        <f t="shared" ca="1" si="45"/>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43"/>
        <v/>
      </c>
      <c r="BS60" s="704">
        <f t="shared" ca="1" si="45"/>
        <v>0</v>
      </c>
      <c r="BT60" s="704">
        <f t="shared" ca="1" si="45"/>
        <v>0</v>
      </c>
      <c r="BU60" s="704">
        <f t="shared" ca="1" si="45"/>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6" t="s">
        <v>309</v>
      </c>
      <c r="Y63" s="1036"/>
      <c r="Z63" s="664" t="s">
        <v>150</v>
      </c>
      <c r="AA63" s="664" t="s">
        <v>15</v>
      </c>
      <c r="AB63" s="664" t="s">
        <v>397</v>
      </c>
      <c r="AC63" s="772" t="s">
        <v>396</v>
      </c>
      <c r="AD63" s="1037" t="s">
        <v>311</v>
      </c>
      <c r="AE63" s="1037"/>
      <c r="AF63" s="1037" t="s">
        <v>315</v>
      </c>
      <c r="AG63" s="1037"/>
      <c r="AH63" s="1037" t="s">
        <v>397</v>
      </c>
      <c r="AI63" s="1037"/>
      <c r="AJ63" s="1038" t="s">
        <v>396</v>
      </c>
      <c r="AK63" s="1038"/>
      <c r="AL63" s="1037" t="s">
        <v>108</v>
      </c>
      <c r="AM63" s="1037"/>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398</v>
      </c>
      <c r="H64" s="660"/>
      <c r="I64" s="660"/>
      <c r="J64" s="660"/>
      <c r="K64" s="660"/>
      <c r="L64" s="715"/>
      <c r="M64" s="660"/>
      <c r="N64" s="660"/>
      <c r="O64" s="660"/>
      <c r="P64" s="716" t="s">
        <v>6</v>
      </c>
      <c r="Q64" s="717" t="str">
        <f ca="1">IF('Finals 4'!$AS12="","",'Finals 4'!$AS12)</f>
        <v>Maibach 1822 eV</v>
      </c>
      <c r="R64" s="660"/>
      <c r="S64" s="660"/>
      <c r="T64" s="660"/>
      <c r="U64" s="718" t="s">
        <v>6</v>
      </c>
      <c r="V64" s="6" t="str">
        <f ca="1">'Finals 4'!$I12</f>
        <v>FC Barcelona</v>
      </c>
      <c r="W64" s="4" t="str">
        <f ca="1">'Finals 4'!$K12</f>
        <v/>
      </c>
      <c r="X64" s="4" t="str">
        <f ca="1">IF(AND($AA64=1,'Finals 4'!$L12&lt;&gt;"",'Finals 4'!$N12&lt;&gt;"",ABS('Finals 4'!$L12-'Finals 4'!$N12)&gt;1),'Finals 4'!$L12,"")</f>
        <v/>
      </c>
      <c r="Y64" s="5" t="str">
        <f ca="1">IF(AND($AA64=1,'Finals 4'!$L12&lt;&gt;"",'Finals 4'!$N12&lt;&gt;"",ABS('Finals 4'!$L12-'Finals 4'!$N12)&gt;1),'Finals 4'!$N12,"")</f>
        <v/>
      </c>
      <c r="Z64" s="722" t="str">
        <f ca="1">V64&amp;W64</f>
        <v>FC Barcelona</v>
      </c>
      <c r="AA64" s="720">
        <f ca="1">IF(AND(V64&lt;&gt;"",W64&lt;&gt;"",V64&lt;&gt;W64,'Finals 4'!$U12&lt;&gt;"",'Finals 4'!$W12&lt;&gt;""),1,0)</f>
        <v>0</v>
      </c>
      <c r="AB64" s="723" t="str">
        <f ca="1">IF(AA64&gt;0,AH64&amp;Language!$E$99&amp;AI64,"")</f>
        <v/>
      </c>
      <c r="AC64" s="724" t="str">
        <f ca="1">IF(AA64&gt;0,AJ64&amp;Language!$E$99&amp;AK64,"")</f>
        <v/>
      </c>
      <c r="AD64" s="83" t="str">
        <f ca="1">IF(AND($AA64=1,'Finals 4'!$O12&lt;&gt;"",'Finals 4'!$Q12&lt;&gt;"",ABS('Finals 4'!$O12-'Finals 4'!$Q12)&gt;1),'Finals 4'!$O12,"")</f>
        <v/>
      </c>
      <c r="AE64" s="82" t="str">
        <f ca="1">IF(AND($AA64=1,'Finals 4'!$O12&lt;&gt;"",'Finals 4'!$Q12&lt;&gt;"",ABS('Finals 4'!$O12-'Finals 4'!$Q12)&gt;1),'Finals 4'!$Q12,"")</f>
        <v/>
      </c>
      <c r="AF64" s="83" t="str">
        <f ca="1">IF(AND($AA64=1,'Finals 4'!$R12&lt;&gt;"",'Finals 4'!$T12&lt;&gt;"",ABS('Finals 4'!$R12-'Finals 4'!$T12)&gt;1),'Finals 4'!$R12,"")</f>
        <v/>
      </c>
      <c r="AG64" s="82" t="str">
        <f ca="1">IF(AND($AA64=1,'Finals 4'!$R12&lt;&gt;"",'Finals 4'!$T12&lt;&gt;"",ABS('Finals 4'!$R12-'Finals 4'!$T12)&gt;1),'Finals 4'!$T12,"")</f>
        <v/>
      </c>
      <c r="AH64" s="725" t="str">
        <f ca="1">IF(AA64&gt;0,SUM(X64,AD64,AF64),"")</f>
        <v/>
      </c>
      <c r="AI64" s="724" t="str">
        <f ca="1">IF(AA64&gt;0,SUM(Y64,AE64,AG64),"")</f>
        <v/>
      </c>
      <c r="AJ64" s="725">
        <f ca="1">IF('Finals 4'!$U12="",0,'Finals 4'!$U12)</f>
        <v>0</v>
      </c>
      <c r="AK64" s="724">
        <f ca="1">IF('Finals 4'!$W12="",0,'Finals 4'!$W12)</f>
        <v>0</v>
      </c>
      <c r="AL64" s="725" t="str">
        <f ca="1">IF($AA64=0,"",IF($AJ64&gt;$AK64,Settings!$C$4,IF($AJ64=$AK64,1,0)))</f>
        <v/>
      </c>
      <c r="AM64" s="724" t="str">
        <f ca="1">IF($AA64=0,"",IF($AJ64&lt;$AK64,Settings!$C$4,IF($AJ64=$AK64,1,0)))</f>
        <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399</v>
      </c>
      <c r="H65" s="728">
        <v>500</v>
      </c>
      <c r="I65" s="729" t="s">
        <v>400</v>
      </c>
      <c r="J65" s="660"/>
      <c r="K65" s="660"/>
      <c r="L65" s="715"/>
      <c r="M65" s="660"/>
      <c r="N65" s="660"/>
      <c r="O65" s="660"/>
      <c r="P65" s="730" t="s">
        <v>7</v>
      </c>
      <c r="Q65" s="731" t="str">
        <f ca="1">IF('Finals 4'!$AS13="","",'Finals 4'!$AS13)</f>
        <v>Inter Mailand</v>
      </c>
      <c r="R65" s="660"/>
      <c r="S65" s="660"/>
      <c r="T65" s="660"/>
      <c r="U65" s="732" t="s">
        <v>7</v>
      </c>
      <c r="V65" s="733" t="str">
        <f ca="1">'Finals 4'!$I13</f>
        <v>1. FC Riedwald</v>
      </c>
      <c r="W65" s="661" t="str">
        <f ca="1">'Finals 4'!$K13</f>
        <v>FC Grönlingen</v>
      </c>
      <c r="X65" s="661">
        <f ca="1">IF(AND($AA65=1,'Finals 4'!$L13&lt;&gt;"",'Finals 4'!$N13&lt;&gt;"",ABS('Finals 4'!$L13-'Finals 4'!$N13)&gt;1),'Finals 4'!$L13,"")</f>
        <v>25</v>
      </c>
      <c r="Y65" s="734">
        <f ca="1">IF(AND($AA65=1,'Finals 4'!$L13&lt;&gt;"",'Finals 4'!$N13&lt;&gt;"",ABS('Finals 4'!$L13-'Finals 4'!$N13)&gt;1),'Finals 4'!$N13,"")</f>
        <v>20</v>
      </c>
      <c r="Z65" s="735" t="str">
        <f t="shared" ref="Z65:Z73" ca="1" si="46">V65&amp;W65</f>
        <v>1. FC RiedwaldFC Grönlingen</v>
      </c>
      <c r="AA65" s="661">
        <f ca="1">IF(AND(V65&lt;&gt;"",W65&lt;&gt;"",V65&lt;&gt;W65,'Finals 4'!$U13&lt;&gt;"",'Finals 4'!$W13&lt;&gt;""),1,0)</f>
        <v>1</v>
      </c>
      <c r="AB65" s="661" t="str">
        <f ca="1">IF(AA65&gt;0,AH65&amp;Language!$E$99&amp;AI65,"")</f>
        <v>57 - 56</v>
      </c>
      <c r="AC65" s="736" t="str">
        <f ca="1">IF(AA65&gt;0,AJ65&amp;Language!$E$99&amp;AK65,"")</f>
        <v>2 - 1</v>
      </c>
      <c r="AD65" s="737">
        <f ca="1">IF(AND($AA65=1,'Finals 4'!$O13&lt;&gt;"",'Finals 4'!$Q13&lt;&gt;"",ABS('Finals 4'!$O13-'Finals 4'!$Q13)&gt;1),'Finals 4'!$O13,"")</f>
        <v>17</v>
      </c>
      <c r="AE65" s="736">
        <f ca="1">IF(AND($AA65=1,'Finals 4'!$O13&lt;&gt;"",'Finals 4'!$Q13&lt;&gt;"",ABS('Finals 4'!$O13-'Finals 4'!$Q13)&gt;1),'Finals 4'!$Q13,"")</f>
        <v>25</v>
      </c>
      <c r="AF65" s="737">
        <f ca="1">IF(AND($AA65=1,'Finals 4'!$R13&lt;&gt;"",'Finals 4'!$T13&lt;&gt;"",ABS('Finals 4'!$R13-'Finals 4'!$T13)&gt;1),'Finals 4'!$R13,"")</f>
        <v>15</v>
      </c>
      <c r="AG65" s="736">
        <f ca="1">IF(AND($AA65=1,'Finals 4'!$R13&lt;&gt;"",'Finals 4'!$T13&lt;&gt;"",ABS('Finals 4'!$R13-'Finals 4'!$T13)&gt;1),'Finals 4'!$T13,"")</f>
        <v>11</v>
      </c>
      <c r="AH65" s="737">
        <f t="shared" ref="AH65:AH81" ca="1" si="47">IF(AA65&gt;0,SUM(X65,AD65,AF65),"")</f>
        <v>57</v>
      </c>
      <c r="AI65" s="736">
        <f t="shared" ref="AI65:AI81" ca="1" si="48">IF(AA65&gt;0,SUM(Y65,AE65,AG65),"")</f>
        <v>56</v>
      </c>
      <c r="AJ65" s="737">
        <f ca="1">IF('Finals 4'!$U13="",0,'Finals 4'!$U13)</f>
        <v>2</v>
      </c>
      <c r="AK65" s="736">
        <f ca="1">IF('Finals 4'!$W13="",0,'Finals 4'!$W13)</f>
        <v>1</v>
      </c>
      <c r="AL65" s="737">
        <f ca="1">IF($AA65=0,"",IF($AJ65&gt;$AK65,Settings!$C$4,IF($AJ65=$AK65,1,0)))</f>
        <v>2</v>
      </c>
      <c r="AM65" s="736">
        <f ca="1">IF($AA65=0,"",IF($AJ65&lt;$AK65,Settings!$C$4,IF($AJ65=$AK65,1,0)))</f>
        <v>0</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401</v>
      </c>
      <c r="H66" s="660"/>
      <c r="I66" s="660"/>
      <c r="J66" s="660"/>
      <c r="K66" s="660"/>
      <c r="L66" s="715"/>
      <c r="M66" s="660"/>
      <c r="N66" s="660"/>
      <c r="O66" s="660"/>
      <c r="P66" s="730" t="s">
        <v>8</v>
      </c>
      <c r="Q66" s="731" t="str">
        <f ca="1">IF('Finals 4'!$AS14="","",'Finals 4'!$AS14)</f>
        <v>VFB Essenheim</v>
      </c>
      <c r="R66" s="660"/>
      <c r="S66" s="660"/>
      <c r="T66" s="660"/>
      <c r="U66" s="732" t="s">
        <v>8</v>
      </c>
      <c r="V66" s="733" t="str">
        <f ca="1">'Finals 4'!$I14</f>
        <v>Maibach 1822 eV</v>
      </c>
      <c r="W66" s="661" t="str">
        <f ca="1">'Finals 4'!$K14</f>
        <v>Manchester City</v>
      </c>
      <c r="X66" s="661">
        <f ca="1">IF(AND($AA66=1,'Finals 4'!$L14&lt;&gt;"",'Finals 4'!$N14&lt;&gt;"",ABS('Finals 4'!$L14-'Finals 4'!$N14)&gt;1),'Finals 4'!$L14,"")</f>
        <v>19</v>
      </c>
      <c r="Y66" s="734">
        <f ca="1">IF(AND($AA66=1,'Finals 4'!$L14&lt;&gt;"",'Finals 4'!$N14&lt;&gt;"",ABS('Finals 4'!$L14-'Finals 4'!$N14)&gt;1),'Finals 4'!$N14,"")</f>
        <v>25</v>
      </c>
      <c r="Z66" s="735" t="str">
        <f t="shared" ca="1" si="46"/>
        <v>Maibach 1822 eVManchester City</v>
      </c>
      <c r="AA66" s="661">
        <f ca="1">IF(AND(V66&lt;&gt;"",W66&lt;&gt;"",V66&lt;&gt;W66,'Finals 4'!$U14&lt;&gt;"",'Finals 4'!$W14&lt;&gt;""),1,0)</f>
        <v>1</v>
      </c>
      <c r="AB66" s="661" t="str">
        <f ca="1">IF(AA66&gt;0,AH66&amp;Language!$E$99&amp;AI66,"")</f>
        <v>35 - 50</v>
      </c>
      <c r="AC66" s="736" t="str">
        <f ca="1">IF(AA66&gt;0,AJ66&amp;Language!$E$99&amp;AK66,"")</f>
        <v>0 - 2</v>
      </c>
      <c r="AD66" s="737">
        <f ca="1">IF(AND($AA66=1,'Finals 4'!$O14&lt;&gt;"",'Finals 4'!$Q14&lt;&gt;"",ABS('Finals 4'!$O14-'Finals 4'!$Q14)&gt;1),'Finals 4'!$O14,"")</f>
        <v>16</v>
      </c>
      <c r="AE66" s="736">
        <f ca="1">IF(AND($AA66=1,'Finals 4'!$O14&lt;&gt;"",'Finals 4'!$Q14&lt;&gt;"",ABS('Finals 4'!$O14-'Finals 4'!$Q14)&gt;1),'Finals 4'!$Q14,"")</f>
        <v>25</v>
      </c>
      <c r="AF66" s="737" t="str">
        <f ca="1">IF(AND($AA66=1,'Finals 4'!$R14&lt;&gt;"",'Finals 4'!$T14&lt;&gt;"",ABS('Finals 4'!$R14-'Finals 4'!$T14)&gt;1),'Finals 4'!$R14,"")</f>
        <v/>
      </c>
      <c r="AG66" s="736" t="str">
        <f ca="1">IF(AND($AA66=1,'Finals 4'!$R14&lt;&gt;"",'Finals 4'!$T14&lt;&gt;"",ABS('Finals 4'!$R14-'Finals 4'!$T14)&gt;1),'Finals 4'!$T14,"")</f>
        <v/>
      </c>
      <c r="AH66" s="737">
        <f t="shared" ca="1" si="47"/>
        <v>35</v>
      </c>
      <c r="AI66" s="736">
        <f t="shared" ca="1" si="48"/>
        <v>50</v>
      </c>
      <c r="AJ66" s="737">
        <f ca="1">IF('Finals 4'!$U14="",0,'Finals 4'!$U14)</f>
        <v>0</v>
      </c>
      <c r="AK66" s="736">
        <f ca="1">IF('Finals 4'!$W14="",0,'Finals 4'!$W14)</f>
        <v>2</v>
      </c>
      <c r="AL66" s="737">
        <f ca="1">IF($AA66=0,"",IF($AJ66&gt;$AK66,Settings!$C$4,IF($AJ66=$AK66,1,0)))</f>
        <v>0</v>
      </c>
      <c r="AM66" s="736">
        <f ca="1">IF($AA66=0,"",IF($AJ66&lt;$AK66,Settings!$C$4,IF($AJ66=$AK66,1,0)))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402</v>
      </c>
      <c r="H67" s="660"/>
      <c r="I67" s="660"/>
      <c r="J67" s="660"/>
      <c r="K67" s="660"/>
      <c r="L67" s="660"/>
      <c r="M67" s="660"/>
      <c r="N67" s="660"/>
      <c r="O67" s="660"/>
      <c r="P67" s="730" t="s">
        <v>9</v>
      </c>
      <c r="Q67" s="731" t="str">
        <f ca="1">IF('Finals 4'!$AS15="","",'Finals 4'!$AS15)</f>
        <v>Manchester City</v>
      </c>
      <c r="R67" s="660"/>
      <c r="S67" s="660"/>
      <c r="T67" s="660"/>
      <c r="U67" s="732" t="s">
        <v>9</v>
      </c>
      <c r="V67" s="733" t="str">
        <f ca="1">'Finals 4'!$I15</f>
        <v>Mainz 05</v>
      </c>
      <c r="W67" s="661" t="str">
        <f ca="1">'Finals 4'!$K15</f>
        <v/>
      </c>
      <c r="X67" s="661" t="str">
        <f ca="1">IF(AND($AA67=1,'Finals 4'!$L15&lt;&gt;"",'Finals 4'!$N15&lt;&gt;"",ABS('Finals 4'!$L15-'Finals 4'!$N15)&gt;1),'Finals 4'!$L15,"")</f>
        <v/>
      </c>
      <c r="Y67" s="734" t="str">
        <f ca="1">IF(AND($AA67=1,'Finals 4'!$L15&lt;&gt;"",'Finals 4'!$N15&lt;&gt;"",ABS('Finals 4'!$L15-'Finals 4'!$N15)&gt;1),'Finals 4'!$N15,"")</f>
        <v/>
      </c>
      <c r="Z67" s="735" t="str">
        <f t="shared" ca="1" si="46"/>
        <v>Mainz 05</v>
      </c>
      <c r="AA67" s="661">
        <f ca="1">IF(AND(V67&lt;&gt;"",W67&lt;&gt;"",V67&lt;&gt;W67,'Finals 4'!$U15&lt;&gt;"",'Finals 4'!$W15&lt;&gt;""),1,0)</f>
        <v>0</v>
      </c>
      <c r="AB67" s="661" t="str">
        <f ca="1">IF(AA67&gt;0,AH67&amp;Language!$E$99&amp;AI67,"")</f>
        <v/>
      </c>
      <c r="AC67" s="736" t="str">
        <f ca="1">IF(AA67&gt;0,AJ67&amp;Language!$E$99&amp;AK67,"")</f>
        <v/>
      </c>
      <c r="AD67" s="737" t="str">
        <f ca="1">IF(AND($AA67=1,'Finals 4'!$O15&lt;&gt;"",'Finals 4'!$Q15&lt;&gt;"",ABS('Finals 4'!$O15-'Finals 4'!$Q15)&gt;1),'Finals 4'!$O15,"")</f>
        <v/>
      </c>
      <c r="AE67" s="736" t="str">
        <f ca="1">IF(AND($AA67=1,'Finals 4'!$O15&lt;&gt;"",'Finals 4'!$Q15&lt;&gt;"",ABS('Finals 4'!$O15-'Finals 4'!$Q15)&gt;1),'Finals 4'!$Q15,"")</f>
        <v/>
      </c>
      <c r="AF67" s="737" t="str">
        <f ca="1">IF(AND($AA67=1,'Finals 4'!$R15&lt;&gt;"",'Finals 4'!$T15&lt;&gt;"",ABS('Finals 4'!$R15-'Finals 4'!$T15)&gt;1),'Finals 4'!$R15,"")</f>
        <v/>
      </c>
      <c r="AG67" s="736" t="str">
        <f ca="1">IF(AND($AA67=1,'Finals 4'!$R15&lt;&gt;"",'Finals 4'!$T15&lt;&gt;"",ABS('Finals 4'!$R15-'Finals 4'!$T15)&gt;1),'Finals 4'!$T15,"")</f>
        <v/>
      </c>
      <c r="AH67" s="737" t="str">
        <f t="shared" ca="1" si="47"/>
        <v/>
      </c>
      <c r="AI67" s="736" t="str">
        <f t="shared" ca="1" si="48"/>
        <v/>
      </c>
      <c r="AJ67" s="737">
        <f ca="1">IF('Finals 4'!$U15="",0,'Finals 4'!$U15)</f>
        <v>0</v>
      </c>
      <c r="AK67" s="736">
        <f ca="1">IF('Finals 4'!$W15="",0,'Finals 4'!$W15)</f>
        <v>0</v>
      </c>
      <c r="AL67" s="737" t="str">
        <f ca="1">IF($AA67=0,"",IF($AJ67&gt;$AK67,Settings!$C$4,IF($AJ67=$AK67,1,0)))</f>
        <v/>
      </c>
      <c r="AM67" s="736" t="str">
        <f ca="1">IF($AA67=0,"",IF($AJ67&lt;$AK67,Settings!$C$4,IF($AJ67=$AK67,1,0)))</f>
        <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c r="Q68" s="731" t="str">
        <f>""</f>
        <v/>
      </c>
      <c r="R68" s="660"/>
      <c r="S68" s="660"/>
      <c r="T68" s="660"/>
      <c r="U68" s="732" t="s">
        <v>10</v>
      </c>
      <c r="V68" s="733" t="str">
        <f ca="1">'Finals 4'!$I16</f>
        <v>SSV Wildbach</v>
      </c>
      <c r="W68" s="661" t="str">
        <f ca="1">'Finals 4'!$K16</f>
        <v>Eintracht Frankfurt</v>
      </c>
      <c r="X68" s="661">
        <f ca="1">IF(AND($AA68=1,'Finals 4'!$L16&lt;&gt;"",'Finals 4'!$N16&lt;&gt;"",ABS('Finals 4'!$L16-'Finals 4'!$N16)&gt;1),'Finals 4'!$L16,"")</f>
        <v>25</v>
      </c>
      <c r="Y68" s="734">
        <f ca="1">IF(AND($AA68=1,'Finals 4'!$L16&lt;&gt;"",'Finals 4'!$N16&lt;&gt;"",ABS('Finals 4'!$L16-'Finals 4'!$N16)&gt;1),'Finals 4'!$N16,"")</f>
        <v>23</v>
      </c>
      <c r="Z68" s="735" t="str">
        <f t="shared" ca="1" si="46"/>
        <v>SSV WildbachEintracht Frankfurt</v>
      </c>
      <c r="AA68" s="661">
        <f ca="1">IF(AND(V68&lt;&gt;"",W68&lt;&gt;"",V68&lt;&gt;W68,'Finals 4'!$U16&lt;&gt;"",'Finals 4'!$W16&lt;&gt;""),1,0)</f>
        <v>1</v>
      </c>
      <c r="AB68" s="661" t="str">
        <f ca="1">IF(AA68&gt;0,AH68&amp;Language!$E$99&amp;AI68,"")</f>
        <v>50 - 44</v>
      </c>
      <c r="AC68" s="736" t="str">
        <f ca="1">IF(AA68&gt;0,AJ68&amp;Language!$E$99&amp;AK68,"")</f>
        <v>2 - 0</v>
      </c>
      <c r="AD68" s="737">
        <f ca="1">IF(AND($AA68=1,'Finals 4'!$O16&lt;&gt;"",'Finals 4'!$Q16&lt;&gt;"",ABS('Finals 4'!$O16-'Finals 4'!$Q16)&gt;1),'Finals 4'!$O16,"")</f>
        <v>25</v>
      </c>
      <c r="AE68" s="736">
        <f ca="1">IF(AND($AA68=1,'Finals 4'!$O16&lt;&gt;"",'Finals 4'!$Q16&lt;&gt;"",ABS('Finals 4'!$O16-'Finals 4'!$Q16)&gt;1),'Finals 4'!$Q16,"")</f>
        <v>21</v>
      </c>
      <c r="AF68" s="737" t="str">
        <f ca="1">IF(AND($AA68=1,'Finals 4'!$R16&lt;&gt;"",'Finals 4'!$T16&lt;&gt;"",ABS('Finals 4'!$R16-'Finals 4'!$T16)&gt;1),'Finals 4'!$R16,"")</f>
        <v/>
      </c>
      <c r="AG68" s="736" t="str">
        <f ca="1">IF(AND($AA68=1,'Finals 4'!$R16&lt;&gt;"",'Finals 4'!$T16&lt;&gt;"",ABS('Finals 4'!$R16-'Finals 4'!$T16)&gt;1),'Finals 4'!$T16,"")</f>
        <v/>
      </c>
      <c r="AH68" s="737">
        <f t="shared" ca="1" si="47"/>
        <v>50</v>
      </c>
      <c r="AI68" s="736">
        <f t="shared" ca="1" si="48"/>
        <v>44</v>
      </c>
      <c r="AJ68" s="737">
        <f ca="1">IF('Finals 4'!$U16="",0,'Finals 4'!$U16)</f>
        <v>2</v>
      </c>
      <c r="AK68" s="736">
        <f ca="1">IF('Finals 4'!$W16="",0,'Finals 4'!$W16)</f>
        <v>0</v>
      </c>
      <c r="AL68" s="737">
        <f ca="1">IF($AA68=0,"",IF($AJ68&gt;$AK68,Settings!$C$4,IF($AJ68=$AK68,1,0)))</f>
        <v>2</v>
      </c>
      <c r="AM68" s="736">
        <f ca="1">IF($AA68=0,"",IF($AJ68&lt;$AK68,Settings!$C$4,IF($AJ68=$AK68,1,0)))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c r="Q69" s="731" t="str">
        <f>""</f>
        <v/>
      </c>
      <c r="R69" s="660"/>
      <c r="S69" s="660"/>
      <c r="T69" s="660"/>
      <c r="U69" s="732" t="s">
        <v>11</v>
      </c>
      <c r="V69" s="733" t="str">
        <f ca="1">'Finals 4'!$I17</f>
        <v>Inter Mailand</v>
      </c>
      <c r="W69" s="661" t="str">
        <f ca="1">'Finals 4'!$K17</f>
        <v>VFB Essenheim</v>
      </c>
      <c r="X69" s="661">
        <f ca="1">IF(AND($AA69=1,'Finals 4'!$L17&lt;&gt;"",'Finals 4'!$N17&lt;&gt;"",ABS('Finals 4'!$L17-'Finals 4'!$N17)&gt;1),'Finals 4'!$L17,"")</f>
        <v>25</v>
      </c>
      <c r="Y69" s="734">
        <f ca="1">IF(AND($AA69=1,'Finals 4'!$L17&lt;&gt;"",'Finals 4'!$N17&lt;&gt;"",ABS('Finals 4'!$L17-'Finals 4'!$N17)&gt;1),'Finals 4'!$N17,"")</f>
        <v>17</v>
      </c>
      <c r="Z69" s="735" t="str">
        <f t="shared" ca="1" si="46"/>
        <v>Inter MailandVFB Essenheim</v>
      </c>
      <c r="AA69" s="661">
        <f ca="1">IF(AND(V69&lt;&gt;"",W69&lt;&gt;"",V69&lt;&gt;W69,'Finals 4'!$U17&lt;&gt;"",'Finals 4'!$W17&lt;&gt;""),1,0)</f>
        <v>1</v>
      </c>
      <c r="AB69" s="661" t="str">
        <f ca="1">IF(AA69&gt;0,AH69&amp;Language!$E$99&amp;AI69,"")</f>
        <v>50 - 39</v>
      </c>
      <c r="AC69" s="736" t="str">
        <f ca="1">IF(AA69&gt;0,AJ69&amp;Language!$E$99&amp;AK69,"")</f>
        <v>2 - 0</v>
      </c>
      <c r="AD69" s="737">
        <f ca="1">IF(AND($AA69=1,'Finals 4'!$O17&lt;&gt;"",'Finals 4'!$Q17&lt;&gt;"",ABS('Finals 4'!$O17-'Finals 4'!$Q17)&gt;1),'Finals 4'!$O17,"")</f>
        <v>25</v>
      </c>
      <c r="AE69" s="736">
        <f ca="1">IF(AND($AA69=1,'Finals 4'!$O17&lt;&gt;"",'Finals 4'!$Q17&lt;&gt;"",ABS('Finals 4'!$O17-'Finals 4'!$Q17)&gt;1),'Finals 4'!$Q17,"")</f>
        <v>22</v>
      </c>
      <c r="AF69" s="737" t="str">
        <f ca="1">IF(AND($AA69=1,'Finals 4'!$R17&lt;&gt;"",'Finals 4'!$T17&lt;&gt;"",ABS('Finals 4'!$R17-'Finals 4'!$T17)&gt;1),'Finals 4'!$R17,"")</f>
        <v/>
      </c>
      <c r="AG69" s="736" t="str">
        <f ca="1">IF(AND($AA69=1,'Finals 4'!$R17&lt;&gt;"",'Finals 4'!$T17&lt;&gt;"",ABS('Finals 4'!$R17-'Finals 4'!$T17)&gt;1),'Finals 4'!$T17,"")</f>
        <v/>
      </c>
      <c r="AH69" s="737">
        <f t="shared" ca="1" si="47"/>
        <v>50</v>
      </c>
      <c r="AI69" s="736">
        <f t="shared" ca="1" si="48"/>
        <v>39</v>
      </c>
      <c r="AJ69" s="737">
        <f ca="1">IF('Finals 4'!$U17="",0,'Finals 4'!$U17)</f>
        <v>2</v>
      </c>
      <c r="AK69" s="736">
        <f ca="1">IF('Finals 4'!$W17="",0,'Finals 4'!$W17)</f>
        <v>0</v>
      </c>
      <c r="AL69" s="737">
        <f ca="1">IF($AA69=0,"",IF($AJ69&gt;$AK69,Settings!$C$4,IF($AJ69=$AK69,1,0)))</f>
        <v>2</v>
      </c>
      <c r="AM69" s="736">
        <f ca="1">IF($AA69=0,"",IF($AJ69&lt;$AK69,Settings!$C$4,IF($AJ69=$AK69,1,0)))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'Finals 4'!$I18</f>
        <v>FC Barcelona</v>
      </c>
      <c r="W70" s="661" t="str">
        <f ca="1">'Finals 4'!$K18</f>
        <v/>
      </c>
      <c r="X70" s="661" t="str">
        <f ca="1">IF(AND($AA70=1,'Finals 4'!$L18&lt;&gt;"",'Finals 4'!$N18&lt;&gt;"",ABS('Finals 4'!$L18-'Finals 4'!$N18)&gt;1),'Finals 4'!$L18,"")</f>
        <v/>
      </c>
      <c r="Y70" s="734" t="str">
        <f ca="1">IF(AND($AA70=1,'Finals 4'!$L18&lt;&gt;"",'Finals 4'!$N18&lt;&gt;"",ABS('Finals 4'!$L18-'Finals 4'!$N18)&gt;1),'Finals 4'!$N18,"")</f>
        <v/>
      </c>
      <c r="Z70" s="735" t="str">
        <f t="shared" ca="1" si="46"/>
        <v>FC Barcelona</v>
      </c>
      <c r="AA70" s="661">
        <f ca="1">IF(AND(V70&lt;&gt;"",W70&lt;&gt;"",V70&lt;&gt;W70,'Finals 4'!$U18&lt;&gt;"",'Finals 4'!$W18&lt;&gt;""),1,0)</f>
        <v>0</v>
      </c>
      <c r="AB70" s="661" t="str">
        <f ca="1">IF(AA70&gt;0,AH70&amp;Language!$E$99&amp;AI70,"")</f>
        <v/>
      </c>
      <c r="AC70" s="736" t="str">
        <f ca="1">IF(AA70&gt;0,AJ70&amp;Language!$E$99&amp;AK70,"")</f>
        <v/>
      </c>
      <c r="AD70" s="737" t="str">
        <f ca="1">IF(AND($AA70=1,'Finals 4'!$O18&lt;&gt;"",'Finals 4'!$Q18&lt;&gt;"",ABS('Finals 4'!$O18-'Finals 4'!$Q18)&gt;1),'Finals 4'!$O18,"")</f>
        <v/>
      </c>
      <c r="AE70" s="736" t="str">
        <f ca="1">IF(AND($AA70=1,'Finals 4'!$O18&lt;&gt;"",'Finals 4'!$Q18&lt;&gt;"",ABS('Finals 4'!$O18-'Finals 4'!$Q18)&gt;1),'Finals 4'!$Q18,"")</f>
        <v/>
      </c>
      <c r="AF70" s="737" t="str">
        <f ca="1">IF(AND($AA70=1,'Finals 4'!$R18&lt;&gt;"",'Finals 4'!$T18&lt;&gt;"",ABS('Finals 4'!$R18-'Finals 4'!$T18)&gt;1),'Finals 4'!$R18,"")</f>
        <v/>
      </c>
      <c r="AG70" s="736" t="str">
        <f ca="1">IF(AND($AA70=1,'Finals 4'!$R18&lt;&gt;"",'Finals 4'!$T18&lt;&gt;"",ABS('Finals 4'!$R18-'Finals 4'!$T18)&gt;1),'Finals 4'!$T18,"")</f>
        <v/>
      </c>
      <c r="AH70" s="737" t="str">
        <f t="shared" ca="1" si="47"/>
        <v/>
      </c>
      <c r="AI70" s="736" t="str">
        <f t="shared" ca="1" si="48"/>
        <v/>
      </c>
      <c r="AJ70" s="737">
        <f ca="1">IF('Finals 4'!$U18="",0,'Finals 4'!$U18)</f>
        <v>0</v>
      </c>
      <c r="AK70" s="736">
        <f ca="1">IF('Finals 4'!$W18="",0,'Finals 4'!$W18)</f>
        <v>0</v>
      </c>
      <c r="AL70" s="737" t="str">
        <f ca="1">IF($AA70=0,"",IF($AJ70&gt;$AK70,Settings!$C$4,IF($AJ70=$AK70,1,0)))</f>
        <v/>
      </c>
      <c r="AM70" s="736" t="str">
        <f ca="1">IF($AA70=0,"",IF($AJ70&lt;$AK70,Settings!$C$4,IF($AJ70=$AK70,1,0)))</f>
        <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'Finals 4'!$I19</f>
        <v>1. FC Riedwald</v>
      </c>
      <c r="W71" s="661" t="str">
        <f ca="1">'Finals 4'!$K19</f>
        <v>Eintracht Frankfurt</v>
      </c>
      <c r="X71" s="661">
        <f ca="1">IF(AND($AA71=1,'Finals 4'!$L19&lt;&gt;"",'Finals 4'!$N19&lt;&gt;"",ABS('Finals 4'!$L19-'Finals 4'!$N19)&gt;1),'Finals 4'!$L19,"")</f>
        <v>19</v>
      </c>
      <c r="Y71" s="734">
        <f ca="1">IF(AND($AA71=1,'Finals 4'!$L19&lt;&gt;"",'Finals 4'!$N19&lt;&gt;"",ABS('Finals 4'!$L19-'Finals 4'!$N19)&gt;1),'Finals 4'!$N19,"")</f>
        <v>25</v>
      </c>
      <c r="Z71" s="735" t="str">
        <f t="shared" ca="1" si="46"/>
        <v>1. FC RiedwaldEintracht Frankfurt</v>
      </c>
      <c r="AA71" s="661">
        <f ca="1">IF(AND(V71&lt;&gt;"",W71&lt;&gt;"",V71&lt;&gt;W71,'Finals 4'!$U19&lt;&gt;"",'Finals 4'!$W19&lt;&gt;""),1,0)</f>
        <v>1</v>
      </c>
      <c r="AB71" s="661" t="str">
        <f ca="1">IF(AA71&gt;0,AH71&amp;Language!$E$99&amp;AI71,"")</f>
        <v>44 - 37</v>
      </c>
      <c r="AC71" s="736" t="str">
        <f ca="1">IF(AA71&gt;0,AJ71&amp;Language!$E$99&amp;AK71,"")</f>
        <v>1 - 1</v>
      </c>
      <c r="AD71" s="737">
        <f ca="1">IF(AND($AA71=1,'Finals 4'!$O19&lt;&gt;"",'Finals 4'!$Q19&lt;&gt;"",ABS('Finals 4'!$O19-'Finals 4'!$Q19)&gt;1),'Finals 4'!$O19,"")</f>
        <v>25</v>
      </c>
      <c r="AE71" s="736">
        <f ca="1">IF(AND($AA71=1,'Finals 4'!$O19&lt;&gt;"",'Finals 4'!$Q19&lt;&gt;"",ABS('Finals 4'!$O19-'Finals 4'!$Q19)&gt;1),'Finals 4'!$Q19,"")</f>
        <v>12</v>
      </c>
      <c r="AF71" s="737" t="str">
        <f ca="1">IF(AND($AA71=1,'Finals 4'!$R19&lt;&gt;"",'Finals 4'!$T19&lt;&gt;"",ABS('Finals 4'!$R19-'Finals 4'!$T19)&gt;1),'Finals 4'!$R19,"")</f>
        <v/>
      </c>
      <c r="AG71" s="736" t="str">
        <f ca="1">IF(AND($AA71=1,'Finals 4'!$R19&lt;&gt;"",'Finals 4'!$T19&lt;&gt;"",ABS('Finals 4'!$R19-'Finals 4'!$T19)&gt;1),'Finals 4'!$T19,"")</f>
        <v/>
      </c>
      <c r="AH71" s="737">
        <f t="shared" ca="1" si="47"/>
        <v>44</v>
      </c>
      <c r="AI71" s="736">
        <f t="shared" ca="1" si="48"/>
        <v>37</v>
      </c>
      <c r="AJ71" s="737">
        <f ca="1">IF('Finals 4'!$U19="",0,'Finals 4'!$U19)</f>
        <v>1</v>
      </c>
      <c r="AK71" s="736">
        <f ca="1">IF('Finals 4'!$W19="",0,'Finals 4'!$W19)</f>
        <v>1</v>
      </c>
      <c r="AL71" s="737">
        <f ca="1">IF($AA71=0,"",IF($AJ71&gt;$AK71,Settings!$C$4,IF($AJ71=$AK71,1,0)))</f>
        <v>1</v>
      </c>
      <c r="AM71" s="736">
        <f ca="1">IF($AA71=0,"",IF($AJ71&lt;$AK71,Settings!$C$4,IF($AJ71=$AK71,1,0)))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'Finals 4'!$I20</f>
        <v>Maibach 1822 eV</v>
      </c>
      <c r="W72" s="661" t="str">
        <f ca="1">'Finals 4'!$K20</f>
        <v>VFB Essenheim</v>
      </c>
      <c r="X72" s="661">
        <f ca="1">IF(AND($AA72=1,'Finals 4'!$L20&lt;&gt;"",'Finals 4'!$N20&lt;&gt;"",ABS('Finals 4'!$L20-'Finals 4'!$N20)&gt;1),'Finals 4'!$L20,"")</f>
        <v>13</v>
      </c>
      <c r="Y72" s="734">
        <f ca="1">IF(AND($AA72=1,'Finals 4'!$L20&lt;&gt;"",'Finals 4'!$N20&lt;&gt;"",ABS('Finals 4'!$L20-'Finals 4'!$N20)&gt;1),'Finals 4'!$N20,"")</f>
        <v>25</v>
      </c>
      <c r="Z72" s="735" t="str">
        <f t="shared" ca="1" si="46"/>
        <v>Maibach 1822 eVVFB Essenheim</v>
      </c>
      <c r="AA72" s="661">
        <f ca="1">IF(AND(V72&lt;&gt;"",W72&lt;&gt;"",V72&lt;&gt;W72,'Finals 4'!$U20&lt;&gt;"",'Finals 4'!$W20&lt;&gt;""),1,0)</f>
        <v>1</v>
      </c>
      <c r="AB72" s="661" t="str">
        <f ca="1">IF(AA72&gt;0,AH72&amp;Language!$E$99&amp;AI72,"")</f>
        <v>31 - 50</v>
      </c>
      <c r="AC72" s="736" t="str">
        <f ca="1">IF(AA72&gt;0,AJ72&amp;Language!$E$99&amp;AK72,"")</f>
        <v>0 - 2</v>
      </c>
      <c r="AD72" s="737">
        <f ca="1">IF(AND($AA72=1,'Finals 4'!$O20&lt;&gt;"",'Finals 4'!$Q20&lt;&gt;"",ABS('Finals 4'!$O20-'Finals 4'!$Q20)&gt;1),'Finals 4'!$O20,"")</f>
        <v>18</v>
      </c>
      <c r="AE72" s="736">
        <f ca="1">IF(AND($AA72=1,'Finals 4'!$O20&lt;&gt;"",'Finals 4'!$Q20&lt;&gt;"",ABS('Finals 4'!$O20-'Finals 4'!$Q20)&gt;1),'Finals 4'!$Q20,"")</f>
        <v>25</v>
      </c>
      <c r="AF72" s="737" t="str">
        <f ca="1">IF(AND($AA72=1,'Finals 4'!$R20&lt;&gt;"",'Finals 4'!$T20&lt;&gt;"",ABS('Finals 4'!$R20-'Finals 4'!$T20)&gt;1),'Finals 4'!$R20,"")</f>
        <v/>
      </c>
      <c r="AG72" s="736" t="str">
        <f ca="1">IF(AND($AA72=1,'Finals 4'!$R20&lt;&gt;"",'Finals 4'!$T20&lt;&gt;"",ABS('Finals 4'!$R20-'Finals 4'!$T20)&gt;1),'Finals 4'!$T20,"")</f>
        <v/>
      </c>
      <c r="AH72" s="737">
        <f t="shared" ca="1" si="47"/>
        <v>31</v>
      </c>
      <c r="AI72" s="736">
        <f t="shared" ca="1" si="48"/>
        <v>50</v>
      </c>
      <c r="AJ72" s="737">
        <f ca="1">IF('Finals 4'!$U20="",0,'Finals 4'!$U20)</f>
        <v>0</v>
      </c>
      <c r="AK72" s="736">
        <f ca="1">IF('Finals 4'!$W20="",0,'Finals 4'!$W20)</f>
        <v>2</v>
      </c>
      <c r="AL72" s="737">
        <f ca="1">IF($AA72=0,"",IF($AJ72&gt;$AK72,Settings!$C$4,IF($AJ72=$AK72,1,0)))</f>
        <v>0</v>
      </c>
      <c r="AM72" s="736">
        <f ca="1">IF($AA72=0,"",IF($AJ72&lt;$AK72,Settings!$C$4,IF($AJ72=$AK72,1,0)))</f>
        <v>2</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'Finals 4'!$I21</f>
        <v>Mainz 05</v>
      </c>
      <c r="W73" s="661" t="str">
        <f ca="1">'Finals 4'!$K21</f>
        <v/>
      </c>
      <c r="X73" s="661" t="str">
        <f ca="1">IF(AND($AA73=1,'Finals 4'!$L21&lt;&gt;"",'Finals 4'!$N21&lt;&gt;"",ABS('Finals 4'!$L21-'Finals 4'!$N21)&gt;1),'Finals 4'!$L21,"")</f>
        <v/>
      </c>
      <c r="Y73" s="734" t="str">
        <f ca="1">IF(AND($AA73=1,'Finals 4'!$L21&lt;&gt;"",'Finals 4'!$N21&lt;&gt;"",ABS('Finals 4'!$L21-'Finals 4'!$N21)&gt;1),'Finals 4'!$N21,"")</f>
        <v/>
      </c>
      <c r="Z73" s="735" t="str">
        <f t="shared" ca="1" si="46"/>
        <v>Mainz 05</v>
      </c>
      <c r="AA73" s="661">
        <f ca="1">IF(AND(V73&lt;&gt;"",W73&lt;&gt;"",V73&lt;&gt;W73,'Finals 4'!$U21&lt;&gt;"",'Finals 4'!$W21&lt;&gt;""),1,0)</f>
        <v>0</v>
      </c>
      <c r="AB73" s="661" t="str">
        <f ca="1">IF(AA73&gt;0,AH73&amp;Language!$E$99&amp;AI73,"")</f>
        <v/>
      </c>
      <c r="AC73" s="736" t="str">
        <f ca="1">IF(AA73&gt;0,AJ73&amp;Language!$E$99&amp;AK73,"")</f>
        <v/>
      </c>
      <c r="AD73" s="737" t="str">
        <f ca="1">IF(AND($AA73=1,'Finals 4'!$O21&lt;&gt;"",'Finals 4'!$Q21&lt;&gt;"",ABS('Finals 4'!$O21-'Finals 4'!$Q21)&gt;1),'Finals 4'!$O21,"")</f>
        <v/>
      </c>
      <c r="AE73" s="736" t="str">
        <f ca="1">IF(AND($AA73=1,'Finals 4'!$O21&lt;&gt;"",'Finals 4'!$Q21&lt;&gt;"",ABS('Finals 4'!$O21-'Finals 4'!$Q21)&gt;1),'Finals 4'!$Q21,"")</f>
        <v/>
      </c>
      <c r="AF73" s="737" t="str">
        <f ca="1">IF(AND($AA73=1,'Finals 4'!$R21&lt;&gt;"",'Finals 4'!$T21&lt;&gt;"",ABS('Finals 4'!$R21-'Finals 4'!$T21)&gt;1),'Finals 4'!$R21,"")</f>
        <v/>
      </c>
      <c r="AG73" s="736" t="str">
        <f ca="1">IF(AND($AA73=1,'Finals 4'!$R21&lt;&gt;"",'Finals 4'!$T21&lt;&gt;"",ABS('Finals 4'!$R21-'Finals 4'!$T21)&gt;1),'Finals 4'!$T21,"")</f>
        <v/>
      </c>
      <c r="AH73" s="737" t="str">
        <f t="shared" ca="1" si="47"/>
        <v/>
      </c>
      <c r="AI73" s="736" t="str">
        <f t="shared" ca="1" si="48"/>
        <v/>
      </c>
      <c r="AJ73" s="737">
        <f ca="1">IF('Finals 4'!$U21="",0,'Finals 4'!$U21)</f>
        <v>0</v>
      </c>
      <c r="AK73" s="736">
        <f ca="1">IF('Finals 4'!$W21="",0,'Finals 4'!$W21)</f>
        <v>0</v>
      </c>
      <c r="AL73" s="737" t="str">
        <f ca="1">IF($AA73=0,"",IF($AJ73&gt;$AK73,Settings!$C$4,IF($AJ73=$AK73,1,0)))</f>
        <v/>
      </c>
      <c r="AM73" s="736" t="str">
        <f ca="1">IF($AA73=0,"",IF($AJ73&lt;$AK73,Settings!$C$4,IF($AJ73=$AK73,1,0)))</f>
        <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'Finals 4'!$I22</f>
        <v>SSV Wildbach</v>
      </c>
      <c r="W74" s="661" t="str">
        <f ca="1">'Finals 4'!$K22</f>
        <v>FC Grönlingen</v>
      </c>
      <c r="X74" s="661">
        <f ca="1">IF(AND($AA74=1,'Finals 4'!$L22&lt;&gt;"",'Finals 4'!$N22&lt;&gt;"",ABS('Finals 4'!$L22-'Finals 4'!$N22)&gt;1),'Finals 4'!$L22,"")</f>
        <v>22</v>
      </c>
      <c r="Y74" s="734">
        <f ca="1">IF(AND($AA74=1,'Finals 4'!$L22&lt;&gt;"",'Finals 4'!$N22&lt;&gt;"",ABS('Finals 4'!$L22-'Finals 4'!$N22)&gt;1),'Finals 4'!$N22,"")</f>
        <v>25</v>
      </c>
      <c r="Z74" s="735" t="str">
        <f ca="1">V74&amp;W74</f>
        <v>SSV WildbachFC Grönlingen</v>
      </c>
      <c r="AA74" s="661">
        <f ca="1">IF(AND(V74&lt;&gt;"",W74&lt;&gt;"",V74&lt;&gt;W74,'Finals 4'!$U22&lt;&gt;"",'Finals 4'!$W22&lt;&gt;""),1,0)</f>
        <v>1</v>
      </c>
      <c r="AB74" s="661" t="str">
        <f ca="1">IF(AA74&gt;0,AH74&amp;Language!$E$99&amp;AI74,"")</f>
        <v>47 - 45</v>
      </c>
      <c r="AC74" s="736" t="str">
        <f ca="1">IF(AA74&gt;0,AJ74&amp;Language!$E$99&amp;AK74,"")</f>
        <v>1 - 1</v>
      </c>
      <c r="AD74" s="737">
        <f ca="1">IF(AND($AA74=1,'Finals 4'!$O22&lt;&gt;"",'Finals 4'!$Q22&lt;&gt;"",ABS('Finals 4'!$O22-'Finals 4'!$Q22)&gt;1),'Finals 4'!$O22,"")</f>
        <v>25</v>
      </c>
      <c r="AE74" s="736">
        <f ca="1">IF(AND($AA74=1,'Finals 4'!$O22&lt;&gt;"",'Finals 4'!$Q22&lt;&gt;"",ABS('Finals 4'!$O22-'Finals 4'!$Q22)&gt;1),'Finals 4'!$Q22,"")</f>
        <v>20</v>
      </c>
      <c r="AF74" s="737" t="str">
        <f ca="1">IF(AND($AA74=1,'Finals 4'!$R22&lt;&gt;"",'Finals 4'!$T22&lt;&gt;"",ABS('Finals 4'!$R22-'Finals 4'!$T22)&gt;1),'Finals 4'!$R22,"")</f>
        <v/>
      </c>
      <c r="AG74" s="736" t="str">
        <f ca="1">IF(AND($AA74=1,'Finals 4'!$R22&lt;&gt;"",'Finals 4'!$T22&lt;&gt;"",ABS('Finals 4'!$R22-'Finals 4'!$T22)&gt;1),'Finals 4'!$T22,"")</f>
        <v/>
      </c>
      <c r="AH74" s="737">
        <f t="shared" ca="1" si="47"/>
        <v>47</v>
      </c>
      <c r="AI74" s="736">
        <f t="shared" ca="1" si="48"/>
        <v>45</v>
      </c>
      <c r="AJ74" s="737">
        <f ca="1">IF('Finals 4'!$U22="",0,'Finals 4'!$U22)</f>
        <v>1</v>
      </c>
      <c r="AK74" s="736">
        <f ca="1">IF('Finals 4'!$W22="",0,'Finals 4'!$W22)</f>
        <v>1</v>
      </c>
      <c r="AL74" s="737">
        <f ca="1">IF($AA74=0,"",IF($AJ74&gt;$AK74,Settings!$C$4,IF($AJ74=$AK74,1,0)))</f>
        <v>1</v>
      </c>
      <c r="AM74" s="736">
        <f ca="1">IF($AA74=0,"",IF($AJ74&lt;$AK74,Settings!$C$4,IF($AJ74=$AK74,1,0)))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'Finals 4'!$I23</f>
        <v>Inter Mailand</v>
      </c>
      <c r="W75" s="661" t="str">
        <f ca="1">'Finals 4'!$K23</f>
        <v>Manchester City</v>
      </c>
      <c r="X75" s="661">
        <f ca="1">IF(AND($AA75=1,'Finals 4'!$L23&lt;&gt;"",'Finals 4'!$N23&lt;&gt;"",ABS('Finals 4'!$L23-'Finals 4'!$N23)&gt;1),'Finals 4'!$L23,"")</f>
        <v>19</v>
      </c>
      <c r="Y75" s="734">
        <f ca="1">IF(AND($AA75=1,'Finals 4'!$L23&lt;&gt;"",'Finals 4'!$N23&lt;&gt;"",ABS('Finals 4'!$L23-'Finals 4'!$N23)&gt;1),'Finals 4'!$N23,"")</f>
        <v>25</v>
      </c>
      <c r="Z75" s="735" t="str">
        <f t="shared" ref="Z75:Z81" ca="1" si="49">V75&amp;W75</f>
        <v>Inter MailandManchester City</v>
      </c>
      <c r="AA75" s="661">
        <f ca="1">IF(AND(V75&lt;&gt;"",W75&lt;&gt;"",V75&lt;&gt;W75,'Finals 4'!$U23&lt;&gt;"",'Finals 4'!$W23&lt;&gt;""),1,0)</f>
        <v>1</v>
      </c>
      <c r="AB75" s="661" t="str">
        <f ca="1">IF(AA75&gt;0,AH75&amp;Language!$E$99&amp;AI75,"")</f>
        <v>44 - 44</v>
      </c>
      <c r="AC75" s="736" t="str">
        <f ca="1">IF(AA75&gt;0,AJ75&amp;Language!$E$99&amp;AK75,"")</f>
        <v>1 - 1</v>
      </c>
      <c r="AD75" s="737">
        <f ca="1">IF(AND($AA75=1,'Finals 4'!$O23&lt;&gt;"",'Finals 4'!$Q23&lt;&gt;"",ABS('Finals 4'!$O23-'Finals 4'!$Q23)&gt;1),'Finals 4'!$O23,"")</f>
        <v>25</v>
      </c>
      <c r="AE75" s="736">
        <f ca="1">IF(AND($AA75=1,'Finals 4'!$O23&lt;&gt;"",'Finals 4'!$Q23&lt;&gt;"",ABS('Finals 4'!$O23-'Finals 4'!$Q23)&gt;1),'Finals 4'!$Q23,"")</f>
        <v>19</v>
      </c>
      <c r="AF75" s="737" t="str">
        <f ca="1">IF(AND($AA75=1,'Finals 4'!$R23&lt;&gt;"",'Finals 4'!$T23&lt;&gt;"",ABS('Finals 4'!$R23-'Finals 4'!$T23)&gt;1),'Finals 4'!$R23,"")</f>
        <v/>
      </c>
      <c r="AG75" s="736" t="str">
        <f ca="1">IF(AND($AA75=1,'Finals 4'!$R23&lt;&gt;"",'Finals 4'!$T23&lt;&gt;"",ABS('Finals 4'!$R23-'Finals 4'!$T23)&gt;1),'Finals 4'!$T23,"")</f>
        <v/>
      </c>
      <c r="AH75" s="737">
        <f t="shared" ca="1" si="47"/>
        <v>44</v>
      </c>
      <c r="AI75" s="736">
        <f t="shared" ca="1" si="48"/>
        <v>44</v>
      </c>
      <c r="AJ75" s="737">
        <f ca="1">IF('Finals 4'!$U23="",0,'Finals 4'!$U23)</f>
        <v>1</v>
      </c>
      <c r="AK75" s="736">
        <f ca="1">IF('Finals 4'!$W23="",0,'Finals 4'!$W23)</f>
        <v>1</v>
      </c>
      <c r="AL75" s="737">
        <f ca="1">IF($AA75=0,"",IF($AJ75&gt;$AK75,Settings!$C$4,IF($AJ75=$AK75,1,0)))</f>
        <v>1</v>
      </c>
      <c r="AM75" s="736">
        <f ca="1">IF($AA75=0,"",IF($AJ75&lt;$AK75,Settings!$C$4,IF($AJ75=$AK75,1,0)))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'Finals 4'!$I24</f>
        <v/>
      </c>
      <c r="W76" s="661" t="str">
        <f ca="1">'Finals 4'!$K24</f>
        <v/>
      </c>
      <c r="X76" s="661" t="str">
        <f ca="1">IF(AND($AA76=1,'Finals 4'!$L24&lt;&gt;"",'Finals 4'!$N24&lt;&gt;"",ABS('Finals 4'!$L24-'Finals 4'!$N24)&gt;1),'Finals 4'!$L24,"")</f>
        <v/>
      </c>
      <c r="Y76" s="734" t="str">
        <f ca="1">IF(AND($AA76=1,'Finals 4'!$L24&lt;&gt;"",'Finals 4'!$N24&lt;&gt;"",ABS('Finals 4'!$L24-'Finals 4'!$N24)&gt;1),'Finals 4'!$N24,"")</f>
        <v/>
      </c>
      <c r="Z76" s="735" t="str">
        <f t="shared" ca="1" si="49"/>
        <v/>
      </c>
      <c r="AA76" s="661">
        <f ca="1">IF(AND(V76&lt;&gt;"",W76&lt;&gt;"",V76&lt;&gt;W76,'Finals 4'!$U24&lt;&gt;"",'Finals 4'!$W24&lt;&gt;""),1,0)</f>
        <v>0</v>
      </c>
      <c r="AB76" s="661" t="str">
        <f ca="1">IF(AA76&gt;0,AH76&amp;Language!$E$99&amp;AI76,"")</f>
        <v/>
      </c>
      <c r="AC76" s="736" t="str">
        <f ca="1">IF(AA76&gt;0,AJ76&amp;Language!$E$99&amp;AK76,"")</f>
        <v/>
      </c>
      <c r="AD76" s="737" t="str">
        <f ca="1">IF(AND($AA76=1,'Finals 4'!$O24&lt;&gt;"",'Finals 4'!$Q24&lt;&gt;"",ABS('Finals 4'!$O24-'Finals 4'!$Q24)&gt;1),'Finals 4'!$O24,"")</f>
        <v/>
      </c>
      <c r="AE76" s="736" t="str">
        <f ca="1">IF(AND($AA76=1,'Finals 4'!$O24&lt;&gt;"",'Finals 4'!$Q24&lt;&gt;"",ABS('Finals 4'!$O24-'Finals 4'!$Q24)&gt;1),'Finals 4'!$Q24,"")</f>
        <v/>
      </c>
      <c r="AF76" s="737" t="str">
        <f ca="1">IF(AND($AA76=1,'Finals 4'!$R24&lt;&gt;"",'Finals 4'!$T24&lt;&gt;"",ABS('Finals 4'!$R24-'Finals 4'!$T24)&gt;1),'Finals 4'!$R24,"")</f>
        <v/>
      </c>
      <c r="AG76" s="736" t="str">
        <f ca="1">IF(AND($AA76=1,'Finals 4'!$R24&lt;&gt;"",'Finals 4'!$T24&lt;&gt;"",ABS('Finals 4'!$R24-'Finals 4'!$T24)&gt;1),'Finals 4'!$T24,"")</f>
        <v/>
      </c>
      <c r="AH76" s="737" t="str">
        <f t="shared" ca="1" si="47"/>
        <v/>
      </c>
      <c r="AI76" s="736" t="str">
        <f t="shared" ca="1" si="48"/>
        <v/>
      </c>
      <c r="AJ76" s="737">
        <f ca="1">IF('Finals 4'!$U24="",0,'Finals 4'!$U24)</f>
        <v>0</v>
      </c>
      <c r="AK76" s="736">
        <f ca="1">IF('Finals 4'!$W24="",0,'Finals 4'!$W24)</f>
        <v>0</v>
      </c>
      <c r="AL76" s="737" t="str">
        <f ca="1">IF($AA76=0,"",IF($AJ76&gt;$AK76,Settings!$C$4,IF($AJ76=$AK76,1,0)))</f>
        <v/>
      </c>
      <c r="AM76" s="736" t="str">
        <f ca="1">IF($AA76=0,"",IF($AJ76&lt;$AK76,Settings!$C$4,IF($AJ76=$AK76,1,0)))</f>
        <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'Finals 4'!$I25</f>
        <v>Eintracht Frankfurt</v>
      </c>
      <c r="W77" s="661" t="str">
        <f ca="1">'Finals 4'!$K25</f>
        <v>FC Grönlingen</v>
      </c>
      <c r="X77" s="661">
        <f ca="1">IF(AND($AA77=1,'Finals 4'!$L25&lt;&gt;"",'Finals 4'!$N25&lt;&gt;"",ABS('Finals 4'!$L25-'Finals 4'!$N25)&gt;1),'Finals 4'!$L25,"")</f>
        <v>14</v>
      </c>
      <c r="Y77" s="734">
        <f ca="1">IF(AND($AA77=1,'Finals 4'!$L25&lt;&gt;"",'Finals 4'!$N25&lt;&gt;"",ABS('Finals 4'!$L25-'Finals 4'!$N25)&gt;1),'Finals 4'!$N25,"")</f>
        <v>25</v>
      </c>
      <c r="Z77" s="735" t="str">
        <f t="shared" ca="1" si="49"/>
        <v>Eintracht FrankfurtFC Grönlingen</v>
      </c>
      <c r="AA77" s="661">
        <f ca="1">IF(AND(V77&lt;&gt;"",W77&lt;&gt;"",V77&lt;&gt;W77,'Finals 4'!$U25&lt;&gt;"",'Finals 4'!$W25&lt;&gt;""),1,0)</f>
        <v>1</v>
      </c>
      <c r="AB77" s="661" t="str">
        <f ca="1">IF(AA77&gt;0,AH77&amp;Language!$E$99&amp;AI77,"")</f>
        <v>39 - 48</v>
      </c>
      <c r="AC77" s="736" t="str">
        <f ca="1">IF(AA77&gt;0,AJ77&amp;Language!$E$99&amp;AK77,"")</f>
        <v>1 - 1</v>
      </c>
      <c r="AD77" s="737">
        <f ca="1">IF(AND($AA77=1,'Finals 4'!$O25&lt;&gt;"",'Finals 4'!$Q25&lt;&gt;"",ABS('Finals 4'!$O25-'Finals 4'!$Q25)&gt;1),'Finals 4'!$O25,"")</f>
        <v>25</v>
      </c>
      <c r="AE77" s="736">
        <f ca="1">IF(AND($AA77=1,'Finals 4'!$O25&lt;&gt;"",'Finals 4'!$Q25&lt;&gt;"",ABS('Finals 4'!$O25-'Finals 4'!$Q25)&gt;1),'Finals 4'!$Q25,"")</f>
        <v>23</v>
      </c>
      <c r="AF77" s="737" t="str">
        <f ca="1">IF(AND($AA77=1,'Finals 4'!$R25&lt;&gt;"",'Finals 4'!$T25&lt;&gt;"",ABS('Finals 4'!$R25-'Finals 4'!$T25)&gt;1),'Finals 4'!$R25,"")</f>
        <v/>
      </c>
      <c r="AG77" s="736" t="str">
        <f ca="1">IF(AND($AA77=1,'Finals 4'!$R25&lt;&gt;"",'Finals 4'!$T25&lt;&gt;"",ABS('Finals 4'!$R25-'Finals 4'!$T25)&gt;1),'Finals 4'!$T25,"")</f>
        <v/>
      </c>
      <c r="AH77" s="737">
        <f t="shared" ca="1" si="47"/>
        <v>39</v>
      </c>
      <c r="AI77" s="736">
        <f t="shared" ca="1" si="48"/>
        <v>48</v>
      </c>
      <c r="AJ77" s="737">
        <f ca="1">IF('Finals 4'!$U25="",0,'Finals 4'!$U25)</f>
        <v>1</v>
      </c>
      <c r="AK77" s="736">
        <f ca="1">IF('Finals 4'!$W25="",0,'Finals 4'!$W25)</f>
        <v>1</v>
      </c>
      <c r="AL77" s="737">
        <f ca="1">IF($AA77=0,"",IF($AJ77&gt;$AK77,Settings!$C$4,IF($AJ77=$AK77,1,0)))</f>
        <v>1</v>
      </c>
      <c r="AM77" s="736">
        <f ca="1">IF($AA77=0,"",IF($AJ77&lt;$AK77,Settings!$C$4,IF($AJ77=$AK77,1,0)))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'Finals 4'!$I26</f>
        <v>VFB Essenheim</v>
      </c>
      <c r="W78" s="661" t="str">
        <f ca="1">'Finals 4'!$K26</f>
        <v>Manchester City</v>
      </c>
      <c r="X78" s="661">
        <f ca="1">IF(AND($AA78=1,'Finals 4'!$L26&lt;&gt;"",'Finals 4'!$N26&lt;&gt;"",ABS('Finals 4'!$L26-'Finals 4'!$N26)&gt;1),'Finals 4'!$L26,"")</f>
        <v>21</v>
      </c>
      <c r="Y78" s="734">
        <f ca="1">IF(AND($AA78=1,'Finals 4'!$L26&lt;&gt;"",'Finals 4'!$N26&lt;&gt;"",ABS('Finals 4'!$L26-'Finals 4'!$N26)&gt;1),'Finals 4'!$N26,"")</f>
        <v>25</v>
      </c>
      <c r="Z78" s="735" t="str">
        <f t="shared" ca="1" si="49"/>
        <v>VFB EssenheimManchester City</v>
      </c>
      <c r="AA78" s="661">
        <f ca="1">IF(AND(V78&lt;&gt;"",W78&lt;&gt;"",V78&lt;&gt;W78,'Finals 4'!$U26&lt;&gt;"",'Finals 4'!$W26&lt;&gt;""),1,0)</f>
        <v>1</v>
      </c>
      <c r="AB78" s="661" t="str">
        <f ca="1">IF(AA78&gt;0,AH78&amp;Language!$E$99&amp;AI78,"")</f>
        <v>46 - 42</v>
      </c>
      <c r="AC78" s="736" t="str">
        <f ca="1">IF(AA78&gt;0,AJ78&amp;Language!$E$99&amp;AK78,"")</f>
        <v>1 - 1</v>
      </c>
      <c r="AD78" s="737">
        <f ca="1">IF(AND($AA78=1,'Finals 4'!$O26&lt;&gt;"",'Finals 4'!$Q26&lt;&gt;"",ABS('Finals 4'!$O26-'Finals 4'!$Q26)&gt;1),'Finals 4'!$O26,"")</f>
        <v>25</v>
      </c>
      <c r="AE78" s="736">
        <f ca="1">IF(AND($AA78=1,'Finals 4'!$O26&lt;&gt;"",'Finals 4'!$Q26&lt;&gt;"",ABS('Finals 4'!$O26-'Finals 4'!$Q26)&gt;1),'Finals 4'!$Q26,"")</f>
        <v>17</v>
      </c>
      <c r="AF78" s="737" t="str">
        <f ca="1">IF(AND($AA78=1,'Finals 4'!$R26&lt;&gt;"",'Finals 4'!$T26&lt;&gt;"",ABS('Finals 4'!$R26-'Finals 4'!$T26)&gt;1),'Finals 4'!$R26,"")</f>
        <v/>
      </c>
      <c r="AG78" s="736" t="str">
        <f ca="1">IF(AND($AA78=1,'Finals 4'!$R26&lt;&gt;"",'Finals 4'!$T26&lt;&gt;"",ABS('Finals 4'!$R26-'Finals 4'!$T26)&gt;1),'Finals 4'!$T26,"")</f>
        <v/>
      </c>
      <c r="AH78" s="737">
        <f t="shared" ca="1" si="47"/>
        <v>46</v>
      </c>
      <c r="AI78" s="736">
        <f t="shared" ca="1" si="48"/>
        <v>42</v>
      </c>
      <c r="AJ78" s="737">
        <f ca="1">IF('Finals 4'!$U26="",0,'Finals 4'!$U26)</f>
        <v>1</v>
      </c>
      <c r="AK78" s="736">
        <f ca="1">IF('Finals 4'!$W26="",0,'Finals 4'!$W26)</f>
        <v>1</v>
      </c>
      <c r="AL78" s="737">
        <f ca="1">IF($AA78=0,"",IF($AJ78&gt;$AK78,Settings!$C$4,IF($AJ78=$AK78,1,0)))</f>
        <v>1</v>
      </c>
      <c r="AM78" s="736">
        <f ca="1">IF($AA78=0,"",IF($AJ78&lt;$AK78,Settings!$C$4,IF($AJ78=$AK78,1,0)))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'Finals 4'!$I27</f>
        <v>FC Barcelona</v>
      </c>
      <c r="W79" s="661" t="str">
        <f ca="1">'Finals 4'!$K27</f>
        <v>Mainz 05</v>
      </c>
      <c r="X79" s="661">
        <f ca="1">IF(AND($AA79=1,'Finals 4'!$L27&lt;&gt;"",'Finals 4'!$N27&lt;&gt;"",ABS('Finals 4'!$L27-'Finals 4'!$N27)&gt;1),'Finals 4'!$L27,"")</f>
        <v>20</v>
      </c>
      <c r="Y79" s="734">
        <f ca="1">IF(AND($AA79=1,'Finals 4'!$L27&lt;&gt;"",'Finals 4'!$N27&lt;&gt;"",ABS('Finals 4'!$L27-'Finals 4'!$N27)&gt;1),'Finals 4'!$N27,"")</f>
        <v>25</v>
      </c>
      <c r="Z79" s="735" t="str">
        <f t="shared" ca="1" si="49"/>
        <v>FC BarcelonaMainz 05</v>
      </c>
      <c r="AA79" s="661">
        <f ca="1">IF(AND(V79&lt;&gt;"",W79&lt;&gt;"",V79&lt;&gt;W79,'Finals 4'!$U27&lt;&gt;"",'Finals 4'!$W27&lt;&gt;""),1,0)</f>
        <v>1</v>
      </c>
      <c r="AB79" s="661" t="str">
        <f ca="1">IF(AA79&gt;0,AH79&amp;Language!$E$99&amp;AI79,"")</f>
        <v>70 - 65</v>
      </c>
      <c r="AC79" s="736" t="str">
        <f ca="1">IF(AA79&gt;0,AJ79&amp;Language!$E$99&amp;AK79,"")</f>
        <v>2 - 1</v>
      </c>
      <c r="AD79" s="737">
        <f ca="1">IF(AND($AA79=1,'Finals 4'!$O27&lt;&gt;"",'Finals 4'!$Q27&lt;&gt;"",ABS('Finals 4'!$O27-'Finals 4'!$Q27)&gt;1),'Finals 4'!$O27,"")</f>
        <v>25</v>
      </c>
      <c r="AE79" s="736">
        <f ca="1">IF(AND($AA79=1,'Finals 4'!$O27&lt;&gt;"",'Finals 4'!$Q27&lt;&gt;"",ABS('Finals 4'!$O27-'Finals 4'!$Q27)&gt;1),'Finals 4'!$Q27,"")</f>
        <v>18</v>
      </c>
      <c r="AF79" s="737">
        <f ca="1">IF(AND($AA79=1,'Finals 4'!$R27&lt;&gt;"",'Finals 4'!$T27&lt;&gt;"",ABS('Finals 4'!$R27-'Finals 4'!$T27)&gt;1),'Finals 4'!$R27,"")</f>
        <v>25</v>
      </c>
      <c r="AG79" s="736">
        <f ca="1">IF(AND($AA79=1,'Finals 4'!$R27&lt;&gt;"",'Finals 4'!$T27&lt;&gt;"",ABS('Finals 4'!$R27-'Finals 4'!$T27)&gt;1),'Finals 4'!$T27,"")</f>
        <v>22</v>
      </c>
      <c r="AH79" s="737">
        <f t="shared" ca="1" si="47"/>
        <v>70</v>
      </c>
      <c r="AI79" s="736">
        <f t="shared" ca="1" si="48"/>
        <v>65</v>
      </c>
      <c r="AJ79" s="737">
        <f ca="1">IF('Finals 4'!$U27="",0,'Finals 4'!$U27)</f>
        <v>2</v>
      </c>
      <c r="AK79" s="736">
        <f ca="1">IF('Finals 4'!$W27="",0,'Finals 4'!$W27)</f>
        <v>1</v>
      </c>
      <c r="AL79" s="737">
        <f ca="1">IF($AA79=0,"",IF($AJ79&gt;$AK79,Settings!$C$4,IF($AJ79=$AK79,1,0)))</f>
        <v>2</v>
      </c>
      <c r="AM79" s="736">
        <f ca="1">IF($AA79=0,"",IF($AJ79&lt;$AK79,Settings!$C$4,IF($AJ79=$AK79,1,0)))</f>
        <v>0</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'Finals 4'!$I28</f>
        <v>1. FC Riedwald</v>
      </c>
      <c r="W80" s="661" t="str">
        <f ca="1">'Finals 4'!$K28</f>
        <v>SSV Wildbach</v>
      </c>
      <c r="X80" s="661">
        <f ca="1">IF(AND($AA80=1,'Finals 4'!$L28&lt;&gt;"",'Finals 4'!$N28&lt;&gt;"",ABS('Finals 4'!$L28-'Finals 4'!$N28)&gt;1),'Finals 4'!$L28,"")</f>
        <v>25</v>
      </c>
      <c r="Y80" s="734">
        <f ca="1">IF(AND($AA80=1,'Finals 4'!$L28&lt;&gt;"",'Finals 4'!$N28&lt;&gt;"",ABS('Finals 4'!$L28-'Finals 4'!$N28)&gt;1),'Finals 4'!$N28,"")</f>
        <v>20</v>
      </c>
      <c r="Z80" s="735" t="str">
        <f t="shared" ca="1" si="49"/>
        <v>1. FC RiedwaldSSV Wildbach</v>
      </c>
      <c r="AA80" s="661">
        <f ca="1">IF(AND(V80&lt;&gt;"",W80&lt;&gt;"",V80&lt;&gt;W80,'Finals 4'!$U28&lt;&gt;"",'Finals 4'!$W28&lt;&gt;""),1,0)</f>
        <v>1</v>
      </c>
      <c r="AB80" s="661" t="str">
        <f ca="1">IF(AA80&gt;0,AH80&amp;Language!$E$99&amp;AI80,"")</f>
        <v>50 - 39</v>
      </c>
      <c r="AC80" s="736" t="str">
        <f ca="1">IF(AA80&gt;0,AJ80&amp;Language!$E$99&amp;AK80,"")</f>
        <v>2 - 0</v>
      </c>
      <c r="AD80" s="737">
        <f ca="1">IF(AND($AA80=1,'Finals 4'!$O28&lt;&gt;"",'Finals 4'!$Q28&lt;&gt;"",ABS('Finals 4'!$O28-'Finals 4'!$Q28)&gt;1),'Finals 4'!$O28,"")</f>
        <v>25</v>
      </c>
      <c r="AE80" s="736">
        <f ca="1">IF(AND($AA80=1,'Finals 4'!$O28&lt;&gt;"",'Finals 4'!$Q28&lt;&gt;"",ABS('Finals 4'!$O28-'Finals 4'!$Q28)&gt;1),'Finals 4'!$Q28,"")</f>
        <v>19</v>
      </c>
      <c r="AF80" s="737" t="str">
        <f ca="1">IF(AND($AA80=1,'Finals 4'!$R28&lt;&gt;"",'Finals 4'!$T28&lt;&gt;"",ABS('Finals 4'!$R28-'Finals 4'!$T28)&gt;1),'Finals 4'!$R28,"")</f>
        <v/>
      </c>
      <c r="AG80" s="736" t="str">
        <f ca="1">IF(AND($AA80=1,'Finals 4'!$R28&lt;&gt;"",'Finals 4'!$T28&lt;&gt;"",ABS('Finals 4'!$R28-'Finals 4'!$T28)&gt;1),'Finals 4'!$T28,"")</f>
        <v/>
      </c>
      <c r="AH80" s="737">
        <f t="shared" ca="1" si="47"/>
        <v>50</v>
      </c>
      <c r="AI80" s="736">
        <f t="shared" ca="1" si="48"/>
        <v>39</v>
      </c>
      <c r="AJ80" s="737">
        <f ca="1">IF('Finals 4'!$U28="",0,'Finals 4'!$U28)</f>
        <v>2</v>
      </c>
      <c r="AK80" s="736">
        <f ca="1">IF('Finals 4'!$W28="",0,'Finals 4'!$W28)</f>
        <v>0</v>
      </c>
      <c r="AL80" s="737">
        <f ca="1">IF($AA80=0,"",IF($AJ80&gt;$AK80,Settings!$C$4,IF($AJ80=$AK80,1,0)))</f>
        <v>2</v>
      </c>
      <c r="AM80" s="736">
        <f ca="1">IF($AA80=0,"",IF($AJ80&lt;$AK80,Settings!$C$4,IF($AJ80=$AK80,1,0)))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ht="12.75" thickBot="1" x14ac:dyDescent="0.25">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'Finals 4'!$I29</f>
        <v>Maibach 1822 eV</v>
      </c>
      <c r="W81" s="661" t="str">
        <f ca="1">'Finals 4'!$K29</f>
        <v>Inter Mailand</v>
      </c>
      <c r="X81" s="661">
        <f ca="1">IF(AND($AA81=1,'Finals 4'!$L29&lt;&gt;"",'Finals 4'!$N29&lt;&gt;"",ABS('Finals 4'!$L29-'Finals 4'!$N29)&gt;1),'Finals 4'!$L29,"")</f>
        <v>25</v>
      </c>
      <c r="Y81" s="734">
        <f ca="1">IF(AND($AA81=1,'Finals 4'!$L29&lt;&gt;"",'Finals 4'!$N29&lt;&gt;"",ABS('Finals 4'!$L29-'Finals 4'!$N29)&gt;1),'Finals 4'!$N29,"")</f>
        <v>13</v>
      </c>
      <c r="Z81" s="735" t="str">
        <f t="shared" ca="1" si="49"/>
        <v>Maibach 1822 eVInter Mailand</v>
      </c>
      <c r="AA81" s="661">
        <f ca="1">IF(AND(V81&lt;&gt;"",W81&lt;&gt;"",V81&lt;&gt;W81,'Finals 4'!$U29&lt;&gt;"",'Finals 4'!$W29&lt;&gt;""),1,0)</f>
        <v>1</v>
      </c>
      <c r="AB81" s="661" t="str">
        <f ca="1">IF(AA81&gt;0,AH81&amp;Language!$E$99&amp;AI81,"")</f>
        <v>50 - 33</v>
      </c>
      <c r="AC81" s="736" t="str">
        <f ca="1">IF(AA81&gt;0,AJ81&amp;Language!$E$99&amp;AK81,"")</f>
        <v>2 - 0</v>
      </c>
      <c r="AD81" s="737">
        <f ca="1">IF(AND($AA81=1,'Finals 4'!$O29&lt;&gt;"",'Finals 4'!$Q29&lt;&gt;"",ABS('Finals 4'!$O29-'Finals 4'!$Q29)&gt;1),'Finals 4'!$O29,"")</f>
        <v>25</v>
      </c>
      <c r="AE81" s="736">
        <f ca="1">IF(AND($AA81=1,'Finals 4'!$O29&lt;&gt;"",'Finals 4'!$Q29&lt;&gt;"",ABS('Finals 4'!$O29-'Finals 4'!$Q29)&gt;1),'Finals 4'!$Q29,"")</f>
        <v>20</v>
      </c>
      <c r="AF81" s="737" t="str">
        <f ca="1">IF(AND($AA81=1,'Finals 4'!$R29&lt;&gt;"",'Finals 4'!$T29&lt;&gt;"",ABS('Finals 4'!$R29-'Finals 4'!$T29)&gt;1),'Finals 4'!$R29,"")</f>
        <v/>
      </c>
      <c r="AG81" s="736" t="str">
        <f ca="1">IF(AND($AA81=1,'Finals 4'!$R29&lt;&gt;"",'Finals 4'!$T29&lt;&gt;"",ABS('Finals 4'!$R29-'Finals 4'!$T29)&gt;1),'Finals 4'!$T29,"")</f>
        <v/>
      </c>
      <c r="AH81" s="737">
        <f t="shared" ca="1" si="47"/>
        <v>50</v>
      </c>
      <c r="AI81" s="736">
        <f t="shared" ca="1" si="48"/>
        <v>33</v>
      </c>
      <c r="AJ81" s="737">
        <f ca="1">IF('Finals 4'!$U29="",0,'Finals 4'!$U29)</f>
        <v>2</v>
      </c>
      <c r="AK81" s="736">
        <f ca="1">IF('Finals 4'!$W29="",0,'Finals 4'!$W29)</f>
        <v>0</v>
      </c>
      <c r="AL81" s="737">
        <f ca="1">IF($AA81=0,"",IF($AJ81&gt;$AK81,Settings!$C$4,IF($AJ81=$AK81,1,0)))</f>
        <v>2</v>
      </c>
      <c r="AM81" s="736">
        <f ca="1">IF($AA81=0,"",IF($AJ81&lt;$AK81,Settings!$C$4,IF($AJ81=$AK81,1,0)))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ht="12.75" thickTop="1" x14ac:dyDescent="0.2">
      <c r="A82" s="660"/>
      <c r="B82" s="681"/>
      <c r="C82" s="681"/>
      <c r="D82" s="681"/>
      <c r="E82" s="681"/>
      <c r="F82" s="661"/>
      <c r="G82" s="661"/>
      <c r="H82" s="661"/>
      <c r="I82" s="661"/>
      <c r="J82" s="661"/>
      <c r="K82" s="661"/>
      <c r="L82" s="661"/>
      <c r="M82" s="661"/>
      <c r="N82" s="660"/>
      <c r="O82" s="660"/>
      <c r="P82" s="660"/>
      <c r="Q82" s="660"/>
      <c r="R82" s="660"/>
      <c r="S82" s="660"/>
      <c r="T82" s="660"/>
      <c r="U82" s="742" t="s">
        <v>33</v>
      </c>
      <c r="V82" s="743" t="str">
        <f>""</f>
        <v/>
      </c>
      <c r="W82" s="744" t="str">
        <f>""</f>
        <v/>
      </c>
      <c r="X82" s="744" t="str">
        <f>""</f>
        <v/>
      </c>
      <c r="Y82" s="745" t="str">
        <f>""</f>
        <v/>
      </c>
      <c r="Z82" s="746" t="str">
        <f>""</f>
        <v/>
      </c>
      <c r="AA82" s="744">
        <v>0</v>
      </c>
      <c r="AB82" s="744" t="str">
        <f>""</f>
        <v/>
      </c>
      <c r="AC82" s="747"/>
      <c r="AD82" s="748" t="str">
        <f>""</f>
        <v/>
      </c>
      <c r="AE82" s="747" t="str">
        <f>""</f>
        <v/>
      </c>
      <c r="AF82" s="748" t="str">
        <f>""</f>
        <v/>
      </c>
      <c r="AG82" s="747" t="str">
        <f>""</f>
        <v/>
      </c>
      <c r="AH82" s="748" t="str">
        <f>""</f>
        <v/>
      </c>
      <c r="AI82" s="747" t="str">
        <f>""</f>
        <v/>
      </c>
      <c r="AJ82" s="748"/>
      <c r="AK82" s="747"/>
      <c r="AL82" s="748" t="str">
        <f>""</f>
        <v/>
      </c>
      <c r="AM82" s="747" t="str">
        <f>""</f>
        <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f>
        <v/>
      </c>
      <c r="W83" s="661" t="str">
        <f>""</f>
        <v/>
      </c>
      <c r="X83" s="661" t="str">
        <f>""</f>
        <v/>
      </c>
      <c r="Y83" s="734" t="str">
        <f>""</f>
        <v/>
      </c>
      <c r="Z83" s="735" t="str">
        <f>""</f>
        <v/>
      </c>
      <c r="AA83" s="661">
        <v>0</v>
      </c>
      <c r="AB83" s="661" t="str">
        <f>""</f>
        <v/>
      </c>
      <c r="AC83" s="736"/>
      <c r="AD83" s="737" t="str">
        <f>""</f>
        <v/>
      </c>
      <c r="AE83" s="736" t="str">
        <f>""</f>
        <v/>
      </c>
      <c r="AF83" s="737" t="str">
        <f>""</f>
        <v/>
      </c>
      <c r="AG83" s="736" t="str">
        <f>""</f>
        <v/>
      </c>
      <c r="AH83" s="737" t="str">
        <f>""</f>
        <v/>
      </c>
      <c r="AI83" s="736" t="str">
        <f>""</f>
        <v/>
      </c>
      <c r="AJ83" s="737"/>
      <c r="AK83" s="736"/>
      <c r="AL83" s="737" t="str">
        <f>""</f>
        <v/>
      </c>
      <c r="AM83" s="736" t="str">
        <f>""</f>
        <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f>
        <v/>
      </c>
      <c r="W84" s="661" t="str">
        <f>""</f>
        <v/>
      </c>
      <c r="X84" s="661" t="str">
        <f>""</f>
        <v/>
      </c>
      <c r="Y84" s="734" t="str">
        <f>""</f>
        <v/>
      </c>
      <c r="Z84" s="735" t="str">
        <f>""</f>
        <v/>
      </c>
      <c r="AA84" s="661">
        <v>0</v>
      </c>
      <c r="AB84" s="661" t="str">
        <f>""</f>
        <v/>
      </c>
      <c r="AC84" s="736"/>
      <c r="AD84" s="737" t="str">
        <f>""</f>
        <v/>
      </c>
      <c r="AE84" s="736" t="str">
        <f>""</f>
        <v/>
      </c>
      <c r="AF84" s="737" t="str">
        <f>""</f>
        <v/>
      </c>
      <c r="AG84" s="736" t="str">
        <f>""</f>
        <v/>
      </c>
      <c r="AH84" s="737" t="str">
        <f>""</f>
        <v/>
      </c>
      <c r="AI84" s="736" t="str">
        <f>""</f>
        <v/>
      </c>
      <c r="AJ84" s="737"/>
      <c r="AK84" s="736"/>
      <c r="AL84" s="737" t="str">
        <f>""</f>
        <v/>
      </c>
      <c r="AM84" s="736" t="str">
        <f>""</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f>
        <v/>
      </c>
      <c r="W85" s="661" t="str">
        <f>""</f>
        <v/>
      </c>
      <c r="X85" s="661" t="str">
        <f>""</f>
        <v/>
      </c>
      <c r="Y85" s="734" t="str">
        <f>""</f>
        <v/>
      </c>
      <c r="Z85" s="735" t="str">
        <f>""</f>
        <v/>
      </c>
      <c r="AA85" s="661">
        <v>0</v>
      </c>
      <c r="AB85" s="661" t="str">
        <f>""</f>
        <v/>
      </c>
      <c r="AC85" s="736"/>
      <c r="AD85" s="737" t="str">
        <f>""</f>
        <v/>
      </c>
      <c r="AE85" s="736" t="str">
        <f>""</f>
        <v/>
      </c>
      <c r="AF85" s="737" t="str">
        <f>""</f>
        <v/>
      </c>
      <c r="AG85" s="736" t="str">
        <f>""</f>
        <v/>
      </c>
      <c r="AH85" s="737" t="str">
        <f>""</f>
        <v/>
      </c>
      <c r="AI85" s="736" t="str">
        <f>""</f>
        <v/>
      </c>
      <c r="AJ85" s="737"/>
      <c r="AK85" s="736"/>
      <c r="AL85" s="737" t="str">
        <f>""</f>
        <v/>
      </c>
      <c r="AM85" s="736" t="str">
        <f>""</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f>
        <v/>
      </c>
      <c r="W86" s="661" t="str">
        <f>""</f>
        <v/>
      </c>
      <c r="X86" s="661" t="str">
        <f>""</f>
        <v/>
      </c>
      <c r="Y86" s="734" t="str">
        <f>""</f>
        <v/>
      </c>
      <c r="Z86" s="735" t="str">
        <f>""</f>
        <v/>
      </c>
      <c r="AA86" s="661">
        <v>0</v>
      </c>
      <c r="AB86" s="661" t="str">
        <f>""</f>
        <v/>
      </c>
      <c r="AC86" s="736"/>
      <c r="AD86" s="737" t="str">
        <f>""</f>
        <v/>
      </c>
      <c r="AE86" s="736" t="str">
        <f>""</f>
        <v/>
      </c>
      <c r="AF86" s="737" t="str">
        <f>""</f>
        <v/>
      </c>
      <c r="AG86" s="736" t="str">
        <f>""</f>
        <v/>
      </c>
      <c r="AH86" s="737" t="str">
        <f>""</f>
        <v/>
      </c>
      <c r="AI86" s="736" t="str">
        <f>""</f>
        <v/>
      </c>
      <c r="AJ86" s="737"/>
      <c r="AK86" s="736"/>
      <c r="AL86" s="737" t="str">
        <f>""</f>
        <v/>
      </c>
      <c r="AM86" s="736" t="str">
        <f>""</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f>
        <v/>
      </c>
      <c r="W87" s="661" t="str">
        <f>""</f>
        <v/>
      </c>
      <c r="X87" s="661" t="str">
        <f>""</f>
        <v/>
      </c>
      <c r="Y87" s="734" t="str">
        <f>""</f>
        <v/>
      </c>
      <c r="Z87" s="735" t="str">
        <f>""</f>
        <v/>
      </c>
      <c r="AA87" s="661">
        <v>0</v>
      </c>
      <c r="AB87" s="661" t="str">
        <f>""</f>
        <v/>
      </c>
      <c r="AC87" s="736"/>
      <c r="AD87" s="737" t="str">
        <f>""</f>
        <v/>
      </c>
      <c r="AE87" s="736" t="str">
        <f>""</f>
        <v/>
      </c>
      <c r="AF87" s="737" t="str">
        <f>""</f>
        <v/>
      </c>
      <c r="AG87" s="736" t="str">
        <f>""</f>
        <v/>
      </c>
      <c r="AH87" s="737" t="str">
        <f>""</f>
        <v/>
      </c>
      <c r="AI87" s="736" t="str">
        <f>""</f>
        <v/>
      </c>
      <c r="AJ87" s="737"/>
      <c r="AK87" s="736"/>
      <c r="AL87" s="737" t="str">
        <f>""</f>
        <v/>
      </c>
      <c r="AM87" s="736" t="str">
        <f>""</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f>
        <v/>
      </c>
      <c r="W88" s="661" t="str">
        <f>""</f>
        <v/>
      </c>
      <c r="X88" s="661" t="str">
        <f>""</f>
        <v/>
      </c>
      <c r="Y88" s="734" t="str">
        <f>""</f>
        <v/>
      </c>
      <c r="Z88" s="735" t="str">
        <f>""</f>
        <v/>
      </c>
      <c r="AA88" s="661">
        <v>0</v>
      </c>
      <c r="AB88" s="661" t="str">
        <f>""</f>
        <v/>
      </c>
      <c r="AC88" s="736"/>
      <c r="AD88" s="737" t="str">
        <f>""</f>
        <v/>
      </c>
      <c r="AE88" s="736" t="str">
        <f>""</f>
        <v/>
      </c>
      <c r="AF88" s="737" t="str">
        <f>""</f>
        <v/>
      </c>
      <c r="AG88" s="736" t="str">
        <f>""</f>
        <v/>
      </c>
      <c r="AH88" s="737" t="str">
        <f>""</f>
        <v/>
      </c>
      <c r="AI88" s="736" t="str">
        <f>""</f>
        <v/>
      </c>
      <c r="AJ88" s="737"/>
      <c r="AK88" s="736"/>
      <c r="AL88" s="737" t="str">
        <f>""</f>
        <v/>
      </c>
      <c r="AM88" s="736" t="str">
        <f>""</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f>
        <v/>
      </c>
      <c r="W89" s="661" t="str">
        <f>""</f>
        <v/>
      </c>
      <c r="X89" s="661" t="str">
        <f>""</f>
        <v/>
      </c>
      <c r="Y89" s="734" t="str">
        <f>""</f>
        <v/>
      </c>
      <c r="Z89" s="735" t="str">
        <f>""</f>
        <v/>
      </c>
      <c r="AA89" s="661">
        <v>0</v>
      </c>
      <c r="AB89" s="661" t="str">
        <f>""</f>
        <v/>
      </c>
      <c r="AC89" s="736"/>
      <c r="AD89" s="737" t="str">
        <f>""</f>
        <v/>
      </c>
      <c r="AE89" s="736" t="str">
        <f>""</f>
        <v/>
      </c>
      <c r="AF89" s="737" t="str">
        <f>""</f>
        <v/>
      </c>
      <c r="AG89" s="736" t="str">
        <f>""</f>
        <v/>
      </c>
      <c r="AH89" s="737" t="str">
        <f>""</f>
        <v/>
      </c>
      <c r="AI89" s="736" t="str">
        <f>""</f>
        <v/>
      </c>
      <c r="AJ89" s="737"/>
      <c r="AK89" s="736"/>
      <c r="AL89" s="737" t="str">
        <f>""</f>
        <v/>
      </c>
      <c r="AM89" s="736" t="str">
        <f>""</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f>
        <v/>
      </c>
      <c r="W90" s="661" t="str">
        <f>""</f>
        <v/>
      </c>
      <c r="X90" s="661" t="str">
        <f>""</f>
        <v/>
      </c>
      <c r="Y90" s="734" t="str">
        <f>""</f>
        <v/>
      </c>
      <c r="Z90" s="735" t="str">
        <f>""</f>
        <v/>
      </c>
      <c r="AA90" s="661">
        <v>0</v>
      </c>
      <c r="AB90" s="661" t="str">
        <f>""</f>
        <v/>
      </c>
      <c r="AC90" s="736"/>
      <c r="AD90" s="737" t="str">
        <f>""</f>
        <v/>
      </c>
      <c r="AE90" s="736" t="str">
        <f>""</f>
        <v/>
      </c>
      <c r="AF90" s="737" t="str">
        <f>""</f>
        <v/>
      </c>
      <c r="AG90" s="736" t="str">
        <f>""</f>
        <v/>
      </c>
      <c r="AH90" s="737" t="str">
        <f>""</f>
        <v/>
      </c>
      <c r="AI90" s="736" t="str">
        <f>""</f>
        <v/>
      </c>
      <c r="AJ90" s="737"/>
      <c r="AK90" s="736"/>
      <c r="AL90" s="737" t="str">
        <f>""</f>
        <v/>
      </c>
      <c r="AM90" s="736" t="str">
        <f>""</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f>
        <v/>
      </c>
      <c r="W91" s="661" t="str">
        <f>""</f>
        <v/>
      </c>
      <c r="X91" s="661" t="str">
        <f>""</f>
        <v/>
      </c>
      <c r="Y91" s="734" t="str">
        <f>""</f>
        <v/>
      </c>
      <c r="Z91" s="735" t="str">
        <f>""</f>
        <v/>
      </c>
      <c r="AA91" s="661">
        <v>0</v>
      </c>
      <c r="AB91" s="661" t="str">
        <f>""</f>
        <v/>
      </c>
      <c r="AC91" s="736"/>
      <c r="AD91" s="737" t="str">
        <f>""</f>
        <v/>
      </c>
      <c r="AE91" s="736" t="str">
        <f>""</f>
        <v/>
      </c>
      <c r="AF91" s="737" t="str">
        <f>""</f>
        <v/>
      </c>
      <c r="AG91" s="736" t="str">
        <f>""</f>
        <v/>
      </c>
      <c r="AH91" s="737" t="str">
        <f>""</f>
        <v/>
      </c>
      <c r="AI91" s="736" t="str">
        <f>""</f>
        <v/>
      </c>
      <c r="AJ91" s="737"/>
      <c r="AK91" s="736"/>
      <c r="AL91" s="737" t="str">
        <f>""</f>
        <v/>
      </c>
      <c r="AM91" s="736" t="str">
        <f>""</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f>
        <v/>
      </c>
      <c r="W92" s="661" t="str">
        <f>""</f>
        <v/>
      </c>
      <c r="X92" s="661" t="str">
        <f>""</f>
        <v/>
      </c>
      <c r="Y92" s="734" t="str">
        <f>""</f>
        <v/>
      </c>
      <c r="Z92" s="735" t="str">
        <f>""</f>
        <v/>
      </c>
      <c r="AA92" s="661">
        <v>0</v>
      </c>
      <c r="AB92" s="661" t="str">
        <f>""</f>
        <v/>
      </c>
      <c r="AC92" s="736"/>
      <c r="AD92" s="737" t="str">
        <f>""</f>
        <v/>
      </c>
      <c r="AE92" s="736" t="str">
        <f>""</f>
        <v/>
      </c>
      <c r="AF92" s="737" t="str">
        <f>""</f>
        <v/>
      </c>
      <c r="AG92" s="736" t="str">
        <f>""</f>
        <v/>
      </c>
      <c r="AH92" s="737" t="str">
        <f>""</f>
        <v/>
      </c>
      <c r="AI92" s="736" t="str">
        <f>""</f>
        <v/>
      </c>
      <c r="AJ92" s="737"/>
      <c r="AK92" s="736"/>
      <c r="AL92" s="737" t="str">
        <f>""</f>
        <v/>
      </c>
      <c r="AM92" s="736" t="str">
        <f>""</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x14ac:dyDescent="0.2">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f>
        <v/>
      </c>
      <c r="W93" s="661" t="str">
        <f>""</f>
        <v/>
      </c>
      <c r="X93" s="661" t="str">
        <f>""</f>
        <v/>
      </c>
      <c r="Y93" s="734" t="str">
        <f>""</f>
        <v/>
      </c>
      <c r="Z93" s="735" t="str">
        <f>""</f>
        <v/>
      </c>
      <c r="AA93" s="661">
        <v>0</v>
      </c>
      <c r="AB93" s="661" t="str">
        <f>""</f>
        <v/>
      </c>
      <c r="AC93" s="736"/>
      <c r="AD93" s="737" t="str">
        <f>""</f>
        <v/>
      </c>
      <c r="AE93" s="736" t="str">
        <f>""</f>
        <v/>
      </c>
      <c r="AF93" s="737" t="str">
        <f>""</f>
        <v/>
      </c>
      <c r="AG93" s="736" t="str">
        <f>""</f>
        <v/>
      </c>
      <c r="AH93" s="737" t="str">
        <f>""</f>
        <v/>
      </c>
      <c r="AI93" s="736" t="str">
        <f>""</f>
        <v/>
      </c>
      <c r="AJ93" s="737"/>
      <c r="AK93" s="736"/>
      <c r="AL93" s="737" t="str">
        <f>""</f>
        <v/>
      </c>
      <c r="AM93" s="736" t="str">
        <f>""</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x14ac:dyDescent="0.2">
      <c r="A94" s="660"/>
      <c r="B94" s="681"/>
      <c r="C94" s="681"/>
      <c r="D94" s="681"/>
      <c r="E94" s="681"/>
      <c r="F94" s="661"/>
      <c r="G94" s="661"/>
      <c r="H94" s="661"/>
      <c r="I94" s="661"/>
      <c r="J94" s="661"/>
      <c r="K94" s="661"/>
      <c r="L94" s="661"/>
      <c r="M94" s="661"/>
      <c r="N94" s="660"/>
      <c r="O94" s="660"/>
      <c r="P94" s="660"/>
      <c r="Q94" s="660"/>
      <c r="R94" s="660"/>
      <c r="S94" s="660"/>
      <c r="T94" s="660"/>
      <c r="U94" s="732" t="s">
        <v>45</v>
      </c>
      <c r="V94" s="733" t="str">
        <f>""</f>
        <v/>
      </c>
      <c r="W94" s="661" t="str">
        <f>""</f>
        <v/>
      </c>
      <c r="X94" s="661" t="str">
        <f>""</f>
        <v/>
      </c>
      <c r="Y94" s="734" t="str">
        <f>""</f>
        <v/>
      </c>
      <c r="Z94" s="735" t="str">
        <f>""</f>
        <v/>
      </c>
      <c r="AA94" s="661">
        <v>0</v>
      </c>
      <c r="AB94" s="661" t="str">
        <f>""</f>
        <v/>
      </c>
      <c r="AC94" s="736"/>
      <c r="AD94" s="737" t="str">
        <f>""</f>
        <v/>
      </c>
      <c r="AE94" s="736" t="str">
        <f>""</f>
        <v/>
      </c>
      <c r="AF94" s="737" t="str">
        <f>""</f>
        <v/>
      </c>
      <c r="AG94" s="736" t="str">
        <f>""</f>
        <v/>
      </c>
      <c r="AH94" s="737" t="str">
        <f>""</f>
        <v/>
      </c>
      <c r="AI94" s="736" t="str">
        <f>""</f>
        <v/>
      </c>
      <c r="AJ94" s="737"/>
      <c r="AK94" s="736"/>
      <c r="AL94" s="737" t="str">
        <f>""</f>
        <v/>
      </c>
      <c r="AM94" s="736"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
      </c>
      <c r="AA136" s="720">
        <f ca="1">AA64</f>
        <v>0</v>
      </c>
      <c r="AB136" s="661" t="str">
        <f ca="1">IF(AA64&gt;0,AI64&amp;Language!$E$99&amp;AH64,"")</f>
        <v/>
      </c>
      <c r="AC136" s="760" t="str">
        <f ca="1">IF(AA64&gt;0,AK64&amp;Language!$E$99&amp;AJ64,"")</f>
        <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FC Grönlingen1. FC Riedwald</v>
      </c>
      <c r="AA137" s="661">
        <f t="shared" ref="AA137:AA153" ca="1" si="50">AA65</f>
        <v>1</v>
      </c>
      <c r="AB137" s="661" t="str">
        <f ca="1">IF(AA65&gt;0,AI65&amp;Language!$E$99&amp;AH65,"")</f>
        <v>56 - 57</v>
      </c>
      <c r="AC137" s="763" t="str">
        <f ca="1">IF(AA65&gt;0,AK65&amp;Language!$E$99&amp;AJ65,"")</f>
        <v>1 - 2</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53" ca="1" si="51">W66&amp;V66</f>
        <v>Manchester CityMaibach 1822 eV</v>
      </c>
      <c r="AA138" s="661">
        <f t="shared" ca="1" si="50"/>
        <v>1</v>
      </c>
      <c r="AB138" s="661" t="str">
        <f ca="1">IF(AA66&gt;0,AI66&amp;Language!$E$99&amp;AH66,"")</f>
        <v>50 - 35</v>
      </c>
      <c r="AC138" s="763" t="str">
        <f ca="1">IF(AA66&gt;0,AK66&amp;Language!$E$99&amp;AJ66,"")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51"/>
        <v>Mainz 05</v>
      </c>
      <c r="AA139" s="661">
        <f t="shared" ca="1" si="50"/>
        <v>0</v>
      </c>
      <c r="AB139" s="661" t="str">
        <f ca="1">IF(AA67&gt;0,AI67&amp;Language!$E$99&amp;AH67,"")</f>
        <v/>
      </c>
      <c r="AC139" s="763" t="str">
        <f ca="1">IF(AA67&gt;0,AK67&amp;Language!$E$99&amp;AJ67,"")</f>
        <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51"/>
        <v>Eintracht FrankfurtSSV Wildbach</v>
      </c>
      <c r="AA140" s="661">
        <f t="shared" ca="1" si="50"/>
        <v>1</v>
      </c>
      <c r="AB140" s="661" t="str">
        <f ca="1">IF(AA68&gt;0,AI68&amp;Language!$E$99&amp;AH68,"")</f>
        <v>44 - 50</v>
      </c>
      <c r="AC140" s="763" t="str">
        <f ca="1">IF(AA68&gt;0,AK68&amp;Language!$E$99&amp;AJ68,"")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51"/>
        <v>VFB EssenheimInter Mailand</v>
      </c>
      <c r="AA141" s="661">
        <f t="shared" ca="1" si="50"/>
        <v>1</v>
      </c>
      <c r="AB141" s="661" t="str">
        <f ca="1">IF(AA69&gt;0,AI69&amp;Language!$E$99&amp;AH69,"")</f>
        <v>39 - 50</v>
      </c>
      <c r="AC141" s="763" t="str">
        <f ca="1">IF(AA69&gt;0,AK69&amp;Language!$E$99&amp;AJ69,"")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51"/>
        <v>FC Barcelona</v>
      </c>
      <c r="AA142" s="661">
        <f t="shared" ca="1" si="50"/>
        <v>0</v>
      </c>
      <c r="AB142" s="661" t="str">
        <f ca="1">IF(AA70&gt;0,AI70&amp;Language!$E$99&amp;AH70,"")</f>
        <v/>
      </c>
      <c r="AC142" s="763" t="str">
        <f ca="1">IF(AA70&gt;0,AK70&amp;Language!$E$99&amp;AJ70,"")</f>
        <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51"/>
        <v>Eintracht Frankfurt1. FC Riedwald</v>
      </c>
      <c r="AA143" s="661">
        <f t="shared" ca="1" si="50"/>
        <v>1</v>
      </c>
      <c r="AB143" s="661" t="str">
        <f ca="1">IF(AA71&gt;0,AI71&amp;Language!$E$99&amp;AH71,"")</f>
        <v>37 - 44</v>
      </c>
      <c r="AC143" s="763" t="str">
        <f ca="1">IF(AA71&gt;0,AK71&amp;Language!$E$99&amp;AJ71,"")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51"/>
        <v>VFB EssenheimMaibach 1822 eV</v>
      </c>
      <c r="AA144" s="661">
        <f t="shared" ca="1" si="50"/>
        <v>1</v>
      </c>
      <c r="AB144" s="661" t="str">
        <f ca="1">IF(AA72&gt;0,AI72&amp;Language!$E$99&amp;AH72,"")</f>
        <v>50 - 31</v>
      </c>
      <c r="AC144" s="763" t="str">
        <f ca="1">IF(AA72&gt;0,AK72&amp;Language!$E$99&amp;AJ72,"")</f>
        <v>2 - 0</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51"/>
        <v>Mainz 05</v>
      </c>
      <c r="AA145" s="661">
        <f t="shared" ca="1" si="50"/>
        <v>0</v>
      </c>
      <c r="AB145" s="661" t="str">
        <f ca="1">IF(AA73&gt;0,AI73&amp;Language!$E$99&amp;AH73,"")</f>
        <v/>
      </c>
      <c r="AC145" s="763" t="str">
        <f ca="1">IF(AA73&gt;0,AK73&amp;Language!$E$99&amp;AJ73,"")</f>
        <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51"/>
        <v>FC GrönlingenSSV Wildbach</v>
      </c>
      <c r="AA146" s="661">
        <f t="shared" ca="1" si="50"/>
        <v>1</v>
      </c>
      <c r="AB146" s="661" t="str">
        <f ca="1">IF(AA74&gt;0,AI74&amp;Language!$E$99&amp;AH74,"")</f>
        <v>45 - 47</v>
      </c>
      <c r="AC146" s="763" t="str">
        <f ca="1">IF(AA74&gt;0,AK74&amp;Language!$E$99&amp;AJ74,"")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51"/>
        <v>Manchester CityInter Mailand</v>
      </c>
      <c r="AA147" s="661">
        <f t="shared" ca="1" si="50"/>
        <v>1</v>
      </c>
      <c r="AB147" s="661" t="str">
        <f ca="1">IF(AA75&gt;0,AI75&amp;Language!$E$99&amp;AH75,"")</f>
        <v>44 - 44</v>
      </c>
      <c r="AC147" s="763" t="str">
        <f ca="1">IF(AA75&gt;0,AK75&amp;Language!$E$99&amp;AJ75,"")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51"/>
        <v/>
      </c>
      <c r="AA148" s="661">
        <f t="shared" ca="1" si="50"/>
        <v>0</v>
      </c>
      <c r="AB148" s="661" t="str">
        <f ca="1">IF(AA76&gt;0,AI76&amp;Language!$E$99&amp;AH76,"")</f>
        <v/>
      </c>
      <c r="AC148" s="763" t="str">
        <f ca="1">IF(AA76&gt;0,AK76&amp;Language!$E$99&amp;AJ76,"")</f>
        <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51"/>
        <v>FC GrönlingenEintracht Frankfurt</v>
      </c>
      <c r="AA149" s="661">
        <f t="shared" ca="1" si="50"/>
        <v>1</v>
      </c>
      <c r="AB149" s="661" t="str">
        <f ca="1">IF(AA77&gt;0,AI77&amp;Language!$E$99&amp;AH77,"")</f>
        <v>48 - 39</v>
      </c>
      <c r="AC149" s="763" t="str">
        <f ca="1">IF(AA77&gt;0,AK77&amp;Language!$E$99&amp;AJ77,"")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51"/>
        <v>Manchester CityVFB Essenheim</v>
      </c>
      <c r="AA150" s="661">
        <f t="shared" ca="1" si="50"/>
        <v>1</v>
      </c>
      <c r="AB150" s="661" t="str">
        <f ca="1">IF(AA78&gt;0,AI78&amp;Language!$E$99&amp;AH78,"")</f>
        <v>42 - 46</v>
      </c>
      <c r="AC150" s="763" t="str">
        <f ca="1">IF(AA78&gt;0,AK78&amp;Language!$E$99&amp;AJ78,"")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51"/>
        <v>Mainz 05FC Barcelona</v>
      </c>
      <c r="AA151" s="661">
        <f t="shared" ca="1" si="50"/>
        <v>1</v>
      </c>
      <c r="AB151" s="661" t="str">
        <f ca="1">IF(AA79&gt;0,AI79&amp;Language!$E$99&amp;AH79,"")</f>
        <v>65 - 70</v>
      </c>
      <c r="AC151" s="763" t="str">
        <f ca="1">IF(AA79&gt;0,AK79&amp;Language!$E$99&amp;AJ79,"")</f>
        <v>1 - 2</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51"/>
        <v>SSV Wildbach1. FC Riedwald</v>
      </c>
      <c r="AA152" s="661">
        <f t="shared" ca="1" si="50"/>
        <v>1</v>
      </c>
      <c r="AB152" s="661" t="str">
        <f ca="1">IF(AA80&gt;0,AI80&amp;Language!$E$99&amp;AH80,"")</f>
        <v>39 - 50</v>
      </c>
      <c r="AC152" s="763" t="str">
        <f ca="1">IF(AA80&gt;0,AK80&amp;Language!$E$99&amp;AJ80,"")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ht="12.75" thickBot="1" x14ac:dyDescent="0.25">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51"/>
        <v>Inter MailandMaibach 1822 eV</v>
      </c>
      <c r="AA153" s="661">
        <f t="shared" ca="1" si="50"/>
        <v>1</v>
      </c>
      <c r="AB153" s="661" t="str">
        <f ca="1">IF(AA81&gt;0,AI81&amp;Language!$E$99&amp;AH81,"")</f>
        <v>33 - 50</v>
      </c>
      <c r="AC153" s="763" t="str">
        <f ca="1">IF(AA81&gt;0,AK81&amp;Language!$E$99&amp;AJ81,"")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ht="12.75" thickTop="1"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42" t="s">
        <v>33</v>
      </c>
      <c r="Z154" s="746" t="str">
        <f>""</f>
        <v/>
      </c>
      <c r="AA154" s="744">
        <v>0</v>
      </c>
      <c r="AB154" s="744" t="str">
        <f>""</f>
        <v/>
      </c>
      <c r="AC154" s="765" t="str">
        <f>""</f>
        <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f>
        <v/>
      </c>
      <c r="AA155" s="661">
        <v>0</v>
      </c>
      <c r="AB155" s="661" t="str">
        <f>""</f>
        <v/>
      </c>
      <c r="AC155" s="763" t="str">
        <f>""</f>
        <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f>
        <v/>
      </c>
      <c r="AA156" s="661">
        <v>0</v>
      </c>
      <c r="AB156" s="661" t="str">
        <f>""</f>
        <v/>
      </c>
      <c r="AC156" s="763" t="str">
        <f>""</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f>
        <v/>
      </c>
      <c r="AA157" s="661">
        <v>0</v>
      </c>
      <c r="AB157" s="661" t="str">
        <f>""</f>
        <v/>
      </c>
      <c r="AC157" s="763" t="str">
        <f>""</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f>
        <v/>
      </c>
      <c r="AA158" s="661">
        <v>0</v>
      </c>
      <c r="AB158" s="661" t="str">
        <f>""</f>
        <v/>
      </c>
      <c r="AC158" s="763" t="str">
        <f>""</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f>
        <v/>
      </c>
      <c r="AA159" s="661">
        <v>0</v>
      </c>
      <c r="AB159" s="661" t="str">
        <f>""</f>
        <v/>
      </c>
      <c r="AC159" s="763" t="str">
        <f>""</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f>
        <v/>
      </c>
      <c r="AA160" s="661">
        <v>0</v>
      </c>
      <c r="AB160" s="661" t="str">
        <f>""</f>
        <v/>
      </c>
      <c r="AC160" s="763" t="str">
        <f>""</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f>
        <v/>
      </c>
      <c r="AA161" s="661">
        <v>0</v>
      </c>
      <c r="AB161" s="661" t="str">
        <f>""</f>
        <v/>
      </c>
      <c r="AC161" s="763" t="str">
        <f>""</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f>
        <v/>
      </c>
      <c r="AA162" s="661">
        <v>0</v>
      </c>
      <c r="AB162" s="661" t="str">
        <f>""</f>
        <v/>
      </c>
      <c r="AC162" s="763" t="str">
        <f>""</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f>
        <v/>
      </c>
      <c r="AA163" s="661">
        <v>0</v>
      </c>
      <c r="AB163" s="661" t="str">
        <f>""</f>
        <v/>
      </c>
      <c r="AC163" s="763" t="str">
        <f>""</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f>
        <v/>
      </c>
      <c r="AA164" s="661">
        <v>0</v>
      </c>
      <c r="AB164" s="661" t="str">
        <f>""</f>
        <v/>
      </c>
      <c r="AC164" s="763" t="str">
        <f>""</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x14ac:dyDescent="0.2">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f>
        <v/>
      </c>
      <c r="AA165" s="661">
        <v>0</v>
      </c>
      <c r="AB165" s="661" t="str">
        <f>""</f>
        <v/>
      </c>
      <c r="AC165" s="763" t="str">
        <f>""</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32" t="s">
        <v>45</v>
      </c>
      <c r="Z166" s="735" t="str">
        <f>""</f>
        <v/>
      </c>
      <c r="AA166" s="661">
        <v>0</v>
      </c>
      <c r="AB166" s="661" t="str">
        <f>""</f>
        <v/>
      </c>
      <c r="AC166" s="763"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DC9-F0AC-42FA-9808-2B76ABCEF7E0}">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140625" style="2" customWidth="1"/>
    <col min="8" max="9" width="6.42578125" style="2" customWidth="1"/>
    <col min="10" max="10" width="8.28515625" style="2" customWidth="1"/>
    <col min="11" max="11" width="13.5703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6" width="8.42578125" style="2" customWidth="1"/>
    <col min="47" max="47" width="9.28515625" style="2" customWidth="1"/>
    <col min="48" max="48" width="8.140625" style="2" customWidth="1"/>
    <col min="49" max="49" width="10" style="2" customWidth="1"/>
    <col min="50"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387</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71" t="s">
        <v>388</v>
      </c>
      <c r="J3" s="666" t="s">
        <v>108</v>
      </c>
      <c r="K3" s="771" t="s">
        <v>101</v>
      </c>
      <c r="L3" s="666" t="s">
        <v>102</v>
      </c>
      <c r="M3" s="666" t="s">
        <v>103</v>
      </c>
      <c r="N3" s="666" t="s">
        <v>104</v>
      </c>
      <c r="O3" s="667"/>
      <c r="P3" s="668"/>
      <c r="Q3" s="668"/>
      <c r="R3" s="668"/>
      <c r="S3" s="668"/>
      <c r="T3" s="668"/>
      <c r="U3" s="668"/>
      <c r="V3" s="668"/>
      <c r="W3" s="1029"/>
      <c r="X3" s="1030"/>
      <c r="Y3" s="1030"/>
      <c r="Z3" s="1030"/>
      <c r="AA3" s="1030"/>
      <c r="AB3" s="1029"/>
      <c r="AC3" s="1030"/>
      <c r="AD3" s="1030"/>
      <c r="AE3" s="1030"/>
      <c r="AF3" s="1030"/>
      <c r="AG3" s="1029"/>
      <c r="AH3" s="1030"/>
      <c r="AI3" s="1030"/>
      <c r="AJ3" s="1030"/>
      <c r="AK3" s="1030"/>
      <c r="AL3" s="1029"/>
      <c r="AM3" s="1030"/>
      <c r="AN3" s="1030"/>
      <c r="AO3" s="1030"/>
      <c r="AP3" s="1030"/>
      <c r="AQ3" s="660"/>
      <c r="AR3" s="660"/>
      <c r="AS3" s="666" t="s">
        <v>358</v>
      </c>
      <c r="AT3" s="666" t="s">
        <v>317</v>
      </c>
      <c r="AU3" s="666" t="s">
        <v>389</v>
      </c>
      <c r="AV3" s="666" t="s">
        <v>357</v>
      </c>
      <c r="AW3" s="666"/>
      <c r="AX3" s="666" t="s">
        <v>390</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1</v>
      </c>
      <c r="D4" s="661">
        <f ca="1">E4+ROW()/1000+(F4="")*10</f>
        <v>1.004</v>
      </c>
      <c r="E4" s="671">
        <f ca="1">IF($AI$15,RANK(AH17,AH$17:AH$25,1),RANK(X17,X$17:X$25,1))</f>
        <v>1</v>
      </c>
      <c r="F4" s="662" t="str">
        <f ca="1">$Q64</f>
        <v>1. FC Riedwald</v>
      </c>
      <c r="G4" s="662">
        <f ca="1">SUMIFS($AH$64:$AH$135,$V$64:$V$135,$F4)+SUMIFS($AI$64:$AI$135,$W$64:$W$135,$F4)</f>
        <v>151</v>
      </c>
      <c r="H4" s="662">
        <f ca="1">SUMIFS($AI$64:$AI$135,$V$64:$V$135,$F4)+SUMIFS($AH$64:$AH$135,$W$64:$W$135,$F4)</f>
        <v>132</v>
      </c>
      <c r="I4" s="661">
        <f ca="1">IF(Settings!$G$24,G4-H4,IF(H4=0,IF(G4=0,0,Settings!$F$24),G4/H4))</f>
        <v>1.143939393939394</v>
      </c>
      <c r="J4" s="662">
        <f ca="1">$L4*Settings!$C$4+$M4</f>
        <v>5</v>
      </c>
      <c r="K4" s="662">
        <f ca="1">SUMPRODUCT(($V$64:$V$135=F4)*($AJ$64:$AJ$135&lt;&gt;"")*$AA$64:$AA$135)+SUMPRODUCT(($W$64:$W$135=F4)*($AK$64:$AK$135&lt;&gt;"")*$AA$64:$AA$135)</f>
        <v>3</v>
      </c>
      <c r="L4" s="662">
        <f ca="1">SUMPRODUCT(($V$64:$V$135=F4)*($AJ$64:$AJ$135&gt;$AK$64:$AK$135)*$AA$64:$AA$135)+SUMPRODUCT(($W$64:$W$135=F4)*($AJ$64:$AJ$135&lt;$AK$64:$AK$135)*$AA$64:$AA$135)</f>
        <v>2</v>
      </c>
      <c r="M4" s="662">
        <f t="shared" ref="M4:M12" ca="1" si="0">SUMPRODUCT(($V$64:$W$135=F4)*($AJ$64:$AJ$135=$AK$64:$AK$135)*$AA$64:$AA$135)</f>
        <v>1</v>
      </c>
      <c r="N4" s="662">
        <f ca="1">K4-L4-M4</f>
        <v>0</v>
      </c>
      <c r="O4" s="672"/>
      <c r="P4" s="672"/>
      <c r="Q4" s="672"/>
      <c r="R4" s="672"/>
      <c r="S4" s="660"/>
      <c r="T4" s="660"/>
      <c r="U4" s="660"/>
      <c r="V4" s="662"/>
      <c r="W4" s="450"/>
      <c r="X4" s="451"/>
      <c r="Y4" s="452"/>
      <c r="Z4" s="453"/>
      <c r="AA4" s="454"/>
      <c r="AB4" s="455"/>
      <c r="AC4" s="456"/>
      <c r="AD4" s="457"/>
      <c r="AE4" s="453"/>
      <c r="AF4" s="453"/>
      <c r="AG4" s="455"/>
      <c r="AH4" s="456"/>
      <c r="AI4" s="457"/>
      <c r="AJ4" s="453"/>
      <c r="AK4" s="458"/>
      <c r="AL4" s="456"/>
      <c r="AM4" s="456"/>
      <c r="AN4" s="457"/>
      <c r="AO4" s="453"/>
      <c r="AP4" s="458"/>
      <c r="AQ4" s="660"/>
      <c r="AR4" s="660"/>
      <c r="AS4" s="662">
        <f ca="1">SUMPRODUCT(($V$64:$V$135=F4)*$AK$64:$AK$135)+SUMPRODUCT(($W$64:$W$135=F4)*$AJ$64:$AJ$135)</f>
        <v>2</v>
      </c>
      <c r="AT4" s="662">
        <f ca="1">SUMPRODUCT(($V$64:$V$135=F4)*$AJ$64:$AJ$135)+SUMPRODUCT(($W$64:$W$135=F4)*$AK$64:$AK$135)</f>
        <v>5</v>
      </c>
      <c r="AU4" s="662">
        <f ca="1">AT4-AS4</f>
        <v>3</v>
      </c>
      <c r="AV4" s="662">
        <f ca="1">IF(Settings!$G$24,$I4,ROUND($I4,Settings!$H$24))</f>
        <v>1.1439999999999999</v>
      </c>
      <c r="AW4" s="662">
        <f ca="1">I4-(F4="")*10000</f>
        <v>1.143939393939394</v>
      </c>
      <c r="AX4" s="662">
        <f ca="1" xml:space="preserve"> RANK(AW4,$AW$4:$AW$12,1)</f>
        <v>9</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1">RANK(D5,$D$4:$D$12,1)</f>
        <v>3</v>
      </c>
      <c r="D5" s="661">
        <f t="shared" ref="D5:D12" ca="1" si="2">E5+ROW()/1000+(F5="")*10</f>
        <v>3.0049999999999999</v>
      </c>
      <c r="E5" s="671">
        <f t="shared" ref="E5:E12" ca="1" si="3">IF($AI$15,RANK(AH18,AH$17:AH$25,1),RANK(X18,X$17:X$25,1))</f>
        <v>3</v>
      </c>
      <c r="F5" s="662" t="str">
        <f t="shared" ref="F5:F12" ca="1" si="4">$Q65</f>
        <v>SSV Wildbach</v>
      </c>
      <c r="G5" s="662">
        <f t="shared" ref="G5:G12" ca="1" si="5">SUMIFS($AH$64:$AH$135,$V$64:$V$135,$F5)+SUMIFS($AI$64:$AI$135,$W$64:$W$135,$F5)</f>
        <v>136</v>
      </c>
      <c r="H5" s="662">
        <f t="shared" ref="H5:H12" ca="1" si="6">SUMIFS($AI$64:$AI$135,$V$64:$V$135,$F5)+SUMIFS($AH$64:$AH$135,$W$64:$W$135,$F5)</f>
        <v>139</v>
      </c>
      <c r="I5" s="661">
        <f ca="1">IF(Settings!$G$24,G5-H5,IF(H5=0,IF(G5=0,0,Settings!$F$24),G5/H5))</f>
        <v>0.97841726618705038</v>
      </c>
      <c r="J5" s="662">
        <f ca="1">$L5*Settings!$C$4+$M5</f>
        <v>3</v>
      </c>
      <c r="K5" s="662">
        <f t="shared" ref="K5:K12" ca="1" si="7">SUMPRODUCT(($V$64:$V$135=F5)*($AJ$64:$AJ$135&lt;&gt;"")*$AA$64:$AA$135)+SUMPRODUCT(($W$64:$W$135=F5)*($AK$64:$AK$135&lt;&gt;"")*$AA$64:$AA$135)</f>
        <v>3</v>
      </c>
      <c r="L5" s="662">
        <f t="shared" ref="L5:L12" ca="1" si="8">SUMPRODUCT(($V$64:$V$135=F5)*($AJ$64:$AJ$135&gt;$AK$64:$AK$135)*$AA$64:$AA$135)+SUMPRODUCT(($W$64:$W$135=F5)*($AJ$64:$AJ$135&lt;$AK$64:$AK$135)*$AA$64:$AA$135)</f>
        <v>1</v>
      </c>
      <c r="M5" s="662">
        <f t="shared" ca="1" si="0"/>
        <v>1</v>
      </c>
      <c r="N5" s="662">
        <f t="shared" ref="N5:N12" ca="1" si="9">K5-L5-M5</f>
        <v>1</v>
      </c>
      <c r="O5" s="674"/>
      <c r="P5" s="675"/>
      <c r="Q5" s="660"/>
      <c r="R5" s="660"/>
      <c r="S5" s="660"/>
      <c r="T5" s="660"/>
      <c r="U5" s="660"/>
      <c r="V5" s="662"/>
      <c r="W5" s="455"/>
      <c r="X5" s="456"/>
      <c r="Y5" s="453"/>
      <c r="Z5" s="453"/>
      <c r="AA5" s="458"/>
      <c r="AB5" s="455"/>
      <c r="AC5" s="456"/>
      <c r="AD5" s="457"/>
      <c r="AE5" s="453"/>
      <c r="AF5" s="453"/>
      <c r="AG5" s="455"/>
      <c r="AH5" s="456"/>
      <c r="AI5" s="457"/>
      <c r="AJ5" s="453"/>
      <c r="AK5" s="458"/>
      <c r="AL5" s="456"/>
      <c r="AM5" s="456"/>
      <c r="AN5" s="457"/>
      <c r="AO5" s="453"/>
      <c r="AP5" s="458"/>
      <c r="AQ5" s="660"/>
      <c r="AR5" s="660"/>
      <c r="AS5" s="662">
        <f t="shared" ref="AS5:AS12" ca="1" si="10">SUMPRODUCT(($V$64:$V$135=F5)*$AK$64:$AK$135)+SUMPRODUCT(($W$64:$W$135=F5)*$AJ$64:$AJ$135)</f>
        <v>3</v>
      </c>
      <c r="AT5" s="662">
        <f t="shared" ref="AT5:AT12" ca="1" si="11">SUMPRODUCT(($V$64:$V$135=F5)*$AJ$64:$AJ$135)+SUMPRODUCT(($W$64:$W$135=F5)*$AK$64:$AK$135)</f>
        <v>3</v>
      </c>
      <c r="AU5" s="662">
        <f t="shared" ref="AU5:AU12" ca="1" si="12">AT5-AS5</f>
        <v>0</v>
      </c>
      <c r="AV5" s="662">
        <f ca="1">IF(Settings!$G$24,$I5,ROUND($I5,Settings!$H$24))</f>
        <v>0.97799999999999998</v>
      </c>
      <c r="AW5" s="662">
        <f t="shared" ref="AW5:AW12" ca="1" si="13">I5-(F5="")*10000</f>
        <v>0.97841726618705038</v>
      </c>
      <c r="AX5" s="662">
        <f t="shared" ref="AX5:AX12" ca="1" si="14" xml:space="preserve"> RANK(AW5,$AW$4:$AW$12,1)</f>
        <v>7</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1"/>
        <v>4</v>
      </c>
      <c r="D6" s="661">
        <f t="shared" ca="1" si="2"/>
        <v>4.0060000000000002</v>
      </c>
      <c r="E6" s="671">
        <f t="shared" ca="1" si="3"/>
        <v>4</v>
      </c>
      <c r="F6" s="662" t="str">
        <f t="shared" ca="1" si="4"/>
        <v>Eintracht Frankfurt</v>
      </c>
      <c r="G6" s="662">
        <f t="shared" ca="1" si="5"/>
        <v>120</v>
      </c>
      <c r="H6" s="662">
        <f t="shared" ca="1" si="6"/>
        <v>142</v>
      </c>
      <c r="I6" s="661">
        <f ca="1">IF(Settings!$G$24,G6-H6,IF(H6=0,IF(G6=0,0,Settings!$F$24),G6/H6))</f>
        <v>0.84507042253521125</v>
      </c>
      <c r="J6" s="662">
        <f ca="1">$L6*Settings!$C$4+$M6</f>
        <v>2</v>
      </c>
      <c r="K6" s="662">
        <f t="shared" ca="1" si="7"/>
        <v>3</v>
      </c>
      <c r="L6" s="662">
        <f t="shared" ca="1" si="8"/>
        <v>0</v>
      </c>
      <c r="M6" s="662">
        <f t="shared" ca="1" si="0"/>
        <v>2</v>
      </c>
      <c r="N6" s="662">
        <f t="shared" ca="1" si="9"/>
        <v>1</v>
      </c>
      <c r="O6" s="674"/>
      <c r="P6" s="675"/>
      <c r="Q6" s="660"/>
      <c r="R6" s="660"/>
      <c r="S6" s="660"/>
      <c r="T6" s="660"/>
      <c r="U6" s="660"/>
      <c r="V6" s="662"/>
      <c r="W6" s="455"/>
      <c r="X6" s="456"/>
      <c r="Y6" s="453"/>
      <c r="Z6" s="453"/>
      <c r="AA6" s="458"/>
      <c r="AB6" s="455"/>
      <c r="AC6" s="456"/>
      <c r="AD6" s="457"/>
      <c r="AE6" s="453"/>
      <c r="AF6" s="453"/>
      <c r="AG6" s="455"/>
      <c r="AH6" s="456"/>
      <c r="AI6" s="457"/>
      <c r="AJ6" s="453"/>
      <c r="AK6" s="458"/>
      <c r="AL6" s="456"/>
      <c r="AM6" s="456"/>
      <c r="AN6" s="457"/>
      <c r="AO6" s="453"/>
      <c r="AP6" s="458"/>
      <c r="AQ6" s="660"/>
      <c r="AR6" s="660"/>
      <c r="AS6" s="662">
        <f t="shared" ca="1" si="10"/>
        <v>4</v>
      </c>
      <c r="AT6" s="662">
        <f t="shared" ca="1" si="11"/>
        <v>2</v>
      </c>
      <c r="AU6" s="662">
        <f t="shared" ca="1" si="12"/>
        <v>-2</v>
      </c>
      <c r="AV6" s="662">
        <f ca="1">IF(Settings!$G$24,$I6,ROUND($I6,Settings!$H$24))</f>
        <v>0.84499999999999997</v>
      </c>
      <c r="AW6" s="662">
        <f t="shared" ca="1" si="13"/>
        <v>0.84507042253521125</v>
      </c>
      <c r="AX6" s="662">
        <f t="shared" ca="1" si="14"/>
        <v>6</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1"/>
        <v>2</v>
      </c>
      <c r="D7" s="661">
        <f t="shared" ca="1" si="2"/>
        <v>2.0070000000000001</v>
      </c>
      <c r="E7" s="671">
        <f t="shared" ca="1" si="3"/>
        <v>2</v>
      </c>
      <c r="F7" s="662" t="str">
        <f t="shared" ca="1" si="4"/>
        <v>FC Grönlingen</v>
      </c>
      <c r="G7" s="662">
        <f t="shared" ca="1" si="5"/>
        <v>149</v>
      </c>
      <c r="H7" s="662">
        <f t="shared" ca="1" si="6"/>
        <v>143</v>
      </c>
      <c r="I7" s="661">
        <f ca="1">IF(Settings!$G$24,G7-H7,IF(H7=0,IF(G7=0,0,Settings!$F$24),G7/H7))</f>
        <v>1.0419580419580419</v>
      </c>
      <c r="J7" s="662">
        <f ca="1">$L7*Settings!$C$4+$M7</f>
        <v>2</v>
      </c>
      <c r="K7" s="662">
        <f t="shared" ca="1" si="7"/>
        <v>3</v>
      </c>
      <c r="L7" s="662">
        <f t="shared" ca="1" si="8"/>
        <v>0</v>
      </c>
      <c r="M7" s="662">
        <f t="shared" ca="1" si="0"/>
        <v>2</v>
      </c>
      <c r="N7" s="662">
        <f t="shared" ca="1" si="9"/>
        <v>1</v>
      </c>
      <c r="O7" s="674"/>
      <c r="P7" s="675"/>
      <c r="Q7" s="660"/>
      <c r="R7" s="660"/>
      <c r="S7" s="660"/>
      <c r="T7" s="660"/>
      <c r="U7" s="660"/>
      <c r="V7" s="662"/>
      <c r="W7" s="455"/>
      <c r="X7" s="456"/>
      <c r="Y7" s="453"/>
      <c r="Z7" s="453"/>
      <c r="AA7" s="458"/>
      <c r="AB7" s="455"/>
      <c r="AC7" s="456"/>
      <c r="AD7" s="457"/>
      <c r="AE7" s="453"/>
      <c r="AF7" s="453"/>
      <c r="AG7" s="455"/>
      <c r="AH7" s="456"/>
      <c r="AI7" s="457"/>
      <c r="AJ7" s="453"/>
      <c r="AK7" s="458"/>
      <c r="AL7" s="456"/>
      <c r="AM7" s="456"/>
      <c r="AN7" s="457"/>
      <c r="AO7" s="453"/>
      <c r="AP7" s="458"/>
      <c r="AQ7" s="660"/>
      <c r="AR7" s="660"/>
      <c r="AS7" s="662">
        <f t="shared" ca="1" si="10"/>
        <v>4</v>
      </c>
      <c r="AT7" s="662">
        <f t="shared" ca="1" si="11"/>
        <v>3</v>
      </c>
      <c r="AU7" s="662">
        <f t="shared" ca="1" si="12"/>
        <v>-1</v>
      </c>
      <c r="AV7" s="662">
        <f ca="1">IF(Settings!$G$24,$I7,ROUND($I7,Settings!$H$24))</f>
        <v>1.042</v>
      </c>
      <c r="AW7" s="662">
        <f t="shared" ca="1" si="13"/>
        <v>1.0419580419580419</v>
      </c>
      <c r="AX7" s="662">
        <f t="shared" ca="1" si="14"/>
        <v>8</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1"/>
        <v>5</v>
      </c>
      <c r="D8" s="661">
        <f t="shared" ca="1" si="2"/>
        <v>15.007999999999999</v>
      </c>
      <c r="E8" s="671">
        <f t="shared" ca="1" si="3"/>
        <v>5</v>
      </c>
      <c r="F8" s="662" t="str">
        <f t="shared" si="4"/>
        <v/>
      </c>
      <c r="G8" s="662">
        <f t="shared" ca="1" si="5"/>
        <v>0</v>
      </c>
      <c r="H8" s="662">
        <f t="shared" ca="1" si="6"/>
        <v>0</v>
      </c>
      <c r="I8" s="661">
        <f ca="1">IF(Settings!$G$24,G8-H8,IF(H8=0,IF(G8=0,0,Settings!$F$24),G8/H8))</f>
        <v>0</v>
      </c>
      <c r="J8" s="662">
        <f ca="1">$L8*Settings!$C$4+$M8</f>
        <v>0</v>
      </c>
      <c r="K8" s="662">
        <f t="shared" ca="1" si="7"/>
        <v>0</v>
      </c>
      <c r="L8" s="662">
        <f t="shared" ca="1" si="8"/>
        <v>0</v>
      </c>
      <c r="M8" s="662">
        <f t="shared" ca="1" si="0"/>
        <v>0</v>
      </c>
      <c r="N8" s="662">
        <f t="shared" ca="1" si="9"/>
        <v>0</v>
      </c>
      <c r="O8" s="660"/>
      <c r="P8" s="675"/>
      <c r="Q8" s="660"/>
      <c r="R8" s="660"/>
      <c r="S8" s="660"/>
      <c r="T8" s="660"/>
      <c r="U8" s="660"/>
      <c r="V8" s="660"/>
      <c r="W8" s="455"/>
      <c r="X8" s="456"/>
      <c r="Y8" s="453"/>
      <c r="Z8" s="453"/>
      <c r="AA8" s="458"/>
      <c r="AB8" s="455"/>
      <c r="AC8" s="456"/>
      <c r="AD8" s="457"/>
      <c r="AE8" s="453"/>
      <c r="AF8" s="453"/>
      <c r="AG8" s="455"/>
      <c r="AH8" s="456"/>
      <c r="AI8" s="457"/>
      <c r="AJ8" s="453"/>
      <c r="AK8" s="458"/>
      <c r="AL8" s="456"/>
      <c r="AM8" s="456"/>
      <c r="AN8" s="457"/>
      <c r="AO8" s="453"/>
      <c r="AP8" s="458"/>
      <c r="AQ8" s="660"/>
      <c r="AR8" s="660"/>
      <c r="AS8" s="662">
        <f t="shared" ca="1" si="10"/>
        <v>0</v>
      </c>
      <c r="AT8" s="662">
        <f t="shared" ca="1" si="11"/>
        <v>0</v>
      </c>
      <c r="AU8" s="662">
        <f t="shared" ca="1" si="12"/>
        <v>0</v>
      </c>
      <c r="AV8" s="662">
        <f ca="1">IF(Settings!$G$24,$I8,ROUND($I8,Settings!$H$24))</f>
        <v>0</v>
      </c>
      <c r="AW8" s="662">
        <f t="shared" ca="1" si="13"/>
        <v>-10000</v>
      </c>
      <c r="AX8" s="662">
        <f t="shared" ca="1" si="14"/>
        <v>1</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1"/>
        <v>6</v>
      </c>
      <c r="D9" s="661">
        <f t="shared" ca="1" si="2"/>
        <v>15.009</v>
      </c>
      <c r="E9" s="671">
        <f t="shared" ca="1" si="3"/>
        <v>5</v>
      </c>
      <c r="F9" s="662" t="str">
        <f t="shared" si="4"/>
        <v/>
      </c>
      <c r="G9" s="662">
        <f t="shared" ca="1" si="5"/>
        <v>0</v>
      </c>
      <c r="H9" s="662">
        <f t="shared" ca="1" si="6"/>
        <v>0</v>
      </c>
      <c r="I9" s="661">
        <f ca="1">IF(Settings!$G$24,G9-H9,IF(H9=0,IF(G9=0,0,Settings!$F$24),G9/H9))</f>
        <v>0</v>
      </c>
      <c r="J9" s="662">
        <f ca="1">$L9*Settings!$C$4+$M9</f>
        <v>0</v>
      </c>
      <c r="K9" s="662">
        <f t="shared" ca="1" si="7"/>
        <v>0</v>
      </c>
      <c r="L9" s="662">
        <f t="shared" ca="1" si="8"/>
        <v>0</v>
      </c>
      <c r="M9" s="662">
        <f t="shared" ca="1" si="0"/>
        <v>0</v>
      </c>
      <c r="N9" s="662">
        <f t="shared" ca="1" si="9"/>
        <v>0</v>
      </c>
      <c r="O9" s="660"/>
      <c r="P9" s="675"/>
      <c r="Q9" s="660"/>
      <c r="R9" s="660"/>
      <c r="S9" s="660"/>
      <c r="T9" s="660"/>
      <c r="U9" s="660"/>
      <c r="V9" s="660"/>
      <c r="W9" s="455"/>
      <c r="X9" s="456"/>
      <c r="Y9" s="453"/>
      <c r="Z9" s="453"/>
      <c r="AA9" s="458"/>
      <c r="AB9" s="455"/>
      <c r="AC9" s="456"/>
      <c r="AD9" s="457"/>
      <c r="AE9" s="453"/>
      <c r="AF9" s="453"/>
      <c r="AG9" s="455"/>
      <c r="AH9" s="456"/>
      <c r="AI9" s="457"/>
      <c r="AJ9" s="453"/>
      <c r="AK9" s="458"/>
      <c r="AL9" s="456"/>
      <c r="AM9" s="456"/>
      <c r="AN9" s="457"/>
      <c r="AO9" s="453"/>
      <c r="AP9" s="458"/>
      <c r="AQ9" s="660"/>
      <c r="AR9" s="660"/>
      <c r="AS9" s="662">
        <f t="shared" ca="1" si="10"/>
        <v>0</v>
      </c>
      <c r="AT9" s="662">
        <f t="shared" ca="1" si="11"/>
        <v>0</v>
      </c>
      <c r="AU9" s="662">
        <f t="shared" ca="1" si="12"/>
        <v>0</v>
      </c>
      <c r="AV9" s="662">
        <f ca="1">IF(Settings!$G$24,$I9,ROUND($I9,Settings!$H$24))</f>
        <v>0</v>
      </c>
      <c r="AW9" s="662">
        <f t="shared" ca="1" si="13"/>
        <v>-10000</v>
      </c>
      <c r="AX9" s="662">
        <f t="shared" ca="1" si="14"/>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1"/>
        <v>7</v>
      </c>
      <c r="D10" s="661">
        <f t="shared" ca="1" si="2"/>
        <v>15.01</v>
      </c>
      <c r="E10" s="671">
        <f t="shared" ca="1" si="3"/>
        <v>5</v>
      </c>
      <c r="F10" s="662" t="str">
        <f t="shared" si="4"/>
        <v/>
      </c>
      <c r="G10" s="662">
        <f t="shared" ca="1" si="5"/>
        <v>0</v>
      </c>
      <c r="H10" s="662">
        <f t="shared" ca="1" si="6"/>
        <v>0</v>
      </c>
      <c r="I10" s="661">
        <f ca="1">IF(Settings!$G$24,G10-H10,IF(H10=0,IF(G10=0,0,Settings!$F$24),G10/H10))</f>
        <v>0</v>
      </c>
      <c r="J10" s="662">
        <f ca="1">$L10*Settings!$C$4+$M10</f>
        <v>0</v>
      </c>
      <c r="K10" s="662">
        <f t="shared" ca="1" si="7"/>
        <v>0</v>
      </c>
      <c r="L10" s="662">
        <f t="shared" ca="1" si="8"/>
        <v>0</v>
      </c>
      <c r="M10" s="662">
        <f t="shared" ca="1" si="0"/>
        <v>0</v>
      </c>
      <c r="N10" s="662">
        <f t="shared" ca="1" si="9"/>
        <v>0</v>
      </c>
      <c r="O10" s="660"/>
      <c r="P10" s="675"/>
      <c r="Q10" s="660"/>
      <c r="R10" s="660"/>
      <c r="S10" s="660"/>
      <c r="T10" s="660"/>
      <c r="U10" s="660"/>
      <c r="V10" s="660"/>
      <c r="W10" s="455"/>
      <c r="X10" s="456"/>
      <c r="Y10" s="453"/>
      <c r="Z10" s="453"/>
      <c r="AA10" s="458"/>
      <c r="AB10" s="455"/>
      <c r="AC10" s="456"/>
      <c r="AD10" s="457"/>
      <c r="AE10" s="453"/>
      <c r="AF10" s="453"/>
      <c r="AG10" s="455"/>
      <c r="AH10" s="456"/>
      <c r="AI10" s="457"/>
      <c r="AJ10" s="453"/>
      <c r="AK10" s="458"/>
      <c r="AL10" s="456"/>
      <c r="AM10" s="456"/>
      <c r="AN10" s="457"/>
      <c r="AO10" s="453"/>
      <c r="AP10" s="458"/>
      <c r="AQ10" s="660"/>
      <c r="AR10" s="660"/>
      <c r="AS10" s="662">
        <f t="shared" ca="1" si="10"/>
        <v>0</v>
      </c>
      <c r="AT10" s="662">
        <f t="shared" ca="1" si="11"/>
        <v>0</v>
      </c>
      <c r="AU10" s="662">
        <f t="shared" ca="1" si="12"/>
        <v>0</v>
      </c>
      <c r="AV10" s="662">
        <f ca="1">IF(Settings!$G$24,$I10,ROUND($I10,Settings!$H$24))</f>
        <v>0</v>
      </c>
      <c r="AW10" s="662">
        <f t="shared" ca="1" si="13"/>
        <v>-10000</v>
      </c>
      <c r="AX10" s="662">
        <f t="shared" ca="1" si="14"/>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1"/>
        <v>8</v>
      </c>
      <c r="D11" s="661">
        <f t="shared" ca="1" si="2"/>
        <v>15.010999999999999</v>
      </c>
      <c r="E11" s="671">
        <f t="shared" ca="1" si="3"/>
        <v>5</v>
      </c>
      <c r="F11" s="662" t="str">
        <f t="shared" si="4"/>
        <v/>
      </c>
      <c r="G11" s="662">
        <f t="shared" ca="1" si="5"/>
        <v>0</v>
      </c>
      <c r="H11" s="662">
        <f t="shared" ca="1" si="6"/>
        <v>0</v>
      </c>
      <c r="I11" s="661">
        <f ca="1">IF(Settings!$G$24,G11-H11,IF(H11=0,IF(G11=0,0,Settings!$F$24),G11/H11))</f>
        <v>0</v>
      </c>
      <c r="J11" s="662">
        <f ca="1">$L11*Settings!$C$4+$M11</f>
        <v>0</v>
      </c>
      <c r="K11" s="662">
        <f t="shared" ca="1" si="7"/>
        <v>0</v>
      </c>
      <c r="L11" s="662">
        <f t="shared" ca="1" si="8"/>
        <v>0</v>
      </c>
      <c r="M11" s="662">
        <f t="shared" ca="1" si="0"/>
        <v>0</v>
      </c>
      <c r="N11" s="662">
        <f t="shared" ca="1" si="9"/>
        <v>0</v>
      </c>
      <c r="O11" s="661"/>
      <c r="P11" s="661"/>
      <c r="Q11" s="661"/>
      <c r="R11" s="661"/>
      <c r="S11" s="661"/>
      <c r="T11" s="661"/>
      <c r="U11" s="661"/>
      <c r="V11" s="661"/>
      <c r="W11" s="455"/>
      <c r="X11" s="456"/>
      <c r="Y11" s="453"/>
      <c r="Z11" s="453"/>
      <c r="AA11" s="458"/>
      <c r="AB11" s="455"/>
      <c r="AC11" s="456"/>
      <c r="AD11" s="457"/>
      <c r="AE11" s="453"/>
      <c r="AF11" s="453"/>
      <c r="AG11" s="455"/>
      <c r="AH11" s="456"/>
      <c r="AI11" s="457"/>
      <c r="AJ11" s="453"/>
      <c r="AK11" s="458"/>
      <c r="AL11" s="456"/>
      <c r="AM11" s="456"/>
      <c r="AN11" s="457"/>
      <c r="AO11" s="453"/>
      <c r="AP11" s="458"/>
      <c r="AQ11" s="660"/>
      <c r="AR11" s="660"/>
      <c r="AS11" s="662">
        <f t="shared" ca="1" si="10"/>
        <v>0</v>
      </c>
      <c r="AT11" s="662">
        <f t="shared" ca="1" si="11"/>
        <v>0</v>
      </c>
      <c r="AU11" s="662">
        <f t="shared" ca="1" si="12"/>
        <v>0</v>
      </c>
      <c r="AV11" s="662">
        <f ca="1">IF(Settings!$G$24,$I11,ROUND($I11,Settings!$H$24))</f>
        <v>0</v>
      </c>
      <c r="AW11" s="662">
        <f t="shared" ca="1" si="13"/>
        <v>-10000</v>
      </c>
      <c r="AX11" s="662">
        <f t="shared" ca="1" si="14"/>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1"/>
        <v>9</v>
      </c>
      <c r="D12" s="661">
        <f t="shared" ca="1" si="2"/>
        <v>15.012</v>
      </c>
      <c r="E12" s="671">
        <f t="shared" ca="1" si="3"/>
        <v>5</v>
      </c>
      <c r="F12" s="662" t="str">
        <f t="shared" si="4"/>
        <v/>
      </c>
      <c r="G12" s="662">
        <f t="shared" ca="1" si="5"/>
        <v>0</v>
      </c>
      <c r="H12" s="662">
        <f t="shared" ca="1" si="6"/>
        <v>0</v>
      </c>
      <c r="I12" s="661">
        <f ca="1">IF(Settings!$G$24,G12-H12,IF(H12=0,IF(G12=0,0,Settings!$F$24),G12/H12))</f>
        <v>0</v>
      </c>
      <c r="J12" s="662">
        <f ca="1">$L12*Settings!$C$4+$M12</f>
        <v>0</v>
      </c>
      <c r="K12" s="677">
        <f t="shared" ca="1" si="7"/>
        <v>0</v>
      </c>
      <c r="L12" s="662">
        <f t="shared" ca="1" si="8"/>
        <v>0</v>
      </c>
      <c r="M12" s="662">
        <f t="shared" ca="1" si="0"/>
        <v>0</v>
      </c>
      <c r="N12" s="662">
        <f t="shared" ca="1" si="9"/>
        <v>0</v>
      </c>
      <c r="O12" s="662"/>
      <c r="P12" s="662"/>
      <c r="Q12" s="662"/>
      <c r="R12" s="662"/>
      <c r="S12" s="662"/>
      <c r="T12" s="662"/>
      <c r="U12" s="662"/>
      <c r="V12" s="662"/>
      <c r="W12" s="459"/>
      <c r="X12" s="460"/>
      <c r="Y12" s="461"/>
      <c r="Z12" s="461"/>
      <c r="AA12" s="462"/>
      <c r="AB12" s="459"/>
      <c r="AC12" s="460"/>
      <c r="AD12" s="463"/>
      <c r="AE12" s="461"/>
      <c r="AF12" s="461"/>
      <c r="AG12" s="459"/>
      <c r="AH12" s="460"/>
      <c r="AI12" s="463"/>
      <c r="AJ12" s="461"/>
      <c r="AK12" s="462"/>
      <c r="AL12" s="460"/>
      <c r="AM12" s="460"/>
      <c r="AN12" s="463"/>
      <c r="AO12" s="461"/>
      <c r="AP12" s="462"/>
      <c r="AQ12" s="660"/>
      <c r="AR12" s="660"/>
      <c r="AS12" s="662">
        <f t="shared" ca="1" si="10"/>
        <v>0</v>
      </c>
      <c r="AT12" s="662">
        <f t="shared" ca="1" si="11"/>
        <v>0</v>
      </c>
      <c r="AU12" s="662">
        <f t="shared" ca="1" si="12"/>
        <v>0</v>
      </c>
      <c r="AV12" s="662">
        <f ca="1">IF(Settings!$G$24,$I12,ROUND($I12,Settings!$H$24))</f>
        <v>0</v>
      </c>
      <c r="AW12" s="662">
        <f t="shared" ca="1" si="13"/>
        <v>-10000</v>
      </c>
      <c r="AX12" s="662">
        <f t="shared" ca="1" si="14"/>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 ca="1">$F$13*($F$13-1)</f>
        <v>12</v>
      </c>
      <c r="C13" s="661"/>
      <c r="D13" s="661"/>
      <c r="E13" s="661"/>
      <c r="F13" s="661">
        <f ca="1">9-COUNTBLANK($F$4:$F$12)</f>
        <v>4</v>
      </c>
      <c r="G13" s="661"/>
      <c r="H13" s="661"/>
      <c r="I13" s="661"/>
      <c r="J13" s="661"/>
      <c r="K13" s="666">
        <f ca="1">QUOTIENT(SUM(K4:K12),2)</f>
        <v>6</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f ca="1">MAX($B$13,Calc2!$B$13)/2*3</f>
        <v>30</v>
      </c>
      <c r="C14" s="660"/>
      <c r="D14" s="662" t="s">
        <v>391</v>
      </c>
      <c r="E14" s="660"/>
      <c r="F14" s="678">
        <f ca="1">MAX($F$13,Calc2!$F$13)</f>
        <v>5</v>
      </c>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71" t="s">
        <v>96</v>
      </c>
      <c r="D16" s="771" t="s">
        <v>101</v>
      </c>
      <c r="E16" s="771" t="s">
        <v>102</v>
      </c>
      <c r="F16" s="771" t="s">
        <v>103</v>
      </c>
      <c r="G16" s="771" t="s">
        <v>104</v>
      </c>
      <c r="H16" s="771" t="s">
        <v>105</v>
      </c>
      <c r="I16" s="771" t="s">
        <v>106</v>
      </c>
      <c r="J16" s="771" t="s">
        <v>107</v>
      </c>
      <c r="K16" s="771" t="s">
        <v>392</v>
      </c>
      <c r="L16" s="3" t="s">
        <v>319</v>
      </c>
      <c r="M16" s="664" t="s">
        <v>95</v>
      </c>
      <c r="N16" s="664" t="s">
        <v>14</v>
      </c>
      <c r="O16" s="682">
        <v>1</v>
      </c>
      <c r="P16" s="662">
        <v>2</v>
      </c>
      <c r="Q16" s="662">
        <v>3</v>
      </c>
      <c r="R16" s="662">
        <v>4</v>
      </c>
      <c r="S16" s="662">
        <v>5</v>
      </c>
      <c r="T16" s="662">
        <v>6</v>
      </c>
      <c r="U16" s="662">
        <v>7</v>
      </c>
      <c r="V16" s="662">
        <v>8</v>
      </c>
      <c r="W16" s="3" t="s">
        <v>97</v>
      </c>
      <c r="X16" s="651" t="s">
        <v>163</v>
      </c>
      <c r="Y16" s="3" t="s">
        <v>393</v>
      </c>
      <c r="Z16" s="651" t="s">
        <v>394</v>
      </c>
      <c r="AA16" s="662" t="s">
        <v>317</v>
      </c>
      <c r="AB16" s="662" t="s">
        <v>107</v>
      </c>
      <c r="AC16" s="662" t="s">
        <v>105</v>
      </c>
      <c r="AD16" s="683" t="s">
        <v>395</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 ca="1">$Q64</f>
        <v>1. FC Riedwald</v>
      </c>
      <c r="D17" s="662">
        <f t="shared" ref="D17:G25" ca="1" si="15">K4</f>
        <v>3</v>
      </c>
      <c r="E17" s="662">
        <f t="shared" ca="1" si="15"/>
        <v>2</v>
      </c>
      <c r="F17" s="662">
        <f t="shared" ca="1" si="15"/>
        <v>1</v>
      </c>
      <c r="G17" s="662">
        <f t="shared" ca="1" si="15"/>
        <v>0</v>
      </c>
      <c r="H17" s="662">
        <f t="shared" ref="H17:J25" ca="1" si="16">G4</f>
        <v>151</v>
      </c>
      <c r="I17" s="662">
        <f t="shared" ca="1" si="16"/>
        <v>132</v>
      </c>
      <c r="J17" s="661">
        <f t="shared" ca="1" si="16"/>
        <v>1.143939393939394</v>
      </c>
      <c r="K17" s="662">
        <f ca="1">IF(Settings!$G$9,J4,$AT4)</f>
        <v>5</v>
      </c>
      <c r="L17" s="686">
        <f ca="1">K17*$F$64+(AU4+$H$65)*$F$65*Settings!$G$14+AT4*$F$66*Settings!$G$19+AX4*$F$67</f>
        <v>5000000.0089999996</v>
      </c>
      <c r="M17" s="678">
        <f ca="1">IF($AI$15,COUNTIF($K$17:$K$25,K17),COUNTIF($L$17:$L$25,L17))</f>
        <v>1</v>
      </c>
      <c r="N17" s="678">
        <f t="array" aca="1" ref="N17" ca="1">IF($AI$15,SUM(($K$17:$K$25&gt;=K17)/COUNTIF($K$17:$K$25,$K$17:$K$25)),SUM(($L$17:$L$25&gt;=L17)/COUNTIF($L$17:$L$25,$L$17:$L$25)))</f>
        <v>1</v>
      </c>
      <c r="O17" s="687" t="str">
        <f t="shared" ref="O17:O25" ca="1" si="17">IF(AND(M17&gt;1,N17=1),C17,"")</f>
        <v/>
      </c>
      <c r="P17" s="688" t="str">
        <f t="shared" ref="P17:P25" ca="1" si="18">IF(AND(M17&gt;1,N17=2),C17,"")</f>
        <v/>
      </c>
      <c r="Q17" s="688" t="str">
        <f t="shared" ref="Q17:Q25" ca="1" si="19">IF(AND(M17&gt;1,N17=3),C17,"")</f>
        <v/>
      </c>
      <c r="R17" s="688" t="str">
        <f t="shared" ref="R17:R25" ca="1" si="20">IF(AND(M17&gt;1,N17=4),C17,"")</f>
        <v/>
      </c>
      <c r="S17" s="688" t="str">
        <f t="shared" ref="S17:S25" ca="1" si="21">IF(AND(M17&gt;1,N17=5),C17,"")</f>
        <v/>
      </c>
      <c r="T17" s="688" t="str">
        <f t="shared" ref="T17:T25" ca="1" si="22">IF(AND($M17&gt;1,$N17=6),$C17,"")</f>
        <v/>
      </c>
      <c r="U17" s="688" t="str">
        <f t="shared" ref="U17:U25" ca="1" si="23">IF(AND($M17&gt;1,$N17=7),$C17,"")</f>
        <v/>
      </c>
      <c r="V17" s="689" t="str">
        <f t="shared" ref="V17:V25" ca="1" si="24">IF(AND($M17&gt;1,$N17=8),$C17,"")</f>
        <v/>
      </c>
      <c r="W17" s="690">
        <f ca="1">AA17*$F$64+(AB17+$H$65)*$F$65</f>
        <v>500000</v>
      </c>
      <c r="X17" s="670">
        <f ca="1">RANK($L17,$L$17:$L$25)+RANK($W17,$W$17:$W$25)/100+(9-$Y17)/10000+($C17="")*100</f>
        <v>1.0108999999999999</v>
      </c>
      <c r="Y17" s="661">
        <f ca="1">'Finals 4'!$AU19+$AD17</f>
        <v>0</v>
      </c>
      <c r="Z17" s="662">
        <f ca="1">RANK($W17,$W$17:$W$25)+(9-$Y17)/10</f>
        <v>1.9</v>
      </c>
      <c r="AA17" s="662">
        <f ca="1">SUM(E30:BP30)</f>
        <v>0</v>
      </c>
      <c r="AB17" s="662">
        <f ca="1">SUM(E41:BP41)</f>
        <v>0</v>
      </c>
      <c r="AC17" s="662">
        <f ca="1">SUM(E52:BP52)</f>
        <v>0</v>
      </c>
      <c r="AD17" s="661">
        <f ca="1">IF($C17="",0,COUNTIF(Playoffs!$U$25:$U$30,$C17))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ca="1" si="25">$Q65</f>
        <v>SSV Wildbach</v>
      </c>
      <c r="D18" s="662">
        <f t="shared" ca="1" si="15"/>
        <v>3</v>
      </c>
      <c r="E18" s="662">
        <f t="shared" ca="1" si="15"/>
        <v>1</v>
      </c>
      <c r="F18" s="662">
        <f t="shared" ca="1" si="15"/>
        <v>1</v>
      </c>
      <c r="G18" s="662">
        <f t="shared" ca="1" si="15"/>
        <v>1</v>
      </c>
      <c r="H18" s="662">
        <f t="shared" ca="1" si="16"/>
        <v>136</v>
      </c>
      <c r="I18" s="662">
        <f t="shared" ca="1" si="16"/>
        <v>139</v>
      </c>
      <c r="J18" s="661">
        <f t="shared" ca="1" si="16"/>
        <v>0.97841726618705038</v>
      </c>
      <c r="K18" s="662">
        <f ca="1">IF(Settings!$G$9,J5,$AT5)</f>
        <v>3</v>
      </c>
      <c r="L18" s="686">
        <f ca="1">K18*$F$64+(AU5+$H$65)*$F$65*Settings!$G$14+AT5*$F$66*Settings!$G$19+AX5*$F$67</f>
        <v>3000000.0070000002</v>
      </c>
      <c r="M18" s="678">
        <f t="shared" ref="M18:M25" ca="1" si="26">IF($AI$15,COUNTIF($K$17:$K$25,K18),COUNTIF($L$17:$L$25,L18))</f>
        <v>1</v>
      </c>
      <c r="N18" s="678">
        <f t="array" aca="1" ref="N18" ca="1">IF($AI$15,SUM(($K$17:$K$25&gt;=K18)/COUNTIF($K$17:$K$25,$K$17:$K$25)),SUM(($L$17:$L$25&gt;=L18)/COUNTIF($L$17:$L$25,$L$17:$L$25)))</f>
        <v>3</v>
      </c>
      <c r="O18" s="692" t="str">
        <f t="shared" ca="1" si="17"/>
        <v/>
      </c>
      <c r="P18" s="681" t="str">
        <f t="shared" ca="1" si="18"/>
        <v/>
      </c>
      <c r="Q18" s="681" t="str">
        <f t="shared" ca="1" si="19"/>
        <v/>
      </c>
      <c r="R18" s="681" t="str">
        <f t="shared" ca="1" si="20"/>
        <v/>
      </c>
      <c r="S18" s="681" t="str">
        <f t="shared" ca="1" si="21"/>
        <v/>
      </c>
      <c r="T18" s="681" t="str">
        <f t="shared" ca="1" si="22"/>
        <v/>
      </c>
      <c r="U18" s="681" t="str">
        <f t="shared" ca="1" si="23"/>
        <v/>
      </c>
      <c r="V18" s="693" t="str">
        <f t="shared" ca="1" si="24"/>
        <v/>
      </c>
      <c r="W18" s="690">
        <f t="shared" ref="W18:W25" ca="1" si="27">AA18*$F$64+(AB18+$H$65)*$F$65</f>
        <v>500000</v>
      </c>
      <c r="X18" s="673">
        <f t="shared" ref="X18:X25" ca="1" si="28">RANK($L18,$L$17:$L$25)+RANK($W18,$W$17:$W$25)/100+(9-$Y18)/10000+($C18="")*100</f>
        <v>3.0108999999999999</v>
      </c>
      <c r="Y18" s="661">
        <f ca="1">'Finals 4'!$AU20+$AD18</f>
        <v>0</v>
      </c>
      <c r="Z18" s="662">
        <f t="shared" ref="Z18:Z25" ca="1" si="29">RANK($W18,$W$17:$W$25)+(9-$Y18)/10</f>
        <v>1.9</v>
      </c>
      <c r="AA18" s="662">
        <f t="shared" ref="AA18:AA25" ca="1" si="30">SUM(E31:BP31)</f>
        <v>0</v>
      </c>
      <c r="AB18" s="662">
        <f t="shared" ref="AB18:AB25" ca="1" si="31">SUM(E42:BP42)</f>
        <v>0</v>
      </c>
      <c r="AC18" s="662">
        <f t="shared" ref="AC18:AC25" ca="1" si="32">SUM(E53:BP53)</f>
        <v>0</v>
      </c>
      <c r="AD18" s="661">
        <f ca="1">IF($C18="",0,COUNTIF(Playoffs!$U$25:$U$30,$C18))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ca="1" si="25"/>
        <v>Eintracht Frankfurt</v>
      </c>
      <c r="D19" s="662">
        <f t="shared" ca="1" si="15"/>
        <v>3</v>
      </c>
      <c r="E19" s="662">
        <f t="shared" ca="1" si="15"/>
        <v>0</v>
      </c>
      <c r="F19" s="662">
        <f t="shared" ca="1" si="15"/>
        <v>2</v>
      </c>
      <c r="G19" s="662">
        <f t="shared" ca="1" si="15"/>
        <v>1</v>
      </c>
      <c r="H19" s="662">
        <f t="shared" ca="1" si="16"/>
        <v>120</v>
      </c>
      <c r="I19" s="662">
        <f t="shared" ca="1" si="16"/>
        <v>142</v>
      </c>
      <c r="J19" s="661">
        <f t="shared" ca="1" si="16"/>
        <v>0.84507042253521125</v>
      </c>
      <c r="K19" s="662">
        <f ca="1">IF(Settings!$G$9,J6,$AT6)</f>
        <v>2</v>
      </c>
      <c r="L19" s="686">
        <f ca="1">K19*$F$64+(AU6+$H$65)*$F$65*Settings!$G$14+AT6*$F$66*Settings!$G$19+AX6*$F$67</f>
        <v>2000000.0060000001</v>
      </c>
      <c r="M19" s="678">
        <f t="shared" ca="1" si="26"/>
        <v>1</v>
      </c>
      <c r="N19" s="678">
        <f t="array" aca="1" ref="N19" ca="1">IF($AI$15,SUM(($K$17:$K$25&gt;=K19)/COUNTIF($K$17:$K$25,$K$17:$K$25)),SUM(($L$17:$L$25&gt;=L19)/COUNTIF($L$17:$L$25,$L$17:$L$25)))</f>
        <v>4</v>
      </c>
      <c r="O19" s="692" t="str">
        <f t="shared" ca="1" si="17"/>
        <v/>
      </c>
      <c r="P19" s="681" t="str">
        <f t="shared" ca="1" si="18"/>
        <v/>
      </c>
      <c r="Q19" s="681" t="str">
        <f t="shared" ca="1" si="19"/>
        <v/>
      </c>
      <c r="R19" s="681" t="str">
        <f t="shared" ca="1" si="20"/>
        <v/>
      </c>
      <c r="S19" s="681" t="str">
        <f t="shared" ca="1" si="21"/>
        <v/>
      </c>
      <c r="T19" s="681" t="str">
        <f t="shared" ca="1" si="22"/>
        <v/>
      </c>
      <c r="U19" s="681" t="str">
        <f t="shared" ca="1" si="23"/>
        <v/>
      </c>
      <c r="V19" s="693" t="str">
        <f t="shared" ca="1" si="24"/>
        <v/>
      </c>
      <c r="W19" s="690">
        <f t="shared" ca="1" si="27"/>
        <v>500000</v>
      </c>
      <c r="X19" s="673">
        <f t="shared" ca="1" si="28"/>
        <v>4.0108999999999995</v>
      </c>
      <c r="Y19" s="661">
        <f ca="1">'Finals 4'!$AU21+$AD19</f>
        <v>0</v>
      </c>
      <c r="Z19" s="662">
        <f t="shared" ca="1" si="29"/>
        <v>1.9</v>
      </c>
      <c r="AA19" s="662">
        <f t="shared" ca="1" si="30"/>
        <v>0</v>
      </c>
      <c r="AB19" s="662">
        <f t="shared" ca="1" si="31"/>
        <v>0</v>
      </c>
      <c r="AC19" s="662">
        <f t="shared" ca="1" si="32"/>
        <v>0</v>
      </c>
      <c r="AD19" s="661">
        <f ca="1">IF($C19="",0,COUNTIF(Playoffs!$U$25:$U$30,$C19))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ca="1" si="25"/>
        <v>FC Grönlingen</v>
      </c>
      <c r="D20" s="662">
        <f t="shared" ca="1" si="15"/>
        <v>3</v>
      </c>
      <c r="E20" s="662">
        <f t="shared" ca="1" si="15"/>
        <v>0</v>
      </c>
      <c r="F20" s="662">
        <f t="shared" ca="1" si="15"/>
        <v>2</v>
      </c>
      <c r="G20" s="662">
        <f t="shared" ca="1" si="15"/>
        <v>1</v>
      </c>
      <c r="H20" s="662">
        <f t="shared" ca="1" si="16"/>
        <v>149</v>
      </c>
      <c r="I20" s="662">
        <f t="shared" ca="1" si="16"/>
        <v>143</v>
      </c>
      <c r="J20" s="661">
        <f t="shared" ca="1" si="16"/>
        <v>1.0419580419580419</v>
      </c>
      <c r="K20" s="662">
        <f ca="1">IF(Settings!$G$9,J7,$AT7)</f>
        <v>3</v>
      </c>
      <c r="L20" s="686">
        <f ca="1">K20*$F$64+(AU7+$H$65)*$F$65*Settings!$G$14+AT7*$F$66*Settings!$G$19+AX7*$F$67</f>
        <v>3000000.0079999999</v>
      </c>
      <c r="M20" s="678">
        <f t="shared" ca="1" si="26"/>
        <v>1</v>
      </c>
      <c r="N20" s="678">
        <f t="array" aca="1" ref="N20" ca="1">IF($AI$15,SUM(($K$17:$K$25&gt;=K20)/COUNTIF($K$17:$K$25,$K$17:$K$25)),SUM(($L$17:$L$25&gt;=L20)/COUNTIF($L$17:$L$25,$L$17:$L$25)))</f>
        <v>2</v>
      </c>
      <c r="O20" s="692" t="str">
        <f t="shared" ca="1" si="17"/>
        <v/>
      </c>
      <c r="P20" s="681" t="str">
        <f t="shared" ca="1" si="18"/>
        <v/>
      </c>
      <c r="Q20" s="681" t="str">
        <f t="shared" ca="1" si="19"/>
        <v/>
      </c>
      <c r="R20" s="681" t="str">
        <f t="shared" ca="1" si="20"/>
        <v/>
      </c>
      <c r="S20" s="681" t="str">
        <f t="shared" ca="1" si="21"/>
        <v/>
      </c>
      <c r="T20" s="681" t="str">
        <f t="shared" ca="1" si="22"/>
        <v/>
      </c>
      <c r="U20" s="681" t="str">
        <f t="shared" ca="1" si="23"/>
        <v/>
      </c>
      <c r="V20" s="693" t="str">
        <f t="shared" ca="1" si="24"/>
        <v/>
      </c>
      <c r="W20" s="690">
        <f t="shared" ca="1" si="27"/>
        <v>500000</v>
      </c>
      <c r="X20" s="673">
        <f t="shared" ca="1" si="28"/>
        <v>2.0108999999999999</v>
      </c>
      <c r="Y20" s="661">
        <f ca="1">'Finals 4'!$AU22+$AD20</f>
        <v>0</v>
      </c>
      <c r="Z20" s="662">
        <f t="shared" ca="1" si="29"/>
        <v>1.9</v>
      </c>
      <c r="AA20" s="662">
        <f t="shared" ca="1" si="30"/>
        <v>0</v>
      </c>
      <c r="AB20" s="662">
        <f t="shared" ca="1" si="31"/>
        <v>0</v>
      </c>
      <c r="AC20" s="662">
        <f t="shared" ca="1" si="32"/>
        <v>0</v>
      </c>
      <c r="AD20" s="661">
        <f ca="1">IF($C20="",0,COUNTIF(Playoffs!$U$25:$U$30,$C20))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25"/>
        <v/>
      </c>
      <c r="D21" s="662">
        <f t="shared" ca="1" si="15"/>
        <v>0</v>
      </c>
      <c r="E21" s="662">
        <f t="shared" ca="1" si="15"/>
        <v>0</v>
      </c>
      <c r="F21" s="662">
        <f t="shared" ca="1" si="15"/>
        <v>0</v>
      </c>
      <c r="G21" s="662">
        <f t="shared" ca="1" si="15"/>
        <v>0</v>
      </c>
      <c r="H21" s="662">
        <f t="shared" ca="1" si="16"/>
        <v>0</v>
      </c>
      <c r="I21" s="662">
        <f t="shared" ca="1" si="16"/>
        <v>0</v>
      </c>
      <c r="J21" s="661">
        <f t="shared" ca="1" si="16"/>
        <v>0</v>
      </c>
      <c r="K21" s="662">
        <f ca="1">IF(Settings!$G$9,J8,$AT8)</f>
        <v>0</v>
      </c>
      <c r="L21" s="686">
        <f ca="1">K21*$F$64+(AU8+$H$65)*$F$65*Settings!$G$14+AT8*$F$66*Settings!$G$19+AX8*$F$67</f>
        <v>1E-3</v>
      </c>
      <c r="M21" s="678">
        <f t="shared" ca="1" si="26"/>
        <v>5</v>
      </c>
      <c r="N21" s="678">
        <f t="array" aca="1" ref="N21" ca="1">IF($AI$15,SUM(($K$17:$K$25&gt;=K21)/COUNTIF($K$17:$K$25,$K$17:$K$25)),SUM(($L$17:$L$25&gt;=L21)/COUNTIF($L$17:$L$25,$L$17:$L$25)))</f>
        <v>5.0000000000000009</v>
      </c>
      <c r="O21" s="692" t="str">
        <f t="shared" ca="1" si="17"/>
        <v/>
      </c>
      <c r="P21" s="681" t="str">
        <f t="shared" ca="1" si="18"/>
        <v/>
      </c>
      <c r="Q21" s="681" t="str">
        <f t="shared" ca="1" si="19"/>
        <v/>
      </c>
      <c r="R21" s="681" t="str">
        <f t="shared" ca="1" si="20"/>
        <v/>
      </c>
      <c r="S21" s="681" t="str">
        <f t="shared" ca="1" si="21"/>
        <v/>
      </c>
      <c r="T21" s="681" t="str">
        <f t="shared" ca="1" si="22"/>
        <v/>
      </c>
      <c r="U21" s="681" t="str">
        <f t="shared" ca="1" si="23"/>
        <v/>
      </c>
      <c r="V21" s="693" t="str">
        <f t="shared" ca="1" si="24"/>
        <v/>
      </c>
      <c r="W21" s="690">
        <f t="shared" ca="1" si="27"/>
        <v>500000</v>
      </c>
      <c r="X21" s="673">
        <f t="shared" ca="1" si="28"/>
        <v>105.01089999999999</v>
      </c>
      <c r="Y21" s="661">
        <v>0</v>
      </c>
      <c r="Z21" s="662">
        <f t="shared" ca="1" si="29"/>
        <v>1.9</v>
      </c>
      <c r="AA21" s="662">
        <f t="shared" ca="1" si="30"/>
        <v>0</v>
      </c>
      <c r="AB21" s="662">
        <f t="shared" ca="1" si="31"/>
        <v>0</v>
      </c>
      <c r="AC21" s="662">
        <f t="shared" ca="1" si="32"/>
        <v>0</v>
      </c>
      <c r="AD21" s="661">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25"/>
        <v/>
      </c>
      <c r="D22" s="662">
        <f t="shared" ca="1" si="15"/>
        <v>0</v>
      </c>
      <c r="E22" s="662">
        <f t="shared" ca="1" si="15"/>
        <v>0</v>
      </c>
      <c r="F22" s="662">
        <f t="shared" ca="1" si="15"/>
        <v>0</v>
      </c>
      <c r="G22" s="662">
        <f t="shared" ca="1" si="15"/>
        <v>0</v>
      </c>
      <c r="H22" s="662">
        <f t="shared" ca="1" si="16"/>
        <v>0</v>
      </c>
      <c r="I22" s="662">
        <f t="shared" ca="1" si="16"/>
        <v>0</v>
      </c>
      <c r="J22" s="661">
        <f t="shared" ca="1" si="16"/>
        <v>0</v>
      </c>
      <c r="K22" s="662">
        <f ca="1">IF(Settings!$G$9,J9,$AT9)</f>
        <v>0</v>
      </c>
      <c r="L22" s="686">
        <f ca="1">K22*$F$64+(AU9+$H$65)*$F$65*Settings!$G$14+AT9*$F$66*Settings!$G$19+AX9*$F$67</f>
        <v>1E-3</v>
      </c>
      <c r="M22" s="678">
        <f t="shared" ca="1" si="26"/>
        <v>5</v>
      </c>
      <c r="N22" s="678">
        <f t="array" aca="1" ref="N22" ca="1">IF($AI$15,SUM(($K$17:$K$25&gt;=K22)/COUNTIF($K$17:$K$25,$K$17:$K$25)),SUM(($L$17:$L$25&gt;=L22)/COUNTIF($L$17:$L$25,$L$17:$L$25)))</f>
        <v>5.0000000000000009</v>
      </c>
      <c r="O22" s="692" t="str">
        <f t="shared" ca="1" si="17"/>
        <v/>
      </c>
      <c r="P22" s="681" t="str">
        <f t="shared" ca="1" si="18"/>
        <v/>
      </c>
      <c r="Q22" s="681" t="str">
        <f t="shared" ca="1" si="19"/>
        <v/>
      </c>
      <c r="R22" s="681" t="str">
        <f t="shared" ca="1" si="20"/>
        <v/>
      </c>
      <c r="S22" s="681" t="str">
        <f t="shared" ca="1" si="21"/>
        <v/>
      </c>
      <c r="T22" s="681" t="str">
        <f t="shared" ca="1" si="22"/>
        <v/>
      </c>
      <c r="U22" s="681" t="str">
        <f t="shared" ca="1" si="23"/>
        <v/>
      </c>
      <c r="V22" s="693" t="str">
        <f t="shared" ca="1" si="24"/>
        <v/>
      </c>
      <c r="W22" s="690">
        <f t="shared" ca="1" si="27"/>
        <v>500000</v>
      </c>
      <c r="X22" s="673">
        <f t="shared" ca="1" si="28"/>
        <v>105.01089999999999</v>
      </c>
      <c r="Y22" s="661">
        <v>0</v>
      </c>
      <c r="Z22" s="662">
        <f t="shared" ca="1" si="29"/>
        <v>1.9</v>
      </c>
      <c r="AA22" s="662">
        <f t="shared" ca="1" si="30"/>
        <v>0</v>
      </c>
      <c r="AB22" s="662">
        <f t="shared" ca="1" si="31"/>
        <v>0</v>
      </c>
      <c r="AC22" s="662">
        <f t="shared" ca="1" si="32"/>
        <v>0</v>
      </c>
      <c r="AD22" s="661">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25"/>
        <v/>
      </c>
      <c r="D23" s="662">
        <f t="shared" ca="1" si="15"/>
        <v>0</v>
      </c>
      <c r="E23" s="662">
        <f t="shared" ca="1" si="15"/>
        <v>0</v>
      </c>
      <c r="F23" s="662">
        <f t="shared" ca="1" si="15"/>
        <v>0</v>
      </c>
      <c r="G23" s="662">
        <f t="shared" ca="1" si="15"/>
        <v>0</v>
      </c>
      <c r="H23" s="662">
        <f t="shared" ca="1" si="16"/>
        <v>0</v>
      </c>
      <c r="I23" s="662">
        <f t="shared" ca="1" si="16"/>
        <v>0</v>
      </c>
      <c r="J23" s="661">
        <f t="shared" ca="1" si="16"/>
        <v>0</v>
      </c>
      <c r="K23" s="662">
        <f ca="1">IF(Settings!$G$9,J10,$AT10)</f>
        <v>0</v>
      </c>
      <c r="L23" s="686">
        <f ca="1">K23*$F$64+(AU10+$H$65)*$F$65*Settings!$G$14+AT10*$F$66*Settings!$G$19+AX10*$F$67</f>
        <v>1E-3</v>
      </c>
      <c r="M23" s="678">
        <f t="shared" ca="1" si="26"/>
        <v>5</v>
      </c>
      <c r="N23" s="678">
        <f t="array" aca="1" ref="N23" ca="1">IF($AI$15,SUM(($K$17:$K$25&gt;=K23)/COUNTIF($K$17:$K$25,$K$17:$K$25)),SUM(($L$17:$L$25&gt;=L23)/COUNTIF($L$17:$L$25,$L$17:$L$25)))</f>
        <v>5.0000000000000009</v>
      </c>
      <c r="O23" s="692" t="str">
        <f t="shared" ca="1" si="17"/>
        <v/>
      </c>
      <c r="P23" s="681" t="str">
        <f t="shared" ca="1" si="18"/>
        <v/>
      </c>
      <c r="Q23" s="681" t="str">
        <f t="shared" ca="1" si="19"/>
        <v/>
      </c>
      <c r="R23" s="681" t="str">
        <f t="shared" ca="1" si="20"/>
        <v/>
      </c>
      <c r="S23" s="681" t="str">
        <f t="shared" ca="1" si="21"/>
        <v/>
      </c>
      <c r="T23" s="681" t="str">
        <f t="shared" ca="1" si="22"/>
        <v/>
      </c>
      <c r="U23" s="681" t="str">
        <f t="shared" ca="1" si="23"/>
        <v/>
      </c>
      <c r="V23" s="693" t="str">
        <f t="shared" ca="1" si="24"/>
        <v/>
      </c>
      <c r="W23" s="690">
        <f t="shared" ca="1" si="27"/>
        <v>500000</v>
      </c>
      <c r="X23" s="673">
        <f t="shared" ca="1" si="28"/>
        <v>105.01089999999999</v>
      </c>
      <c r="Y23" s="661">
        <v>0</v>
      </c>
      <c r="Z23" s="662">
        <f t="shared" ca="1" si="29"/>
        <v>1.9</v>
      </c>
      <c r="AA23" s="662">
        <f t="shared" ca="1" si="30"/>
        <v>0</v>
      </c>
      <c r="AB23" s="662">
        <f t="shared" ca="1" si="31"/>
        <v>0</v>
      </c>
      <c r="AC23" s="662">
        <f t="shared" ca="1" si="32"/>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25"/>
        <v/>
      </c>
      <c r="D24" s="662">
        <f t="shared" ca="1" si="15"/>
        <v>0</v>
      </c>
      <c r="E24" s="662">
        <f t="shared" ca="1" si="15"/>
        <v>0</v>
      </c>
      <c r="F24" s="662">
        <f t="shared" ca="1" si="15"/>
        <v>0</v>
      </c>
      <c r="G24" s="662">
        <f t="shared" ca="1" si="15"/>
        <v>0</v>
      </c>
      <c r="H24" s="662">
        <f t="shared" ca="1" si="16"/>
        <v>0</v>
      </c>
      <c r="I24" s="662">
        <f t="shared" ca="1" si="16"/>
        <v>0</v>
      </c>
      <c r="J24" s="661">
        <f t="shared" ca="1" si="16"/>
        <v>0</v>
      </c>
      <c r="K24" s="662">
        <f ca="1">IF(Settings!$G$9,J11,$AT11)</f>
        <v>0</v>
      </c>
      <c r="L24" s="686">
        <f ca="1">K24*$F$64+(AU11+$H$65)*$F$65*Settings!$G$14+AT11*$F$66*Settings!$G$19+AX11*$F$67</f>
        <v>1E-3</v>
      </c>
      <c r="M24" s="678">
        <f t="shared" ca="1" si="26"/>
        <v>5</v>
      </c>
      <c r="N24" s="678">
        <f t="array" aca="1" ref="N24" ca="1">IF($AI$15,SUM(($K$17:$K$25&gt;=K24)/COUNTIF($K$17:$K$25,$K$17:$K$25)),SUM(($L$17:$L$25&gt;=L24)/COUNTIF($L$17:$L$25,$L$17:$L$25)))</f>
        <v>5.0000000000000009</v>
      </c>
      <c r="O24" s="692" t="str">
        <f t="shared" ca="1" si="17"/>
        <v/>
      </c>
      <c r="P24" s="681" t="str">
        <f t="shared" ca="1" si="18"/>
        <v/>
      </c>
      <c r="Q24" s="681" t="str">
        <f t="shared" ca="1" si="19"/>
        <v/>
      </c>
      <c r="R24" s="681" t="str">
        <f t="shared" ca="1" si="20"/>
        <v/>
      </c>
      <c r="S24" s="681" t="str">
        <f t="shared" ca="1" si="21"/>
        <v/>
      </c>
      <c r="T24" s="681" t="str">
        <f t="shared" ca="1" si="22"/>
        <v/>
      </c>
      <c r="U24" s="681" t="str">
        <f t="shared" ca="1" si="23"/>
        <v/>
      </c>
      <c r="V24" s="693" t="str">
        <f t="shared" ca="1" si="24"/>
        <v/>
      </c>
      <c r="W24" s="690">
        <f t="shared" ca="1" si="27"/>
        <v>500000</v>
      </c>
      <c r="X24" s="673">
        <f t="shared" ca="1" si="28"/>
        <v>105.01089999999999</v>
      </c>
      <c r="Y24" s="661">
        <v>0</v>
      </c>
      <c r="Z24" s="662">
        <f t="shared" ca="1" si="29"/>
        <v>1.9</v>
      </c>
      <c r="AA24" s="662">
        <f t="shared" ca="1" si="30"/>
        <v>0</v>
      </c>
      <c r="AB24" s="662">
        <f t="shared" ca="1" si="31"/>
        <v>0</v>
      </c>
      <c r="AC24" s="662">
        <f t="shared" ca="1" si="32"/>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25"/>
        <v/>
      </c>
      <c r="D25" s="662">
        <f t="shared" ca="1" si="15"/>
        <v>0</v>
      </c>
      <c r="E25" s="662">
        <f t="shared" ca="1" si="15"/>
        <v>0</v>
      </c>
      <c r="F25" s="662">
        <f t="shared" ca="1" si="15"/>
        <v>0</v>
      </c>
      <c r="G25" s="662">
        <f t="shared" ca="1" si="15"/>
        <v>0</v>
      </c>
      <c r="H25" s="662">
        <f t="shared" ca="1" si="16"/>
        <v>0</v>
      </c>
      <c r="I25" s="662">
        <f t="shared" ca="1" si="16"/>
        <v>0</v>
      </c>
      <c r="J25" s="661">
        <f t="shared" ca="1" si="16"/>
        <v>0</v>
      </c>
      <c r="K25" s="662">
        <f ca="1">IF(Settings!$G$9,J12,$AT12)</f>
        <v>0</v>
      </c>
      <c r="L25" s="686">
        <f ca="1">K25*$F$64+(AU12+$H$65)*$F$65*Settings!$G$14+AT12*$F$66*Settings!$G$19+AX12*$F$67</f>
        <v>1E-3</v>
      </c>
      <c r="M25" s="678">
        <f t="shared" ca="1" si="26"/>
        <v>5</v>
      </c>
      <c r="N25" s="678">
        <f t="array" aca="1" ref="N25" ca="1">IF($AI$15,SUM(($K$17:$K$25&gt;=K25)/COUNTIF($K$17:$K$25,$K$17:$K$25)),SUM(($L$17:$L$25&gt;=L25)/COUNTIF($L$17:$L$25,$L$17:$L$25)))</f>
        <v>5.0000000000000009</v>
      </c>
      <c r="O25" s="694" t="str">
        <f t="shared" ca="1" si="17"/>
        <v/>
      </c>
      <c r="P25" s="695" t="str">
        <f t="shared" ca="1" si="18"/>
        <v/>
      </c>
      <c r="Q25" s="695" t="str">
        <f t="shared" ca="1" si="19"/>
        <v/>
      </c>
      <c r="R25" s="695" t="str">
        <f t="shared" ca="1" si="20"/>
        <v/>
      </c>
      <c r="S25" s="695" t="str">
        <f t="shared" ca="1" si="21"/>
        <v/>
      </c>
      <c r="T25" s="695" t="str">
        <f t="shared" ca="1" si="22"/>
        <v/>
      </c>
      <c r="U25" s="695" t="str">
        <f t="shared" ca="1" si="23"/>
        <v/>
      </c>
      <c r="V25" s="696" t="str">
        <f t="shared" ca="1" si="24"/>
        <v/>
      </c>
      <c r="W25" s="690">
        <f t="shared" ca="1" si="27"/>
        <v>500000</v>
      </c>
      <c r="X25" s="676">
        <f t="shared" ca="1" si="28"/>
        <v>105.01089999999999</v>
      </c>
      <c r="Y25" s="661">
        <v>0</v>
      </c>
      <c r="Z25" s="662">
        <f t="shared" ca="1" si="29"/>
        <v>1.9</v>
      </c>
      <c r="AA25" s="662">
        <f t="shared" ca="1" si="30"/>
        <v>0</v>
      </c>
      <c r="AB25" s="662">
        <f t="shared" ca="1" si="31"/>
        <v>0</v>
      </c>
      <c r="AC25" s="662">
        <f t="shared" ca="1" si="32"/>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396</v>
      </c>
      <c r="C29" s="660"/>
      <c r="D29" s="660"/>
      <c r="E29" s="1031">
        <v>1</v>
      </c>
      <c r="F29" s="1032"/>
      <c r="G29" s="1032"/>
      <c r="H29" s="1032"/>
      <c r="I29" s="1032"/>
      <c r="J29" s="1032"/>
      <c r="K29" s="1032"/>
      <c r="L29" s="1033"/>
      <c r="M29" s="1034">
        <v>2</v>
      </c>
      <c r="N29" s="1032"/>
      <c r="O29" s="1032"/>
      <c r="P29" s="1032"/>
      <c r="Q29" s="1032"/>
      <c r="R29" s="1032"/>
      <c r="S29" s="1032"/>
      <c r="T29" s="1033"/>
      <c r="U29" s="1034">
        <v>3</v>
      </c>
      <c r="V29" s="1032"/>
      <c r="W29" s="1032"/>
      <c r="X29" s="1032"/>
      <c r="Y29" s="1032"/>
      <c r="Z29" s="1032"/>
      <c r="AA29" s="1032"/>
      <c r="AB29" s="1033"/>
      <c r="AC29" s="1034">
        <v>4</v>
      </c>
      <c r="AD29" s="1032"/>
      <c r="AE29" s="1032"/>
      <c r="AF29" s="1032"/>
      <c r="AG29" s="1032"/>
      <c r="AH29" s="1032"/>
      <c r="AI29" s="1032"/>
      <c r="AJ29" s="1033"/>
      <c r="AK29" s="1034">
        <v>5</v>
      </c>
      <c r="AL29" s="1032"/>
      <c r="AM29" s="1032"/>
      <c r="AN29" s="1032"/>
      <c r="AO29" s="1032"/>
      <c r="AP29" s="1032"/>
      <c r="AQ29" s="1032"/>
      <c r="AR29" s="1033"/>
      <c r="AS29" s="1034">
        <v>6</v>
      </c>
      <c r="AT29" s="1032"/>
      <c r="AU29" s="1032"/>
      <c r="AV29" s="1032"/>
      <c r="AW29" s="1032"/>
      <c r="AX29" s="1032"/>
      <c r="AY29" s="1032"/>
      <c r="AZ29" s="1033"/>
      <c r="BA29" s="1034">
        <v>7</v>
      </c>
      <c r="BB29" s="1032"/>
      <c r="BC29" s="1032"/>
      <c r="BD29" s="1032"/>
      <c r="BE29" s="1032"/>
      <c r="BF29" s="1032"/>
      <c r="BG29" s="1032"/>
      <c r="BH29" s="1033"/>
      <c r="BI29" s="1034">
        <v>8</v>
      </c>
      <c r="BJ29" s="1032"/>
      <c r="BK29" s="1032"/>
      <c r="BL29" s="1032"/>
      <c r="BM29" s="1032"/>
      <c r="BN29" s="1032"/>
      <c r="BO29" s="1032"/>
      <c r="BP29" s="1035"/>
      <c r="BQ29" s="661"/>
      <c r="BR29" s="697" t="s">
        <v>94</v>
      </c>
      <c r="BS29" s="660" t="str">
        <f ca="1">$F$4</f>
        <v>1. FC Riedwald</v>
      </c>
      <c r="BT29" s="660" t="str">
        <f ca="1">$F$5</f>
        <v>SSV Wildbach</v>
      </c>
      <c r="BU29" s="660" t="str">
        <f ca="1">$F$6</f>
        <v>Eintracht Frankfurt</v>
      </c>
      <c r="BV29" s="660" t="str">
        <f ca="1">$F$7</f>
        <v>FC Grönlingen</v>
      </c>
      <c r="BW29" s="660" t="str">
        <f>$F$8</f>
        <v/>
      </c>
      <c r="BX29" s="660" t="str">
        <f>$F$9</f>
        <v/>
      </c>
      <c r="BY29" s="660" t="str">
        <f>$F$10</f>
        <v/>
      </c>
      <c r="BZ29" s="660" t="str">
        <f>$F$11</f>
        <v/>
      </c>
      <c r="CA29" s="660" t="str">
        <f>$F$12</f>
        <v/>
      </c>
      <c r="CB29" s="699"/>
    </row>
    <row r="30" spans="1:80" s="1" customFormat="1" x14ac:dyDescent="0.2">
      <c r="A30" s="660"/>
      <c r="B30" s="660"/>
      <c r="C30" s="660" t="str">
        <f ca="1">$Q64</f>
        <v>1. FC Riedwald</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ca="1" si="33">F4</f>
        <v>1. FC Riedwald</v>
      </c>
      <c r="BS30" s="702"/>
      <c r="BT30" s="703">
        <f t="shared" ref="BT30:CA30" ca="1" si="34">SUMIFS($AH$64:$AH$135,$V$64:$V$135,$BR30,$W$64:$W$135,BT$29)+SUMIFS($AI$64:$AI$135,$W$64:$W$135,$BR30,$V$64:$V$135,BT$29)</f>
        <v>50</v>
      </c>
      <c r="BU30" s="703">
        <f t="shared" ca="1" si="34"/>
        <v>44</v>
      </c>
      <c r="BV30" s="703">
        <f t="shared" ca="1" si="34"/>
        <v>57</v>
      </c>
      <c r="BW30" s="703">
        <f t="shared" ca="1" si="34"/>
        <v>0</v>
      </c>
      <c r="BX30" s="703">
        <f t="shared" ca="1" si="34"/>
        <v>0</v>
      </c>
      <c r="BY30" s="703">
        <f t="shared" ca="1" si="34"/>
        <v>0</v>
      </c>
      <c r="BZ30" s="703">
        <f t="shared" ca="1" si="34"/>
        <v>0</v>
      </c>
      <c r="CA30" s="703">
        <f t="shared" ca="1" si="34"/>
        <v>0</v>
      </c>
      <c r="CB30" s="681"/>
    </row>
    <row r="31" spans="1:80" s="1" customFormat="1" x14ac:dyDescent="0.2">
      <c r="A31" s="660"/>
      <c r="B31" s="660"/>
      <c r="C31" s="660" t="str">
        <f t="shared" ref="C31:C38" ca="1" si="35">$Q65</f>
        <v>SSV Wildbach</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ca="1" si="33"/>
        <v>SSV Wildbach</v>
      </c>
      <c r="BS31" s="704">
        <f t="shared" ref="BS31:BS38" ca="1" si="36">SUMIFS($AH$64:$AH$135,$V$64:$V$135,$BR31,$W$64:$W$135,BS$29)+SUMIFS($AI$64:$AI$135,$W$64:$W$135,$BR31,$V$64:$V$135,BS$29)</f>
        <v>39</v>
      </c>
      <c r="BT31" s="702"/>
      <c r="BU31" s="703">
        <f t="shared" ref="BU31:CA31" ca="1" si="37">SUMIFS($AH$64:$AH$135,$V$64:$V$135,$BR31,$W$64:$W$135,BU$29)+SUMIFS($AI$64:$AI$135,$W$64:$W$135,$BR31,$V$64:$V$135,BU$29)</f>
        <v>50</v>
      </c>
      <c r="BV31" s="703">
        <f t="shared" ca="1" si="37"/>
        <v>47</v>
      </c>
      <c r="BW31" s="703">
        <f t="shared" ca="1" si="37"/>
        <v>0</v>
      </c>
      <c r="BX31" s="703">
        <f t="shared" ca="1" si="37"/>
        <v>0</v>
      </c>
      <c r="BY31" s="703">
        <f t="shared" ca="1" si="37"/>
        <v>0</v>
      </c>
      <c r="BZ31" s="703">
        <f t="shared" ca="1" si="37"/>
        <v>0</v>
      </c>
      <c r="CA31" s="703">
        <f t="shared" ca="1" si="37"/>
        <v>0</v>
      </c>
      <c r="CB31" s="681"/>
    </row>
    <row r="32" spans="1:80" s="1" customFormat="1" x14ac:dyDescent="0.2">
      <c r="A32" s="660"/>
      <c r="B32" s="660"/>
      <c r="C32" s="660" t="str">
        <f t="shared" ca="1" si="35"/>
        <v>Eintracht Frankfurt</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ca="1" si="33"/>
        <v>Eintracht Frankfurt</v>
      </c>
      <c r="BS32" s="704">
        <f t="shared" ca="1" si="36"/>
        <v>37</v>
      </c>
      <c r="BT32" s="704">
        <f t="shared" ref="BT32:BT38" ca="1" si="38">SUMIFS($AH$64:$AH$135,$V$64:$V$135,$BR32,$W$64:$W$135,BT$29)+SUMIFS($AI$64:$AI$135,$W$64:$W$135,$BR32,$V$64:$V$135,BT$29)</f>
        <v>44</v>
      </c>
      <c r="BU32" s="702"/>
      <c r="BV32" s="703">
        <f t="shared" ref="BV32:CA32" ca="1" si="39">SUMIFS($AH$64:$AH$135,$V$64:$V$135,$BR32,$W$64:$W$135,BV$29)+SUMIFS($AI$64:$AI$135,$W$64:$W$135,$BR32,$V$64:$V$135,BV$29)</f>
        <v>39</v>
      </c>
      <c r="BW32" s="703">
        <f t="shared" ca="1" si="39"/>
        <v>0</v>
      </c>
      <c r="BX32" s="703">
        <f t="shared" ca="1" si="39"/>
        <v>0</v>
      </c>
      <c r="BY32" s="703">
        <f t="shared" ca="1" si="39"/>
        <v>0</v>
      </c>
      <c r="BZ32" s="703">
        <f t="shared" ca="1" si="39"/>
        <v>0</v>
      </c>
      <c r="CA32" s="703">
        <f t="shared" ca="1" si="39"/>
        <v>0</v>
      </c>
      <c r="CB32" s="681"/>
    </row>
    <row r="33" spans="1:80" s="1" customFormat="1" x14ac:dyDescent="0.2">
      <c r="A33" s="660"/>
      <c r="B33" s="660"/>
      <c r="C33" s="660" t="str">
        <f t="shared" ca="1" si="35"/>
        <v>FC Grönlingen</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ca="1" si="33"/>
        <v>FC Grönlingen</v>
      </c>
      <c r="BS33" s="704">
        <f t="shared" ca="1" si="36"/>
        <v>56</v>
      </c>
      <c r="BT33" s="704">
        <f t="shared" ca="1" si="38"/>
        <v>45</v>
      </c>
      <c r="BU33" s="704">
        <f t="shared" ref="BU33:BU38" ca="1" si="40">SUMIFS($AH$64:$AH$135,$V$64:$V$135,$BR33,$W$64:$W$135,BU$29)+SUMIFS($AI$64:$AI$135,$W$64:$W$135,$BR33,$V$64:$V$135,BU$29)</f>
        <v>48</v>
      </c>
      <c r="BV33" s="702"/>
      <c r="BW33" s="703">
        <f ca="1">SUMIFS($AH$64:$AH$135,$V$64:$V$135,$BR33,$W$64:$W$135,BW$29)+SUMIFS($AI$64:$AI$135,$W$64:$W$135,$BR33,$V$64:$V$135,BW$29)</f>
        <v>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35"/>
        <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33"/>
        <v/>
      </c>
      <c r="BS34" s="704">
        <f t="shared" ca="1" si="36"/>
        <v>0</v>
      </c>
      <c r="BT34" s="704">
        <f t="shared" ca="1" si="38"/>
        <v>0</v>
      </c>
      <c r="BU34" s="704">
        <f t="shared" ca="1" si="40"/>
        <v>0</v>
      </c>
      <c r="BV34" s="704">
        <f ca="1">SUMIFS($AH$64:$AH$135,$V$64:$V$135,$BR34,$W$64:$W$135,BV$29)+SUMIFS($AI$64:$AI$135,$W$64:$W$135,$BR34,$V$64:$V$135,BV$29)</f>
        <v>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35"/>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33"/>
        <v/>
      </c>
      <c r="BS35" s="704">
        <f t="shared" ca="1" si="36"/>
        <v>0</v>
      </c>
      <c r="BT35" s="704">
        <f t="shared" ca="1" si="38"/>
        <v>0</v>
      </c>
      <c r="BU35" s="704">
        <f t="shared" ca="1" si="40"/>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35"/>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33"/>
        <v/>
      </c>
      <c r="BS36" s="704">
        <f t="shared" ca="1" si="36"/>
        <v>0</v>
      </c>
      <c r="BT36" s="704">
        <f t="shared" ca="1" si="38"/>
        <v>0</v>
      </c>
      <c r="BU36" s="704">
        <f t="shared" ca="1" si="40"/>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35"/>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33"/>
        <v/>
      </c>
      <c r="BS37" s="704">
        <f t="shared" ca="1" si="36"/>
        <v>0</v>
      </c>
      <c r="BT37" s="704">
        <f t="shared" ca="1" si="38"/>
        <v>0</v>
      </c>
      <c r="BU37" s="704">
        <f t="shared" ca="1" si="40"/>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35"/>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33"/>
        <v/>
      </c>
      <c r="BS38" s="704">
        <f t="shared" ca="1" si="36"/>
        <v>0</v>
      </c>
      <c r="BT38" s="704">
        <f t="shared" ca="1" si="38"/>
        <v>0</v>
      </c>
      <c r="BU38" s="704">
        <f t="shared" ca="1" si="40"/>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 ca="1">$F$4</f>
        <v>1. FC Riedwald</v>
      </c>
      <c r="BT40" s="660" t="str">
        <f ca="1">$F$5</f>
        <v>SSV Wildbach</v>
      </c>
      <c r="BU40" s="660" t="str">
        <f ca="1">$F$6</f>
        <v>Eintracht Frankfurt</v>
      </c>
      <c r="BV40" s="660" t="str">
        <f ca="1">$F$7</f>
        <v>FC Grönlingen</v>
      </c>
      <c r="BW40" s="660" t="str">
        <f>$F$8</f>
        <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ca="1" si="41">F4</f>
        <v>1. FC Riedwald</v>
      </c>
      <c r="BS41" s="702"/>
      <c r="BT41" s="703">
        <f ca="1">BT30-BS31</f>
        <v>11</v>
      </c>
      <c r="BU41" s="703">
        <f ca="1">BU30-BS32</f>
        <v>7</v>
      </c>
      <c r="BV41" s="703">
        <f ca="1">BV30-BS33</f>
        <v>1</v>
      </c>
      <c r="BW41" s="703">
        <f ca="1">BW30-BS34</f>
        <v>0</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ca="1" si="41"/>
        <v>SSV Wildbach</v>
      </c>
      <c r="BS42" s="704">
        <f ca="1">IF(BT41="","",-1*BT41)</f>
        <v>-11</v>
      </c>
      <c r="BT42" s="702"/>
      <c r="BU42" s="703">
        <f ca="1">BU31-BT32</f>
        <v>6</v>
      </c>
      <c r="BV42" s="703">
        <f ca="1">BV31-BT33</f>
        <v>2</v>
      </c>
      <c r="BW42" s="703">
        <f ca="1">BW31-BT34</f>
        <v>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ca="1" si="41"/>
        <v>Eintracht Frankfurt</v>
      </c>
      <c r="BS43" s="704">
        <f ca="1">IF(BU41="","",-1*BU41)</f>
        <v>-7</v>
      </c>
      <c r="BT43" s="704">
        <f ca="1">IF(BU42="","",-1*BU42)</f>
        <v>-6</v>
      </c>
      <c r="BU43" s="702"/>
      <c r="BV43" s="703">
        <f ca="1">BV32-BU33</f>
        <v>-9</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ca="1" si="41"/>
        <v>FC Grönlingen</v>
      </c>
      <c r="BS44" s="704">
        <f ca="1">IF(BV41="","",-1*BV41)</f>
        <v>-1</v>
      </c>
      <c r="BT44" s="704">
        <f ca="1">IF(BV42="","",-1*BV42)</f>
        <v>-2</v>
      </c>
      <c r="BU44" s="704">
        <f ca="1">IF(BV43="","",-1*BV43)</f>
        <v>9</v>
      </c>
      <c r="BV44" s="702"/>
      <c r="BW44" s="703">
        <f ca="1">BW33-BV34</f>
        <v>0</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41"/>
        <v/>
      </c>
      <c r="BS45" s="704">
        <f ca="1">IF(BW41="","",-1*BW41)</f>
        <v>0</v>
      </c>
      <c r="BT45" s="704">
        <f ca="1">IF(BW42="","",-1*BW42)</f>
        <v>0</v>
      </c>
      <c r="BU45" s="704">
        <f ca="1">IF(BW43="","",-1*BW43)</f>
        <v>0</v>
      </c>
      <c r="BV45" s="704">
        <f ca="1">IF(BW44="","",-1*BW44)</f>
        <v>0</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41"/>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41"/>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41"/>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41"/>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42">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396</v>
      </c>
      <c r="BS51" s="660" t="str">
        <f ca="1">$F$4</f>
        <v>1. FC Riedwald</v>
      </c>
      <c r="BT51" s="660" t="str">
        <f ca="1">$F$5</f>
        <v>SSV Wildbach</v>
      </c>
      <c r="BU51" s="660" t="str">
        <f ca="1">$F$6</f>
        <v>Eintracht Frankfurt</v>
      </c>
      <c r="BV51" s="660" t="str">
        <f ca="1">$F$7</f>
        <v>FC Grönlingen</v>
      </c>
      <c r="BW51" s="660" t="str">
        <f>$F$8</f>
        <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ca="1" si="43">F4</f>
        <v>1. FC Riedwald</v>
      </c>
      <c r="BS52" s="702"/>
      <c r="BT52" s="703">
        <f t="shared" ref="BT52:CA54" ca="1" si="44">SUMIFS($AJ$64:$AJ$135,$V$64:$V$135,$BR52,$W$64:$W$135,BT$51)+SUMIFS($AK$64:$AK$135,$W$64:$W$135,$BR52,$V$64:$V$135,BT$51)</f>
        <v>2</v>
      </c>
      <c r="BU52" s="703">
        <f t="shared" ca="1" si="44"/>
        <v>1</v>
      </c>
      <c r="BV52" s="703">
        <f t="shared" ca="1" si="44"/>
        <v>2</v>
      </c>
      <c r="BW52" s="703">
        <f t="shared" ca="1" si="44"/>
        <v>0</v>
      </c>
      <c r="BX52" s="703">
        <f t="shared" ca="1" si="44"/>
        <v>0</v>
      </c>
      <c r="BY52" s="703">
        <f t="shared" ca="1" si="44"/>
        <v>0</v>
      </c>
      <c r="BZ52" s="703">
        <f t="shared" ca="1" si="44"/>
        <v>0</v>
      </c>
      <c r="CA52" s="703">
        <f t="shared" ca="1" si="44"/>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ca="1" si="43"/>
        <v>SSV Wildbach</v>
      </c>
      <c r="BS53" s="704">
        <f t="shared" ref="BS53:BU60" ca="1" si="45">SUMIFS($AJ$64:$AJ$135,$V$64:$V$135,$BR53,$W$64:$W$135,BS$51)+SUMIFS($AK$64:$AK$135,$W$64:$W$135,$BR53,$V$64:$V$135,BS$51)</f>
        <v>0</v>
      </c>
      <c r="BT53" s="702"/>
      <c r="BU53" s="703">
        <f t="shared" ca="1" si="44"/>
        <v>2</v>
      </c>
      <c r="BV53" s="703">
        <f t="shared" ca="1" si="44"/>
        <v>1</v>
      </c>
      <c r="BW53" s="703">
        <f t="shared" ca="1" si="44"/>
        <v>0</v>
      </c>
      <c r="BX53" s="703">
        <f t="shared" ca="1" si="44"/>
        <v>0</v>
      </c>
      <c r="BY53" s="703">
        <f t="shared" ca="1" si="44"/>
        <v>0</v>
      </c>
      <c r="BZ53" s="703">
        <f t="shared" ca="1" si="44"/>
        <v>0</v>
      </c>
      <c r="CA53" s="703">
        <f t="shared" ca="1" si="44"/>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ca="1" si="43"/>
        <v>Eintracht Frankfurt</v>
      </c>
      <c r="BS54" s="704">
        <f t="shared" ca="1" si="45"/>
        <v>1</v>
      </c>
      <c r="BT54" s="704">
        <f t="shared" ca="1" si="45"/>
        <v>0</v>
      </c>
      <c r="BU54" s="702"/>
      <c r="BV54" s="703">
        <f t="shared" ca="1" si="44"/>
        <v>1</v>
      </c>
      <c r="BW54" s="703">
        <f t="shared" ca="1" si="44"/>
        <v>0</v>
      </c>
      <c r="BX54" s="703">
        <f t="shared" ca="1" si="44"/>
        <v>0</v>
      </c>
      <c r="BY54" s="703">
        <f t="shared" ca="1" si="44"/>
        <v>0</v>
      </c>
      <c r="BZ54" s="703">
        <f t="shared" ca="1" si="44"/>
        <v>0</v>
      </c>
      <c r="CA54" s="703">
        <f t="shared" ca="1" si="44"/>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ca="1" si="43"/>
        <v>FC Grönlingen</v>
      </c>
      <c r="BS55" s="704">
        <f t="shared" ca="1" si="45"/>
        <v>1</v>
      </c>
      <c r="BT55" s="704">
        <f t="shared" ca="1" si="45"/>
        <v>1</v>
      </c>
      <c r="BU55" s="704">
        <f t="shared" ca="1" si="45"/>
        <v>1</v>
      </c>
      <c r="BV55" s="702"/>
      <c r="BW55" s="703">
        <f ca="1">SUMIFS($AJ$64:$AJ$135,$V$64:$V$135,$BR55,$W$64:$W$135,BW$51)+SUMIFS($AK$64:$AK$135,$W$64:$W$135,$BR55,$V$64:$V$135,BW$51)</f>
        <v>0</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43"/>
        <v/>
      </c>
      <c r="BS56" s="704">
        <f t="shared" ca="1" si="45"/>
        <v>0</v>
      </c>
      <c r="BT56" s="704">
        <f t="shared" ca="1" si="45"/>
        <v>0</v>
      </c>
      <c r="BU56" s="704">
        <f t="shared" ca="1" si="45"/>
        <v>0</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43"/>
        <v/>
      </c>
      <c r="BS57" s="704">
        <f t="shared" ca="1" si="45"/>
        <v>0</v>
      </c>
      <c r="BT57" s="704">
        <f t="shared" ca="1" si="45"/>
        <v>0</v>
      </c>
      <c r="BU57" s="704">
        <f t="shared" ca="1" si="45"/>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43"/>
        <v/>
      </c>
      <c r="BS58" s="704">
        <f t="shared" ca="1" si="45"/>
        <v>0</v>
      </c>
      <c r="BT58" s="704">
        <f t="shared" ca="1" si="45"/>
        <v>0</v>
      </c>
      <c r="BU58" s="704">
        <f t="shared" ca="1" si="45"/>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43"/>
        <v/>
      </c>
      <c r="BS59" s="704">
        <f t="shared" ca="1" si="45"/>
        <v>0</v>
      </c>
      <c r="BT59" s="704">
        <f t="shared" ca="1" si="45"/>
        <v>0</v>
      </c>
      <c r="BU59" s="704">
        <f t="shared" ca="1" si="45"/>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43"/>
        <v/>
      </c>
      <c r="BS60" s="704">
        <f t="shared" ca="1" si="45"/>
        <v>0</v>
      </c>
      <c r="BT60" s="704">
        <f t="shared" ca="1" si="45"/>
        <v>0</v>
      </c>
      <c r="BU60" s="704">
        <f t="shared" ca="1" si="45"/>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6" t="s">
        <v>309</v>
      </c>
      <c r="Y63" s="1036"/>
      <c r="Z63" s="664" t="s">
        <v>150</v>
      </c>
      <c r="AA63" s="664" t="s">
        <v>15</v>
      </c>
      <c r="AB63" s="664" t="s">
        <v>397</v>
      </c>
      <c r="AC63" s="772" t="s">
        <v>396</v>
      </c>
      <c r="AD63" s="1037" t="s">
        <v>311</v>
      </c>
      <c r="AE63" s="1037"/>
      <c r="AF63" s="1037" t="s">
        <v>315</v>
      </c>
      <c r="AG63" s="1037"/>
      <c r="AH63" s="1037" t="s">
        <v>397</v>
      </c>
      <c r="AI63" s="1037"/>
      <c r="AJ63" s="1038" t="s">
        <v>396</v>
      </c>
      <c r="AK63" s="1038"/>
      <c r="AL63" s="1037" t="s">
        <v>108</v>
      </c>
      <c r="AM63" s="1037"/>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398</v>
      </c>
      <c r="H64" s="660"/>
      <c r="I64" s="660"/>
      <c r="J64" s="660"/>
      <c r="K64" s="660"/>
      <c r="L64" s="715"/>
      <c r="M64" s="660"/>
      <c r="N64" s="660"/>
      <c r="O64" s="660"/>
      <c r="P64" s="716" t="s">
        <v>6</v>
      </c>
      <c r="Q64" s="717" t="str">
        <f ca="1">IF('Finals 4'!$AS19="","",'Finals 4'!$AS19)</f>
        <v>1. FC Riedwald</v>
      </c>
      <c r="R64" s="660"/>
      <c r="S64" s="660"/>
      <c r="T64" s="660"/>
      <c r="U64" s="718" t="s">
        <v>6</v>
      </c>
      <c r="V64" s="6" t="str">
        <f ca="1">'Finals 4'!$I12</f>
        <v>FC Barcelona</v>
      </c>
      <c r="W64" s="4" t="str">
        <f ca="1">'Finals 4'!$K12</f>
        <v/>
      </c>
      <c r="X64" s="4" t="str">
        <f ca="1">IF(AND($AA64=1,'Finals 4'!$L12&lt;&gt;"",'Finals 4'!$N12&lt;&gt;"",ABS('Finals 4'!$L12-'Finals 4'!$N12)&gt;1),'Finals 4'!$L12,"")</f>
        <v/>
      </c>
      <c r="Y64" s="5" t="str">
        <f ca="1">IF(AND($AA64=1,'Finals 4'!$L12&lt;&gt;"",'Finals 4'!$N12&lt;&gt;"",ABS('Finals 4'!$L12-'Finals 4'!$N12)&gt;1),'Finals 4'!$N12,"")</f>
        <v/>
      </c>
      <c r="Z64" s="722" t="str">
        <f ca="1">V64&amp;W64</f>
        <v>FC Barcelona</v>
      </c>
      <c r="AA64" s="720">
        <f ca="1">IF(AND(V64&lt;&gt;"",W64&lt;&gt;"",V64&lt;&gt;W64,'Finals 4'!$U12&lt;&gt;"",'Finals 4'!$W12&lt;&gt;""),1,0)</f>
        <v>0</v>
      </c>
      <c r="AB64" s="723" t="str">
        <f ca="1">IF(AA64&gt;0,AH64&amp;Language!$E$99&amp;AI64,"")</f>
        <v/>
      </c>
      <c r="AC64" s="724" t="str">
        <f ca="1">IF(AA64&gt;0,AJ64&amp;Language!$E$99&amp;AK64,"")</f>
        <v/>
      </c>
      <c r="AD64" s="83" t="str">
        <f ca="1">IF(AND($AA64=1,'Finals 4'!$O12&lt;&gt;"",'Finals 4'!$Q12&lt;&gt;"",ABS('Finals 4'!$O12-'Finals 4'!$Q12)&gt;1),'Finals 4'!$O12,"")</f>
        <v/>
      </c>
      <c r="AE64" s="82" t="str">
        <f ca="1">IF(AND($AA64=1,'Finals 4'!$O12&lt;&gt;"",'Finals 4'!$Q12&lt;&gt;"",ABS('Finals 4'!$O12-'Finals 4'!$Q12)&gt;1),'Finals 4'!$Q12,"")</f>
        <v/>
      </c>
      <c r="AF64" s="83" t="str">
        <f ca="1">IF(AND($AA64=1,'Finals 4'!$R12&lt;&gt;"",'Finals 4'!$T12&lt;&gt;"",ABS('Finals 4'!$R12-'Finals 4'!$T12)&gt;1),'Finals 4'!$R12,"")</f>
        <v/>
      </c>
      <c r="AG64" s="82" t="str">
        <f ca="1">IF(AND($AA64=1,'Finals 4'!$R12&lt;&gt;"",'Finals 4'!$T12&lt;&gt;"",ABS('Finals 4'!$R12-'Finals 4'!$T12)&gt;1),'Finals 4'!$T12,"")</f>
        <v/>
      </c>
      <c r="AH64" s="725" t="str">
        <f ca="1">IF(AA64&gt;0,SUM(X64,AD64,AF64),"")</f>
        <v/>
      </c>
      <c r="AI64" s="724" t="str">
        <f ca="1">IF(AA64&gt;0,SUM(Y64,AE64,AG64),"")</f>
        <v/>
      </c>
      <c r="AJ64" s="725">
        <f ca="1">IF('Finals 4'!$U12="",0,'Finals 4'!$U12)</f>
        <v>0</v>
      </c>
      <c r="AK64" s="724">
        <f ca="1">IF('Finals 4'!$W12="",0,'Finals 4'!$W12)</f>
        <v>0</v>
      </c>
      <c r="AL64" s="725" t="str">
        <f ca="1">IF($AA64=0,"",IF($AJ64&gt;$AK64,Settings!$C$4,IF($AJ64=$AK64,1,0)))</f>
        <v/>
      </c>
      <c r="AM64" s="724" t="str">
        <f ca="1">IF($AA64=0,"",IF($AJ64&lt;$AK64,Settings!$C$4,IF($AJ64=$AK64,1,0)))</f>
        <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399</v>
      </c>
      <c r="H65" s="728">
        <v>500</v>
      </c>
      <c r="I65" s="729" t="s">
        <v>400</v>
      </c>
      <c r="J65" s="660"/>
      <c r="K65" s="660"/>
      <c r="L65" s="715"/>
      <c r="M65" s="660"/>
      <c r="N65" s="660"/>
      <c r="O65" s="660"/>
      <c r="P65" s="730" t="s">
        <v>7</v>
      </c>
      <c r="Q65" s="731" t="str">
        <f ca="1">IF('Finals 4'!$AS20="","",'Finals 4'!$AS20)</f>
        <v>SSV Wildbach</v>
      </c>
      <c r="R65" s="660"/>
      <c r="S65" s="660"/>
      <c r="T65" s="660"/>
      <c r="U65" s="732" t="s">
        <v>7</v>
      </c>
      <c r="V65" s="733" t="str">
        <f ca="1">'Finals 4'!$I13</f>
        <v>1. FC Riedwald</v>
      </c>
      <c r="W65" s="661" t="str">
        <f ca="1">'Finals 4'!$K13</f>
        <v>FC Grönlingen</v>
      </c>
      <c r="X65" s="661">
        <f ca="1">IF(AND($AA65=1,'Finals 4'!$L13&lt;&gt;"",'Finals 4'!$N13&lt;&gt;"",ABS('Finals 4'!$L13-'Finals 4'!$N13)&gt;1),'Finals 4'!$L13,"")</f>
        <v>25</v>
      </c>
      <c r="Y65" s="734">
        <f ca="1">IF(AND($AA65=1,'Finals 4'!$L13&lt;&gt;"",'Finals 4'!$N13&lt;&gt;"",ABS('Finals 4'!$L13-'Finals 4'!$N13)&gt;1),'Finals 4'!$N13,"")</f>
        <v>20</v>
      </c>
      <c r="Z65" s="735" t="str">
        <f t="shared" ref="Z65:Z73" ca="1" si="46">V65&amp;W65</f>
        <v>1. FC RiedwaldFC Grönlingen</v>
      </c>
      <c r="AA65" s="661">
        <f ca="1">IF(AND(V65&lt;&gt;"",W65&lt;&gt;"",V65&lt;&gt;W65,'Finals 4'!$U13&lt;&gt;"",'Finals 4'!$W13&lt;&gt;""),1,0)</f>
        <v>1</v>
      </c>
      <c r="AB65" s="661" t="str">
        <f ca="1">IF(AA65&gt;0,AH65&amp;Language!$E$99&amp;AI65,"")</f>
        <v>57 - 56</v>
      </c>
      <c r="AC65" s="736" t="str">
        <f ca="1">IF(AA65&gt;0,AJ65&amp;Language!$E$99&amp;AK65,"")</f>
        <v>2 - 1</v>
      </c>
      <c r="AD65" s="737">
        <f ca="1">IF(AND($AA65=1,'Finals 4'!$O13&lt;&gt;"",'Finals 4'!$Q13&lt;&gt;"",ABS('Finals 4'!$O13-'Finals 4'!$Q13)&gt;1),'Finals 4'!$O13,"")</f>
        <v>17</v>
      </c>
      <c r="AE65" s="736">
        <f ca="1">IF(AND($AA65=1,'Finals 4'!$O13&lt;&gt;"",'Finals 4'!$Q13&lt;&gt;"",ABS('Finals 4'!$O13-'Finals 4'!$Q13)&gt;1),'Finals 4'!$Q13,"")</f>
        <v>25</v>
      </c>
      <c r="AF65" s="737">
        <f ca="1">IF(AND($AA65=1,'Finals 4'!$R13&lt;&gt;"",'Finals 4'!$T13&lt;&gt;"",ABS('Finals 4'!$R13-'Finals 4'!$T13)&gt;1),'Finals 4'!$R13,"")</f>
        <v>15</v>
      </c>
      <c r="AG65" s="736">
        <f ca="1">IF(AND($AA65=1,'Finals 4'!$R13&lt;&gt;"",'Finals 4'!$T13&lt;&gt;"",ABS('Finals 4'!$R13-'Finals 4'!$T13)&gt;1),'Finals 4'!$T13,"")</f>
        <v>11</v>
      </c>
      <c r="AH65" s="737">
        <f t="shared" ref="AH65:AH81" ca="1" si="47">IF(AA65&gt;0,SUM(X65,AD65,AF65),"")</f>
        <v>57</v>
      </c>
      <c r="AI65" s="736">
        <f t="shared" ref="AI65:AI81" ca="1" si="48">IF(AA65&gt;0,SUM(Y65,AE65,AG65),"")</f>
        <v>56</v>
      </c>
      <c r="AJ65" s="737">
        <f ca="1">IF('Finals 4'!$U13="",0,'Finals 4'!$U13)</f>
        <v>2</v>
      </c>
      <c r="AK65" s="736">
        <f ca="1">IF('Finals 4'!$W13="",0,'Finals 4'!$W13)</f>
        <v>1</v>
      </c>
      <c r="AL65" s="737">
        <f ca="1">IF($AA65=0,"",IF($AJ65&gt;$AK65,Settings!$C$4,IF($AJ65=$AK65,1,0)))</f>
        <v>2</v>
      </c>
      <c r="AM65" s="736">
        <f ca="1">IF($AA65=0,"",IF($AJ65&lt;$AK65,Settings!$C$4,IF($AJ65=$AK65,1,0)))</f>
        <v>0</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401</v>
      </c>
      <c r="H66" s="660"/>
      <c r="I66" s="660"/>
      <c r="J66" s="660"/>
      <c r="K66" s="660"/>
      <c r="L66" s="715"/>
      <c r="M66" s="660"/>
      <c r="N66" s="660"/>
      <c r="O66" s="660"/>
      <c r="P66" s="730" t="s">
        <v>8</v>
      </c>
      <c r="Q66" s="731" t="str">
        <f ca="1">IF('Finals 4'!$AS21="","",'Finals 4'!$AS21)</f>
        <v>Eintracht Frankfurt</v>
      </c>
      <c r="R66" s="660"/>
      <c r="S66" s="660"/>
      <c r="T66" s="660"/>
      <c r="U66" s="732" t="s">
        <v>8</v>
      </c>
      <c r="V66" s="733" t="str">
        <f ca="1">'Finals 4'!$I14</f>
        <v>Maibach 1822 eV</v>
      </c>
      <c r="W66" s="661" t="str">
        <f ca="1">'Finals 4'!$K14</f>
        <v>Manchester City</v>
      </c>
      <c r="X66" s="661">
        <f ca="1">IF(AND($AA66=1,'Finals 4'!$L14&lt;&gt;"",'Finals 4'!$N14&lt;&gt;"",ABS('Finals 4'!$L14-'Finals 4'!$N14)&gt;1),'Finals 4'!$L14,"")</f>
        <v>19</v>
      </c>
      <c r="Y66" s="734">
        <f ca="1">IF(AND($AA66=1,'Finals 4'!$L14&lt;&gt;"",'Finals 4'!$N14&lt;&gt;"",ABS('Finals 4'!$L14-'Finals 4'!$N14)&gt;1),'Finals 4'!$N14,"")</f>
        <v>25</v>
      </c>
      <c r="Z66" s="735" t="str">
        <f t="shared" ca="1" si="46"/>
        <v>Maibach 1822 eVManchester City</v>
      </c>
      <c r="AA66" s="661">
        <f ca="1">IF(AND(V66&lt;&gt;"",W66&lt;&gt;"",V66&lt;&gt;W66,'Finals 4'!$U14&lt;&gt;"",'Finals 4'!$W14&lt;&gt;""),1,0)</f>
        <v>1</v>
      </c>
      <c r="AB66" s="661" t="str">
        <f ca="1">IF(AA66&gt;0,AH66&amp;Language!$E$99&amp;AI66,"")</f>
        <v>35 - 50</v>
      </c>
      <c r="AC66" s="736" t="str">
        <f ca="1">IF(AA66&gt;0,AJ66&amp;Language!$E$99&amp;AK66,"")</f>
        <v>0 - 2</v>
      </c>
      <c r="AD66" s="737">
        <f ca="1">IF(AND($AA66=1,'Finals 4'!$O14&lt;&gt;"",'Finals 4'!$Q14&lt;&gt;"",ABS('Finals 4'!$O14-'Finals 4'!$Q14)&gt;1),'Finals 4'!$O14,"")</f>
        <v>16</v>
      </c>
      <c r="AE66" s="736">
        <f ca="1">IF(AND($AA66=1,'Finals 4'!$O14&lt;&gt;"",'Finals 4'!$Q14&lt;&gt;"",ABS('Finals 4'!$O14-'Finals 4'!$Q14)&gt;1),'Finals 4'!$Q14,"")</f>
        <v>25</v>
      </c>
      <c r="AF66" s="737" t="str">
        <f ca="1">IF(AND($AA66=1,'Finals 4'!$R14&lt;&gt;"",'Finals 4'!$T14&lt;&gt;"",ABS('Finals 4'!$R14-'Finals 4'!$T14)&gt;1),'Finals 4'!$R14,"")</f>
        <v/>
      </c>
      <c r="AG66" s="736" t="str">
        <f ca="1">IF(AND($AA66=1,'Finals 4'!$R14&lt;&gt;"",'Finals 4'!$T14&lt;&gt;"",ABS('Finals 4'!$R14-'Finals 4'!$T14)&gt;1),'Finals 4'!$T14,"")</f>
        <v/>
      </c>
      <c r="AH66" s="737">
        <f t="shared" ca="1" si="47"/>
        <v>35</v>
      </c>
      <c r="AI66" s="736">
        <f t="shared" ca="1" si="48"/>
        <v>50</v>
      </c>
      <c r="AJ66" s="737">
        <f ca="1">IF('Finals 4'!$U14="",0,'Finals 4'!$U14)</f>
        <v>0</v>
      </c>
      <c r="AK66" s="736">
        <f ca="1">IF('Finals 4'!$W14="",0,'Finals 4'!$W14)</f>
        <v>2</v>
      </c>
      <c r="AL66" s="737">
        <f ca="1">IF($AA66=0,"",IF($AJ66&gt;$AK66,Settings!$C$4,IF($AJ66=$AK66,1,0)))</f>
        <v>0</v>
      </c>
      <c r="AM66" s="736">
        <f ca="1">IF($AA66=0,"",IF($AJ66&lt;$AK66,Settings!$C$4,IF($AJ66=$AK66,1,0)))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402</v>
      </c>
      <c r="H67" s="660"/>
      <c r="I67" s="660"/>
      <c r="J67" s="660"/>
      <c r="K67" s="660"/>
      <c r="L67" s="660"/>
      <c r="M67" s="660"/>
      <c r="N67" s="660"/>
      <c r="O67" s="660"/>
      <c r="P67" s="730" t="s">
        <v>9</v>
      </c>
      <c r="Q67" s="731" t="str">
        <f ca="1">IF('Finals 4'!$AS22="","",'Finals 4'!$AS22)</f>
        <v>FC Grönlingen</v>
      </c>
      <c r="R67" s="660"/>
      <c r="S67" s="660"/>
      <c r="T67" s="660"/>
      <c r="U67" s="732" t="s">
        <v>9</v>
      </c>
      <c r="V67" s="733" t="str">
        <f ca="1">'Finals 4'!$I15</f>
        <v>Mainz 05</v>
      </c>
      <c r="W67" s="661" t="str">
        <f ca="1">'Finals 4'!$K15</f>
        <v/>
      </c>
      <c r="X67" s="661" t="str">
        <f ca="1">IF(AND($AA67=1,'Finals 4'!$L15&lt;&gt;"",'Finals 4'!$N15&lt;&gt;"",ABS('Finals 4'!$L15-'Finals 4'!$N15)&gt;1),'Finals 4'!$L15,"")</f>
        <v/>
      </c>
      <c r="Y67" s="734" t="str">
        <f ca="1">IF(AND($AA67=1,'Finals 4'!$L15&lt;&gt;"",'Finals 4'!$N15&lt;&gt;"",ABS('Finals 4'!$L15-'Finals 4'!$N15)&gt;1),'Finals 4'!$N15,"")</f>
        <v/>
      </c>
      <c r="Z67" s="735" t="str">
        <f t="shared" ca="1" si="46"/>
        <v>Mainz 05</v>
      </c>
      <c r="AA67" s="661">
        <f ca="1">IF(AND(V67&lt;&gt;"",W67&lt;&gt;"",V67&lt;&gt;W67,'Finals 4'!$U15&lt;&gt;"",'Finals 4'!$W15&lt;&gt;""),1,0)</f>
        <v>0</v>
      </c>
      <c r="AB67" s="661" t="str">
        <f ca="1">IF(AA67&gt;0,AH67&amp;Language!$E$99&amp;AI67,"")</f>
        <v/>
      </c>
      <c r="AC67" s="736" t="str">
        <f ca="1">IF(AA67&gt;0,AJ67&amp;Language!$E$99&amp;AK67,"")</f>
        <v/>
      </c>
      <c r="AD67" s="737" t="str">
        <f ca="1">IF(AND($AA67=1,'Finals 4'!$O15&lt;&gt;"",'Finals 4'!$Q15&lt;&gt;"",ABS('Finals 4'!$O15-'Finals 4'!$Q15)&gt;1),'Finals 4'!$O15,"")</f>
        <v/>
      </c>
      <c r="AE67" s="736" t="str">
        <f ca="1">IF(AND($AA67=1,'Finals 4'!$O15&lt;&gt;"",'Finals 4'!$Q15&lt;&gt;"",ABS('Finals 4'!$O15-'Finals 4'!$Q15)&gt;1),'Finals 4'!$Q15,"")</f>
        <v/>
      </c>
      <c r="AF67" s="737" t="str">
        <f ca="1">IF(AND($AA67=1,'Finals 4'!$R15&lt;&gt;"",'Finals 4'!$T15&lt;&gt;"",ABS('Finals 4'!$R15-'Finals 4'!$T15)&gt;1),'Finals 4'!$R15,"")</f>
        <v/>
      </c>
      <c r="AG67" s="736" t="str">
        <f ca="1">IF(AND($AA67=1,'Finals 4'!$R15&lt;&gt;"",'Finals 4'!$T15&lt;&gt;"",ABS('Finals 4'!$R15-'Finals 4'!$T15)&gt;1),'Finals 4'!$T15,"")</f>
        <v/>
      </c>
      <c r="AH67" s="737" t="str">
        <f t="shared" ca="1" si="47"/>
        <v/>
      </c>
      <c r="AI67" s="736" t="str">
        <f t="shared" ca="1" si="48"/>
        <v/>
      </c>
      <c r="AJ67" s="737">
        <f ca="1">IF('Finals 4'!$U15="",0,'Finals 4'!$U15)</f>
        <v>0</v>
      </c>
      <c r="AK67" s="736">
        <f ca="1">IF('Finals 4'!$W15="",0,'Finals 4'!$W15)</f>
        <v>0</v>
      </c>
      <c r="AL67" s="737" t="str">
        <f ca="1">IF($AA67=0,"",IF($AJ67&gt;$AK67,Settings!$C$4,IF($AJ67=$AK67,1,0)))</f>
        <v/>
      </c>
      <c r="AM67" s="736" t="str">
        <f ca="1">IF($AA67=0,"",IF($AJ67&lt;$AK67,Settings!$C$4,IF($AJ67=$AK67,1,0)))</f>
        <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c r="Q68" s="731" t="str">
        <f>""</f>
        <v/>
      </c>
      <c r="R68" s="660"/>
      <c r="S68" s="660"/>
      <c r="T68" s="660"/>
      <c r="U68" s="732" t="s">
        <v>10</v>
      </c>
      <c r="V68" s="733" t="str">
        <f ca="1">'Finals 4'!$I16</f>
        <v>SSV Wildbach</v>
      </c>
      <c r="W68" s="661" t="str">
        <f ca="1">'Finals 4'!$K16</f>
        <v>Eintracht Frankfurt</v>
      </c>
      <c r="X68" s="661">
        <f ca="1">IF(AND($AA68=1,'Finals 4'!$L16&lt;&gt;"",'Finals 4'!$N16&lt;&gt;"",ABS('Finals 4'!$L16-'Finals 4'!$N16)&gt;1),'Finals 4'!$L16,"")</f>
        <v>25</v>
      </c>
      <c r="Y68" s="734">
        <f ca="1">IF(AND($AA68=1,'Finals 4'!$L16&lt;&gt;"",'Finals 4'!$N16&lt;&gt;"",ABS('Finals 4'!$L16-'Finals 4'!$N16)&gt;1),'Finals 4'!$N16,"")</f>
        <v>23</v>
      </c>
      <c r="Z68" s="735" t="str">
        <f t="shared" ca="1" si="46"/>
        <v>SSV WildbachEintracht Frankfurt</v>
      </c>
      <c r="AA68" s="661">
        <f ca="1">IF(AND(V68&lt;&gt;"",W68&lt;&gt;"",V68&lt;&gt;W68,'Finals 4'!$U16&lt;&gt;"",'Finals 4'!$W16&lt;&gt;""),1,0)</f>
        <v>1</v>
      </c>
      <c r="AB68" s="661" t="str">
        <f ca="1">IF(AA68&gt;0,AH68&amp;Language!$E$99&amp;AI68,"")</f>
        <v>50 - 44</v>
      </c>
      <c r="AC68" s="736" t="str">
        <f ca="1">IF(AA68&gt;0,AJ68&amp;Language!$E$99&amp;AK68,"")</f>
        <v>2 - 0</v>
      </c>
      <c r="AD68" s="737">
        <f ca="1">IF(AND($AA68=1,'Finals 4'!$O16&lt;&gt;"",'Finals 4'!$Q16&lt;&gt;"",ABS('Finals 4'!$O16-'Finals 4'!$Q16)&gt;1),'Finals 4'!$O16,"")</f>
        <v>25</v>
      </c>
      <c r="AE68" s="736">
        <f ca="1">IF(AND($AA68=1,'Finals 4'!$O16&lt;&gt;"",'Finals 4'!$Q16&lt;&gt;"",ABS('Finals 4'!$O16-'Finals 4'!$Q16)&gt;1),'Finals 4'!$Q16,"")</f>
        <v>21</v>
      </c>
      <c r="AF68" s="737" t="str">
        <f ca="1">IF(AND($AA68=1,'Finals 4'!$R16&lt;&gt;"",'Finals 4'!$T16&lt;&gt;"",ABS('Finals 4'!$R16-'Finals 4'!$T16)&gt;1),'Finals 4'!$R16,"")</f>
        <v/>
      </c>
      <c r="AG68" s="736" t="str">
        <f ca="1">IF(AND($AA68=1,'Finals 4'!$R16&lt;&gt;"",'Finals 4'!$T16&lt;&gt;"",ABS('Finals 4'!$R16-'Finals 4'!$T16)&gt;1),'Finals 4'!$T16,"")</f>
        <v/>
      </c>
      <c r="AH68" s="737">
        <f t="shared" ca="1" si="47"/>
        <v>50</v>
      </c>
      <c r="AI68" s="736">
        <f t="shared" ca="1" si="48"/>
        <v>44</v>
      </c>
      <c r="AJ68" s="737">
        <f ca="1">IF('Finals 4'!$U16="",0,'Finals 4'!$U16)</f>
        <v>2</v>
      </c>
      <c r="AK68" s="736">
        <f ca="1">IF('Finals 4'!$W16="",0,'Finals 4'!$W16)</f>
        <v>0</v>
      </c>
      <c r="AL68" s="737">
        <f ca="1">IF($AA68=0,"",IF($AJ68&gt;$AK68,Settings!$C$4,IF($AJ68=$AK68,1,0)))</f>
        <v>2</v>
      </c>
      <c r="AM68" s="736">
        <f ca="1">IF($AA68=0,"",IF($AJ68&lt;$AK68,Settings!$C$4,IF($AJ68=$AK68,1,0)))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c r="Q69" s="731" t="str">
        <f>""</f>
        <v/>
      </c>
      <c r="R69" s="660"/>
      <c r="S69" s="660"/>
      <c r="T69" s="660"/>
      <c r="U69" s="732" t="s">
        <v>11</v>
      </c>
      <c r="V69" s="733" t="str">
        <f ca="1">'Finals 4'!$I17</f>
        <v>Inter Mailand</v>
      </c>
      <c r="W69" s="661" t="str">
        <f ca="1">'Finals 4'!$K17</f>
        <v>VFB Essenheim</v>
      </c>
      <c r="X69" s="661">
        <f ca="1">IF(AND($AA69=1,'Finals 4'!$L17&lt;&gt;"",'Finals 4'!$N17&lt;&gt;"",ABS('Finals 4'!$L17-'Finals 4'!$N17)&gt;1),'Finals 4'!$L17,"")</f>
        <v>25</v>
      </c>
      <c r="Y69" s="734">
        <f ca="1">IF(AND($AA69=1,'Finals 4'!$L17&lt;&gt;"",'Finals 4'!$N17&lt;&gt;"",ABS('Finals 4'!$L17-'Finals 4'!$N17)&gt;1),'Finals 4'!$N17,"")</f>
        <v>17</v>
      </c>
      <c r="Z69" s="735" t="str">
        <f t="shared" ca="1" si="46"/>
        <v>Inter MailandVFB Essenheim</v>
      </c>
      <c r="AA69" s="661">
        <f ca="1">IF(AND(V69&lt;&gt;"",W69&lt;&gt;"",V69&lt;&gt;W69,'Finals 4'!$U17&lt;&gt;"",'Finals 4'!$W17&lt;&gt;""),1,0)</f>
        <v>1</v>
      </c>
      <c r="AB69" s="661" t="str">
        <f ca="1">IF(AA69&gt;0,AH69&amp;Language!$E$99&amp;AI69,"")</f>
        <v>50 - 39</v>
      </c>
      <c r="AC69" s="736" t="str">
        <f ca="1">IF(AA69&gt;0,AJ69&amp;Language!$E$99&amp;AK69,"")</f>
        <v>2 - 0</v>
      </c>
      <c r="AD69" s="737">
        <f ca="1">IF(AND($AA69=1,'Finals 4'!$O17&lt;&gt;"",'Finals 4'!$Q17&lt;&gt;"",ABS('Finals 4'!$O17-'Finals 4'!$Q17)&gt;1),'Finals 4'!$O17,"")</f>
        <v>25</v>
      </c>
      <c r="AE69" s="736">
        <f ca="1">IF(AND($AA69=1,'Finals 4'!$O17&lt;&gt;"",'Finals 4'!$Q17&lt;&gt;"",ABS('Finals 4'!$O17-'Finals 4'!$Q17)&gt;1),'Finals 4'!$Q17,"")</f>
        <v>22</v>
      </c>
      <c r="AF69" s="737" t="str">
        <f ca="1">IF(AND($AA69=1,'Finals 4'!$R17&lt;&gt;"",'Finals 4'!$T17&lt;&gt;"",ABS('Finals 4'!$R17-'Finals 4'!$T17)&gt;1),'Finals 4'!$R17,"")</f>
        <v/>
      </c>
      <c r="AG69" s="736" t="str">
        <f ca="1">IF(AND($AA69=1,'Finals 4'!$R17&lt;&gt;"",'Finals 4'!$T17&lt;&gt;"",ABS('Finals 4'!$R17-'Finals 4'!$T17)&gt;1),'Finals 4'!$T17,"")</f>
        <v/>
      </c>
      <c r="AH69" s="737">
        <f t="shared" ca="1" si="47"/>
        <v>50</v>
      </c>
      <c r="AI69" s="736">
        <f t="shared" ca="1" si="48"/>
        <v>39</v>
      </c>
      <c r="AJ69" s="737">
        <f ca="1">IF('Finals 4'!$U17="",0,'Finals 4'!$U17)</f>
        <v>2</v>
      </c>
      <c r="AK69" s="736">
        <f ca="1">IF('Finals 4'!$W17="",0,'Finals 4'!$W17)</f>
        <v>0</v>
      </c>
      <c r="AL69" s="737">
        <f ca="1">IF($AA69=0,"",IF($AJ69&gt;$AK69,Settings!$C$4,IF($AJ69=$AK69,1,0)))</f>
        <v>2</v>
      </c>
      <c r="AM69" s="736">
        <f ca="1">IF($AA69=0,"",IF($AJ69&lt;$AK69,Settings!$C$4,IF($AJ69=$AK69,1,0)))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'Finals 4'!$I18</f>
        <v>FC Barcelona</v>
      </c>
      <c r="W70" s="661" t="str">
        <f ca="1">'Finals 4'!$K18</f>
        <v/>
      </c>
      <c r="X70" s="661" t="str">
        <f ca="1">IF(AND($AA70=1,'Finals 4'!$L18&lt;&gt;"",'Finals 4'!$N18&lt;&gt;"",ABS('Finals 4'!$L18-'Finals 4'!$N18)&gt;1),'Finals 4'!$L18,"")</f>
        <v/>
      </c>
      <c r="Y70" s="734" t="str">
        <f ca="1">IF(AND($AA70=1,'Finals 4'!$L18&lt;&gt;"",'Finals 4'!$N18&lt;&gt;"",ABS('Finals 4'!$L18-'Finals 4'!$N18)&gt;1),'Finals 4'!$N18,"")</f>
        <v/>
      </c>
      <c r="Z70" s="735" t="str">
        <f t="shared" ca="1" si="46"/>
        <v>FC Barcelona</v>
      </c>
      <c r="AA70" s="661">
        <f ca="1">IF(AND(V70&lt;&gt;"",W70&lt;&gt;"",V70&lt;&gt;W70,'Finals 4'!$U18&lt;&gt;"",'Finals 4'!$W18&lt;&gt;""),1,0)</f>
        <v>0</v>
      </c>
      <c r="AB70" s="661" t="str">
        <f ca="1">IF(AA70&gt;0,AH70&amp;Language!$E$99&amp;AI70,"")</f>
        <v/>
      </c>
      <c r="AC70" s="736" t="str">
        <f ca="1">IF(AA70&gt;0,AJ70&amp;Language!$E$99&amp;AK70,"")</f>
        <v/>
      </c>
      <c r="AD70" s="737" t="str">
        <f ca="1">IF(AND($AA70=1,'Finals 4'!$O18&lt;&gt;"",'Finals 4'!$Q18&lt;&gt;"",ABS('Finals 4'!$O18-'Finals 4'!$Q18)&gt;1),'Finals 4'!$O18,"")</f>
        <v/>
      </c>
      <c r="AE70" s="736" t="str">
        <f ca="1">IF(AND($AA70=1,'Finals 4'!$O18&lt;&gt;"",'Finals 4'!$Q18&lt;&gt;"",ABS('Finals 4'!$O18-'Finals 4'!$Q18)&gt;1),'Finals 4'!$Q18,"")</f>
        <v/>
      </c>
      <c r="AF70" s="737" t="str">
        <f ca="1">IF(AND($AA70=1,'Finals 4'!$R18&lt;&gt;"",'Finals 4'!$T18&lt;&gt;"",ABS('Finals 4'!$R18-'Finals 4'!$T18)&gt;1),'Finals 4'!$R18,"")</f>
        <v/>
      </c>
      <c r="AG70" s="736" t="str">
        <f ca="1">IF(AND($AA70=1,'Finals 4'!$R18&lt;&gt;"",'Finals 4'!$T18&lt;&gt;"",ABS('Finals 4'!$R18-'Finals 4'!$T18)&gt;1),'Finals 4'!$T18,"")</f>
        <v/>
      </c>
      <c r="AH70" s="737" t="str">
        <f t="shared" ca="1" si="47"/>
        <v/>
      </c>
      <c r="AI70" s="736" t="str">
        <f t="shared" ca="1" si="48"/>
        <v/>
      </c>
      <c r="AJ70" s="737">
        <f ca="1">IF('Finals 4'!$U18="",0,'Finals 4'!$U18)</f>
        <v>0</v>
      </c>
      <c r="AK70" s="736">
        <f ca="1">IF('Finals 4'!$W18="",0,'Finals 4'!$W18)</f>
        <v>0</v>
      </c>
      <c r="AL70" s="737" t="str">
        <f ca="1">IF($AA70=0,"",IF($AJ70&gt;$AK70,Settings!$C$4,IF($AJ70=$AK70,1,0)))</f>
        <v/>
      </c>
      <c r="AM70" s="736" t="str">
        <f ca="1">IF($AA70=0,"",IF($AJ70&lt;$AK70,Settings!$C$4,IF($AJ70=$AK70,1,0)))</f>
        <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'Finals 4'!$I19</f>
        <v>1. FC Riedwald</v>
      </c>
      <c r="W71" s="661" t="str">
        <f ca="1">'Finals 4'!$K19</f>
        <v>Eintracht Frankfurt</v>
      </c>
      <c r="X71" s="661">
        <f ca="1">IF(AND($AA71=1,'Finals 4'!$L19&lt;&gt;"",'Finals 4'!$N19&lt;&gt;"",ABS('Finals 4'!$L19-'Finals 4'!$N19)&gt;1),'Finals 4'!$L19,"")</f>
        <v>19</v>
      </c>
      <c r="Y71" s="734">
        <f ca="1">IF(AND($AA71=1,'Finals 4'!$L19&lt;&gt;"",'Finals 4'!$N19&lt;&gt;"",ABS('Finals 4'!$L19-'Finals 4'!$N19)&gt;1),'Finals 4'!$N19,"")</f>
        <v>25</v>
      </c>
      <c r="Z71" s="735" t="str">
        <f t="shared" ca="1" si="46"/>
        <v>1. FC RiedwaldEintracht Frankfurt</v>
      </c>
      <c r="AA71" s="661">
        <f ca="1">IF(AND(V71&lt;&gt;"",W71&lt;&gt;"",V71&lt;&gt;W71,'Finals 4'!$U19&lt;&gt;"",'Finals 4'!$W19&lt;&gt;""),1,0)</f>
        <v>1</v>
      </c>
      <c r="AB71" s="661" t="str">
        <f ca="1">IF(AA71&gt;0,AH71&amp;Language!$E$99&amp;AI71,"")</f>
        <v>44 - 37</v>
      </c>
      <c r="AC71" s="736" t="str">
        <f ca="1">IF(AA71&gt;0,AJ71&amp;Language!$E$99&amp;AK71,"")</f>
        <v>1 - 1</v>
      </c>
      <c r="AD71" s="737">
        <f ca="1">IF(AND($AA71=1,'Finals 4'!$O19&lt;&gt;"",'Finals 4'!$Q19&lt;&gt;"",ABS('Finals 4'!$O19-'Finals 4'!$Q19)&gt;1),'Finals 4'!$O19,"")</f>
        <v>25</v>
      </c>
      <c r="AE71" s="736">
        <f ca="1">IF(AND($AA71=1,'Finals 4'!$O19&lt;&gt;"",'Finals 4'!$Q19&lt;&gt;"",ABS('Finals 4'!$O19-'Finals 4'!$Q19)&gt;1),'Finals 4'!$Q19,"")</f>
        <v>12</v>
      </c>
      <c r="AF71" s="737" t="str">
        <f ca="1">IF(AND($AA71=1,'Finals 4'!$R19&lt;&gt;"",'Finals 4'!$T19&lt;&gt;"",ABS('Finals 4'!$R19-'Finals 4'!$T19)&gt;1),'Finals 4'!$R19,"")</f>
        <v/>
      </c>
      <c r="AG71" s="736" t="str">
        <f ca="1">IF(AND($AA71=1,'Finals 4'!$R19&lt;&gt;"",'Finals 4'!$T19&lt;&gt;"",ABS('Finals 4'!$R19-'Finals 4'!$T19)&gt;1),'Finals 4'!$T19,"")</f>
        <v/>
      </c>
      <c r="AH71" s="737">
        <f t="shared" ca="1" si="47"/>
        <v>44</v>
      </c>
      <c r="AI71" s="736">
        <f t="shared" ca="1" si="48"/>
        <v>37</v>
      </c>
      <c r="AJ71" s="737">
        <f ca="1">IF('Finals 4'!$U19="",0,'Finals 4'!$U19)</f>
        <v>1</v>
      </c>
      <c r="AK71" s="736">
        <f ca="1">IF('Finals 4'!$W19="",0,'Finals 4'!$W19)</f>
        <v>1</v>
      </c>
      <c r="AL71" s="737">
        <f ca="1">IF($AA71=0,"",IF($AJ71&gt;$AK71,Settings!$C$4,IF($AJ71=$AK71,1,0)))</f>
        <v>1</v>
      </c>
      <c r="AM71" s="736">
        <f ca="1">IF($AA71=0,"",IF($AJ71&lt;$AK71,Settings!$C$4,IF($AJ71=$AK71,1,0)))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'Finals 4'!$I20</f>
        <v>Maibach 1822 eV</v>
      </c>
      <c r="W72" s="661" t="str">
        <f ca="1">'Finals 4'!$K20</f>
        <v>VFB Essenheim</v>
      </c>
      <c r="X72" s="661">
        <f ca="1">IF(AND($AA72=1,'Finals 4'!$L20&lt;&gt;"",'Finals 4'!$N20&lt;&gt;"",ABS('Finals 4'!$L20-'Finals 4'!$N20)&gt;1),'Finals 4'!$L20,"")</f>
        <v>13</v>
      </c>
      <c r="Y72" s="734">
        <f ca="1">IF(AND($AA72=1,'Finals 4'!$L20&lt;&gt;"",'Finals 4'!$N20&lt;&gt;"",ABS('Finals 4'!$L20-'Finals 4'!$N20)&gt;1),'Finals 4'!$N20,"")</f>
        <v>25</v>
      </c>
      <c r="Z72" s="735" t="str">
        <f t="shared" ca="1" si="46"/>
        <v>Maibach 1822 eVVFB Essenheim</v>
      </c>
      <c r="AA72" s="661">
        <f ca="1">IF(AND(V72&lt;&gt;"",W72&lt;&gt;"",V72&lt;&gt;W72,'Finals 4'!$U20&lt;&gt;"",'Finals 4'!$W20&lt;&gt;""),1,0)</f>
        <v>1</v>
      </c>
      <c r="AB72" s="661" t="str">
        <f ca="1">IF(AA72&gt;0,AH72&amp;Language!$E$99&amp;AI72,"")</f>
        <v>31 - 50</v>
      </c>
      <c r="AC72" s="736" t="str">
        <f ca="1">IF(AA72&gt;0,AJ72&amp;Language!$E$99&amp;AK72,"")</f>
        <v>0 - 2</v>
      </c>
      <c r="AD72" s="737">
        <f ca="1">IF(AND($AA72=1,'Finals 4'!$O20&lt;&gt;"",'Finals 4'!$Q20&lt;&gt;"",ABS('Finals 4'!$O20-'Finals 4'!$Q20)&gt;1),'Finals 4'!$O20,"")</f>
        <v>18</v>
      </c>
      <c r="AE72" s="736">
        <f ca="1">IF(AND($AA72=1,'Finals 4'!$O20&lt;&gt;"",'Finals 4'!$Q20&lt;&gt;"",ABS('Finals 4'!$O20-'Finals 4'!$Q20)&gt;1),'Finals 4'!$Q20,"")</f>
        <v>25</v>
      </c>
      <c r="AF72" s="737" t="str">
        <f ca="1">IF(AND($AA72=1,'Finals 4'!$R20&lt;&gt;"",'Finals 4'!$T20&lt;&gt;"",ABS('Finals 4'!$R20-'Finals 4'!$T20)&gt;1),'Finals 4'!$R20,"")</f>
        <v/>
      </c>
      <c r="AG72" s="736" t="str">
        <f ca="1">IF(AND($AA72=1,'Finals 4'!$R20&lt;&gt;"",'Finals 4'!$T20&lt;&gt;"",ABS('Finals 4'!$R20-'Finals 4'!$T20)&gt;1),'Finals 4'!$T20,"")</f>
        <v/>
      </c>
      <c r="AH72" s="737">
        <f t="shared" ca="1" si="47"/>
        <v>31</v>
      </c>
      <c r="AI72" s="736">
        <f t="shared" ca="1" si="48"/>
        <v>50</v>
      </c>
      <c r="AJ72" s="737">
        <f ca="1">IF('Finals 4'!$U20="",0,'Finals 4'!$U20)</f>
        <v>0</v>
      </c>
      <c r="AK72" s="736">
        <f ca="1">IF('Finals 4'!$W20="",0,'Finals 4'!$W20)</f>
        <v>2</v>
      </c>
      <c r="AL72" s="737">
        <f ca="1">IF($AA72=0,"",IF($AJ72&gt;$AK72,Settings!$C$4,IF($AJ72=$AK72,1,0)))</f>
        <v>0</v>
      </c>
      <c r="AM72" s="736">
        <f ca="1">IF($AA72=0,"",IF($AJ72&lt;$AK72,Settings!$C$4,IF($AJ72=$AK72,1,0)))</f>
        <v>2</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'Finals 4'!$I21</f>
        <v>Mainz 05</v>
      </c>
      <c r="W73" s="661" t="str">
        <f ca="1">'Finals 4'!$K21</f>
        <v/>
      </c>
      <c r="X73" s="661" t="str">
        <f ca="1">IF(AND($AA73=1,'Finals 4'!$L21&lt;&gt;"",'Finals 4'!$N21&lt;&gt;"",ABS('Finals 4'!$L21-'Finals 4'!$N21)&gt;1),'Finals 4'!$L21,"")</f>
        <v/>
      </c>
      <c r="Y73" s="734" t="str">
        <f ca="1">IF(AND($AA73=1,'Finals 4'!$L21&lt;&gt;"",'Finals 4'!$N21&lt;&gt;"",ABS('Finals 4'!$L21-'Finals 4'!$N21)&gt;1),'Finals 4'!$N21,"")</f>
        <v/>
      </c>
      <c r="Z73" s="735" t="str">
        <f t="shared" ca="1" si="46"/>
        <v>Mainz 05</v>
      </c>
      <c r="AA73" s="661">
        <f ca="1">IF(AND(V73&lt;&gt;"",W73&lt;&gt;"",V73&lt;&gt;W73,'Finals 4'!$U21&lt;&gt;"",'Finals 4'!$W21&lt;&gt;""),1,0)</f>
        <v>0</v>
      </c>
      <c r="AB73" s="661" t="str">
        <f ca="1">IF(AA73&gt;0,AH73&amp;Language!$E$99&amp;AI73,"")</f>
        <v/>
      </c>
      <c r="AC73" s="736" t="str">
        <f ca="1">IF(AA73&gt;0,AJ73&amp;Language!$E$99&amp;AK73,"")</f>
        <v/>
      </c>
      <c r="AD73" s="737" t="str">
        <f ca="1">IF(AND($AA73=1,'Finals 4'!$O21&lt;&gt;"",'Finals 4'!$Q21&lt;&gt;"",ABS('Finals 4'!$O21-'Finals 4'!$Q21)&gt;1),'Finals 4'!$O21,"")</f>
        <v/>
      </c>
      <c r="AE73" s="736" t="str">
        <f ca="1">IF(AND($AA73=1,'Finals 4'!$O21&lt;&gt;"",'Finals 4'!$Q21&lt;&gt;"",ABS('Finals 4'!$O21-'Finals 4'!$Q21)&gt;1),'Finals 4'!$Q21,"")</f>
        <v/>
      </c>
      <c r="AF73" s="737" t="str">
        <f ca="1">IF(AND($AA73=1,'Finals 4'!$R21&lt;&gt;"",'Finals 4'!$T21&lt;&gt;"",ABS('Finals 4'!$R21-'Finals 4'!$T21)&gt;1),'Finals 4'!$R21,"")</f>
        <v/>
      </c>
      <c r="AG73" s="736" t="str">
        <f ca="1">IF(AND($AA73=1,'Finals 4'!$R21&lt;&gt;"",'Finals 4'!$T21&lt;&gt;"",ABS('Finals 4'!$R21-'Finals 4'!$T21)&gt;1),'Finals 4'!$T21,"")</f>
        <v/>
      </c>
      <c r="AH73" s="737" t="str">
        <f t="shared" ca="1" si="47"/>
        <v/>
      </c>
      <c r="AI73" s="736" t="str">
        <f t="shared" ca="1" si="48"/>
        <v/>
      </c>
      <c r="AJ73" s="737">
        <f ca="1">IF('Finals 4'!$U21="",0,'Finals 4'!$U21)</f>
        <v>0</v>
      </c>
      <c r="AK73" s="736">
        <f ca="1">IF('Finals 4'!$W21="",0,'Finals 4'!$W21)</f>
        <v>0</v>
      </c>
      <c r="AL73" s="737" t="str">
        <f ca="1">IF($AA73=0,"",IF($AJ73&gt;$AK73,Settings!$C$4,IF($AJ73=$AK73,1,0)))</f>
        <v/>
      </c>
      <c r="AM73" s="736" t="str">
        <f ca="1">IF($AA73=0,"",IF($AJ73&lt;$AK73,Settings!$C$4,IF($AJ73=$AK73,1,0)))</f>
        <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'Finals 4'!$I22</f>
        <v>SSV Wildbach</v>
      </c>
      <c r="W74" s="661" t="str">
        <f ca="1">'Finals 4'!$K22</f>
        <v>FC Grönlingen</v>
      </c>
      <c r="X74" s="661">
        <f ca="1">IF(AND($AA74=1,'Finals 4'!$L22&lt;&gt;"",'Finals 4'!$N22&lt;&gt;"",ABS('Finals 4'!$L22-'Finals 4'!$N22)&gt;1),'Finals 4'!$L22,"")</f>
        <v>22</v>
      </c>
      <c r="Y74" s="734">
        <f ca="1">IF(AND($AA74=1,'Finals 4'!$L22&lt;&gt;"",'Finals 4'!$N22&lt;&gt;"",ABS('Finals 4'!$L22-'Finals 4'!$N22)&gt;1),'Finals 4'!$N22,"")</f>
        <v>25</v>
      </c>
      <c r="Z74" s="735" t="str">
        <f ca="1">V74&amp;W74</f>
        <v>SSV WildbachFC Grönlingen</v>
      </c>
      <c r="AA74" s="661">
        <f ca="1">IF(AND(V74&lt;&gt;"",W74&lt;&gt;"",V74&lt;&gt;W74,'Finals 4'!$U22&lt;&gt;"",'Finals 4'!$W22&lt;&gt;""),1,0)</f>
        <v>1</v>
      </c>
      <c r="AB74" s="661" t="str">
        <f ca="1">IF(AA74&gt;0,AH74&amp;Language!$E$99&amp;AI74,"")</f>
        <v>47 - 45</v>
      </c>
      <c r="AC74" s="736" t="str">
        <f ca="1">IF(AA74&gt;0,AJ74&amp;Language!$E$99&amp;AK74,"")</f>
        <v>1 - 1</v>
      </c>
      <c r="AD74" s="737">
        <f ca="1">IF(AND($AA74=1,'Finals 4'!$O22&lt;&gt;"",'Finals 4'!$Q22&lt;&gt;"",ABS('Finals 4'!$O22-'Finals 4'!$Q22)&gt;1),'Finals 4'!$O22,"")</f>
        <v>25</v>
      </c>
      <c r="AE74" s="736">
        <f ca="1">IF(AND($AA74=1,'Finals 4'!$O22&lt;&gt;"",'Finals 4'!$Q22&lt;&gt;"",ABS('Finals 4'!$O22-'Finals 4'!$Q22)&gt;1),'Finals 4'!$Q22,"")</f>
        <v>20</v>
      </c>
      <c r="AF74" s="737" t="str">
        <f ca="1">IF(AND($AA74=1,'Finals 4'!$R22&lt;&gt;"",'Finals 4'!$T22&lt;&gt;"",ABS('Finals 4'!$R22-'Finals 4'!$T22)&gt;1),'Finals 4'!$R22,"")</f>
        <v/>
      </c>
      <c r="AG74" s="736" t="str">
        <f ca="1">IF(AND($AA74=1,'Finals 4'!$R22&lt;&gt;"",'Finals 4'!$T22&lt;&gt;"",ABS('Finals 4'!$R22-'Finals 4'!$T22)&gt;1),'Finals 4'!$T22,"")</f>
        <v/>
      </c>
      <c r="AH74" s="737">
        <f t="shared" ca="1" si="47"/>
        <v>47</v>
      </c>
      <c r="AI74" s="736">
        <f t="shared" ca="1" si="48"/>
        <v>45</v>
      </c>
      <c r="AJ74" s="737">
        <f ca="1">IF('Finals 4'!$U22="",0,'Finals 4'!$U22)</f>
        <v>1</v>
      </c>
      <c r="AK74" s="736">
        <f ca="1">IF('Finals 4'!$W22="",0,'Finals 4'!$W22)</f>
        <v>1</v>
      </c>
      <c r="AL74" s="737">
        <f ca="1">IF($AA74=0,"",IF($AJ74&gt;$AK74,Settings!$C$4,IF($AJ74=$AK74,1,0)))</f>
        <v>1</v>
      </c>
      <c r="AM74" s="736">
        <f ca="1">IF($AA74=0,"",IF($AJ74&lt;$AK74,Settings!$C$4,IF($AJ74=$AK74,1,0)))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'Finals 4'!$I23</f>
        <v>Inter Mailand</v>
      </c>
      <c r="W75" s="661" t="str">
        <f ca="1">'Finals 4'!$K23</f>
        <v>Manchester City</v>
      </c>
      <c r="X75" s="661">
        <f ca="1">IF(AND($AA75=1,'Finals 4'!$L23&lt;&gt;"",'Finals 4'!$N23&lt;&gt;"",ABS('Finals 4'!$L23-'Finals 4'!$N23)&gt;1),'Finals 4'!$L23,"")</f>
        <v>19</v>
      </c>
      <c r="Y75" s="734">
        <f ca="1">IF(AND($AA75=1,'Finals 4'!$L23&lt;&gt;"",'Finals 4'!$N23&lt;&gt;"",ABS('Finals 4'!$L23-'Finals 4'!$N23)&gt;1),'Finals 4'!$N23,"")</f>
        <v>25</v>
      </c>
      <c r="Z75" s="735" t="str">
        <f t="shared" ref="Z75:Z81" ca="1" si="49">V75&amp;W75</f>
        <v>Inter MailandManchester City</v>
      </c>
      <c r="AA75" s="661">
        <f ca="1">IF(AND(V75&lt;&gt;"",W75&lt;&gt;"",V75&lt;&gt;W75,'Finals 4'!$U23&lt;&gt;"",'Finals 4'!$W23&lt;&gt;""),1,0)</f>
        <v>1</v>
      </c>
      <c r="AB75" s="661" t="str">
        <f ca="1">IF(AA75&gt;0,AH75&amp;Language!$E$99&amp;AI75,"")</f>
        <v>44 - 44</v>
      </c>
      <c r="AC75" s="736" t="str">
        <f ca="1">IF(AA75&gt;0,AJ75&amp;Language!$E$99&amp;AK75,"")</f>
        <v>1 - 1</v>
      </c>
      <c r="AD75" s="737">
        <f ca="1">IF(AND($AA75=1,'Finals 4'!$O23&lt;&gt;"",'Finals 4'!$Q23&lt;&gt;"",ABS('Finals 4'!$O23-'Finals 4'!$Q23)&gt;1),'Finals 4'!$O23,"")</f>
        <v>25</v>
      </c>
      <c r="AE75" s="736">
        <f ca="1">IF(AND($AA75=1,'Finals 4'!$O23&lt;&gt;"",'Finals 4'!$Q23&lt;&gt;"",ABS('Finals 4'!$O23-'Finals 4'!$Q23)&gt;1),'Finals 4'!$Q23,"")</f>
        <v>19</v>
      </c>
      <c r="AF75" s="737" t="str">
        <f ca="1">IF(AND($AA75=1,'Finals 4'!$R23&lt;&gt;"",'Finals 4'!$T23&lt;&gt;"",ABS('Finals 4'!$R23-'Finals 4'!$T23)&gt;1),'Finals 4'!$R23,"")</f>
        <v/>
      </c>
      <c r="AG75" s="736" t="str">
        <f ca="1">IF(AND($AA75=1,'Finals 4'!$R23&lt;&gt;"",'Finals 4'!$T23&lt;&gt;"",ABS('Finals 4'!$R23-'Finals 4'!$T23)&gt;1),'Finals 4'!$T23,"")</f>
        <v/>
      </c>
      <c r="AH75" s="737">
        <f t="shared" ca="1" si="47"/>
        <v>44</v>
      </c>
      <c r="AI75" s="736">
        <f t="shared" ca="1" si="48"/>
        <v>44</v>
      </c>
      <c r="AJ75" s="737">
        <f ca="1">IF('Finals 4'!$U23="",0,'Finals 4'!$U23)</f>
        <v>1</v>
      </c>
      <c r="AK75" s="736">
        <f ca="1">IF('Finals 4'!$W23="",0,'Finals 4'!$W23)</f>
        <v>1</v>
      </c>
      <c r="AL75" s="737">
        <f ca="1">IF($AA75=0,"",IF($AJ75&gt;$AK75,Settings!$C$4,IF($AJ75=$AK75,1,0)))</f>
        <v>1</v>
      </c>
      <c r="AM75" s="736">
        <f ca="1">IF($AA75=0,"",IF($AJ75&lt;$AK75,Settings!$C$4,IF($AJ75=$AK75,1,0)))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'Finals 4'!$I24</f>
        <v/>
      </c>
      <c r="W76" s="661" t="str">
        <f ca="1">'Finals 4'!$K24</f>
        <v/>
      </c>
      <c r="X76" s="661" t="str">
        <f ca="1">IF(AND($AA76=1,'Finals 4'!$L24&lt;&gt;"",'Finals 4'!$N24&lt;&gt;"",ABS('Finals 4'!$L24-'Finals 4'!$N24)&gt;1),'Finals 4'!$L24,"")</f>
        <v/>
      </c>
      <c r="Y76" s="734" t="str">
        <f ca="1">IF(AND($AA76=1,'Finals 4'!$L24&lt;&gt;"",'Finals 4'!$N24&lt;&gt;"",ABS('Finals 4'!$L24-'Finals 4'!$N24)&gt;1),'Finals 4'!$N24,"")</f>
        <v/>
      </c>
      <c r="Z76" s="735" t="str">
        <f t="shared" ca="1" si="49"/>
        <v/>
      </c>
      <c r="AA76" s="661">
        <f ca="1">IF(AND(V76&lt;&gt;"",W76&lt;&gt;"",V76&lt;&gt;W76,'Finals 4'!$U24&lt;&gt;"",'Finals 4'!$W24&lt;&gt;""),1,0)</f>
        <v>0</v>
      </c>
      <c r="AB76" s="661" t="str">
        <f ca="1">IF(AA76&gt;0,AH76&amp;Language!$E$99&amp;AI76,"")</f>
        <v/>
      </c>
      <c r="AC76" s="736" t="str">
        <f ca="1">IF(AA76&gt;0,AJ76&amp;Language!$E$99&amp;AK76,"")</f>
        <v/>
      </c>
      <c r="AD76" s="737" t="str">
        <f ca="1">IF(AND($AA76=1,'Finals 4'!$O24&lt;&gt;"",'Finals 4'!$Q24&lt;&gt;"",ABS('Finals 4'!$O24-'Finals 4'!$Q24)&gt;1),'Finals 4'!$O24,"")</f>
        <v/>
      </c>
      <c r="AE76" s="736" t="str">
        <f ca="1">IF(AND($AA76=1,'Finals 4'!$O24&lt;&gt;"",'Finals 4'!$Q24&lt;&gt;"",ABS('Finals 4'!$O24-'Finals 4'!$Q24)&gt;1),'Finals 4'!$Q24,"")</f>
        <v/>
      </c>
      <c r="AF76" s="737" t="str">
        <f ca="1">IF(AND($AA76=1,'Finals 4'!$R24&lt;&gt;"",'Finals 4'!$T24&lt;&gt;"",ABS('Finals 4'!$R24-'Finals 4'!$T24)&gt;1),'Finals 4'!$R24,"")</f>
        <v/>
      </c>
      <c r="AG76" s="736" t="str">
        <f ca="1">IF(AND($AA76=1,'Finals 4'!$R24&lt;&gt;"",'Finals 4'!$T24&lt;&gt;"",ABS('Finals 4'!$R24-'Finals 4'!$T24)&gt;1),'Finals 4'!$T24,"")</f>
        <v/>
      </c>
      <c r="AH76" s="737" t="str">
        <f t="shared" ca="1" si="47"/>
        <v/>
      </c>
      <c r="AI76" s="736" t="str">
        <f t="shared" ca="1" si="48"/>
        <v/>
      </c>
      <c r="AJ76" s="737">
        <f ca="1">IF('Finals 4'!$U24="",0,'Finals 4'!$U24)</f>
        <v>0</v>
      </c>
      <c r="AK76" s="736">
        <f ca="1">IF('Finals 4'!$W24="",0,'Finals 4'!$W24)</f>
        <v>0</v>
      </c>
      <c r="AL76" s="737" t="str">
        <f ca="1">IF($AA76=0,"",IF($AJ76&gt;$AK76,Settings!$C$4,IF($AJ76=$AK76,1,0)))</f>
        <v/>
      </c>
      <c r="AM76" s="736" t="str">
        <f ca="1">IF($AA76=0,"",IF($AJ76&lt;$AK76,Settings!$C$4,IF($AJ76=$AK76,1,0)))</f>
        <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'Finals 4'!$I25</f>
        <v>Eintracht Frankfurt</v>
      </c>
      <c r="W77" s="661" t="str">
        <f ca="1">'Finals 4'!$K25</f>
        <v>FC Grönlingen</v>
      </c>
      <c r="X77" s="661">
        <f ca="1">IF(AND($AA77=1,'Finals 4'!$L25&lt;&gt;"",'Finals 4'!$N25&lt;&gt;"",ABS('Finals 4'!$L25-'Finals 4'!$N25)&gt;1),'Finals 4'!$L25,"")</f>
        <v>14</v>
      </c>
      <c r="Y77" s="734">
        <f ca="1">IF(AND($AA77=1,'Finals 4'!$L25&lt;&gt;"",'Finals 4'!$N25&lt;&gt;"",ABS('Finals 4'!$L25-'Finals 4'!$N25)&gt;1),'Finals 4'!$N25,"")</f>
        <v>25</v>
      </c>
      <c r="Z77" s="735" t="str">
        <f t="shared" ca="1" si="49"/>
        <v>Eintracht FrankfurtFC Grönlingen</v>
      </c>
      <c r="AA77" s="661">
        <f ca="1">IF(AND(V77&lt;&gt;"",W77&lt;&gt;"",V77&lt;&gt;W77,'Finals 4'!$U25&lt;&gt;"",'Finals 4'!$W25&lt;&gt;""),1,0)</f>
        <v>1</v>
      </c>
      <c r="AB77" s="661" t="str">
        <f ca="1">IF(AA77&gt;0,AH77&amp;Language!$E$99&amp;AI77,"")</f>
        <v>39 - 48</v>
      </c>
      <c r="AC77" s="736" t="str">
        <f ca="1">IF(AA77&gt;0,AJ77&amp;Language!$E$99&amp;AK77,"")</f>
        <v>1 - 1</v>
      </c>
      <c r="AD77" s="737">
        <f ca="1">IF(AND($AA77=1,'Finals 4'!$O25&lt;&gt;"",'Finals 4'!$Q25&lt;&gt;"",ABS('Finals 4'!$O25-'Finals 4'!$Q25)&gt;1),'Finals 4'!$O25,"")</f>
        <v>25</v>
      </c>
      <c r="AE77" s="736">
        <f ca="1">IF(AND($AA77=1,'Finals 4'!$O25&lt;&gt;"",'Finals 4'!$Q25&lt;&gt;"",ABS('Finals 4'!$O25-'Finals 4'!$Q25)&gt;1),'Finals 4'!$Q25,"")</f>
        <v>23</v>
      </c>
      <c r="AF77" s="737" t="str">
        <f ca="1">IF(AND($AA77=1,'Finals 4'!$R25&lt;&gt;"",'Finals 4'!$T25&lt;&gt;"",ABS('Finals 4'!$R25-'Finals 4'!$T25)&gt;1),'Finals 4'!$R25,"")</f>
        <v/>
      </c>
      <c r="AG77" s="736" t="str">
        <f ca="1">IF(AND($AA77=1,'Finals 4'!$R25&lt;&gt;"",'Finals 4'!$T25&lt;&gt;"",ABS('Finals 4'!$R25-'Finals 4'!$T25)&gt;1),'Finals 4'!$T25,"")</f>
        <v/>
      </c>
      <c r="AH77" s="737">
        <f t="shared" ca="1" si="47"/>
        <v>39</v>
      </c>
      <c r="AI77" s="736">
        <f t="shared" ca="1" si="48"/>
        <v>48</v>
      </c>
      <c r="AJ77" s="737">
        <f ca="1">IF('Finals 4'!$U25="",0,'Finals 4'!$U25)</f>
        <v>1</v>
      </c>
      <c r="AK77" s="736">
        <f ca="1">IF('Finals 4'!$W25="",0,'Finals 4'!$W25)</f>
        <v>1</v>
      </c>
      <c r="AL77" s="737">
        <f ca="1">IF($AA77=0,"",IF($AJ77&gt;$AK77,Settings!$C$4,IF($AJ77=$AK77,1,0)))</f>
        <v>1</v>
      </c>
      <c r="AM77" s="736">
        <f ca="1">IF($AA77=0,"",IF($AJ77&lt;$AK77,Settings!$C$4,IF($AJ77=$AK77,1,0)))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'Finals 4'!$I26</f>
        <v>VFB Essenheim</v>
      </c>
      <c r="W78" s="661" t="str">
        <f ca="1">'Finals 4'!$K26</f>
        <v>Manchester City</v>
      </c>
      <c r="X78" s="661">
        <f ca="1">IF(AND($AA78=1,'Finals 4'!$L26&lt;&gt;"",'Finals 4'!$N26&lt;&gt;"",ABS('Finals 4'!$L26-'Finals 4'!$N26)&gt;1),'Finals 4'!$L26,"")</f>
        <v>21</v>
      </c>
      <c r="Y78" s="734">
        <f ca="1">IF(AND($AA78=1,'Finals 4'!$L26&lt;&gt;"",'Finals 4'!$N26&lt;&gt;"",ABS('Finals 4'!$L26-'Finals 4'!$N26)&gt;1),'Finals 4'!$N26,"")</f>
        <v>25</v>
      </c>
      <c r="Z78" s="735" t="str">
        <f t="shared" ca="1" si="49"/>
        <v>VFB EssenheimManchester City</v>
      </c>
      <c r="AA78" s="661">
        <f ca="1">IF(AND(V78&lt;&gt;"",W78&lt;&gt;"",V78&lt;&gt;W78,'Finals 4'!$U26&lt;&gt;"",'Finals 4'!$W26&lt;&gt;""),1,0)</f>
        <v>1</v>
      </c>
      <c r="AB78" s="661" t="str">
        <f ca="1">IF(AA78&gt;0,AH78&amp;Language!$E$99&amp;AI78,"")</f>
        <v>46 - 42</v>
      </c>
      <c r="AC78" s="736" t="str">
        <f ca="1">IF(AA78&gt;0,AJ78&amp;Language!$E$99&amp;AK78,"")</f>
        <v>1 - 1</v>
      </c>
      <c r="AD78" s="737">
        <f ca="1">IF(AND($AA78=1,'Finals 4'!$O26&lt;&gt;"",'Finals 4'!$Q26&lt;&gt;"",ABS('Finals 4'!$O26-'Finals 4'!$Q26)&gt;1),'Finals 4'!$O26,"")</f>
        <v>25</v>
      </c>
      <c r="AE78" s="736">
        <f ca="1">IF(AND($AA78=1,'Finals 4'!$O26&lt;&gt;"",'Finals 4'!$Q26&lt;&gt;"",ABS('Finals 4'!$O26-'Finals 4'!$Q26)&gt;1),'Finals 4'!$Q26,"")</f>
        <v>17</v>
      </c>
      <c r="AF78" s="737" t="str">
        <f ca="1">IF(AND($AA78=1,'Finals 4'!$R26&lt;&gt;"",'Finals 4'!$T26&lt;&gt;"",ABS('Finals 4'!$R26-'Finals 4'!$T26)&gt;1),'Finals 4'!$R26,"")</f>
        <v/>
      </c>
      <c r="AG78" s="736" t="str">
        <f ca="1">IF(AND($AA78=1,'Finals 4'!$R26&lt;&gt;"",'Finals 4'!$T26&lt;&gt;"",ABS('Finals 4'!$R26-'Finals 4'!$T26)&gt;1),'Finals 4'!$T26,"")</f>
        <v/>
      </c>
      <c r="AH78" s="737">
        <f t="shared" ca="1" si="47"/>
        <v>46</v>
      </c>
      <c r="AI78" s="736">
        <f t="shared" ca="1" si="48"/>
        <v>42</v>
      </c>
      <c r="AJ78" s="737">
        <f ca="1">IF('Finals 4'!$U26="",0,'Finals 4'!$U26)</f>
        <v>1</v>
      </c>
      <c r="AK78" s="736">
        <f ca="1">IF('Finals 4'!$W26="",0,'Finals 4'!$W26)</f>
        <v>1</v>
      </c>
      <c r="AL78" s="737">
        <f ca="1">IF($AA78=0,"",IF($AJ78&gt;$AK78,Settings!$C$4,IF($AJ78=$AK78,1,0)))</f>
        <v>1</v>
      </c>
      <c r="AM78" s="736">
        <f ca="1">IF($AA78=0,"",IF($AJ78&lt;$AK78,Settings!$C$4,IF($AJ78=$AK78,1,0)))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'Finals 4'!$I27</f>
        <v>FC Barcelona</v>
      </c>
      <c r="W79" s="661" t="str">
        <f ca="1">'Finals 4'!$K27</f>
        <v>Mainz 05</v>
      </c>
      <c r="X79" s="661">
        <f ca="1">IF(AND($AA79=1,'Finals 4'!$L27&lt;&gt;"",'Finals 4'!$N27&lt;&gt;"",ABS('Finals 4'!$L27-'Finals 4'!$N27)&gt;1),'Finals 4'!$L27,"")</f>
        <v>20</v>
      </c>
      <c r="Y79" s="734">
        <f ca="1">IF(AND($AA79=1,'Finals 4'!$L27&lt;&gt;"",'Finals 4'!$N27&lt;&gt;"",ABS('Finals 4'!$L27-'Finals 4'!$N27)&gt;1),'Finals 4'!$N27,"")</f>
        <v>25</v>
      </c>
      <c r="Z79" s="735" t="str">
        <f t="shared" ca="1" si="49"/>
        <v>FC BarcelonaMainz 05</v>
      </c>
      <c r="AA79" s="661">
        <f ca="1">IF(AND(V79&lt;&gt;"",W79&lt;&gt;"",V79&lt;&gt;W79,'Finals 4'!$U27&lt;&gt;"",'Finals 4'!$W27&lt;&gt;""),1,0)</f>
        <v>1</v>
      </c>
      <c r="AB79" s="661" t="str">
        <f ca="1">IF(AA79&gt;0,AH79&amp;Language!$E$99&amp;AI79,"")</f>
        <v>70 - 65</v>
      </c>
      <c r="AC79" s="736" t="str">
        <f ca="1">IF(AA79&gt;0,AJ79&amp;Language!$E$99&amp;AK79,"")</f>
        <v>2 - 1</v>
      </c>
      <c r="AD79" s="737">
        <f ca="1">IF(AND($AA79=1,'Finals 4'!$O27&lt;&gt;"",'Finals 4'!$Q27&lt;&gt;"",ABS('Finals 4'!$O27-'Finals 4'!$Q27)&gt;1),'Finals 4'!$O27,"")</f>
        <v>25</v>
      </c>
      <c r="AE79" s="736">
        <f ca="1">IF(AND($AA79=1,'Finals 4'!$O27&lt;&gt;"",'Finals 4'!$Q27&lt;&gt;"",ABS('Finals 4'!$O27-'Finals 4'!$Q27)&gt;1),'Finals 4'!$Q27,"")</f>
        <v>18</v>
      </c>
      <c r="AF79" s="737">
        <f ca="1">IF(AND($AA79=1,'Finals 4'!$R27&lt;&gt;"",'Finals 4'!$T27&lt;&gt;"",ABS('Finals 4'!$R27-'Finals 4'!$T27)&gt;1),'Finals 4'!$R27,"")</f>
        <v>25</v>
      </c>
      <c r="AG79" s="736">
        <f ca="1">IF(AND($AA79=1,'Finals 4'!$R27&lt;&gt;"",'Finals 4'!$T27&lt;&gt;"",ABS('Finals 4'!$R27-'Finals 4'!$T27)&gt;1),'Finals 4'!$T27,"")</f>
        <v>22</v>
      </c>
      <c r="AH79" s="737">
        <f t="shared" ca="1" si="47"/>
        <v>70</v>
      </c>
      <c r="AI79" s="736">
        <f t="shared" ca="1" si="48"/>
        <v>65</v>
      </c>
      <c r="AJ79" s="737">
        <f ca="1">IF('Finals 4'!$U27="",0,'Finals 4'!$U27)</f>
        <v>2</v>
      </c>
      <c r="AK79" s="736">
        <f ca="1">IF('Finals 4'!$W27="",0,'Finals 4'!$W27)</f>
        <v>1</v>
      </c>
      <c r="AL79" s="737">
        <f ca="1">IF($AA79=0,"",IF($AJ79&gt;$AK79,Settings!$C$4,IF($AJ79=$AK79,1,0)))</f>
        <v>2</v>
      </c>
      <c r="AM79" s="736">
        <f ca="1">IF($AA79=0,"",IF($AJ79&lt;$AK79,Settings!$C$4,IF($AJ79=$AK79,1,0)))</f>
        <v>0</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'Finals 4'!$I28</f>
        <v>1. FC Riedwald</v>
      </c>
      <c r="W80" s="661" t="str">
        <f ca="1">'Finals 4'!$K28</f>
        <v>SSV Wildbach</v>
      </c>
      <c r="X80" s="661">
        <f ca="1">IF(AND($AA80=1,'Finals 4'!$L28&lt;&gt;"",'Finals 4'!$N28&lt;&gt;"",ABS('Finals 4'!$L28-'Finals 4'!$N28)&gt;1),'Finals 4'!$L28,"")</f>
        <v>25</v>
      </c>
      <c r="Y80" s="734">
        <f ca="1">IF(AND($AA80=1,'Finals 4'!$L28&lt;&gt;"",'Finals 4'!$N28&lt;&gt;"",ABS('Finals 4'!$L28-'Finals 4'!$N28)&gt;1),'Finals 4'!$N28,"")</f>
        <v>20</v>
      </c>
      <c r="Z80" s="735" t="str">
        <f t="shared" ca="1" si="49"/>
        <v>1. FC RiedwaldSSV Wildbach</v>
      </c>
      <c r="AA80" s="661">
        <f ca="1">IF(AND(V80&lt;&gt;"",W80&lt;&gt;"",V80&lt;&gt;W80,'Finals 4'!$U28&lt;&gt;"",'Finals 4'!$W28&lt;&gt;""),1,0)</f>
        <v>1</v>
      </c>
      <c r="AB80" s="661" t="str">
        <f ca="1">IF(AA80&gt;0,AH80&amp;Language!$E$99&amp;AI80,"")</f>
        <v>50 - 39</v>
      </c>
      <c r="AC80" s="736" t="str">
        <f ca="1">IF(AA80&gt;0,AJ80&amp;Language!$E$99&amp;AK80,"")</f>
        <v>2 - 0</v>
      </c>
      <c r="AD80" s="737">
        <f ca="1">IF(AND($AA80=1,'Finals 4'!$O28&lt;&gt;"",'Finals 4'!$Q28&lt;&gt;"",ABS('Finals 4'!$O28-'Finals 4'!$Q28)&gt;1),'Finals 4'!$O28,"")</f>
        <v>25</v>
      </c>
      <c r="AE80" s="736">
        <f ca="1">IF(AND($AA80=1,'Finals 4'!$O28&lt;&gt;"",'Finals 4'!$Q28&lt;&gt;"",ABS('Finals 4'!$O28-'Finals 4'!$Q28)&gt;1),'Finals 4'!$Q28,"")</f>
        <v>19</v>
      </c>
      <c r="AF80" s="737" t="str">
        <f ca="1">IF(AND($AA80=1,'Finals 4'!$R28&lt;&gt;"",'Finals 4'!$T28&lt;&gt;"",ABS('Finals 4'!$R28-'Finals 4'!$T28)&gt;1),'Finals 4'!$R28,"")</f>
        <v/>
      </c>
      <c r="AG80" s="736" t="str">
        <f ca="1">IF(AND($AA80=1,'Finals 4'!$R28&lt;&gt;"",'Finals 4'!$T28&lt;&gt;"",ABS('Finals 4'!$R28-'Finals 4'!$T28)&gt;1),'Finals 4'!$T28,"")</f>
        <v/>
      </c>
      <c r="AH80" s="737">
        <f t="shared" ca="1" si="47"/>
        <v>50</v>
      </c>
      <c r="AI80" s="736">
        <f t="shared" ca="1" si="48"/>
        <v>39</v>
      </c>
      <c r="AJ80" s="737">
        <f ca="1">IF('Finals 4'!$U28="",0,'Finals 4'!$U28)</f>
        <v>2</v>
      </c>
      <c r="AK80" s="736">
        <f ca="1">IF('Finals 4'!$W28="",0,'Finals 4'!$W28)</f>
        <v>0</v>
      </c>
      <c r="AL80" s="737">
        <f ca="1">IF($AA80=0,"",IF($AJ80&gt;$AK80,Settings!$C$4,IF($AJ80=$AK80,1,0)))</f>
        <v>2</v>
      </c>
      <c r="AM80" s="736">
        <f ca="1">IF($AA80=0,"",IF($AJ80&lt;$AK80,Settings!$C$4,IF($AJ80=$AK80,1,0)))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ht="12.75" thickBot="1" x14ac:dyDescent="0.25">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'Finals 4'!$I29</f>
        <v>Maibach 1822 eV</v>
      </c>
      <c r="W81" s="661" t="str">
        <f ca="1">'Finals 4'!$K29</f>
        <v>Inter Mailand</v>
      </c>
      <c r="X81" s="661">
        <f ca="1">IF(AND($AA81=1,'Finals 4'!$L29&lt;&gt;"",'Finals 4'!$N29&lt;&gt;"",ABS('Finals 4'!$L29-'Finals 4'!$N29)&gt;1),'Finals 4'!$L29,"")</f>
        <v>25</v>
      </c>
      <c r="Y81" s="734">
        <f ca="1">IF(AND($AA81=1,'Finals 4'!$L29&lt;&gt;"",'Finals 4'!$N29&lt;&gt;"",ABS('Finals 4'!$L29-'Finals 4'!$N29)&gt;1),'Finals 4'!$N29,"")</f>
        <v>13</v>
      </c>
      <c r="Z81" s="735" t="str">
        <f t="shared" ca="1" si="49"/>
        <v>Maibach 1822 eVInter Mailand</v>
      </c>
      <c r="AA81" s="661">
        <f ca="1">IF(AND(V81&lt;&gt;"",W81&lt;&gt;"",V81&lt;&gt;W81,'Finals 4'!$U29&lt;&gt;"",'Finals 4'!$W29&lt;&gt;""),1,0)</f>
        <v>1</v>
      </c>
      <c r="AB81" s="661" t="str">
        <f ca="1">IF(AA81&gt;0,AH81&amp;Language!$E$99&amp;AI81,"")</f>
        <v>50 - 33</v>
      </c>
      <c r="AC81" s="736" t="str">
        <f ca="1">IF(AA81&gt;0,AJ81&amp;Language!$E$99&amp;AK81,"")</f>
        <v>2 - 0</v>
      </c>
      <c r="AD81" s="737">
        <f ca="1">IF(AND($AA81=1,'Finals 4'!$O29&lt;&gt;"",'Finals 4'!$Q29&lt;&gt;"",ABS('Finals 4'!$O29-'Finals 4'!$Q29)&gt;1),'Finals 4'!$O29,"")</f>
        <v>25</v>
      </c>
      <c r="AE81" s="736">
        <f ca="1">IF(AND($AA81=1,'Finals 4'!$O29&lt;&gt;"",'Finals 4'!$Q29&lt;&gt;"",ABS('Finals 4'!$O29-'Finals 4'!$Q29)&gt;1),'Finals 4'!$Q29,"")</f>
        <v>20</v>
      </c>
      <c r="AF81" s="737" t="str">
        <f ca="1">IF(AND($AA81=1,'Finals 4'!$R29&lt;&gt;"",'Finals 4'!$T29&lt;&gt;"",ABS('Finals 4'!$R29-'Finals 4'!$T29)&gt;1),'Finals 4'!$R29,"")</f>
        <v/>
      </c>
      <c r="AG81" s="736" t="str">
        <f ca="1">IF(AND($AA81=1,'Finals 4'!$R29&lt;&gt;"",'Finals 4'!$T29&lt;&gt;"",ABS('Finals 4'!$R29-'Finals 4'!$T29)&gt;1),'Finals 4'!$T29,"")</f>
        <v/>
      </c>
      <c r="AH81" s="737">
        <f t="shared" ca="1" si="47"/>
        <v>50</v>
      </c>
      <c r="AI81" s="736">
        <f t="shared" ca="1" si="48"/>
        <v>33</v>
      </c>
      <c r="AJ81" s="737">
        <f ca="1">IF('Finals 4'!$U29="",0,'Finals 4'!$U29)</f>
        <v>2</v>
      </c>
      <c r="AK81" s="736">
        <f ca="1">IF('Finals 4'!$W29="",0,'Finals 4'!$W29)</f>
        <v>0</v>
      </c>
      <c r="AL81" s="737">
        <f ca="1">IF($AA81=0,"",IF($AJ81&gt;$AK81,Settings!$C$4,IF($AJ81=$AK81,1,0)))</f>
        <v>2</v>
      </c>
      <c r="AM81" s="736">
        <f ca="1">IF($AA81=0,"",IF($AJ81&lt;$AK81,Settings!$C$4,IF($AJ81=$AK81,1,0)))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ht="12.75" thickTop="1" x14ac:dyDescent="0.2">
      <c r="A82" s="660"/>
      <c r="B82" s="681"/>
      <c r="C82" s="681"/>
      <c r="D82" s="681"/>
      <c r="E82" s="681"/>
      <c r="F82" s="661"/>
      <c r="G82" s="661"/>
      <c r="H82" s="661"/>
      <c r="I82" s="661"/>
      <c r="J82" s="661"/>
      <c r="K82" s="661"/>
      <c r="L82" s="661"/>
      <c r="M82" s="661"/>
      <c r="N82" s="660"/>
      <c r="O82" s="660"/>
      <c r="P82" s="660"/>
      <c r="Q82" s="660"/>
      <c r="R82" s="660"/>
      <c r="S82" s="660"/>
      <c r="T82" s="660"/>
      <c r="U82" s="742" t="s">
        <v>33</v>
      </c>
      <c r="V82" s="743" t="str">
        <f>""</f>
        <v/>
      </c>
      <c r="W82" s="744" t="str">
        <f>""</f>
        <v/>
      </c>
      <c r="X82" s="744" t="str">
        <f>""</f>
        <v/>
      </c>
      <c r="Y82" s="745" t="str">
        <f>""</f>
        <v/>
      </c>
      <c r="Z82" s="746" t="str">
        <f>""</f>
        <v/>
      </c>
      <c r="AA82" s="744">
        <v>0</v>
      </c>
      <c r="AB82" s="744" t="str">
        <f>""</f>
        <v/>
      </c>
      <c r="AC82" s="747"/>
      <c r="AD82" s="748" t="str">
        <f>""</f>
        <v/>
      </c>
      <c r="AE82" s="747" t="str">
        <f>""</f>
        <v/>
      </c>
      <c r="AF82" s="748" t="str">
        <f>""</f>
        <v/>
      </c>
      <c r="AG82" s="747" t="str">
        <f>""</f>
        <v/>
      </c>
      <c r="AH82" s="748" t="str">
        <f>""</f>
        <v/>
      </c>
      <c r="AI82" s="747" t="str">
        <f>""</f>
        <v/>
      </c>
      <c r="AJ82" s="748"/>
      <c r="AK82" s="747"/>
      <c r="AL82" s="748" t="str">
        <f>""</f>
        <v/>
      </c>
      <c r="AM82" s="747" t="str">
        <f>""</f>
        <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f>
        <v/>
      </c>
      <c r="W83" s="661" t="str">
        <f>""</f>
        <v/>
      </c>
      <c r="X83" s="661" t="str">
        <f>""</f>
        <v/>
      </c>
      <c r="Y83" s="734" t="str">
        <f>""</f>
        <v/>
      </c>
      <c r="Z83" s="735" t="str">
        <f>""</f>
        <v/>
      </c>
      <c r="AA83" s="661">
        <v>0</v>
      </c>
      <c r="AB83" s="661" t="str">
        <f>""</f>
        <v/>
      </c>
      <c r="AC83" s="736"/>
      <c r="AD83" s="737" t="str">
        <f>""</f>
        <v/>
      </c>
      <c r="AE83" s="736" t="str">
        <f>""</f>
        <v/>
      </c>
      <c r="AF83" s="737" t="str">
        <f>""</f>
        <v/>
      </c>
      <c r="AG83" s="736" t="str">
        <f>""</f>
        <v/>
      </c>
      <c r="AH83" s="737" t="str">
        <f>""</f>
        <v/>
      </c>
      <c r="AI83" s="736" t="str">
        <f>""</f>
        <v/>
      </c>
      <c r="AJ83" s="737"/>
      <c r="AK83" s="736"/>
      <c r="AL83" s="737" t="str">
        <f>""</f>
        <v/>
      </c>
      <c r="AM83" s="736" t="str">
        <f>""</f>
        <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f>
        <v/>
      </c>
      <c r="W84" s="661" t="str">
        <f>""</f>
        <v/>
      </c>
      <c r="X84" s="661" t="str">
        <f>""</f>
        <v/>
      </c>
      <c r="Y84" s="734" t="str">
        <f>""</f>
        <v/>
      </c>
      <c r="Z84" s="735" t="str">
        <f>""</f>
        <v/>
      </c>
      <c r="AA84" s="661">
        <v>0</v>
      </c>
      <c r="AB84" s="661" t="str">
        <f>""</f>
        <v/>
      </c>
      <c r="AC84" s="736"/>
      <c r="AD84" s="737" t="str">
        <f>""</f>
        <v/>
      </c>
      <c r="AE84" s="736" t="str">
        <f>""</f>
        <v/>
      </c>
      <c r="AF84" s="737" t="str">
        <f>""</f>
        <v/>
      </c>
      <c r="AG84" s="736" t="str">
        <f>""</f>
        <v/>
      </c>
      <c r="AH84" s="737" t="str">
        <f>""</f>
        <v/>
      </c>
      <c r="AI84" s="736" t="str">
        <f>""</f>
        <v/>
      </c>
      <c r="AJ84" s="737"/>
      <c r="AK84" s="736"/>
      <c r="AL84" s="737" t="str">
        <f>""</f>
        <v/>
      </c>
      <c r="AM84" s="736" t="str">
        <f>""</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f>
        <v/>
      </c>
      <c r="W85" s="661" t="str">
        <f>""</f>
        <v/>
      </c>
      <c r="X85" s="661" t="str">
        <f>""</f>
        <v/>
      </c>
      <c r="Y85" s="734" t="str">
        <f>""</f>
        <v/>
      </c>
      <c r="Z85" s="735" t="str">
        <f>""</f>
        <v/>
      </c>
      <c r="AA85" s="661">
        <v>0</v>
      </c>
      <c r="AB85" s="661" t="str">
        <f>""</f>
        <v/>
      </c>
      <c r="AC85" s="736"/>
      <c r="AD85" s="737" t="str">
        <f>""</f>
        <v/>
      </c>
      <c r="AE85" s="736" t="str">
        <f>""</f>
        <v/>
      </c>
      <c r="AF85" s="737" t="str">
        <f>""</f>
        <v/>
      </c>
      <c r="AG85" s="736" t="str">
        <f>""</f>
        <v/>
      </c>
      <c r="AH85" s="737" t="str">
        <f>""</f>
        <v/>
      </c>
      <c r="AI85" s="736" t="str">
        <f>""</f>
        <v/>
      </c>
      <c r="AJ85" s="737"/>
      <c r="AK85" s="736"/>
      <c r="AL85" s="737" t="str">
        <f>""</f>
        <v/>
      </c>
      <c r="AM85" s="736" t="str">
        <f>""</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f>
        <v/>
      </c>
      <c r="W86" s="661" t="str">
        <f>""</f>
        <v/>
      </c>
      <c r="X86" s="661" t="str">
        <f>""</f>
        <v/>
      </c>
      <c r="Y86" s="734" t="str">
        <f>""</f>
        <v/>
      </c>
      <c r="Z86" s="735" t="str">
        <f>""</f>
        <v/>
      </c>
      <c r="AA86" s="661">
        <v>0</v>
      </c>
      <c r="AB86" s="661" t="str">
        <f>""</f>
        <v/>
      </c>
      <c r="AC86" s="736"/>
      <c r="AD86" s="737" t="str">
        <f>""</f>
        <v/>
      </c>
      <c r="AE86" s="736" t="str">
        <f>""</f>
        <v/>
      </c>
      <c r="AF86" s="737" t="str">
        <f>""</f>
        <v/>
      </c>
      <c r="AG86" s="736" t="str">
        <f>""</f>
        <v/>
      </c>
      <c r="AH86" s="737" t="str">
        <f>""</f>
        <v/>
      </c>
      <c r="AI86" s="736" t="str">
        <f>""</f>
        <v/>
      </c>
      <c r="AJ86" s="737"/>
      <c r="AK86" s="736"/>
      <c r="AL86" s="737" t="str">
        <f>""</f>
        <v/>
      </c>
      <c r="AM86" s="736" t="str">
        <f>""</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f>
        <v/>
      </c>
      <c r="W87" s="661" t="str">
        <f>""</f>
        <v/>
      </c>
      <c r="X87" s="661" t="str">
        <f>""</f>
        <v/>
      </c>
      <c r="Y87" s="734" t="str">
        <f>""</f>
        <v/>
      </c>
      <c r="Z87" s="735" t="str">
        <f>""</f>
        <v/>
      </c>
      <c r="AA87" s="661">
        <v>0</v>
      </c>
      <c r="AB87" s="661" t="str">
        <f>""</f>
        <v/>
      </c>
      <c r="AC87" s="736"/>
      <c r="AD87" s="737" t="str">
        <f>""</f>
        <v/>
      </c>
      <c r="AE87" s="736" t="str">
        <f>""</f>
        <v/>
      </c>
      <c r="AF87" s="737" t="str">
        <f>""</f>
        <v/>
      </c>
      <c r="AG87" s="736" t="str">
        <f>""</f>
        <v/>
      </c>
      <c r="AH87" s="737" t="str">
        <f>""</f>
        <v/>
      </c>
      <c r="AI87" s="736" t="str">
        <f>""</f>
        <v/>
      </c>
      <c r="AJ87" s="737"/>
      <c r="AK87" s="736"/>
      <c r="AL87" s="737" t="str">
        <f>""</f>
        <v/>
      </c>
      <c r="AM87" s="736" t="str">
        <f>""</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f>
        <v/>
      </c>
      <c r="W88" s="661" t="str">
        <f>""</f>
        <v/>
      </c>
      <c r="X88" s="661" t="str">
        <f>""</f>
        <v/>
      </c>
      <c r="Y88" s="734" t="str">
        <f>""</f>
        <v/>
      </c>
      <c r="Z88" s="735" t="str">
        <f>""</f>
        <v/>
      </c>
      <c r="AA88" s="661">
        <v>0</v>
      </c>
      <c r="AB88" s="661" t="str">
        <f>""</f>
        <v/>
      </c>
      <c r="AC88" s="736"/>
      <c r="AD88" s="737" t="str">
        <f>""</f>
        <v/>
      </c>
      <c r="AE88" s="736" t="str">
        <f>""</f>
        <v/>
      </c>
      <c r="AF88" s="737" t="str">
        <f>""</f>
        <v/>
      </c>
      <c r="AG88" s="736" t="str">
        <f>""</f>
        <v/>
      </c>
      <c r="AH88" s="737" t="str">
        <f>""</f>
        <v/>
      </c>
      <c r="AI88" s="736" t="str">
        <f>""</f>
        <v/>
      </c>
      <c r="AJ88" s="737"/>
      <c r="AK88" s="736"/>
      <c r="AL88" s="737" t="str">
        <f>""</f>
        <v/>
      </c>
      <c r="AM88" s="736" t="str">
        <f>""</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f>
        <v/>
      </c>
      <c r="W89" s="661" t="str">
        <f>""</f>
        <v/>
      </c>
      <c r="X89" s="661" t="str">
        <f>""</f>
        <v/>
      </c>
      <c r="Y89" s="734" t="str">
        <f>""</f>
        <v/>
      </c>
      <c r="Z89" s="735" t="str">
        <f>""</f>
        <v/>
      </c>
      <c r="AA89" s="661">
        <v>0</v>
      </c>
      <c r="AB89" s="661" t="str">
        <f>""</f>
        <v/>
      </c>
      <c r="AC89" s="736"/>
      <c r="AD89" s="737" t="str">
        <f>""</f>
        <v/>
      </c>
      <c r="AE89" s="736" t="str">
        <f>""</f>
        <v/>
      </c>
      <c r="AF89" s="737" t="str">
        <f>""</f>
        <v/>
      </c>
      <c r="AG89" s="736" t="str">
        <f>""</f>
        <v/>
      </c>
      <c r="AH89" s="737" t="str">
        <f>""</f>
        <v/>
      </c>
      <c r="AI89" s="736" t="str">
        <f>""</f>
        <v/>
      </c>
      <c r="AJ89" s="737"/>
      <c r="AK89" s="736"/>
      <c r="AL89" s="737" t="str">
        <f>""</f>
        <v/>
      </c>
      <c r="AM89" s="736" t="str">
        <f>""</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f>
        <v/>
      </c>
      <c r="W90" s="661" t="str">
        <f>""</f>
        <v/>
      </c>
      <c r="X90" s="661" t="str">
        <f>""</f>
        <v/>
      </c>
      <c r="Y90" s="734" t="str">
        <f>""</f>
        <v/>
      </c>
      <c r="Z90" s="735" t="str">
        <f>""</f>
        <v/>
      </c>
      <c r="AA90" s="661">
        <v>0</v>
      </c>
      <c r="AB90" s="661" t="str">
        <f>""</f>
        <v/>
      </c>
      <c r="AC90" s="736"/>
      <c r="AD90" s="737" t="str">
        <f>""</f>
        <v/>
      </c>
      <c r="AE90" s="736" t="str">
        <f>""</f>
        <v/>
      </c>
      <c r="AF90" s="737" t="str">
        <f>""</f>
        <v/>
      </c>
      <c r="AG90" s="736" t="str">
        <f>""</f>
        <v/>
      </c>
      <c r="AH90" s="737" t="str">
        <f>""</f>
        <v/>
      </c>
      <c r="AI90" s="736" t="str">
        <f>""</f>
        <v/>
      </c>
      <c r="AJ90" s="737"/>
      <c r="AK90" s="736"/>
      <c r="AL90" s="737" t="str">
        <f>""</f>
        <v/>
      </c>
      <c r="AM90" s="736" t="str">
        <f>""</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f>
        <v/>
      </c>
      <c r="W91" s="661" t="str">
        <f>""</f>
        <v/>
      </c>
      <c r="X91" s="661" t="str">
        <f>""</f>
        <v/>
      </c>
      <c r="Y91" s="734" t="str">
        <f>""</f>
        <v/>
      </c>
      <c r="Z91" s="735" t="str">
        <f>""</f>
        <v/>
      </c>
      <c r="AA91" s="661">
        <v>0</v>
      </c>
      <c r="AB91" s="661" t="str">
        <f>""</f>
        <v/>
      </c>
      <c r="AC91" s="736"/>
      <c r="AD91" s="737" t="str">
        <f>""</f>
        <v/>
      </c>
      <c r="AE91" s="736" t="str">
        <f>""</f>
        <v/>
      </c>
      <c r="AF91" s="737" t="str">
        <f>""</f>
        <v/>
      </c>
      <c r="AG91" s="736" t="str">
        <f>""</f>
        <v/>
      </c>
      <c r="AH91" s="737" t="str">
        <f>""</f>
        <v/>
      </c>
      <c r="AI91" s="736" t="str">
        <f>""</f>
        <v/>
      </c>
      <c r="AJ91" s="737"/>
      <c r="AK91" s="736"/>
      <c r="AL91" s="737" t="str">
        <f>""</f>
        <v/>
      </c>
      <c r="AM91" s="736" t="str">
        <f>""</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f>
        <v/>
      </c>
      <c r="W92" s="661" t="str">
        <f>""</f>
        <v/>
      </c>
      <c r="X92" s="661" t="str">
        <f>""</f>
        <v/>
      </c>
      <c r="Y92" s="734" t="str">
        <f>""</f>
        <v/>
      </c>
      <c r="Z92" s="735" t="str">
        <f>""</f>
        <v/>
      </c>
      <c r="AA92" s="661">
        <v>0</v>
      </c>
      <c r="AB92" s="661" t="str">
        <f>""</f>
        <v/>
      </c>
      <c r="AC92" s="736"/>
      <c r="AD92" s="737" t="str">
        <f>""</f>
        <v/>
      </c>
      <c r="AE92" s="736" t="str">
        <f>""</f>
        <v/>
      </c>
      <c r="AF92" s="737" t="str">
        <f>""</f>
        <v/>
      </c>
      <c r="AG92" s="736" t="str">
        <f>""</f>
        <v/>
      </c>
      <c r="AH92" s="737" t="str">
        <f>""</f>
        <v/>
      </c>
      <c r="AI92" s="736" t="str">
        <f>""</f>
        <v/>
      </c>
      <c r="AJ92" s="737"/>
      <c r="AK92" s="736"/>
      <c r="AL92" s="737" t="str">
        <f>""</f>
        <v/>
      </c>
      <c r="AM92" s="736" t="str">
        <f>""</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x14ac:dyDescent="0.2">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f>
        <v/>
      </c>
      <c r="W93" s="661" t="str">
        <f>""</f>
        <v/>
      </c>
      <c r="X93" s="661" t="str">
        <f>""</f>
        <v/>
      </c>
      <c r="Y93" s="734" t="str">
        <f>""</f>
        <v/>
      </c>
      <c r="Z93" s="735" t="str">
        <f>""</f>
        <v/>
      </c>
      <c r="AA93" s="661">
        <v>0</v>
      </c>
      <c r="AB93" s="661" t="str">
        <f>""</f>
        <v/>
      </c>
      <c r="AC93" s="736"/>
      <c r="AD93" s="737" t="str">
        <f>""</f>
        <v/>
      </c>
      <c r="AE93" s="736" t="str">
        <f>""</f>
        <v/>
      </c>
      <c r="AF93" s="737" t="str">
        <f>""</f>
        <v/>
      </c>
      <c r="AG93" s="736" t="str">
        <f>""</f>
        <v/>
      </c>
      <c r="AH93" s="737" t="str">
        <f>""</f>
        <v/>
      </c>
      <c r="AI93" s="736" t="str">
        <f>""</f>
        <v/>
      </c>
      <c r="AJ93" s="737"/>
      <c r="AK93" s="736"/>
      <c r="AL93" s="737" t="str">
        <f>""</f>
        <v/>
      </c>
      <c r="AM93" s="736" t="str">
        <f>""</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x14ac:dyDescent="0.2">
      <c r="A94" s="660"/>
      <c r="B94" s="681"/>
      <c r="C94" s="681"/>
      <c r="D94" s="681"/>
      <c r="E94" s="681"/>
      <c r="F94" s="661"/>
      <c r="G94" s="661"/>
      <c r="H94" s="661"/>
      <c r="I94" s="661"/>
      <c r="J94" s="661"/>
      <c r="K94" s="661"/>
      <c r="L94" s="661"/>
      <c r="M94" s="661"/>
      <c r="N94" s="660"/>
      <c r="O94" s="660"/>
      <c r="P94" s="660"/>
      <c r="Q94" s="660"/>
      <c r="R94" s="660"/>
      <c r="S94" s="660"/>
      <c r="T94" s="660"/>
      <c r="U94" s="732" t="s">
        <v>45</v>
      </c>
      <c r="V94" s="733" t="str">
        <f>""</f>
        <v/>
      </c>
      <c r="W94" s="661" t="str">
        <f>""</f>
        <v/>
      </c>
      <c r="X94" s="661" t="str">
        <f>""</f>
        <v/>
      </c>
      <c r="Y94" s="734" t="str">
        <f>""</f>
        <v/>
      </c>
      <c r="Z94" s="735" t="str">
        <f>""</f>
        <v/>
      </c>
      <c r="AA94" s="661">
        <v>0</v>
      </c>
      <c r="AB94" s="661" t="str">
        <f>""</f>
        <v/>
      </c>
      <c r="AC94" s="736"/>
      <c r="AD94" s="737" t="str">
        <f>""</f>
        <v/>
      </c>
      <c r="AE94" s="736" t="str">
        <f>""</f>
        <v/>
      </c>
      <c r="AF94" s="737" t="str">
        <f>""</f>
        <v/>
      </c>
      <c r="AG94" s="736" t="str">
        <f>""</f>
        <v/>
      </c>
      <c r="AH94" s="737" t="str">
        <f>""</f>
        <v/>
      </c>
      <c r="AI94" s="736" t="str">
        <f>""</f>
        <v/>
      </c>
      <c r="AJ94" s="737"/>
      <c r="AK94" s="736"/>
      <c r="AL94" s="737" t="str">
        <f>""</f>
        <v/>
      </c>
      <c r="AM94" s="736"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
      </c>
      <c r="AA136" s="720">
        <f ca="1">AA64</f>
        <v>0</v>
      </c>
      <c r="AB136" s="661" t="str">
        <f ca="1">IF(AA64&gt;0,AI64&amp;Language!$E$99&amp;AH64,"")</f>
        <v/>
      </c>
      <c r="AC136" s="760" t="str">
        <f ca="1">IF(AA64&gt;0,AK64&amp;Language!$E$99&amp;AJ64,"")</f>
        <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FC Grönlingen1. FC Riedwald</v>
      </c>
      <c r="AA137" s="661">
        <f t="shared" ref="AA137:AA153" ca="1" si="50">AA65</f>
        <v>1</v>
      </c>
      <c r="AB137" s="661" t="str">
        <f ca="1">IF(AA65&gt;0,AI65&amp;Language!$E$99&amp;AH65,"")</f>
        <v>56 - 57</v>
      </c>
      <c r="AC137" s="763" t="str">
        <f ca="1">IF(AA65&gt;0,AK65&amp;Language!$E$99&amp;AJ65,"")</f>
        <v>1 - 2</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53" ca="1" si="51">W66&amp;V66</f>
        <v>Manchester CityMaibach 1822 eV</v>
      </c>
      <c r="AA138" s="661">
        <f t="shared" ca="1" si="50"/>
        <v>1</v>
      </c>
      <c r="AB138" s="661" t="str">
        <f ca="1">IF(AA66&gt;0,AI66&amp;Language!$E$99&amp;AH66,"")</f>
        <v>50 - 35</v>
      </c>
      <c r="AC138" s="763" t="str">
        <f ca="1">IF(AA66&gt;0,AK66&amp;Language!$E$99&amp;AJ66,"")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51"/>
        <v>Mainz 05</v>
      </c>
      <c r="AA139" s="661">
        <f t="shared" ca="1" si="50"/>
        <v>0</v>
      </c>
      <c r="AB139" s="661" t="str">
        <f ca="1">IF(AA67&gt;0,AI67&amp;Language!$E$99&amp;AH67,"")</f>
        <v/>
      </c>
      <c r="AC139" s="763" t="str">
        <f ca="1">IF(AA67&gt;0,AK67&amp;Language!$E$99&amp;AJ67,"")</f>
        <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51"/>
        <v>Eintracht FrankfurtSSV Wildbach</v>
      </c>
      <c r="AA140" s="661">
        <f t="shared" ca="1" si="50"/>
        <v>1</v>
      </c>
      <c r="AB140" s="661" t="str">
        <f ca="1">IF(AA68&gt;0,AI68&amp;Language!$E$99&amp;AH68,"")</f>
        <v>44 - 50</v>
      </c>
      <c r="AC140" s="763" t="str">
        <f ca="1">IF(AA68&gt;0,AK68&amp;Language!$E$99&amp;AJ68,"")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51"/>
        <v>VFB EssenheimInter Mailand</v>
      </c>
      <c r="AA141" s="661">
        <f t="shared" ca="1" si="50"/>
        <v>1</v>
      </c>
      <c r="AB141" s="661" t="str">
        <f ca="1">IF(AA69&gt;0,AI69&amp;Language!$E$99&amp;AH69,"")</f>
        <v>39 - 50</v>
      </c>
      <c r="AC141" s="763" t="str">
        <f ca="1">IF(AA69&gt;0,AK69&amp;Language!$E$99&amp;AJ69,"")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51"/>
        <v>FC Barcelona</v>
      </c>
      <c r="AA142" s="661">
        <f t="shared" ca="1" si="50"/>
        <v>0</v>
      </c>
      <c r="AB142" s="661" t="str">
        <f ca="1">IF(AA70&gt;0,AI70&amp;Language!$E$99&amp;AH70,"")</f>
        <v/>
      </c>
      <c r="AC142" s="763" t="str">
        <f ca="1">IF(AA70&gt;0,AK70&amp;Language!$E$99&amp;AJ70,"")</f>
        <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51"/>
        <v>Eintracht Frankfurt1. FC Riedwald</v>
      </c>
      <c r="AA143" s="661">
        <f t="shared" ca="1" si="50"/>
        <v>1</v>
      </c>
      <c r="AB143" s="661" t="str">
        <f ca="1">IF(AA71&gt;0,AI71&amp;Language!$E$99&amp;AH71,"")</f>
        <v>37 - 44</v>
      </c>
      <c r="AC143" s="763" t="str">
        <f ca="1">IF(AA71&gt;0,AK71&amp;Language!$E$99&amp;AJ71,"")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51"/>
        <v>VFB EssenheimMaibach 1822 eV</v>
      </c>
      <c r="AA144" s="661">
        <f t="shared" ca="1" si="50"/>
        <v>1</v>
      </c>
      <c r="AB144" s="661" t="str">
        <f ca="1">IF(AA72&gt;0,AI72&amp;Language!$E$99&amp;AH72,"")</f>
        <v>50 - 31</v>
      </c>
      <c r="AC144" s="763" t="str">
        <f ca="1">IF(AA72&gt;0,AK72&amp;Language!$E$99&amp;AJ72,"")</f>
        <v>2 - 0</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51"/>
        <v>Mainz 05</v>
      </c>
      <c r="AA145" s="661">
        <f t="shared" ca="1" si="50"/>
        <v>0</v>
      </c>
      <c r="AB145" s="661" t="str">
        <f ca="1">IF(AA73&gt;0,AI73&amp;Language!$E$99&amp;AH73,"")</f>
        <v/>
      </c>
      <c r="AC145" s="763" t="str">
        <f ca="1">IF(AA73&gt;0,AK73&amp;Language!$E$99&amp;AJ73,"")</f>
        <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51"/>
        <v>FC GrönlingenSSV Wildbach</v>
      </c>
      <c r="AA146" s="661">
        <f t="shared" ca="1" si="50"/>
        <v>1</v>
      </c>
      <c r="AB146" s="661" t="str">
        <f ca="1">IF(AA74&gt;0,AI74&amp;Language!$E$99&amp;AH74,"")</f>
        <v>45 - 47</v>
      </c>
      <c r="AC146" s="763" t="str">
        <f ca="1">IF(AA74&gt;0,AK74&amp;Language!$E$99&amp;AJ74,"")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51"/>
        <v>Manchester CityInter Mailand</v>
      </c>
      <c r="AA147" s="661">
        <f t="shared" ca="1" si="50"/>
        <v>1</v>
      </c>
      <c r="AB147" s="661" t="str">
        <f ca="1">IF(AA75&gt;0,AI75&amp;Language!$E$99&amp;AH75,"")</f>
        <v>44 - 44</v>
      </c>
      <c r="AC147" s="763" t="str">
        <f ca="1">IF(AA75&gt;0,AK75&amp;Language!$E$99&amp;AJ75,"")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51"/>
        <v/>
      </c>
      <c r="AA148" s="661">
        <f t="shared" ca="1" si="50"/>
        <v>0</v>
      </c>
      <c r="AB148" s="661" t="str">
        <f ca="1">IF(AA76&gt;0,AI76&amp;Language!$E$99&amp;AH76,"")</f>
        <v/>
      </c>
      <c r="AC148" s="763" t="str">
        <f ca="1">IF(AA76&gt;0,AK76&amp;Language!$E$99&amp;AJ76,"")</f>
        <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51"/>
        <v>FC GrönlingenEintracht Frankfurt</v>
      </c>
      <c r="AA149" s="661">
        <f t="shared" ca="1" si="50"/>
        <v>1</v>
      </c>
      <c r="AB149" s="661" t="str">
        <f ca="1">IF(AA77&gt;0,AI77&amp;Language!$E$99&amp;AH77,"")</f>
        <v>48 - 39</v>
      </c>
      <c r="AC149" s="763" t="str">
        <f ca="1">IF(AA77&gt;0,AK77&amp;Language!$E$99&amp;AJ77,"")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51"/>
        <v>Manchester CityVFB Essenheim</v>
      </c>
      <c r="AA150" s="661">
        <f t="shared" ca="1" si="50"/>
        <v>1</v>
      </c>
      <c r="AB150" s="661" t="str">
        <f ca="1">IF(AA78&gt;0,AI78&amp;Language!$E$99&amp;AH78,"")</f>
        <v>42 - 46</v>
      </c>
      <c r="AC150" s="763" t="str">
        <f ca="1">IF(AA78&gt;0,AK78&amp;Language!$E$99&amp;AJ78,"")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51"/>
        <v>Mainz 05FC Barcelona</v>
      </c>
      <c r="AA151" s="661">
        <f t="shared" ca="1" si="50"/>
        <v>1</v>
      </c>
      <c r="AB151" s="661" t="str">
        <f ca="1">IF(AA79&gt;0,AI79&amp;Language!$E$99&amp;AH79,"")</f>
        <v>65 - 70</v>
      </c>
      <c r="AC151" s="763" t="str">
        <f ca="1">IF(AA79&gt;0,AK79&amp;Language!$E$99&amp;AJ79,"")</f>
        <v>1 - 2</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51"/>
        <v>SSV Wildbach1. FC Riedwald</v>
      </c>
      <c r="AA152" s="661">
        <f t="shared" ca="1" si="50"/>
        <v>1</v>
      </c>
      <c r="AB152" s="661" t="str">
        <f ca="1">IF(AA80&gt;0,AI80&amp;Language!$E$99&amp;AH80,"")</f>
        <v>39 - 50</v>
      </c>
      <c r="AC152" s="763" t="str">
        <f ca="1">IF(AA80&gt;0,AK80&amp;Language!$E$99&amp;AJ80,"")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ht="12.75" thickBot="1" x14ac:dyDescent="0.25">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51"/>
        <v>Inter MailandMaibach 1822 eV</v>
      </c>
      <c r="AA153" s="661">
        <f t="shared" ca="1" si="50"/>
        <v>1</v>
      </c>
      <c r="AB153" s="661" t="str">
        <f ca="1">IF(AA81&gt;0,AI81&amp;Language!$E$99&amp;AH81,"")</f>
        <v>33 - 50</v>
      </c>
      <c r="AC153" s="763" t="str">
        <f ca="1">IF(AA81&gt;0,AK81&amp;Language!$E$99&amp;AJ81,"")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ht="12.75" thickTop="1"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42" t="s">
        <v>33</v>
      </c>
      <c r="Z154" s="746" t="str">
        <f>""</f>
        <v/>
      </c>
      <c r="AA154" s="744">
        <v>0</v>
      </c>
      <c r="AB154" s="744" t="str">
        <f>""</f>
        <v/>
      </c>
      <c r="AC154" s="765" t="str">
        <f>""</f>
        <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f>
        <v/>
      </c>
      <c r="AA155" s="661">
        <v>0</v>
      </c>
      <c r="AB155" s="661" t="str">
        <f>""</f>
        <v/>
      </c>
      <c r="AC155" s="763" t="str">
        <f>""</f>
        <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f>
        <v/>
      </c>
      <c r="AA156" s="661">
        <v>0</v>
      </c>
      <c r="AB156" s="661" t="str">
        <f>""</f>
        <v/>
      </c>
      <c r="AC156" s="763" t="str">
        <f>""</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f>
        <v/>
      </c>
      <c r="AA157" s="661">
        <v>0</v>
      </c>
      <c r="AB157" s="661" t="str">
        <f>""</f>
        <v/>
      </c>
      <c r="AC157" s="763" t="str">
        <f>""</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f>
        <v/>
      </c>
      <c r="AA158" s="661">
        <v>0</v>
      </c>
      <c r="AB158" s="661" t="str">
        <f>""</f>
        <v/>
      </c>
      <c r="AC158" s="763" t="str">
        <f>""</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f>
        <v/>
      </c>
      <c r="AA159" s="661">
        <v>0</v>
      </c>
      <c r="AB159" s="661" t="str">
        <f>""</f>
        <v/>
      </c>
      <c r="AC159" s="763" t="str">
        <f>""</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f>
        <v/>
      </c>
      <c r="AA160" s="661">
        <v>0</v>
      </c>
      <c r="AB160" s="661" t="str">
        <f>""</f>
        <v/>
      </c>
      <c r="AC160" s="763" t="str">
        <f>""</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f>
        <v/>
      </c>
      <c r="AA161" s="661">
        <v>0</v>
      </c>
      <c r="AB161" s="661" t="str">
        <f>""</f>
        <v/>
      </c>
      <c r="AC161" s="763" t="str">
        <f>""</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f>
        <v/>
      </c>
      <c r="AA162" s="661">
        <v>0</v>
      </c>
      <c r="AB162" s="661" t="str">
        <f>""</f>
        <v/>
      </c>
      <c r="AC162" s="763" t="str">
        <f>""</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f>
        <v/>
      </c>
      <c r="AA163" s="661">
        <v>0</v>
      </c>
      <c r="AB163" s="661" t="str">
        <f>""</f>
        <v/>
      </c>
      <c r="AC163" s="763" t="str">
        <f>""</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f>
        <v/>
      </c>
      <c r="AA164" s="661">
        <v>0</v>
      </c>
      <c r="AB164" s="661" t="str">
        <f>""</f>
        <v/>
      </c>
      <c r="AC164" s="763" t="str">
        <f>""</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x14ac:dyDescent="0.2">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f>
        <v/>
      </c>
      <c r="AA165" s="661">
        <v>0</v>
      </c>
      <c r="AB165" s="661" t="str">
        <f>""</f>
        <v/>
      </c>
      <c r="AC165" s="763" t="str">
        <f>""</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32" t="s">
        <v>45</v>
      </c>
      <c r="Z166" s="735" t="str">
        <f>""</f>
        <v/>
      </c>
      <c r="AA166" s="661">
        <v>0</v>
      </c>
      <c r="AB166" s="661" t="str">
        <f>""</f>
        <v/>
      </c>
      <c r="AC166" s="763"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B315-6B92-43FC-8138-AF47BCABC26B}">
  <dimension ref="A1:G62"/>
  <sheetViews>
    <sheetView workbookViewId="0"/>
  </sheetViews>
  <sheetFormatPr baseColWidth="10" defaultRowHeight="12.75" x14ac:dyDescent="0.2"/>
  <cols>
    <col min="3" max="3" width="24.42578125" customWidth="1"/>
    <col min="7" max="7" width="14.28515625" customWidth="1"/>
  </cols>
  <sheetData>
    <row r="1" spans="2:7" ht="13.5" thickBot="1" x14ac:dyDescent="0.25"/>
    <row r="2" spans="2:7" ht="24.75" customHeight="1" thickTop="1" thickBot="1" x14ac:dyDescent="0.25">
      <c r="E2" s="348">
        <f ca="1">COUNTIF($C$3:$C$62,"")</f>
        <v>0</v>
      </c>
      <c r="F2" s="348">
        <f t="array" aca="1" ref="F2" ca="1">SUMPRODUCT(($C$3:$C$62&lt;&gt;"")/($D$3:$D$62+($C$3:$C$62="")))</f>
        <v>60</v>
      </c>
      <c r="G2" s="349" t="str">
        <f ca="1">IF(E2+F2&lt;60,"FEHLER","okay")</f>
        <v>okay</v>
      </c>
    </row>
    <row r="3" spans="2:7" ht="13.5" thickTop="1" x14ac:dyDescent="0.2">
      <c r="B3" s="99">
        <v>1</v>
      </c>
      <c r="C3" t="str">
        <f ca="1">IF(OR(Planning!$L6="",Planning!$N6=""),"Z"&amp;ROW($M6),Planning!$I6&amp;Planning!$F6)</f>
        <v>A50,375</v>
      </c>
      <c r="D3" s="99">
        <f t="array" aca="1" ref="D3:D62" ca="1">COUNTIF($C$3:$C$62,$C$3:$C$62)</f>
        <v>1</v>
      </c>
      <c r="E3" s="99" t="e">
        <f ca="1">IF($F$8&gt;30,$F$8-30,$F$8)</f>
        <v>#NUM!</v>
      </c>
      <c r="F3" s="337" t="s">
        <v>263</v>
      </c>
    </row>
    <row r="4" spans="2:7" x14ac:dyDescent="0.2">
      <c r="B4" s="99">
        <v>2</v>
      </c>
      <c r="C4" t="str">
        <f ca="1">IF(OR(Planning!$L7="",Planning!$N7=""),"Z"&amp;ROW($M7),Planning!$I7&amp;Planning!$F7)</f>
        <v>B50,375</v>
      </c>
      <c r="D4" s="99">
        <f ca="1"/>
        <v>1</v>
      </c>
      <c r="E4" s="99" t="e">
        <f ca="1">IF($F$9&gt;30,$F$9-30,$F$9)</f>
        <v>#NUM!</v>
      </c>
      <c r="F4" s="337" t="s">
        <v>264</v>
      </c>
    </row>
    <row r="5" spans="2:7" x14ac:dyDescent="0.2">
      <c r="B5" s="99">
        <v>3</v>
      </c>
      <c r="C5" t="str">
        <f ca="1">IF(OR(Planning!$L8="",Planning!$N8=""),"Z"&amp;ROW($M8),Planning!$I8&amp;Planning!$F8)</f>
        <v>A30,375</v>
      </c>
      <c r="D5" s="99">
        <f ca="1"/>
        <v>1</v>
      </c>
      <c r="E5" s="337" t="str">
        <f t="array" aca="1" ref="E5" ca="1">VLOOKUP(MATCH($E$7,$D$3:$D$62,0),$B$3:$C$62,2,0)</f>
        <v>A50,375</v>
      </c>
      <c r="F5" s="375" t="s">
        <v>265</v>
      </c>
    </row>
    <row r="6" spans="2:7" ht="13.5" thickBot="1" x14ac:dyDescent="0.25">
      <c r="B6" s="99">
        <v>4</v>
      </c>
      <c r="C6" t="str">
        <f ca="1">IF(OR(Planning!$L9="",Planning!$N9=""),"Z"&amp;ROW($M9),Planning!$I9&amp;Planning!$F9)</f>
        <v>B30,375</v>
      </c>
      <c r="D6" s="99">
        <f ca="1"/>
        <v>1</v>
      </c>
      <c r="E6" s="99" t="str">
        <f ca="1">LEFT($E$5,2)</f>
        <v>A5</v>
      </c>
      <c r="F6" s="99"/>
    </row>
    <row r="7" spans="2:7" ht="13.5" thickBot="1" x14ac:dyDescent="0.25">
      <c r="B7" s="99">
        <v>5</v>
      </c>
      <c r="C7" t="str">
        <f ca="1">IF(OR(Planning!$L10="",Planning!$N10=""),"Z"&amp;ROW($M10),Planning!$I10&amp;Planning!$F10)</f>
        <v>A50,399305555555556</v>
      </c>
      <c r="D7" s="99">
        <f ca="1"/>
        <v>1</v>
      </c>
      <c r="E7" s="393">
        <f ca="1">MAX($D$3:$D$62)</f>
        <v>1</v>
      </c>
    </row>
    <row r="8" spans="2:7" x14ac:dyDescent="0.2">
      <c r="B8" s="99">
        <v>6</v>
      </c>
      <c r="C8" t="str">
        <f ca="1">IF(OR(Planning!$L11="",Planning!$N11=""),"Z"&amp;ROW($M11),Planning!$I11&amp;Planning!$F11)</f>
        <v>B50,399305555555556</v>
      </c>
      <c r="D8" s="99">
        <f ca="1"/>
        <v>1</v>
      </c>
      <c r="E8" s="99">
        <f t="array" aca="1" ref="E8" ca="1">MATCH($E$7,$D$3:$D$62,0)</f>
        <v>1</v>
      </c>
      <c r="F8" s="99" t="e">
        <f ca="1">IF($E$8&lt;$E$9,$E$8,$E$9)</f>
        <v>#NUM!</v>
      </c>
    </row>
    <row r="9" spans="2:7" x14ac:dyDescent="0.2">
      <c r="B9" s="99">
        <v>7</v>
      </c>
      <c r="C9" t="str">
        <f ca="1">IF(OR(Planning!$L12="",Planning!$N12=""),"Z"&amp;ROW($M12),Planning!$I12&amp;Planning!$F12)</f>
        <v>A20,399305555555556</v>
      </c>
      <c r="D9" s="99">
        <f ca="1"/>
        <v>1</v>
      </c>
      <c r="E9" s="99" t="e">
        <f t="array" aca="1" ref="E9" ca="1">INDEX($B$3:$B$62,SMALL(IF($E$5=$C$3:$C$62,ROW($C$3:$C$62)-ROW($C$3)+1),2))</f>
        <v>#NUM!</v>
      </c>
      <c r="F9" s="99" t="e">
        <f ca="1">IF($E$8&gt;$E$9,$E$8,$E$9)</f>
        <v>#NUM!</v>
      </c>
    </row>
    <row r="10" spans="2:7" x14ac:dyDescent="0.2">
      <c r="B10" s="99">
        <v>8</v>
      </c>
      <c r="C10" t="str">
        <f ca="1">IF(OR(Planning!$L13="",Planning!$N13=""),"Z"&amp;ROW($M13),Planning!$I13&amp;Planning!$F13)</f>
        <v>B20,399305555555556</v>
      </c>
      <c r="D10" s="99">
        <f ca="1"/>
        <v>1</v>
      </c>
    </row>
    <row r="11" spans="2:7" x14ac:dyDescent="0.2">
      <c r="B11" s="99">
        <v>9</v>
      </c>
      <c r="C11" t="str">
        <f ca="1">IF(OR(Planning!$L14="",Planning!$N14=""),"Z"&amp;ROW($M14),Planning!$I14&amp;Planning!$F14)</f>
        <v>A10,423611111111111</v>
      </c>
      <c r="D11" s="99">
        <f ca="1"/>
        <v>1</v>
      </c>
    </row>
    <row r="12" spans="2:7" x14ac:dyDescent="0.2">
      <c r="B12" s="99">
        <v>10</v>
      </c>
      <c r="C12" t="str">
        <f ca="1">IF(OR(Planning!$L15="",Planning!$N15=""),"Z"&amp;ROW($M15),Planning!$I15&amp;Planning!$F15)</f>
        <v>B10,423611111111111</v>
      </c>
      <c r="D12" s="99">
        <f ca="1"/>
        <v>1</v>
      </c>
    </row>
    <row r="13" spans="2:7" x14ac:dyDescent="0.2">
      <c r="B13" s="99">
        <v>11</v>
      </c>
      <c r="C13" t="str">
        <f ca="1">IF(OR(Planning!$L16="",Planning!$N16=""),"Z"&amp;ROW($M16),Planning!$I16&amp;Planning!$F16)</f>
        <v>A30,423611111111111</v>
      </c>
      <c r="D13" s="99">
        <f ca="1"/>
        <v>1</v>
      </c>
    </row>
    <row r="14" spans="2:7" x14ac:dyDescent="0.2">
      <c r="B14" s="99">
        <v>12</v>
      </c>
      <c r="C14" t="str">
        <f ca="1">IF(OR(Planning!$L17="",Planning!$N17=""),"Z"&amp;ROW($M17),Planning!$I17&amp;Planning!$F17)</f>
        <v>B30,423611111111111</v>
      </c>
      <c r="D14" s="99">
        <f ca="1"/>
        <v>1</v>
      </c>
    </row>
    <row r="15" spans="2:7" x14ac:dyDescent="0.2">
      <c r="B15" s="99">
        <v>13</v>
      </c>
      <c r="C15" t="str">
        <f ca="1">IF(OR(Planning!$L18="",Planning!$N18=""),"Z"&amp;ROW($M18),Planning!$I18&amp;Planning!$F18)</f>
        <v>A20,447916666666667</v>
      </c>
      <c r="D15" s="99">
        <f ca="1"/>
        <v>1</v>
      </c>
    </row>
    <row r="16" spans="2:7" x14ac:dyDescent="0.2">
      <c r="B16" s="99">
        <v>14</v>
      </c>
      <c r="C16" t="str">
        <f ca="1">IF(OR(Planning!$L19="",Planning!$N19=""),"Z"&amp;ROW($M19),Planning!$I19&amp;Planning!$F19)</f>
        <v>B20,447916666666667</v>
      </c>
      <c r="D16" s="99">
        <f ca="1"/>
        <v>1</v>
      </c>
    </row>
    <row r="17" spans="1:7" x14ac:dyDescent="0.2">
      <c r="B17" s="99">
        <v>15</v>
      </c>
      <c r="C17" t="str">
        <f ca="1">IF(OR(Planning!$L20="",Planning!$N20=""),"Z"&amp;ROW($M20),Planning!$I20&amp;Planning!$F20)</f>
        <v>A30,447916666666667</v>
      </c>
      <c r="D17" s="99">
        <f ca="1"/>
        <v>1</v>
      </c>
    </row>
    <row r="18" spans="1:7" x14ac:dyDescent="0.2">
      <c r="B18" s="99">
        <v>16</v>
      </c>
      <c r="C18" t="str">
        <f ca="1">IF(OR(Planning!$L21="",Planning!$N21=""),"Z"&amp;ROW($M21),Planning!$I21&amp;Planning!$F21)</f>
        <v>B30,447916666666667</v>
      </c>
      <c r="D18" s="99">
        <f ca="1"/>
        <v>1</v>
      </c>
    </row>
    <row r="19" spans="1:7" x14ac:dyDescent="0.2">
      <c r="B19" s="99">
        <v>17</v>
      </c>
      <c r="C19" t="str">
        <f ca="1">IF(OR(Planning!$L22="",Planning!$N22=""),"Z"&amp;ROW($M22),Planning!$I22&amp;Planning!$F22)</f>
        <v>A40,472222222222222</v>
      </c>
      <c r="D19" s="99">
        <f ca="1"/>
        <v>1</v>
      </c>
    </row>
    <row r="20" spans="1:7" x14ac:dyDescent="0.2">
      <c r="B20" s="99">
        <v>18</v>
      </c>
      <c r="C20" t="str">
        <f ca="1">IF(OR(Planning!$L23="",Planning!$N23=""),"Z"&amp;ROW($M23),Planning!$I23&amp;Planning!$F23)</f>
        <v>B40,472222222222222</v>
      </c>
      <c r="D20" s="99">
        <f ca="1"/>
        <v>1</v>
      </c>
    </row>
    <row r="21" spans="1:7" x14ac:dyDescent="0.2">
      <c r="B21" s="99">
        <v>19</v>
      </c>
      <c r="C21" t="str">
        <f ca="1">IF(OR(Planning!$L24="",Planning!$N24=""),"Z"&amp;ROW($M24),Planning!$I24&amp;Planning!$F24)</f>
        <v>A10,472222222222222</v>
      </c>
      <c r="D21" s="99">
        <f ca="1"/>
        <v>1</v>
      </c>
      <c r="G21" s="885" t="s">
        <v>235</v>
      </c>
    </row>
    <row r="22" spans="1:7" x14ac:dyDescent="0.2">
      <c r="B22" s="99">
        <v>20</v>
      </c>
      <c r="C22" t="str">
        <f ca="1">IF(OR(Planning!$L25="",Planning!$N25=""),"Z"&amp;ROW($M25),Planning!$I25&amp;Planning!$F25)</f>
        <v>B10,472222222222222</v>
      </c>
      <c r="D22" s="99">
        <f ca="1"/>
        <v>1</v>
      </c>
      <c r="G22" s="885"/>
    </row>
    <row r="23" spans="1:7" x14ac:dyDescent="0.2">
      <c r="B23" s="99">
        <v>21</v>
      </c>
      <c r="C23" t="str">
        <f ca="1">IF(OR(Planning!$L26="",Planning!$N26=""),"Z"&amp;ROW($M26),Planning!$I26&amp;Planning!$F26)</f>
        <v>Z26</v>
      </c>
      <c r="D23" s="99">
        <f ca="1"/>
        <v>1</v>
      </c>
      <c r="G23" s="885" t="s">
        <v>236</v>
      </c>
    </row>
    <row r="24" spans="1:7" x14ac:dyDescent="0.2">
      <c r="B24" s="99">
        <v>22</v>
      </c>
      <c r="C24" t="str">
        <f ca="1">IF(OR(Planning!$L27="",Planning!$N27=""),"Z"&amp;ROW($M27),Planning!$I27&amp;Planning!$F27)</f>
        <v>Z27</v>
      </c>
      <c r="D24" s="99">
        <f ca="1"/>
        <v>1</v>
      </c>
      <c r="G24" s="885"/>
    </row>
    <row r="25" spans="1:7" x14ac:dyDescent="0.2">
      <c r="B25" s="99">
        <v>23</v>
      </c>
      <c r="C25" t="str">
        <f ca="1">IF(OR(Planning!$L28="",Planning!$N28=""),"Z"&amp;ROW($M28),Planning!$I28&amp;Planning!$F28)</f>
        <v>Z28</v>
      </c>
      <c r="D25" s="99">
        <f ca="1"/>
        <v>1</v>
      </c>
      <c r="G25" s="885" t="s">
        <v>237</v>
      </c>
    </row>
    <row r="26" spans="1:7" x14ac:dyDescent="0.2">
      <c r="B26" s="99">
        <v>24</v>
      </c>
      <c r="C26" t="str">
        <f ca="1">IF(OR(Planning!$L29="",Planning!$N29=""),"Z"&amp;ROW($M29),Planning!$I29&amp;Planning!$F29)</f>
        <v>Z29</v>
      </c>
      <c r="D26" s="99">
        <f ca="1"/>
        <v>1</v>
      </c>
      <c r="G26" s="885"/>
    </row>
    <row r="27" spans="1:7" x14ac:dyDescent="0.2">
      <c r="B27" s="99">
        <v>25</v>
      </c>
      <c r="C27" t="str">
        <f ca="1">IF(OR(Planning!$L30="",Planning!$N30=""),"Z"&amp;ROW($M30),Planning!$I30&amp;Planning!$F30)</f>
        <v>Z30</v>
      </c>
      <c r="D27" s="99">
        <f ca="1"/>
        <v>1</v>
      </c>
      <c r="G27" s="885" t="s">
        <v>238</v>
      </c>
    </row>
    <row r="28" spans="1:7" x14ac:dyDescent="0.2">
      <c r="B28" s="99">
        <v>26</v>
      </c>
      <c r="C28" t="str">
        <f ca="1">IF(OR(Planning!$L31="",Planning!$N31=""),"Z"&amp;ROW($M31),Planning!$I31&amp;Planning!$F31)</f>
        <v>Z31</v>
      </c>
      <c r="D28" s="99">
        <f ca="1"/>
        <v>1</v>
      </c>
      <c r="G28" s="885"/>
    </row>
    <row r="29" spans="1:7" x14ac:dyDescent="0.2">
      <c r="B29" s="99">
        <v>27</v>
      </c>
      <c r="C29" t="str">
        <f ca="1">IF(OR(Planning!$L32="",Planning!$N32=""),"Z"&amp;ROW($M32),Planning!$I32&amp;Planning!$F32)</f>
        <v>Z32</v>
      </c>
      <c r="D29" s="99">
        <f ca="1"/>
        <v>1</v>
      </c>
      <c r="G29" s="885" t="s">
        <v>308</v>
      </c>
    </row>
    <row r="30" spans="1:7" x14ac:dyDescent="0.2">
      <c r="B30" s="99">
        <v>28</v>
      </c>
      <c r="C30" t="str">
        <f ca="1">IF(OR(Planning!$L33="",Planning!$N33=""),"Z"&amp;ROW($M33),Planning!$I33&amp;Planning!$F33)</f>
        <v>Z33</v>
      </c>
      <c r="D30" s="99">
        <f ca="1"/>
        <v>1</v>
      </c>
      <c r="G30" s="885"/>
    </row>
    <row r="31" spans="1:7" x14ac:dyDescent="0.2">
      <c r="B31" s="99">
        <v>29</v>
      </c>
      <c r="C31" t="str">
        <f ca="1">IF(OR(Planning!$L34="",Planning!$N34=""),"Z"&amp;ROW($M34),Planning!$I34&amp;Planning!$F34)</f>
        <v>Z34</v>
      </c>
      <c r="D31" s="99">
        <f ca="1"/>
        <v>1</v>
      </c>
      <c r="G31" s="99"/>
    </row>
    <row r="32" spans="1:7" ht="13.5" thickBot="1" x14ac:dyDescent="0.25">
      <c r="A32" s="389"/>
      <c r="B32" s="390">
        <v>30</v>
      </c>
      <c r="C32" s="389" t="str">
        <f ca="1">IF(OR(Planning!$L35="",Planning!$N35=""),"Z"&amp;ROW($M35),Planning!$I35&amp;Planning!$F35)</f>
        <v>Z35</v>
      </c>
      <c r="D32" s="99">
        <f ca="1"/>
        <v>1</v>
      </c>
      <c r="G32" s="99"/>
    </row>
    <row r="33" spans="1:7" x14ac:dyDescent="0.2">
      <c r="A33" s="99"/>
      <c r="B33" s="99">
        <v>31</v>
      </c>
      <c r="C33" t="str">
        <f ca="1">IF(OR(Planning!$L6="",Planning!$N6=""),"ZZ"&amp;ROW($M6)+45,Planning!$K6&amp;Planning!$F6)</f>
        <v>A20,375</v>
      </c>
      <c r="D33" s="99">
        <f ca="1"/>
        <v>1</v>
      </c>
      <c r="G33" s="885" t="s">
        <v>239</v>
      </c>
    </row>
    <row r="34" spans="1:7" x14ac:dyDescent="0.2">
      <c r="A34" s="99"/>
      <c r="B34" s="99">
        <v>32</v>
      </c>
      <c r="C34" t="str">
        <f ca="1">IF(OR(Planning!$L7="",Planning!$N7=""),"ZZ"&amp;ROW($M7)+45,Planning!$K7&amp;Planning!$F7)</f>
        <v>B20,375</v>
      </c>
      <c r="D34" s="99">
        <f ca="1"/>
        <v>1</v>
      </c>
      <c r="G34" s="885"/>
    </row>
    <row r="35" spans="1:7" x14ac:dyDescent="0.2">
      <c r="A35" s="99"/>
      <c r="B35" s="99">
        <v>33</v>
      </c>
      <c r="C35" t="str">
        <f ca="1">IF(OR(Planning!$L8="",Planning!$N8=""),"ZZ"&amp;ROW($M8)+45,Planning!$K8&amp;Planning!$F8)</f>
        <v>A40,375</v>
      </c>
      <c r="D35" s="99">
        <f ca="1"/>
        <v>1</v>
      </c>
      <c r="G35" s="885" t="s">
        <v>240</v>
      </c>
    </row>
    <row r="36" spans="1:7" x14ac:dyDescent="0.2">
      <c r="A36" s="99"/>
      <c r="B36" s="99">
        <v>34</v>
      </c>
      <c r="C36" t="str">
        <f ca="1">IF(OR(Planning!$L9="",Planning!$N9=""),"ZZ"&amp;ROW($M9)+45,Planning!$K9&amp;Planning!$F9)</f>
        <v>B40,375</v>
      </c>
      <c r="D36" s="99">
        <f ca="1"/>
        <v>1</v>
      </c>
      <c r="G36" s="885"/>
    </row>
    <row r="37" spans="1:7" x14ac:dyDescent="0.2">
      <c r="A37" s="99"/>
      <c r="B37" s="99">
        <v>35</v>
      </c>
      <c r="C37" t="str">
        <f ca="1">IF(OR(Planning!$L10="",Planning!$N10=""),"ZZ"&amp;ROW($M10)+45,Planning!$K10&amp;Planning!$F10)</f>
        <v>A10,399305555555556</v>
      </c>
      <c r="D37" s="99">
        <f ca="1"/>
        <v>1</v>
      </c>
      <c r="G37" s="885" t="s">
        <v>242</v>
      </c>
    </row>
    <row r="38" spans="1:7" x14ac:dyDescent="0.2">
      <c r="A38" s="99"/>
      <c r="B38" s="99">
        <v>36</v>
      </c>
      <c r="C38" t="str">
        <f ca="1">IF(OR(Planning!$L11="",Planning!$N11=""),"ZZ"&amp;ROW($M11)+45,Planning!$K11&amp;Planning!$F11)</f>
        <v>B10,399305555555556</v>
      </c>
      <c r="D38" s="99">
        <f ca="1"/>
        <v>1</v>
      </c>
      <c r="G38" s="885"/>
    </row>
    <row r="39" spans="1:7" x14ac:dyDescent="0.2">
      <c r="A39" s="99"/>
      <c r="B39" s="99">
        <v>37</v>
      </c>
      <c r="C39" t="str">
        <f ca="1">IF(OR(Planning!$L12="",Planning!$N12=""),"ZZ"&amp;ROW($M12)+45,Planning!$K12&amp;Planning!$F12)</f>
        <v>A30,399305555555556</v>
      </c>
      <c r="D39" s="99">
        <f ca="1"/>
        <v>1</v>
      </c>
      <c r="G39" s="885" t="s">
        <v>241</v>
      </c>
    </row>
    <row r="40" spans="1:7" x14ac:dyDescent="0.2">
      <c r="A40" s="99"/>
      <c r="B40" s="99">
        <v>38</v>
      </c>
      <c r="C40" t="str">
        <f ca="1">IF(OR(Planning!$L13="",Planning!$N13=""),"ZZ"&amp;ROW($M13)+45,Planning!$K13&amp;Planning!$F13)</f>
        <v>B30,399305555555556</v>
      </c>
      <c r="D40" s="99">
        <f ca="1"/>
        <v>1</v>
      </c>
      <c r="G40" s="885"/>
    </row>
    <row r="41" spans="1:7" x14ac:dyDescent="0.2">
      <c r="A41" s="99"/>
      <c r="B41" s="99">
        <v>39</v>
      </c>
      <c r="C41" t="str">
        <f ca="1">IF(OR(Planning!$L14="",Planning!$N14=""),"ZZ"&amp;ROW($M14)+45,Planning!$K14&amp;Planning!$F14)</f>
        <v>A40,423611111111111</v>
      </c>
      <c r="D41" s="99">
        <f ca="1"/>
        <v>1</v>
      </c>
      <c r="G41" s="885" t="s">
        <v>243</v>
      </c>
    </row>
    <row r="42" spans="1:7" x14ac:dyDescent="0.2">
      <c r="A42" s="99"/>
      <c r="B42" s="99">
        <v>40</v>
      </c>
      <c r="C42" t="str">
        <f ca="1">IF(OR(Planning!$L15="",Planning!$N15=""),"ZZ"&amp;ROW($M15)+45,Planning!$K15&amp;Planning!$F15)</f>
        <v>B40,423611111111111</v>
      </c>
      <c r="D42" s="99">
        <f ca="1"/>
        <v>1</v>
      </c>
      <c r="G42" s="885"/>
    </row>
    <row r="43" spans="1:7" x14ac:dyDescent="0.2">
      <c r="A43" s="99"/>
      <c r="B43" s="99">
        <v>41</v>
      </c>
      <c r="C43" t="str">
        <f ca="1">IF(OR(Planning!$L16="",Planning!$N16=""),"ZZ"&amp;ROW($M16)+45,Planning!$K16&amp;Planning!$F16)</f>
        <v>A50,423611111111111</v>
      </c>
      <c r="D43" s="99">
        <f ca="1"/>
        <v>1</v>
      </c>
    </row>
    <row r="44" spans="1:7" x14ac:dyDescent="0.2">
      <c r="A44" s="99"/>
      <c r="B44" s="99">
        <v>42</v>
      </c>
      <c r="C44" t="str">
        <f ca="1">IF(OR(Planning!$L17="",Planning!$N17=""),"ZZ"&amp;ROW($M17)+45,Planning!$K17&amp;Planning!$F17)</f>
        <v>B50,423611111111111</v>
      </c>
      <c r="D44" s="99">
        <f ca="1"/>
        <v>1</v>
      </c>
    </row>
    <row r="45" spans="1:7" x14ac:dyDescent="0.2">
      <c r="A45" s="99"/>
      <c r="B45" s="99">
        <v>43</v>
      </c>
      <c r="C45" t="str">
        <f ca="1">IF(OR(Planning!$L18="",Planning!$N18=""),"ZZ"&amp;ROW($M18)+45,Planning!$K18&amp;Planning!$F18)</f>
        <v>A40,447916666666667</v>
      </c>
      <c r="D45" s="99">
        <f ca="1"/>
        <v>1</v>
      </c>
    </row>
    <row r="46" spans="1:7" x14ac:dyDescent="0.2">
      <c r="A46" s="99"/>
      <c r="B46" s="99">
        <v>44</v>
      </c>
      <c r="C46" t="str">
        <f ca="1">IF(OR(Planning!$L19="",Planning!$N19=""),"ZZ"&amp;ROW($M19)+45,Planning!$K19&amp;Planning!$F19)</f>
        <v>B40,447916666666667</v>
      </c>
      <c r="D46" s="99">
        <f ca="1"/>
        <v>1</v>
      </c>
    </row>
    <row r="47" spans="1:7" x14ac:dyDescent="0.2">
      <c r="A47" s="99"/>
      <c r="B47" s="99">
        <v>45</v>
      </c>
      <c r="C47" t="str">
        <f ca="1">IF(OR(Planning!$L20="",Planning!$N20=""),"ZZ"&amp;ROW($M20)+45,Planning!$K20&amp;Planning!$F20)</f>
        <v>A10,447916666666667</v>
      </c>
      <c r="D47" s="99">
        <f ca="1"/>
        <v>1</v>
      </c>
    </row>
    <row r="48" spans="1:7" x14ac:dyDescent="0.2">
      <c r="A48" s="99"/>
      <c r="B48" s="99">
        <v>46</v>
      </c>
      <c r="C48" t="str">
        <f ca="1">IF(OR(Planning!$L21="",Planning!$N21=""),"ZZ"&amp;ROW($M21)+45,Planning!$K21&amp;Planning!$F21)</f>
        <v>B10,447916666666667</v>
      </c>
      <c r="D48" s="99">
        <f ca="1"/>
        <v>1</v>
      </c>
    </row>
    <row r="49" spans="1:4" x14ac:dyDescent="0.2">
      <c r="A49" s="99"/>
      <c r="B49" s="99">
        <v>47</v>
      </c>
      <c r="C49" t="str">
        <f ca="1">IF(OR(Planning!$L22="",Planning!$N22=""),"ZZ"&amp;ROW($M22)+45,Planning!$K22&amp;Planning!$F22)</f>
        <v>A50,472222222222222</v>
      </c>
      <c r="D49" s="99">
        <f ca="1"/>
        <v>1</v>
      </c>
    </row>
    <row r="50" spans="1:4" x14ac:dyDescent="0.2">
      <c r="A50" s="99"/>
      <c r="B50" s="99">
        <v>48</v>
      </c>
      <c r="C50" t="str">
        <f ca="1">IF(OR(Planning!$L23="",Planning!$N23=""),"ZZ"&amp;ROW($M23)+45,Planning!$K23&amp;Planning!$F23)</f>
        <v>B50,472222222222222</v>
      </c>
      <c r="D50" s="99">
        <f ca="1"/>
        <v>1</v>
      </c>
    </row>
    <row r="51" spans="1:4" x14ac:dyDescent="0.2">
      <c r="A51" s="99"/>
      <c r="B51" s="99">
        <v>49</v>
      </c>
      <c r="C51" t="str">
        <f ca="1">IF(OR(Planning!$L24="",Planning!$N24=""),"ZZ"&amp;ROW($M24)+45,Planning!$K24&amp;Planning!$F24)</f>
        <v>A20,472222222222222</v>
      </c>
      <c r="D51" s="99">
        <f ca="1"/>
        <v>1</v>
      </c>
    </row>
    <row r="52" spans="1:4" x14ac:dyDescent="0.2">
      <c r="A52" s="99"/>
      <c r="B52" s="99">
        <v>50</v>
      </c>
      <c r="C52" t="str">
        <f ca="1">IF(OR(Planning!$L25="",Planning!$N25=""),"ZZ"&amp;ROW($M25)+45,Planning!$K25&amp;Planning!$F25)</f>
        <v>B20,472222222222222</v>
      </c>
      <c r="D52" s="99">
        <f ca="1"/>
        <v>1</v>
      </c>
    </row>
    <row r="53" spans="1:4" x14ac:dyDescent="0.2">
      <c r="A53" s="99"/>
      <c r="B53" s="99">
        <v>51</v>
      </c>
      <c r="C53" t="str">
        <f ca="1">IF(OR(Planning!$L26="",Planning!$N26=""),"ZZ"&amp;ROW($M26)+45,Planning!$K26&amp;Planning!$F26)</f>
        <v>ZZ71</v>
      </c>
      <c r="D53" s="99">
        <f ca="1"/>
        <v>1</v>
      </c>
    </row>
    <row r="54" spans="1:4" x14ac:dyDescent="0.2">
      <c r="A54" s="99"/>
      <c r="B54" s="99">
        <v>52</v>
      </c>
      <c r="C54" t="str">
        <f ca="1">IF(OR(Planning!$L27="",Planning!$N27=""),"ZZ"&amp;ROW($M27)+45,Planning!$K27&amp;Planning!$F27)</f>
        <v>ZZ72</v>
      </c>
      <c r="D54" s="99">
        <f ca="1"/>
        <v>1</v>
      </c>
    </row>
    <row r="55" spans="1:4" x14ac:dyDescent="0.2">
      <c r="A55" s="99"/>
      <c r="B55" s="99">
        <v>53</v>
      </c>
      <c r="C55" t="str">
        <f ca="1">IF(OR(Planning!$L28="",Planning!$N28=""),"ZZ"&amp;ROW($M28)+45,Planning!$K28&amp;Planning!$F28)</f>
        <v>ZZ73</v>
      </c>
      <c r="D55" s="99">
        <f ca="1"/>
        <v>1</v>
      </c>
    </row>
    <row r="56" spans="1:4" x14ac:dyDescent="0.2">
      <c r="A56" s="99"/>
      <c r="B56" s="99">
        <v>54</v>
      </c>
      <c r="C56" t="str">
        <f ca="1">IF(OR(Planning!$L29="",Planning!$N29=""),"ZZ"&amp;ROW($M29)+45,Planning!$K29&amp;Planning!$F29)</f>
        <v>ZZ74</v>
      </c>
      <c r="D56" s="99">
        <f ca="1"/>
        <v>1</v>
      </c>
    </row>
    <row r="57" spans="1:4" x14ac:dyDescent="0.2">
      <c r="A57" s="99"/>
      <c r="B57" s="99">
        <v>55</v>
      </c>
      <c r="C57" t="str">
        <f ca="1">IF(OR(Planning!$L30="",Planning!$N30=""),"ZZ"&amp;ROW($M30)+45,Planning!$K30&amp;Planning!$F30)</f>
        <v>ZZ75</v>
      </c>
      <c r="D57" s="99">
        <f ca="1"/>
        <v>1</v>
      </c>
    </row>
    <row r="58" spans="1:4" x14ac:dyDescent="0.2">
      <c r="A58" s="99"/>
      <c r="B58" s="99">
        <v>56</v>
      </c>
      <c r="C58" t="str">
        <f ca="1">IF(OR(Planning!$L31="",Planning!$N31=""),"ZZ"&amp;ROW($M31)+45,Planning!$K31&amp;Planning!$F31)</f>
        <v>ZZ76</v>
      </c>
      <c r="D58" s="99">
        <f ca="1"/>
        <v>1</v>
      </c>
    </row>
    <row r="59" spans="1:4" x14ac:dyDescent="0.2">
      <c r="A59" s="99"/>
      <c r="B59" s="99">
        <v>57</v>
      </c>
      <c r="C59" t="str">
        <f ca="1">IF(OR(Planning!$L32="",Planning!$N32=""),"ZZ"&amp;ROW($M32)+45,Planning!$K32&amp;Planning!$F32)</f>
        <v>ZZ77</v>
      </c>
      <c r="D59" s="99">
        <f ca="1"/>
        <v>1</v>
      </c>
    </row>
    <row r="60" spans="1:4" x14ac:dyDescent="0.2">
      <c r="A60" s="99"/>
      <c r="B60" s="99">
        <v>58</v>
      </c>
      <c r="C60" t="str">
        <f ca="1">IF(OR(Planning!$L33="",Planning!$N33=""),"ZZ"&amp;ROW($M33)+45,Planning!$K33&amp;Planning!$F33)</f>
        <v>ZZ78</v>
      </c>
      <c r="D60" s="99">
        <f ca="1"/>
        <v>1</v>
      </c>
    </row>
    <row r="61" spans="1:4" x14ac:dyDescent="0.2">
      <c r="A61" s="99"/>
      <c r="B61" s="99">
        <v>59</v>
      </c>
      <c r="C61" t="str">
        <f ca="1">IF(OR(Planning!$L34="",Planning!$N34=""),"ZZ"&amp;ROW($M34)+45,Planning!$K34&amp;Planning!$F34)</f>
        <v>ZZ79</v>
      </c>
      <c r="D61" s="99">
        <f ca="1"/>
        <v>1</v>
      </c>
    </row>
    <row r="62" spans="1:4" x14ac:dyDescent="0.2">
      <c r="A62" s="99"/>
      <c r="B62" s="99">
        <v>60</v>
      </c>
      <c r="C62" t="str">
        <f ca="1">IF(OR(Planning!$L35="",Planning!$N35=""),"ZZ"&amp;ROW($M35)+45,Planning!$K35&amp;Planning!$F35)</f>
        <v>ZZ80</v>
      </c>
      <c r="D62" s="99">
        <f ca="1"/>
        <v>1</v>
      </c>
    </row>
  </sheetData>
  <mergeCells count="10">
    <mergeCell ref="G35:G36"/>
    <mergeCell ref="G37:G38"/>
    <mergeCell ref="G39:G40"/>
    <mergeCell ref="G41:G42"/>
    <mergeCell ref="G21:G22"/>
    <mergeCell ref="G23:G24"/>
    <mergeCell ref="G25:G26"/>
    <mergeCell ref="G27:G28"/>
    <mergeCell ref="G29:G30"/>
    <mergeCell ref="G33:G34"/>
  </mergeCells>
  <conditionalFormatting sqref="G2">
    <cfRule type="expression" dxfId="41" priority="7">
      <formula>G2="FEHLER"</formula>
    </cfRule>
  </conditionalFormatting>
  <conditionalFormatting sqref="C3:C62">
    <cfRule type="duplicateValues" dxfId="40" priority="6"/>
  </conditionalFormatting>
  <conditionalFormatting sqref="E3">
    <cfRule type="cellIs" dxfId="39" priority="3" operator="greaterThan">
      <formula>0</formula>
    </cfRule>
  </conditionalFormatting>
  <conditionalFormatting sqref="E4">
    <cfRule type="cellIs" dxfId="38" priority="2" operator="greaterThan">
      <formula>0</formula>
    </cfRule>
  </conditionalFormatting>
  <conditionalFormatting sqref="E7">
    <cfRule type="expression" dxfId="37" priority="1">
      <formula>E7="FEHLER"</formula>
    </cfRule>
  </conditionalFormatting>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E1C8-FE4E-4653-8760-733A3FAB85A4}">
  <dimension ref="A1:CB208"/>
  <sheetViews>
    <sheetView zoomScaleNormal="100" workbookViewId="0"/>
  </sheetViews>
  <sheetFormatPr baseColWidth="10" defaultColWidth="2.7109375" defaultRowHeight="12" x14ac:dyDescent="0.2"/>
  <cols>
    <col min="1" max="2" width="4.7109375" style="2" customWidth="1"/>
    <col min="3" max="3" width="8.140625" style="2" customWidth="1"/>
    <col min="4" max="4" width="6.85546875" style="2" customWidth="1"/>
    <col min="5" max="5" width="7.140625" style="2" customWidth="1"/>
    <col min="6" max="6" width="11.28515625" style="2" customWidth="1"/>
    <col min="7" max="7" width="9.42578125" style="2" customWidth="1"/>
    <col min="8" max="9" width="6.42578125" style="2" customWidth="1"/>
    <col min="10" max="10" width="8.28515625" style="2" customWidth="1"/>
    <col min="11" max="11" width="12.5703125" style="2" customWidth="1"/>
    <col min="12" max="12" width="16.28515625" style="2" customWidth="1"/>
    <col min="13" max="13" width="6.28515625" style="2" customWidth="1"/>
    <col min="14" max="14" width="7.140625" style="2" customWidth="1"/>
    <col min="15" max="15" width="9.85546875" style="2" customWidth="1"/>
    <col min="16" max="16" width="12.42578125" style="2" customWidth="1"/>
    <col min="17" max="17" width="21" style="2" customWidth="1"/>
    <col min="18" max="18" width="8" style="2" customWidth="1"/>
    <col min="19" max="19" width="7.42578125" style="2" customWidth="1"/>
    <col min="20" max="20" width="6" style="2" customWidth="1"/>
    <col min="21" max="21" width="5.7109375" style="2" customWidth="1"/>
    <col min="22" max="22" width="17.5703125" style="2" customWidth="1"/>
    <col min="23" max="23" width="21.140625" style="2" customWidth="1"/>
    <col min="24" max="24" width="8.42578125" style="2" customWidth="1"/>
    <col min="25" max="25" width="7.140625" style="2" customWidth="1"/>
    <col min="26" max="26" width="14.42578125" style="2" customWidth="1"/>
    <col min="27" max="27" width="8.7109375" style="2" customWidth="1"/>
    <col min="28" max="28" width="8.85546875" style="2" customWidth="1"/>
    <col min="29" max="29" width="12.5703125" style="2" customWidth="1"/>
    <col min="30" max="30" width="10.5703125" style="2" customWidth="1"/>
    <col min="31" max="31" width="12.85546875" style="2" customWidth="1"/>
    <col min="32" max="32" width="8" style="2" customWidth="1"/>
    <col min="33" max="33" width="9" style="2" customWidth="1"/>
    <col min="34" max="34" width="10" style="2" customWidth="1"/>
    <col min="35" max="35" width="9.28515625" style="2" customWidth="1"/>
    <col min="36" max="36" width="8" style="2" customWidth="1"/>
    <col min="37" max="39" width="4.7109375" style="2" customWidth="1"/>
    <col min="40" max="40" width="8.5703125" style="2" customWidth="1"/>
    <col min="41" max="41" width="9" style="2" customWidth="1"/>
    <col min="42" max="43" width="4.7109375" style="2" customWidth="1"/>
    <col min="44" max="44" width="7.5703125" style="2" customWidth="1"/>
    <col min="45" max="45" width="8.42578125" style="2" customWidth="1"/>
    <col min="46" max="46" width="9.5703125" style="2" customWidth="1"/>
    <col min="47" max="47" width="8.140625" style="2" customWidth="1"/>
    <col min="48" max="48" width="7.140625" style="2" customWidth="1"/>
    <col min="49" max="49" width="8.5703125" style="2" customWidth="1"/>
    <col min="50" max="69" width="4.7109375" style="2" customWidth="1"/>
    <col min="70" max="80" width="6.7109375" style="2" customWidth="1"/>
    <col min="81" max="16384" width="2.7109375" style="2"/>
  </cols>
  <sheetData>
    <row r="1" spans="1:80" s="1" customFormat="1" x14ac:dyDescent="0.2">
      <c r="A1" s="660"/>
      <c r="B1" s="660"/>
      <c r="C1" s="660"/>
      <c r="D1" s="660"/>
      <c r="E1" s="660"/>
      <c r="F1" s="660"/>
      <c r="G1" s="660"/>
      <c r="H1" s="660"/>
      <c r="I1" s="660"/>
      <c r="J1" s="660"/>
      <c r="K1" s="660"/>
      <c r="L1" s="660"/>
      <c r="M1" s="660"/>
      <c r="N1" s="660"/>
      <c r="O1" s="660"/>
      <c r="P1" s="660"/>
      <c r="Q1" s="660"/>
      <c r="R1" s="660"/>
      <c r="S1" s="660"/>
      <c r="T1" s="660"/>
      <c r="U1" s="660"/>
      <c r="V1" s="660"/>
      <c r="W1" s="660"/>
      <c r="X1" s="660"/>
      <c r="Y1" s="660"/>
      <c r="Z1" s="660"/>
      <c r="AA1" s="660"/>
      <c r="AB1" s="660"/>
      <c r="AC1" s="660"/>
      <c r="AD1" s="660"/>
      <c r="AE1" s="660"/>
      <c r="AF1" s="660"/>
      <c r="AG1" s="660"/>
      <c r="AH1" s="660"/>
      <c r="AI1" s="660"/>
      <c r="AJ1" s="660"/>
      <c r="AK1" s="660"/>
      <c r="AL1" s="660"/>
      <c r="AM1" s="660"/>
      <c r="AN1" s="660"/>
      <c r="AO1" s="660"/>
      <c r="AP1" s="660"/>
      <c r="AQ1" s="660"/>
      <c r="AR1" s="660"/>
      <c r="AS1" s="660"/>
      <c r="AT1" s="660"/>
      <c r="AU1" s="660"/>
      <c r="AV1" s="660"/>
      <c r="AW1" s="660"/>
      <c r="AX1" s="660"/>
      <c r="AY1" s="660"/>
      <c r="AZ1" s="660"/>
      <c r="BA1" s="660"/>
      <c r="BB1" s="660"/>
      <c r="BC1" s="660"/>
      <c r="BD1" s="660"/>
      <c r="BE1" s="660"/>
      <c r="BF1" s="660"/>
      <c r="BG1" s="660"/>
      <c r="BH1" s="660"/>
      <c r="BI1" s="660"/>
      <c r="BJ1" s="660"/>
      <c r="BK1" s="660"/>
      <c r="BL1" s="660"/>
      <c r="BM1" s="660"/>
      <c r="BN1" s="660"/>
      <c r="BO1" s="660"/>
      <c r="BP1" s="660"/>
      <c r="BQ1" s="660"/>
      <c r="BR1" s="660"/>
      <c r="BS1" s="660"/>
      <c r="BT1" s="660"/>
      <c r="BU1" s="660"/>
      <c r="BV1" s="660"/>
      <c r="BW1" s="660"/>
      <c r="BX1" s="660"/>
      <c r="BY1" s="660"/>
      <c r="BZ1" s="660"/>
      <c r="CA1" s="660"/>
      <c r="CB1" s="660"/>
    </row>
    <row r="2" spans="1:80" s="1" customFormat="1" x14ac:dyDescent="0.2">
      <c r="A2" s="660"/>
      <c r="B2" s="661"/>
      <c r="C2" s="661"/>
      <c r="D2" s="661"/>
      <c r="E2" s="661"/>
      <c r="F2" s="662"/>
      <c r="G2" s="662"/>
      <c r="H2" s="662"/>
      <c r="I2" s="662"/>
      <c r="J2" s="662"/>
      <c r="K2" s="662"/>
      <c r="L2" s="662"/>
      <c r="M2" s="662"/>
      <c r="N2" s="661"/>
      <c r="O2" s="662"/>
      <c r="P2" s="662"/>
      <c r="Q2" s="662"/>
      <c r="R2" s="660"/>
      <c r="S2" s="660"/>
      <c r="T2" s="660"/>
      <c r="U2" s="660"/>
      <c r="V2" s="660"/>
      <c r="W2" s="660" t="s">
        <v>147</v>
      </c>
      <c r="X2" s="660"/>
      <c r="Y2" s="660"/>
      <c r="Z2" s="660"/>
      <c r="AA2" s="660"/>
      <c r="AB2" s="660"/>
      <c r="AC2" s="660"/>
      <c r="AD2" s="660"/>
      <c r="AE2" s="660"/>
      <c r="AF2" s="660"/>
      <c r="AG2" s="660"/>
      <c r="AH2" s="660"/>
      <c r="AI2" s="660"/>
      <c r="AJ2" s="660"/>
      <c r="AK2" s="660"/>
      <c r="AL2" s="660"/>
      <c r="AM2" s="660"/>
      <c r="AN2" s="660"/>
      <c r="AO2" s="660"/>
      <c r="AP2" s="660"/>
      <c r="AQ2" s="660"/>
      <c r="AR2" s="660"/>
      <c r="AS2" s="660"/>
      <c r="AT2" s="660"/>
      <c r="AU2" s="660"/>
      <c r="AV2" s="663" t="s">
        <v>387</v>
      </c>
      <c r="AW2" s="660"/>
      <c r="AX2" s="660"/>
      <c r="AY2" s="660"/>
      <c r="AZ2" s="660"/>
      <c r="BA2" s="660"/>
      <c r="BB2" s="660"/>
      <c r="BC2" s="660"/>
      <c r="BD2" s="660"/>
      <c r="BE2" s="660"/>
      <c r="BF2" s="660"/>
      <c r="BG2" s="660"/>
      <c r="BH2" s="660"/>
      <c r="BI2" s="660"/>
      <c r="BJ2" s="660"/>
      <c r="BK2" s="660"/>
      <c r="BL2" s="660"/>
      <c r="BM2" s="660"/>
      <c r="BN2" s="660"/>
      <c r="BO2" s="660"/>
      <c r="BP2" s="660"/>
      <c r="BQ2" s="660"/>
      <c r="BR2" s="660"/>
      <c r="BS2" s="660"/>
      <c r="BT2" s="660"/>
      <c r="BU2" s="660"/>
      <c r="BV2" s="660"/>
      <c r="BW2" s="660"/>
      <c r="BX2" s="660"/>
      <c r="BY2" s="660"/>
      <c r="BZ2" s="660"/>
      <c r="CA2" s="660"/>
      <c r="CB2" s="660"/>
    </row>
    <row r="3" spans="1:80" s="1" customFormat="1" ht="13.5" customHeight="1" thickBot="1" x14ac:dyDescent="0.25">
      <c r="A3" s="660"/>
      <c r="B3" s="662"/>
      <c r="C3" s="661"/>
      <c r="D3" s="661"/>
      <c r="E3" s="661"/>
      <c r="F3" s="661"/>
      <c r="G3" s="664" t="s">
        <v>105</v>
      </c>
      <c r="H3" s="664" t="s">
        <v>106</v>
      </c>
      <c r="I3" s="771" t="s">
        <v>388</v>
      </c>
      <c r="J3" s="666" t="s">
        <v>108</v>
      </c>
      <c r="K3" s="771" t="s">
        <v>101</v>
      </c>
      <c r="L3" s="666" t="s">
        <v>102</v>
      </c>
      <c r="M3" s="666" t="s">
        <v>103</v>
      </c>
      <c r="N3" s="666" t="s">
        <v>104</v>
      </c>
      <c r="O3" s="667"/>
      <c r="P3" s="668"/>
      <c r="Q3" s="668"/>
      <c r="R3" s="668"/>
      <c r="S3" s="668"/>
      <c r="T3" s="668"/>
      <c r="U3" s="668"/>
      <c r="V3" s="668"/>
      <c r="W3" s="1029"/>
      <c r="X3" s="1030"/>
      <c r="Y3" s="1030"/>
      <c r="Z3" s="1030"/>
      <c r="AA3" s="1030"/>
      <c r="AB3" s="1029"/>
      <c r="AC3" s="1030"/>
      <c r="AD3" s="1030"/>
      <c r="AE3" s="1030"/>
      <c r="AF3" s="1030"/>
      <c r="AG3" s="1029"/>
      <c r="AH3" s="1030"/>
      <c r="AI3" s="1030"/>
      <c r="AJ3" s="1030"/>
      <c r="AK3" s="1030"/>
      <c r="AL3" s="1029"/>
      <c r="AM3" s="1030"/>
      <c r="AN3" s="1030"/>
      <c r="AO3" s="1030"/>
      <c r="AP3" s="1030"/>
      <c r="AQ3" s="660"/>
      <c r="AR3" s="660"/>
      <c r="AS3" s="666" t="s">
        <v>358</v>
      </c>
      <c r="AT3" s="666" t="s">
        <v>317</v>
      </c>
      <c r="AU3" s="666" t="s">
        <v>389</v>
      </c>
      <c r="AV3" s="666" t="s">
        <v>357</v>
      </c>
      <c r="AW3" s="666"/>
      <c r="AX3" s="666" t="s">
        <v>390</v>
      </c>
      <c r="AY3" s="660"/>
      <c r="AZ3" s="660"/>
      <c r="BA3" s="660"/>
      <c r="BB3" s="660"/>
      <c r="BC3" s="660"/>
      <c r="BD3" s="660"/>
      <c r="BE3" s="660"/>
      <c r="BF3" s="660"/>
      <c r="BG3" s="660"/>
      <c r="BH3" s="660"/>
      <c r="BI3" s="660"/>
      <c r="BJ3" s="660"/>
      <c r="BK3" s="660"/>
      <c r="BL3" s="660"/>
      <c r="BM3" s="660"/>
      <c r="BN3" s="660"/>
      <c r="BO3" s="660"/>
      <c r="BP3" s="660"/>
      <c r="BQ3" s="660"/>
      <c r="BR3" s="660"/>
      <c r="BS3" s="660"/>
      <c r="BT3" s="660"/>
      <c r="BU3" s="660"/>
      <c r="BV3" s="660"/>
      <c r="BW3" s="660"/>
      <c r="BX3" s="660"/>
      <c r="BY3" s="660"/>
      <c r="BZ3" s="660"/>
      <c r="CA3" s="660"/>
      <c r="CB3" s="660"/>
    </row>
    <row r="4" spans="1:80" s="1" customFormat="1" ht="12.75" thickTop="1" x14ac:dyDescent="0.2">
      <c r="A4" s="669"/>
      <c r="B4" s="662">
        <v>1</v>
      </c>
      <c r="C4" s="670">
        <f ca="1">RANK(D4,$D$4:$D$12,1)</f>
        <v>1</v>
      </c>
      <c r="D4" s="661">
        <f ca="1">E4+ROW()/1000+(F4="")*10</f>
        <v>1.004</v>
      </c>
      <c r="E4" s="671">
        <f ca="1">IF($AI$15,RANK(AH17,AH$17:AH$25,1),RANK(X17,X$17:X$25,1))</f>
        <v>1</v>
      </c>
      <c r="F4" s="662" t="str">
        <f ca="1">$Q64</f>
        <v>FC Barcelona</v>
      </c>
      <c r="G4" s="662">
        <f ca="1">SUMIFS($AH$64:$AH$135,$V$64:$V$135,$F4)+SUMIFS($AI$64:$AI$135,$W$64:$W$135,$F4)</f>
        <v>70</v>
      </c>
      <c r="H4" s="662">
        <f ca="1">SUMIFS($AI$64:$AI$135,$V$64:$V$135,$F4)+SUMIFS($AH$64:$AH$135,$W$64:$W$135,$F4)</f>
        <v>65</v>
      </c>
      <c r="I4" s="661">
        <f ca="1">IF(Settings!$G$24,G4-H4,IF(H4=0,IF(G4=0,0,Settings!$F$24),G4/H4))</f>
        <v>1.0769230769230769</v>
      </c>
      <c r="J4" s="662">
        <f ca="1">$L4*Settings!$C$4+$M4</f>
        <v>2</v>
      </c>
      <c r="K4" s="662">
        <f ca="1">SUMPRODUCT(($V$64:$V$135=F4)*($AJ$64:$AJ$135&lt;&gt;"")*$AA$64:$AA$135)+SUMPRODUCT(($W$64:$W$135=F4)*($AK$64:$AK$135&lt;&gt;"")*$AA$64:$AA$135)</f>
        <v>1</v>
      </c>
      <c r="L4" s="662">
        <f ca="1">SUMPRODUCT(($V$64:$V$135=F4)*($AJ$64:$AJ$135&gt;$AK$64:$AK$135)*$AA$64:$AA$135)+SUMPRODUCT(($W$64:$W$135=F4)*($AJ$64:$AJ$135&lt;$AK$64:$AK$135)*$AA$64:$AA$135)</f>
        <v>1</v>
      </c>
      <c r="M4" s="662">
        <f t="shared" ref="M4:M12" ca="1" si="0">SUMPRODUCT(($V$64:$W$135=F4)*($AJ$64:$AJ$135=$AK$64:$AK$135)*$AA$64:$AA$135)</f>
        <v>0</v>
      </c>
      <c r="N4" s="662">
        <f ca="1">K4-L4-M4</f>
        <v>0</v>
      </c>
      <c r="O4" s="672"/>
      <c r="P4" s="672"/>
      <c r="Q4" s="672"/>
      <c r="R4" s="672"/>
      <c r="S4" s="660"/>
      <c r="T4" s="660"/>
      <c r="U4" s="660"/>
      <c r="V4" s="662"/>
      <c r="W4" s="450"/>
      <c r="X4" s="451"/>
      <c r="Y4" s="452"/>
      <c r="Z4" s="453"/>
      <c r="AA4" s="454"/>
      <c r="AB4" s="455"/>
      <c r="AC4" s="456"/>
      <c r="AD4" s="457"/>
      <c r="AE4" s="453"/>
      <c r="AF4" s="453"/>
      <c r="AG4" s="455"/>
      <c r="AH4" s="456"/>
      <c r="AI4" s="457"/>
      <c r="AJ4" s="453"/>
      <c r="AK4" s="458"/>
      <c r="AL4" s="456"/>
      <c r="AM4" s="456"/>
      <c r="AN4" s="457"/>
      <c r="AO4" s="453"/>
      <c r="AP4" s="458"/>
      <c r="AQ4" s="660"/>
      <c r="AR4" s="660"/>
      <c r="AS4" s="662">
        <f ca="1">SUMPRODUCT(($V$64:$V$135=F4)*$AK$64:$AK$135)+SUMPRODUCT(($W$64:$W$135=F4)*$AJ$64:$AJ$135)</f>
        <v>1</v>
      </c>
      <c r="AT4" s="662">
        <f ca="1">SUMPRODUCT(($V$64:$V$135=F4)*$AJ$64:$AJ$135)+SUMPRODUCT(($W$64:$W$135=F4)*$AK$64:$AK$135)</f>
        <v>2</v>
      </c>
      <c r="AU4" s="662">
        <f ca="1">AT4-AS4</f>
        <v>1</v>
      </c>
      <c r="AV4" s="662">
        <f ca="1">IF(Settings!$G$24,$I4,ROUND($I4,Settings!$H$24))</f>
        <v>1.077</v>
      </c>
      <c r="AW4" s="662">
        <f ca="1">I4-(F4="")*10000</f>
        <v>1.0769230769230769</v>
      </c>
      <c r="AX4" s="662">
        <f ca="1" xml:space="preserve"> RANK(AW4,$AW$4:$AW$12,1)</f>
        <v>9</v>
      </c>
      <c r="AY4" s="660"/>
      <c r="AZ4" s="660"/>
      <c r="BA4" s="660"/>
      <c r="BB4" s="660"/>
      <c r="BC4" s="660"/>
      <c r="BD4" s="660"/>
      <c r="BE4" s="660"/>
      <c r="BF4" s="660"/>
      <c r="BG4" s="660"/>
      <c r="BH4" s="660"/>
      <c r="BI4" s="660"/>
      <c r="BJ4" s="660"/>
      <c r="BK4" s="660"/>
      <c r="BL4" s="660"/>
      <c r="BM4" s="660"/>
      <c r="BN4" s="660"/>
      <c r="BO4" s="660"/>
      <c r="BP4" s="660"/>
      <c r="BQ4" s="660"/>
      <c r="BR4" s="660"/>
      <c r="BS4" s="660"/>
      <c r="BT4" s="660"/>
      <c r="BU4" s="660"/>
      <c r="BV4" s="660"/>
      <c r="BW4" s="660"/>
      <c r="BX4" s="660"/>
      <c r="BY4" s="660"/>
      <c r="BZ4" s="660"/>
      <c r="CA4" s="660"/>
      <c r="CB4" s="660"/>
    </row>
    <row r="5" spans="1:80" s="1" customFormat="1" x14ac:dyDescent="0.2">
      <c r="A5" s="669"/>
      <c r="B5" s="662">
        <v>2</v>
      </c>
      <c r="C5" s="673">
        <f t="shared" ref="C5:C12" ca="1" si="1">RANK(D5,$D$4:$D$12,1)</f>
        <v>2</v>
      </c>
      <c r="D5" s="661">
        <f t="shared" ref="D5:D12" ca="1" si="2">E5+ROW()/1000+(F5="")*10</f>
        <v>2.0049999999999999</v>
      </c>
      <c r="E5" s="671">
        <f t="shared" ref="E5:E12" ca="1" si="3">IF($AI$15,RANK(AH18,AH$17:AH$25,1),RANK(X18,X$17:X$25,1))</f>
        <v>2</v>
      </c>
      <c r="F5" s="662" t="str">
        <f t="shared" ref="F5:F12" ca="1" si="4">$Q65</f>
        <v>Mainz 05</v>
      </c>
      <c r="G5" s="662">
        <f t="shared" ref="G5:G12" ca="1" si="5">SUMIFS($AH$64:$AH$135,$V$64:$V$135,$F5)+SUMIFS($AI$64:$AI$135,$W$64:$W$135,$F5)</f>
        <v>65</v>
      </c>
      <c r="H5" s="662">
        <f t="shared" ref="H5:H12" ca="1" si="6">SUMIFS($AI$64:$AI$135,$V$64:$V$135,$F5)+SUMIFS($AH$64:$AH$135,$W$64:$W$135,$F5)</f>
        <v>70</v>
      </c>
      <c r="I5" s="661">
        <f ca="1">IF(Settings!$G$24,G5-H5,IF(H5=0,IF(G5=0,0,Settings!$F$24),G5/H5))</f>
        <v>0.9285714285714286</v>
      </c>
      <c r="J5" s="662">
        <f ca="1">$L5*Settings!$C$4+$M5</f>
        <v>0</v>
      </c>
      <c r="K5" s="662">
        <f t="shared" ref="K5:K12" ca="1" si="7">SUMPRODUCT(($V$64:$V$135=F5)*($AJ$64:$AJ$135&lt;&gt;"")*$AA$64:$AA$135)+SUMPRODUCT(($W$64:$W$135=F5)*($AK$64:$AK$135&lt;&gt;"")*$AA$64:$AA$135)</f>
        <v>1</v>
      </c>
      <c r="L5" s="662">
        <f t="shared" ref="L5:L12" ca="1" si="8">SUMPRODUCT(($V$64:$V$135=F5)*($AJ$64:$AJ$135&gt;$AK$64:$AK$135)*$AA$64:$AA$135)+SUMPRODUCT(($W$64:$W$135=F5)*($AJ$64:$AJ$135&lt;$AK$64:$AK$135)*$AA$64:$AA$135)</f>
        <v>0</v>
      </c>
      <c r="M5" s="662">
        <f t="shared" ca="1" si="0"/>
        <v>0</v>
      </c>
      <c r="N5" s="662">
        <f t="shared" ref="N5:N12" ca="1" si="9">K5-L5-M5</f>
        <v>1</v>
      </c>
      <c r="O5" s="674"/>
      <c r="P5" s="675"/>
      <c r="Q5" s="660"/>
      <c r="R5" s="660"/>
      <c r="S5" s="660"/>
      <c r="T5" s="660"/>
      <c r="U5" s="660"/>
      <c r="V5" s="662"/>
      <c r="W5" s="455"/>
      <c r="X5" s="456"/>
      <c r="Y5" s="453"/>
      <c r="Z5" s="453"/>
      <c r="AA5" s="458"/>
      <c r="AB5" s="455"/>
      <c r="AC5" s="456"/>
      <c r="AD5" s="457"/>
      <c r="AE5" s="453"/>
      <c r="AF5" s="453"/>
      <c r="AG5" s="455"/>
      <c r="AH5" s="456"/>
      <c r="AI5" s="457"/>
      <c r="AJ5" s="453"/>
      <c r="AK5" s="458"/>
      <c r="AL5" s="456"/>
      <c r="AM5" s="456"/>
      <c r="AN5" s="457"/>
      <c r="AO5" s="453"/>
      <c r="AP5" s="458"/>
      <c r="AQ5" s="660"/>
      <c r="AR5" s="660"/>
      <c r="AS5" s="662">
        <f t="shared" ref="AS5:AS12" ca="1" si="10">SUMPRODUCT(($V$64:$V$135=F5)*$AK$64:$AK$135)+SUMPRODUCT(($W$64:$W$135=F5)*$AJ$64:$AJ$135)</f>
        <v>2</v>
      </c>
      <c r="AT5" s="662">
        <f t="shared" ref="AT5:AT12" ca="1" si="11">SUMPRODUCT(($V$64:$V$135=F5)*$AJ$64:$AJ$135)+SUMPRODUCT(($W$64:$W$135=F5)*$AK$64:$AK$135)</f>
        <v>1</v>
      </c>
      <c r="AU5" s="662">
        <f t="shared" ref="AU5:AU12" ca="1" si="12">AT5-AS5</f>
        <v>-1</v>
      </c>
      <c r="AV5" s="662">
        <f ca="1">IF(Settings!$G$24,$I5,ROUND($I5,Settings!$H$24))</f>
        <v>0.92900000000000005</v>
      </c>
      <c r="AW5" s="662">
        <f t="shared" ref="AW5:AW12" ca="1" si="13">I5-(F5="")*10000</f>
        <v>0.9285714285714286</v>
      </c>
      <c r="AX5" s="662">
        <f t="shared" ref="AX5:AX12" ca="1" si="14" xml:space="preserve"> RANK(AW5,$AW$4:$AW$12,1)</f>
        <v>8</v>
      </c>
      <c r="AY5" s="660"/>
      <c r="AZ5" s="660"/>
      <c r="BA5" s="660"/>
      <c r="BB5" s="660"/>
      <c r="BC5" s="660"/>
      <c r="BD5" s="660"/>
      <c r="BE5" s="660"/>
      <c r="BF5" s="660"/>
      <c r="BG5" s="660"/>
      <c r="BH5" s="660"/>
      <c r="BI5" s="660"/>
      <c r="BJ5" s="660"/>
      <c r="BK5" s="660"/>
      <c r="BL5" s="660"/>
      <c r="BM5" s="660"/>
      <c r="BN5" s="660"/>
      <c r="BO5" s="660"/>
      <c r="BP5" s="660"/>
      <c r="BQ5" s="660"/>
      <c r="BR5" s="660"/>
      <c r="BS5" s="660"/>
      <c r="BT5" s="660"/>
      <c r="BU5" s="660"/>
      <c r="BV5" s="660"/>
      <c r="BW5" s="660"/>
      <c r="BX5" s="660"/>
      <c r="BY5" s="660"/>
      <c r="BZ5" s="660"/>
      <c r="CA5" s="660"/>
      <c r="CB5" s="660"/>
    </row>
    <row r="6" spans="1:80" s="1" customFormat="1" x14ac:dyDescent="0.2">
      <c r="A6" s="669"/>
      <c r="B6" s="662">
        <v>3</v>
      </c>
      <c r="C6" s="673">
        <f t="shared" ca="1" si="1"/>
        <v>3</v>
      </c>
      <c r="D6" s="661">
        <f t="shared" ca="1" si="2"/>
        <v>13.006</v>
      </c>
      <c r="E6" s="671">
        <f t="shared" ca="1" si="3"/>
        <v>3</v>
      </c>
      <c r="F6" s="662" t="str">
        <f t="shared" ca="1" si="4"/>
        <v/>
      </c>
      <c r="G6" s="662">
        <f t="shared" ca="1" si="5"/>
        <v>0</v>
      </c>
      <c r="H6" s="662">
        <f t="shared" ca="1" si="6"/>
        <v>0</v>
      </c>
      <c r="I6" s="661">
        <f ca="1">IF(Settings!$G$24,G6-H6,IF(H6=0,IF(G6=0,0,Settings!$F$24),G6/H6))</f>
        <v>0</v>
      </c>
      <c r="J6" s="662">
        <f ca="1">$L6*Settings!$C$4+$M6</f>
        <v>0</v>
      </c>
      <c r="K6" s="662">
        <f t="shared" ca="1" si="7"/>
        <v>0</v>
      </c>
      <c r="L6" s="662">
        <f t="shared" ca="1" si="8"/>
        <v>0</v>
      </c>
      <c r="M6" s="662">
        <f t="shared" ca="1" si="0"/>
        <v>0</v>
      </c>
      <c r="N6" s="662">
        <f t="shared" ca="1" si="9"/>
        <v>0</v>
      </c>
      <c r="O6" s="674"/>
      <c r="P6" s="675"/>
      <c r="Q6" s="660"/>
      <c r="R6" s="660"/>
      <c r="S6" s="660"/>
      <c r="T6" s="660"/>
      <c r="U6" s="660"/>
      <c r="V6" s="662"/>
      <c r="W6" s="455"/>
      <c r="X6" s="456"/>
      <c r="Y6" s="453"/>
      <c r="Z6" s="453"/>
      <c r="AA6" s="458"/>
      <c r="AB6" s="455"/>
      <c r="AC6" s="456"/>
      <c r="AD6" s="457"/>
      <c r="AE6" s="453"/>
      <c r="AF6" s="453"/>
      <c r="AG6" s="455"/>
      <c r="AH6" s="456"/>
      <c r="AI6" s="457"/>
      <c r="AJ6" s="453"/>
      <c r="AK6" s="458"/>
      <c r="AL6" s="456"/>
      <c r="AM6" s="456"/>
      <c r="AN6" s="457"/>
      <c r="AO6" s="453"/>
      <c r="AP6" s="458"/>
      <c r="AQ6" s="660"/>
      <c r="AR6" s="660"/>
      <c r="AS6" s="662">
        <f t="shared" ca="1" si="10"/>
        <v>0</v>
      </c>
      <c r="AT6" s="662">
        <f t="shared" ca="1" si="11"/>
        <v>0</v>
      </c>
      <c r="AU6" s="662">
        <f t="shared" ca="1" si="12"/>
        <v>0</v>
      </c>
      <c r="AV6" s="662">
        <f ca="1">IF(Settings!$G$24,$I6,ROUND($I6,Settings!$H$24))</f>
        <v>0</v>
      </c>
      <c r="AW6" s="662">
        <f t="shared" ca="1" si="13"/>
        <v>-10000</v>
      </c>
      <c r="AX6" s="662">
        <f t="shared" ca="1" si="14"/>
        <v>1</v>
      </c>
      <c r="AY6" s="660"/>
      <c r="AZ6" s="660"/>
      <c r="BA6" s="660"/>
      <c r="BB6" s="660"/>
      <c r="BC6" s="660"/>
      <c r="BD6" s="660"/>
      <c r="BE6" s="660"/>
      <c r="BF6" s="660"/>
      <c r="BG6" s="660"/>
      <c r="BH6" s="660"/>
      <c r="BI6" s="660"/>
      <c r="BJ6" s="660"/>
      <c r="BK6" s="660"/>
      <c r="BL6" s="660"/>
      <c r="BM6" s="660"/>
      <c r="BN6" s="660"/>
      <c r="BO6" s="660"/>
      <c r="BP6" s="660"/>
      <c r="BQ6" s="660"/>
      <c r="BR6" s="660"/>
      <c r="BS6" s="660"/>
      <c r="BT6" s="660"/>
      <c r="BU6" s="660"/>
      <c r="BV6" s="660"/>
      <c r="BW6" s="660"/>
      <c r="BX6" s="660"/>
      <c r="BY6" s="660"/>
      <c r="BZ6" s="660"/>
      <c r="CA6" s="660"/>
      <c r="CB6" s="660"/>
    </row>
    <row r="7" spans="1:80" s="1" customFormat="1" x14ac:dyDescent="0.2">
      <c r="A7" s="669"/>
      <c r="B7" s="662">
        <v>4</v>
      </c>
      <c r="C7" s="673">
        <f t="shared" ca="1" si="1"/>
        <v>4</v>
      </c>
      <c r="D7" s="661">
        <f t="shared" ca="1" si="2"/>
        <v>13.007</v>
      </c>
      <c r="E7" s="671">
        <f t="shared" ca="1" si="3"/>
        <v>3</v>
      </c>
      <c r="F7" s="662" t="str">
        <f t="shared" ca="1" si="4"/>
        <v/>
      </c>
      <c r="G7" s="662">
        <f t="shared" ca="1" si="5"/>
        <v>0</v>
      </c>
      <c r="H7" s="662">
        <f t="shared" ca="1" si="6"/>
        <v>0</v>
      </c>
      <c r="I7" s="661">
        <f ca="1">IF(Settings!$G$24,G7-H7,IF(H7=0,IF(G7=0,0,Settings!$F$24),G7/H7))</f>
        <v>0</v>
      </c>
      <c r="J7" s="662">
        <f ca="1">$L7*Settings!$C$4+$M7</f>
        <v>0</v>
      </c>
      <c r="K7" s="662">
        <f t="shared" ca="1" si="7"/>
        <v>0</v>
      </c>
      <c r="L7" s="662">
        <f t="shared" ca="1" si="8"/>
        <v>0</v>
      </c>
      <c r="M7" s="662">
        <f t="shared" ca="1" si="0"/>
        <v>0</v>
      </c>
      <c r="N7" s="662">
        <f t="shared" ca="1" si="9"/>
        <v>0</v>
      </c>
      <c r="O7" s="674"/>
      <c r="P7" s="675"/>
      <c r="Q7" s="660"/>
      <c r="R7" s="660"/>
      <c r="S7" s="660"/>
      <c r="T7" s="660"/>
      <c r="U7" s="660"/>
      <c r="V7" s="662"/>
      <c r="W7" s="455"/>
      <c r="X7" s="456"/>
      <c r="Y7" s="453"/>
      <c r="Z7" s="453"/>
      <c r="AA7" s="458"/>
      <c r="AB7" s="455"/>
      <c r="AC7" s="456"/>
      <c r="AD7" s="457"/>
      <c r="AE7" s="453"/>
      <c r="AF7" s="453"/>
      <c r="AG7" s="455"/>
      <c r="AH7" s="456"/>
      <c r="AI7" s="457"/>
      <c r="AJ7" s="453"/>
      <c r="AK7" s="458"/>
      <c r="AL7" s="456"/>
      <c r="AM7" s="456"/>
      <c r="AN7" s="457"/>
      <c r="AO7" s="453"/>
      <c r="AP7" s="458"/>
      <c r="AQ7" s="660"/>
      <c r="AR7" s="660"/>
      <c r="AS7" s="662">
        <f t="shared" ca="1" si="10"/>
        <v>0</v>
      </c>
      <c r="AT7" s="662">
        <f t="shared" ca="1" si="11"/>
        <v>0</v>
      </c>
      <c r="AU7" s="662">
        <f t="shared" ca="1" si="12"/>
        <v>0</v>
      </c>
      <c r="AV7" s="662">
        <f ca="1">IF(Settings!$G$24,$I7,ROUND($I7,Settings!$H$24))</f>
        <v>0</v>
      </c>
      <c r="AW7" s="662">
        <f t="shared" ca="1" si="13"/>
        <v>-10000</v>
      </c>
      <c r="AX7" s="662">
        <f t="shared" ca="1" si="14"/>
        <v>1</v>
      </c>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row>
    <row r="8" spans="1:80" s="1" customFormat="1" x14ac:dyDescent="0.2">
      <c r="A8" s="669"/>
      <c r="B8" s="662">
        <v>5</v>
      </c>
      <c r="C8" s="673">
        <f t="shared" ca="1" si="1"/>
        <v>5</v>
      </c>
      <c r="D8" s="661">
        <f t="shared" ca="1" si="2"/>
        <v>13.007999999999999</v>
      </c>
      <c r="E8" s="671">
        <f t="shared" ca="1" si="3"/>
        <v>3</v>
      </c>
      <c r="F8" s="662" t="str">
        <f t="shared" si="4"/>
        <v/>
      </c>
      <c r="G8" s="662">
        <f t="shared" ca="1" si="5"/>
        <v>0</v>
      </c>
      <c r="H8" s="662">
        <f t="shared" ca="1" si="6"/>
        <v>0</v>
      </c>
      <c r="I8" s="661">
        <f ca="1">IF(Settings!$G$24,G8-H8,IF(H8=0,IF(G8=0,0,Settings!$F$24),G8/H8))</f>
        <v>0</v>
      </c>
      <c r="J8" s="662">
        <f ca="1">$L8*Settings!$C$4+$M8</f>
        <v>0</v>
      </c>
      <c r="K8" s="662">
        <f t="shared" ca="1" si="7"/>
        <v>0</v>
      </c>
      <c r="L8" s="662">
        <f t="shared" ca="1" si="8"/>
        <v>0</v>
      </c>
      <c r="M8" s="662">
        <f t="shared" ca="1" si="0"/>
        <v>0</v>
      </c>
      <c r="N8" s="662">
        <f t="shared" ca="1" si="9"/>
        <v>0</v>
      </c>
      <c r="O8" s="660"/>
      <c r="P8" s="675"/>
      <c r="Q8" s="660"/>
      <c r="R8" s="660"/>
      <c r="S8" s="660"/>
      <c r="T8" s="660"/>
      <c r="U8" s="660"/>
      <c r="V8" s="660"/>
      <c r="W8" s="455"/>
      <c r="X8" s="456"/>
      <c r="Y8" s="453"/>
      <c r="Z8" s="453"/>
      <c r="AA8" s="458"/>
      <c r="AB8" s="455"/>
      <c r="AC8" s="456"/>
      <c r="AD8" s="457"/>
      <c r="AE8" s="453"/>
      <c r="AF8" s="453"/>
      <c r="AG8" s="455"/>
      <c r="AH8" s="456"/>
      <c r="AI8" s="457"/>
      <c r="AJ8" s="453"/>
      <c r="AK8" s="458"/>
      <c r="AL8" s="456"/>
      <c r="AM8" s="456"/>
      <c r="AN8" s="457"/>
      <c r="AO8" s="453"/>
      <c r="AP8" s="458"/>
      <c r="AQ8" s="660"/>
      <c r="AR8" s="660"/>
      <c r="AS8" s="662">
        <f t="shared" ca="1" si="10"/>
        <v>0</v>
      </c>
      <c r="AT8" s="662">
        <f t="shared" ca="1" si="11"/>
        <v>0</v>
      </c>
      <c r="AU8" s="662">
        <f t="shared" ca="1" si="12"/>
        <v>0</v>
      </c>
      <c r="AV8" s="662">
        <f ca="1">IF(Settings!$G$24,$I8,ROUND($I8,Settings!$H$24))</f>
        <v>0</v>
      </c>
      <c r="AW8" s="662">
        <f t="shared" ca="1" si="13"/>
        <v>-10000</v>
      </c>
      <c r="AX8" s="662">
        <f t="shared" ca="1" si="14"/>
        <v>1</v>
      </c>
      <c r="AY8" s="660"/>
      <c r="AZ8" s="660"/>
      <c r="BA8" s="660"/>
      <c r="BB8" s="660"/>
      <c r="BC8" s="660"/>
      <c r="BD8" s="660"/>
      <c r="BE8" s="660"/>
      <c r="BF8" s="660"/>
      <c r="BG8" s="660"/>
      <c r="BH8" s="660"/>
      <c r="BI8" s="660"/>
      <c r="BJ8" s="660"/>
      <c r="BK8" s="660"/>
      <c r="BL8" s="660"/>
      <c r="BM8" s="660"/>
      <c r="BN8" s="660"/>
      <c r="BO8" s="660"/>
      <c r="BP8" s="660"/>
      <c r="BQ8" s="660"/>
      <c r="BR8" s="660"/>
      <c r="BS8" s="660"/>
      <c r="BT8" s="660"/>
      <c r="BU8" s="660"/>
      <c r="BV8" s="660"/>
      <c r="BW8" s="660"/>
      <c r="BX8" s="660"/>
      <c r="BY8" s="660"/>
      <c r="BZ8" s="660"/>
      <c r="CA8" s="660"/>
      <c r="CB8" s="660"/>
    </row>
    <row r="9" spans="1:80" s="1" customFormat="1" x14ac:dyDescent="0.2">
      <c r="A9" s="669"/>
      <c r="B9" s="662">
        <v>6</v>
      </c>
      <c r="C9" s="673">
        <f t="shared" ca="1" si="1"/>
        <v>6</v>
      </c>
      <c r="D9" s="661">
        <f t="shared" ca="1" si="2"/>
        <v>13.009</v>
      </c>
      <c r="E9" s="671">
        <f t="shared" ca="1" si="3"/>
        <v>3</v>
      </c>
      <c r="F9" s="662" t="str">
        <f t="shared" si="4"/>
        <v/>
      </c>
      <c r="G9" s="662">
        <f t="shared" ca="1" si="5"/>
        <v>0</v>
      </c>
      <c r="H9" s="662">
        <f t="shared" ca="1" si="6"/>
        <v>0</v>
      </c>
      <c r="I9" s="661">
        <f ca="1">IF(Settings!$G$24,G9-H9,IF(H9=0,IF(G9=0,0,Settings!$F$24),G9/H9))</f>
        <v>0</v>
      </c>
      <c r="J9" s="662">
        <f ca="1">$L9*Settings!$C$4+$M9</f>
        <v>0</v>
      </c>
      <c r="K9" s="662">
        <f t="shared" ca="1" si="7"/>
        <v>0</v>
      </c>
      <c r="L9" s="662">
        <f t="shared" ca="1" si="8"/>
        <v>0</v>
      </c>
      <c r="M9" s="662">
        <f t="shared" ca="1" si="0"/>
        <v>0</v>
      </c>
      <c r="N9" s="662">
        <f t="shared" ca="1" si="9"/>
        <v>0</v>
      </c>
      <c r="O9" s="660"/>
      <c r="P9" s="675"/>
      <c r="Q9" s="660"/>
      <c r="R9" s="660"/>
      <c r="S9" s="660"/>
      <c r="T9" s="660"/>
      <c r="U9" s="660"/>
      <c r="V9" s="660"/>
      <c r="W9" s="455"/>
      <c r="X9" s="456"/>
      <c r="Y9" s="453"/>
      <c r="Z9" s="453"/>
      <c r="AA9" s="458"/>
      <c r="AB9" s="455"/>
      <c r="AC9" s="456"/>
      <c r="AD9" s="457"/>
      <c r="AE9" s="453"/>
      <c r="AF9" s="453"/>
      <c r="AG9" s="455"/>
      <c r="AH9" s="456"/>
      <c r="AI9" s="457"/>
      <c r="AJ9" s="453"/>
      <c r="AK9" s="458"/>
      <c r="AL9" s="456"/>
      <c r="AM9" s="456"/>
      <c r="AN9" s="457"/>
      <c r="AO9" s="453"/>
      <c r="AP9" s="458"/>
      <c r="AQ9" s="660"/>
      <c r="AR9" s="660"/>
      <c r="AS9" s="662">
        <f t="shared" ca="1" si="10"/>
        <v>0</v>
      </c>
      <c r="AT9" s="662">
        <f t="shared" ca="1" si="11"/>
        <v>0</v>
      </c>
      <c r="AU9" s="662">
        <f t="shared" ca="1" si="12"/>
        <v>0</v>
      </c>
      <c r="AV9" s="662">
        <f ca="1">IF(Settings!$G$24,$I9,ROUND($I9,Settings!$H$24))</f>
        <v>0</v>
      </c>
      <c r="AW9" s="662">
        <f t="shared" ca="1" si="13"/>
        <v>-10000</v>
      </c>
      <c r="AX9" s="662">
        <f t="shared" ca="1" si="14"/>
        <v>1</v>
      </c>
      <c r="AY9" s="660"/>
      <c r="AZ9" s="660"/>
      <c r="BA9" s="660"/>
      <c r="BB9" s="660"/>
      <c r="BC9" s="660"/>
      <c r="BD9" s="660"/>
      <c r="BE9" s="660"/>
      <c r="BF9" s="660"/>
      <c r="BG9" s="660"/>
      <c r="BH9" s="660"/>
      <c r="BI9" s="660"/>
      <c r="BJ9" s="660"/>
      <c r="BK9" s="660"/>
      <c r="BL9" s="660"/>
      <c r="BM9" s="660"/>
      <c r="BN9" s="660"/>
      <c r="BO9" s="660"/>
      <c r="BP9" s="660"/>
      <c r="BQ9" s="660"/>
      <c r="BR9" s="660"/>
      <c r="BS9" s="660"/>
      <c r="BT9" s="660"/>
      <c r="BU9" s="660"/>
      <c r="BV9" s="660"/>
      <c r="BW9" s="660"/>
      <c r="BX9" s="660"/>
      <c r="BY9" s="660"/>
      <c r="BZ9" s="660"/>
      <c r="CA9" s="660"/>
      <c r="CB9" s="660"/>
    </row>
    <row r="10" spans="1:80" s="1" customFormat="1" x14ac:dyDescent="0.2">
      <c r="A10" s="669"/>
      <c r="B10" s="662">
        <v>7</v>
      </c>
      <c r="C10" s="673">
        <f t="shared" ca="1" si="1"/>
        <v>7</v>
      </c>
      <c r="D10" s="661">
        <f t="shared" ca="1" si="2"/>
        <v>13.01</v>
      </c>
      <c r="E10" s="671">
        <f t="shared" ca="1" si="3"/>
        <v>3</v>
      </c>
      <c r="F10" s="662" t="str">
        <f t="shared" si="4"/>
        <v/>
      </c>
      <c r="G10" s="662">
        <f t="shared" ca="1" si="5"/>
        <v>0</v>
      </c>
      <c r="H10" s="662">
        <f t="shared" ca="1" si="6"/>
        <v>0</v>
      </c>
      <c r="I10" s="661">
        <f ca="1">IF(Settings!$G$24,G10-H10,IF(H10=0,IF(G10=0,0,Settings!$F$24),G10/H10))</f>
        <v>0</v>
      </c>
      <c r="J10" s="662">
        <f ca="1">$L10*Settings!$C$4+$M10</f>
        <v>0</v>
      </c>
      <c r="K10" s="662">
        <f t="shared" ca="1" si="7"/>
        <v>0</v>
      </c>
      <c r="L10" s="662">
        <f t="shared" ca="1" si="8"/>
        <v>0</v>
      </c>
      <c r="M10" s="662">
        <f t="shared" ca="1" si="0"/>
        <v>0</v>
      </c>
      <c r="N10" s="662">
        <f t="shared" ca="1" si="9"/>
        <v>0</v>
      </c>
      <c r="O10" s="660"/>
      <c r="P10" s="675"/>
      <c r="Q10" s="660"/>
      <c r="R10" s="660"/>
      <c r="S10" s="660"/>
      <c r="T10" s="660"/>
      <c r="U10" s="660"/>
      <c r="V10" s="660"/>
      <c r="W10" s="455"/>
      <c r="X10" s="456"/>
      <c r="Y10" s="453"/>
      <c r="Z10" s="453"/>
      <c r="AA10" s="458"/>
      <c r="AB10" s="455"/>
      <c r="AC10" s="456"/>
      <c r="AD10" s="457"/>
      <c r="AE10" s="453"/>
      <c r="AF10" s="453"/>
      <c r="AG10" s="455"/>
      <c r="AH10" s="456"/>
      <c r="AI10" s="457"/>
      <c r="AJ10" s="453"/>
      <c r="AK10" s="458"/>
      <c r="AL10" s="456"/>
      <c r="AM10" s="456"/>
      <c r="AN10" s="457"/>
      <c r="AO10" s="453"/>
      <c r="AP10" s="458"/>
      <c r="AQ10" s="660"/>
      <c r="AR10" s="660"/>
      <c r="AS10" s="662">
        <f t="shared" ca="1" si="10"/>
        <v>0</v>
      </c>
      <c r="AT10" s="662">
        <f t="shared" ca="1" si="11"/>
        <v>0</v>
      </c>
      <c r="AU10" s="662">
        <f t="shared" ca="1" si="12"/>
        <v>0</v>
      </c>
      <c r="AV10" s="662">
        <f ca="1">IF(Settings!$G$24,$I10,ROUND($I10,Settings!$H$24))</f>
        <v>0</v>
      </c>
      <c r="AW10" s="662">
        <f t="shared" ca="1" si="13"/>
        <v>-10000</v>
      </c>
      <c r="AX10" s="662">
        <f t="shared" ca="1" si="14"/>
        <v>1</v>
      </c>
      <c r="AY10" s="660"/>
      <c r="AZ10" s="660"/>
      <c r="BA10" s="660"/>
      <c r="BB10" s="660"/>
      <c r="BC10" s="660"/>
      <c r="BD10" s="660"/>
      <c r="BE10" s="660"/>
      <c r="BF10" s="660"/>
      <c r="BG10" s="660"/>
      <c r="BH10" s="660"/>
      <c r="BI10" s="660"/>
      <c r="BJ10" s="660"/>
      <c r="BK10" s="660"/>
      <c r="BL10" s="660"/>
      <c r="BM10" s="660"/>
      <c r="BN10" s="660"/>
      <c r="BO10" s="660"/>
      <c r="BP10" s="660"/>
      <c r="BQ10" s="660"/>
      <c r="BR10" s="660"/>
      <c r="BS10" s="660"/>
      <c r="BT10" s="660"/>
      <c r="BU10" s="660"/>
      <c r="BV10" s="660"/>
      <c r="BW10" s="660"/>
      <c r="BX10" s="660"/>
      <c r="BY10" s="660"/>
      <c r="BZ10" s="660"/>
      <c r="CA10" s="660"/>
      <c r="CB10" s="660"/>
    </row>
    <row r="11" spans="1:80" s="1" customFormat="1" x14ac:dyDescent="0.2">
      <c r="A11" s="669"/>
      <c r="B11" s="662">
        <v>8</v>
      </c>
      <c r="C11" s="673">
        <f t="shared" ca="1" si="1"/>
        <v>8</v>
      </c>
      <c r="D11" s="661">
        <f t="shared" ca="1" si="2"/>
        <v>13.010999999999999</v>
      </c>
      <c r="E11" s="671">
        <f t="shared" ca="1" si="3"/>
        <v>3</v>
      </c>
      <c r="F11" s="662" t="str">
        <f t="shared" si="4"/>
        <v/>
      </c>
      <c r="G11" s="662">
        <f t="shared" ca="1" si="5"/>
        <v>0</v>
      </c>
      <c r="H11" s="662">
        <f t="shared" ca="1" si="6"/>
        <v>0</v>
      </c>
      <c r="I11" s="661">
        <f ca="1">IF(Settings!$G$24,G11-H11,IF(H11=0,IF(G11=0,0,Settings!$F$24),G11/H11))</f>
        <v>0</v>
      </c>
      <c r="J11" s="662">
        <f ca="1">$L11*Settings!$C$4+$M11</f>
        <v>0</v>
      </c>
      <c r="K11" s="662">
        <f t="shared" ca="1" si="7"/>
        <v>0</v>
      </c>
      <c r="L11" s="662">
        <f t="shared" ca="1" si="8"/>
        <v>0</v>
      </c>
      <c r="M11" s="662">
        <f t="shared" ca="1" si="0"/>
        <v>0</v>
      </c>
      <c r="N11" s="662">
        <f t="shared" ca="1" si="9"/>
        <v>0</v>
      </c>
      <c r="O11" s="661"/>
      <c r="P11" s="661"/>
      <c r="Q11" s="661"/>
      <c r="R11" s="661"/>
      <c r="S11" s="661"/>
      <c r="T11" s="661"/>
      <c r="U11" s="661"/>
      <c r="V11" s="661"/>
      <c r="W11" s="455"/>
      <c r="X11" s="456"/>
      <c r="Y11" s="453"/>
      <c r="Z11" s="453"/>
      <c r="AA11" s="458"/>
      <c r="AB11" s="455"/>
      <c r="AC11" s="456"/>
      <c r="AD11" s="457"/>
      <c r="AE11" s="453"/>
      <c r="AF11" s="453"/>
      <c r="AG11" s="455"/>
      <c r="AH11" s="456"/>
      <c r="AI11" s="457"/>
      <c r="AJ11" s="453"/>
      <c r="AK11" s="458"/>
      <c r="AL11" s="456"/>
      <c r="AM11" s="456"/>
      <c r="AN11" s="457"/>
      <c r="AO11" s="453"/>
      <c r="AP11" s="458"/>
      <c r="AQ11" s="660"/>
      <c r="AR11" s="660"/>
      <c r="AS11" s="662">
        <f t="shared" ca="1" si="10"/>
        <v>0</v>
      </c>
      <c r="AT11" s="662">
        <f t="shared" ca="1" si="11"/>
        <v>0</v>
      </c>
      <c r="AU11" s="662">
        <f t="shared" ca="1" si="12"/>
        <v>0</v>
      </c>
      <c r="AV11" s="662">
        <f ca="1">IF(Settings!$G$24,$I11,ROUND($I11,Settings!$H$24))</f>
        <v>0</v>
      </c>
      <c r="AW11" s="662">
        <f t="shared" ca="1" si="13"/>
        <v>-10000</v>
      </c>
      <c r="AX11" s="662">
        <f t="shared" ca="1" si="14"/>
        <v>1</v>
      </c>
      <c r="AY11" s="660"/>
      <c r="AZ11" s="660"/>
      <c r="BA11" s="660"/>
      <c r="BB11" s="660"/>
      <c r="BC11" s="660"/>
      <c r="BD11" s="660"/>
      <c r="BE11" s="660"/>
      <c r="BF11" s="660"/>
      <c r="BG11" s="660"/>
      <c r="BH11" s="660"/>
      <c r="BI11" s="660"/>
      <c r="BJ11" s="660"/>
      <c r="BK11" s="660"/>
      <c r="BL11" s="660"/>
      <c r="BM11" s="660"/>
      <c r="BN11" s="660"/>
      <c r="BO11" s="660"/>
      <c r="BP11" s="660"/>
      <c r="BQ11" s="660"/>
      <c r="BR11" s="660"/>
      <c r="BS11" s="660"/>
      <c r="BT11" s="660"/>
      <c r="BU11" s="660"/>
      <c r="BV11" s="660"/>
      <c r="BW11" s="660"/>
      <c r="BX11" s="660"/>
      <c r="BY11" s="660"/>
      <c r="BZ11" s="660"/>
      <c r="CA11" s="660"/>
      <c r="CB11" s="660"/>
    </row>
    <row r="12" spans="1:80" s="1" customFormat="1" ht="12.75" thickBot="1" x14ac:dyDescent="0.25">
      <c r="A12" s="669"/>
      <c r="B12" s="662">
        <v>9</v>
      </c>
      <c r="C12" s="676">
        <f t="shared" ca="1" si="1"/>
        <v>9</v>
      </c>
      <c r="D12" s="661">
        <f t="shared" ca="1" si="2"/>
        <v>13.012</v>
      </c>
      <c r="E12" s="671">
        <f t="shared" ca="1" si="3"/>
        <v>3</v>
      </c>
      <c r="F12" s="662" t="str">
        <f t="shared" si="4"/>
        <v/>
      </c>
      <c r="G12" s="662">
        <f t="shared" ca="1" si="5"/>
        <v>0</v>
      </c>
      <c r="H12" s="662">
        <f t="shared" ca="1" si="6"/>
        <v>0</v>
      </c>
      <c r="I12" s="661">
        <f ca="1">IF(Settings!$G$24,G12-H12,IF(H12=0,IF(G12=0,0,Settings!$F$24),G12/H12))</f>
        <v>0</v>
      </c>
      <c r="J12" s="662">
        <f ca="1">$L12*Settings!$C$4+$M12</f>
        <v>0</v>
      </c>
      <c r="K12" s="677">
        <f t="shared" ca="1" si="7"/>
        <v>0</v>
      </c>
      <c r="L12" s="662">
        <f t="shared" ca="1" si="8"/>
        <v>0</v>
      </c>
      <c r="M12" s="662">
        <f t="shared" ca="1" si="0"/>
        <v>0</v>
      </c>
      <c r="N12" s="662">
        <f t="shared" ca="1" si="9"/>
        <v>0</v>
      </c>
      <c r="O12" s="662"/>
      <c r="P12" s="662"/>
      <c r="Q12" s="662"/>
      <c r="R12" s="662"/>
      <c r="S12" s="662"/>
      <c r="T12" s="662"/>
      <c r="U12" s="662"/>
      <c r="V12" s="662"/>
      <c r="W12" s="459"/>
      <c r="X12" s="460"/>
      <c r="Y12" s="461"/>
      <c r="Z12" s="461"/>
      <c r="AA12" s="462"/>
      <c r="AB12" s="459"/>
      <c r="AC12" s="460"/>
      <c r="AD12" s="463"/>
      <c r="AE12" s="461"/>
      <c r="AF12" s="461"/>
      <c r="AG12" s="459"/>
      <c r="AH12" s="460"/>
      <c r="AI12" s="463"/>
      <c r="AJ12" s="461"/>
      <c r="AK12" s="462"/>
      <c r="AL12" s="460"/>
      <c r="AM12" s="460"/>
      <c r="AN12" s="463"/>
      <c r="AO12" s="461"/>
      <c r="AP12" s="462"/>
      <c r="AQ12" s="660"/>
      <c r="AR12" s="660"/>
      <c r="AS12" s="662">
        <f t="shared" ca="1" si="10"/>
        <v>0</v>
      </c>
      <c r="AT12" s="662">
        <f t="shared" ca="1" si="11"/>
        <v>0</v>
      </c>
      <c r="AU12" s="662">
        <f t="shared" ca="1" si="12"/>
        <v>0</v>
      </c>
      <c r="AV12" s="662">
        <f ca="1">IF(Settings!$G$24,$I12,ROUND($I12,Settings!$H$24))</f>
        <v>0</v>
      </c>
      <c r="AW12" s="662">
        <f t="shared" ca="1" si="13"/>
        <v>-10000</v>
      </c>
      <c r="AX12" s="662">
        <f t="shared" ca="1" si="14"/>
        <v>1</v>
      </c>
      <c r="AY12" s="660"/>
      <c r="AZ12" s="660"/>
      <c r="BA12" s="660"/>
      <c r="BB12" s="660"/>
      <c r="BC12" s="660"/>
      <c r="BD12" s="660"/>
      <c r="BE12" s="660"/>
      <c r="BF12" s="660"/>
      <c r="BG12" s="660"/>
      <c r="BH12" s="660"/>
      <c r="BI12" s="660"/>
      <c r="BJ12" s="660"/>
      <c r="BK12" s="660"/>
      <c r="BL12" s="660"/>
      <c r="BM12" s="660"/>
      <c r="BN12" s="660"/>
      <c r="BO12" s="660"/>
      <c r="BP12" s="660"/>
      <c r="BQ12" s="660"/>
      <c r="BR12" s="660"/>
      <c r="BS12" s="660"/>
      <c r="BT12" s="660"/>
      <c r="BU12" s="660"/>
      <c r="BV12" s="660"/>
      <c r="BW12" s="660"/>
      <c r="BX12" s="660"/>
      <c r="BY12" s="660"/>
      <c r="BZ12" s="660"/>
      <c r="CA12" s="660"/>
      <c r="CB12" s="660"/>
    </row>
    <row r="13" spans="1:80" s="1" customFormat="1" ht="12.75" thickTop="1" x14ac:dyDescent="0.2">
      <c r="A13" s="660"/>
      <c r="B13" s="661">
        <f ca="1">$F$13*($F$13-1)</f>
        <v>2</v>
      </c>
      <c r="C13" s="661"/>
      <c r="D13" s="661"/>
      <c r="E13" s="661"/>
      <c r="F13" s="661">
        <f ca="1">9-COUNTBLANK($F$4:$F$12)</f>
        <v>2</v>
      </c>
      <c r="G13" s="661"/>
      <c r="H13" s="661"/>
      <c r="I13" s="661"/>
      <c r="J13" s="661"/>
      <c r="K13" s="666">
        <f ca="1">QUOTIENT(SUM(K4:K12),2)</f>
        <v>1</v>
      </c>
      <c r="L13" s="662"/>
      <c r="M13" s="662"/>
      <c r="N13" s="662"/>
      <c r="O13" s="662"/>
      <c r="P13" s="662"/>
      <c r="Q13" s="662"/>
      <c r="R13" s="662"/>
      <c r="S13" s="662"/>
      <c r="T13" s="662"/>
      <c r="U13" s="662"/>
      <c r="V13" s="662"/>
      <c r="W13" s="660"/>
      <c r="X13" s="660"/>
      <c r="Y13" s="662"/>
      <c r="Z13" s="662"/>
      <c r="AA13" s="660"/>
      <c r="AB13" s="660"/>
      <c r="AC13" s="660"/>
      <c r="AD13" s="660"/>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60"/>
      <c r="BC13" s="660"/>
      <c r="BD13" s="660"/>
      <c r="BE13" s="660"/>
      <c r="BF13" s="660"/>
      <c r="BG13" s="660"/>
      <c r="BH13" s="660"/>
      <c r="BI13" s="660"/>
      <c r="BJ13" s="660"/>
      <c r="BK13" s="660"/>
      <c r="BL13" s="660"/>
      <c r="BM13" s="660"/>
      <c r="BN13" s="660"/>
      <c r="BO13" s="660"/>
      <c r="BP13" s="660"/>
      <c r="BQ13" s="660"/>
      <c r="BR13" s="660"/>
      <c r="BS13" s="660"/>
      <c r="BT13" s="660"/>
      <c r="BU13" s="660"/>
      <c r="BV13" s="660"/>
      <c r="BW13" s="660"/>
      <c r="BX13" s="660"/>
      <c r="BY13" s="660"/>
      <c r="BZ13" s="660"/>
      <c r="CA13" s="660"/>
      <c r="CB13" s="660"/>
    </row>
    <row r="14" spans="1:80" s="1" customFormat="1" x14ac:dyDescent="0.2">
      <c r="A14" s="660"/>
      <c r="B14" s="678">
        <f ca="1">MAX($B$13,Calc2!$B$13)/2*3</f>
        <v>30</v>
      </c>
      <c r="C14" s="660"/>
      <c r="D14" s="662" t="s">
        <v>391</v>
      </c>
      <c r="E14" s="660"/>
      <c r="F14" s="678">
        <f ca="1">MAX($F$13,Calc2!$F$13)</f>
        <v>5</v>
      </c>
      <c r="G14" s="660"/>
      <c r="H14" s="660"/>
      <c r="I14" s="660"/>
      <c r="J14" s="660"/>
      <c r="K14" s="660"/>
      <c r="L14" s="660"/>
      <c r="M14" s="660"/>
      <c r="N14" s="660"/>
      <c r="O14" s="662"/>
      <c r="P14" s="662"/>
      <c r="Q14" s="662"/>
      <c r="R14" s="662"/>
      <c r="S14" s="662"/>
      <c r="T14" s="662"/>
      <c r="U14" s="662"/>
      <c r="V14" s="662"/>
      <c r="W14" s="662"/>
      <c r="X14" s="660"/>
      <c r="Y14" s="662"/>
      <c r="Z14" s="662"/>
      <c r="AA14" s="660"/>
      <c r="AB14" s="660"/>
      <c r="AC14" s="660"/>
      <c r="AD14" s="660"/>
      <c r="AE14" s="660"/>
      <c r="AF14" s="660"/>
      <c r="AG14" s="660"/>
      <c r="AH14" s="660"/>
      <c r="AI14" s="660"/>
      <c r="AJ14" s="660"/>
      <c r="AK14" s="660"/>
      <c r="AL14" s="660"/>
      <c r="AM14" s="660"/>
      <c r="AN14" s="660"/>
      <c r="AO14" s="660"/>
      <c r="AP14" s="660"/>
      <c r="AQ14" s="660"/>
      <c r="AR14" s="660"/>
      <c r="AS14" s="660"/>
      <c r="AT14" s="660"/>
      <c r="AU14" s="660"/>
      <c r="AV14" s="660"/>
      <c r="AW14" s="660"/>
      <c r="AX14" s="660"/>
      <c r="AY14" s="660"/>
      <c r="AZ14" s="660"/>
      <c r="BA14" s="660"/>
      <c r="BB14" s="660"/>
      <c r="BC14" s="660"/>
      <c r="BD14" s="660"/>
      <c r="BE14" s="660"/>
      <c r="BF14" s="660"/>
      <c r="BG14" s="660"/>
      <c r="BH14" s="660"/>
      <c r="BI14" s="660"/>
      <c r="BJ14" s="660"/>
      <c r="BK14" s="660"/>
      <c r="BL14" s="660"/>
      <c r="BM14" s="660"/>
      <c r="BN14" s="660"/>
      <c r="BO14" s="660"/>
      <c r="BP14" s="660"/>
      <c r="BQ14" s="660"/>
      <c r="BR14" s="660"/>
      <c r="BS14" s="660"/>
      <c r="BT14" s="660"/>
      <c r="BU14" s="660"/>
      <c r="BV14" s="660"/>
      <c r="BW14" s="660"/>
      <c r="BX14" s="660"/>
      <c r="BY14" s="660"/>
      <c r="BZ14" s="660"/>
      <c r="CA14" s="660"/>
      <c r="CB14" s="660"/>
    </row>
    <row r="15" spans="1:80" s="1" customFormat="1" x14ac:dyDescent="0.2">
      <c r="A15" s="660"/>
      <c r="B15" s="660"/>
      <c r="C15" s="660"/>
      <c r="D15" s="660"/>
      <c r="E15" s="660"/>
      <c r="F15" s="660"/>
      <c r="G15" s="660"/>
      <c r="H15" s="660"/>
      <c r="I15" s="660"/>
      <c r="J15" s="660"/>
      <c r="K15" s="660"/>
      <c r="L15" s="660"/>
      <c r="M15" s="660"/>
      <c r="N15" s="660"/>
      <c r="O15" s="679"/>
      <c r="P15" s="660"/>
      <c r="Q15" s="660"/>
      <c r="R15" s="660"/>
      <c r="S15" s="660"/>
      <c r="T15" s="660"/>
      <c r="U15" s="660"/>
      <c r="V15" s="660"/>
      <c r="W15" s="660"/>
      <c r="X15" s="660"/>
      <c r="Y15" s="660"/>
      <c r="Z15" s="660"/>
      <c r="AA15" s="660"/>
      <c r="AB15" s="660"/>
      <c r="AC15" s="660"/>
      <c r="AD15" s="680"/>
      <c r="AE15" s="680"/>
      <c r="AF15" s="680"/>
      <c r="AG15" s="680"/>
      <c r="AH15" s="680"/>
      <c r="AI15" s="681"/>
      <c r="AJ15" s="660"/>
      <c r="AK15" s="669"/>
      <c r="AL15" s="660"/>
      <c r="AM15" s="660"/>
      <c r="AN15" s="660"/>
      <c r="AO15" s="660"/>
      <c r="AP15" s="660"/>
      <c r="AQ15" s="660"/>
      <c r="AR15" s="660"/>
      <c r="AS15" s="660"/>
      <c r="AT15" s="660"/>
      <c r="AU15" s="660"/>
      <c r="AV15" s="660"/>
      <c r="AW15" s="660"/>
      <c r="AX15" s="660"/>
      <c r="AY15" s="660"/>
      <c r="AZ15" s="660"/>
      <c r="BA15" s="660"/>
      <c r="BB15" s="660"/>
      <c r="BC15" s="660"/>
      <c r="BD15" s="660"/>
      <c r="BE15" s="660"/>
      <c r="BF15" s="660"/>
      <c r="BG15" s="660"/>
      <c r="BH15" s="660"/>
      <c r="BI15" s="660"/>
      <c r="BJ15" s="660"/>
      <c r="BK15" s="660"/>
      <c r="BL15" s="660"/>
      <c r="BM15" s="660"/>
      <c r="BN15" s="660"/>
      <c r="BO15" s="660"/>
      <c r="BP15" s="660"/>
      <c r="BQ15" s="660"/>
      <c r="BR15" s="660"/>
      <c r="BS15" s="660"/>
      <c r="BT15" s="660"/>
      <c r="BU15" s="660"/>
      <c r="BV15" s="660"/>
      <c r="BW15" s="660"/>
      <c r="BX15" s="660"/>
      <c r="BY15" s="660"/>
      <c r="BZ15" s="660"/>
      <c r="CA15" s="660"/>
      <c r="CB15" s="660"/>
    </row>
    <row r="16" spans="1:80" s="1" customFormat="1" ht="15.75" thickBot="1" x14ac:dyDescent="0.25">
      <c r="A16" s="660"/>
      <c r="B16" s="661" t="s">
        <v>5</v>
      </c>
      <c r="C16" s="771" t="s">
        <v>96</v>
      </c>
      <c r="D16" s="771" t="s">
        <v>101</v>
      </c>
      <c r="E16" s="771" t="s">
        <v>102</v>
      </c>
      <c r="F16" s="771" t="s">
        <v>103</v>
      </c>
      <c r="G16" s="771" t="s">
        <v>104</v>
      </c>
      <c r="H16" s="771" t="s">
        <v>105</v>
      </c>
      <c r="I16" s="771" t="s">
        <v>106</v>
      </c>
      <c r="J16" s="771" t="s">
        <v>107</v>
      </c>
      <c r="K16" s="771" t="s">
        <v>392</v>
      </c>
      <c r="L16" s="3" t="s">
        <v>319</v>
      </c>
      <c r="M16" s="664" t="s">
        <v>95</v>
      </c>
      <c r="N16" s="664" t="s">
        <v>14</v>
      </c>
      <c r="O16" s="682">
        <v>1</v>
      </c>
      <c r="P16" s="662">
        <v>2</v>
      </c>
      <c r="Q16" s="662">
        <v>3</v>
      </c>
      <c r="R16" s="662">
        <v>4</v>
      </c>
      <c r="S16" s="662">
        <v>5</v>
      </c>
      <c r="T16" s="662">
        <v>6</v>
      </c>
      <c r="U16" s="662">
        <v>7</v>
      </c>
      <c r="V16" s="662">
        <v>8</v>
      </c>
      <c r="W16" s="3" t="s">
        <v>97</v>
      </c>
      <c r="X16" s="651" t="s">
        <v>163</v>
      </c>
      <c r="Y16" s="3" t="s">
        <v>393</v>
      </c>
      <c r="Z16" s="651" t="s">
        <v>394</v>
      </c>
      <c r="AA16" s="662" t="s">
        <v>317</v>
      </c>
      <c r="AB16" s="662" t="s">
        <v>107</v>
      </c>
      <c r="AC16" s="662" t="s">
        <v>105</v>
      </c>
      <c r="AD16" s="683" t="s">
        <v>395</v>
      </c>
      <c r="AE16" s="684"/>
      <c r="AF16" s="661"/>
      <c r="AG16" s="661"/>
      <c r="AH16" s="685"/>
      <c r="AI16" s="681"/>
      <c r="AJ16" s="660"/>
      <c r="AK16" s="660"/>
      <c r="AL16" s="660"/>
      <c r="AM16" s="660"/>
      <c r="AN16" s="660"/>
      <c r="AO16" s="660"/>
      <c r="AP16" s="660"/>
      <c r="AQ16" s="660"/>
      <c r="AR16" s="660"/>
      <c r="AS16" s="660"/>
      <c r="AT16" s="660"/>
      <c r="AU16" s="660"/>
      <c r="AV16" s="660"/>
      <c r="AW16" s="660"/>
      <c r="AX16" s="660"/>
      <c r="AY16" s="660"/>
      <c r="AZ16" s="660"/>
      <c r="BA16" s="660"/>
      <c r="BB16" s="660"/>
      <c r="BC16" s="660"/>
      <c r="BD16" s="660"/>
      <c r="BE16" s="660"/>
      <c r="BF16" s="660"/>
      <c r="BG16" s="660"/>
      <c r="BH16" s="660"/>
      <c r="BI16" s="660"/>
      <c r="BJ16" s="660"/>
      <c r="BK16" s="660"/>
      <c r="BL16" s="660"/>
      <c r="BM16" s="660"/>
      <c r="BN16" s="660"/>
      <c r="BO16" s="660"/>
      <c r="BP16" s="660"/>
      <c r="BQ16" s="660"/>
      <c r="BR16" s="660"/>
      <c r="BS16" s="660"/>
      <c r="BT16" s="660"/>
      <c r="BU16" s="660"/>
      <c r="BV16" s="660"/>
      <c r="BW16" s="660"/>
      <c r="BX16" s="660"/>
      <c r="BY16" s="660"/>
      <c r="BZ16" s="660"/>
      <c r="CA16" s="660"/>
      <c r="CB16" s="660"/>
    </row>
    <row r="17" spans="1:80" s="1" customFormat="1" ht="12.75" thickTop="1" x14ac:dyDescent="0.2">
      <c r="A17" s="660"/>
      <c r="B17" s="660"/>
      <c r="C17" s="660" t="str">
        <f ca="1">$Q64</f>
        <v>FC Barcelona</v>
      </c>
      <c r="D17" s="662">
        <f t="shared" ref="D17:G25" ca="1" si="15">K4</f>
        <v>1</v>
      </c>
      <c r="E17" s="662">
        <f t="shared" ca="1" si="15"/>
        <v>1</v>
      </c>
      <c r="F17" s="662">
        <f t="shared" ca="1" si="15"/>
        <v>0</v>
      </c>
      <c r="G17" s="662">
        <f t="shared" ca="1" si="15"/>
        <v>0</v>
      </c>
      <c r="H17" s="662">
        <f t="shared" ref="H17:J25" ca="1" si="16">G4</f>
        <v>70</v>
      </c>
      <c r="I17" s="662">
        <f t="shared" ca="1" si="16"/>
        <v>65</v>
      </c>
      <c r="J17" s="661">
        <f t="shared" ca="1" si="16"/>
        <v>1.0769230769230769</v>
      </c>
      <c r="K17" s="662">
        <f ca="1">IF(Settings!$G$9,J4,$AT4)</f>
        <v>2</v>
      </c>
      <c r="L17" s="686">
        <f ca="1">K17*$F$64+(AU4+$H$65)*$F$65*Settings!$G$14+AT4*$F$66*Settings!$G$19+AX4*$F$67</f>
        <v>2000000.0090000001</v>
      </c>
      <c r="M17" s="678">
        <f ca="1">IF($AI$15,COUNTIF($K$17:$K$25,K17),COUNTIF($L$17:$L$25,L17))</f>
        <v>1</v>
      </c>
      <c r="N17" s="678">
        <f t="array" aca="1" ref="N17" ca="1">IF($AI$15,SUM(($K$17:$K$25&gt;=K17)/COUNTIF($K$17:$K$25,$K$17:$K$25)),SUM(($L$17:$L$25&gt;=L17)/COUNTIF($L$17:$L$25,$L$17:$L$25)))</f>
        <v>1</v>
      </c>
      <c r="O17" s="687" t="str">
        <f t="shared" ref="O17:O25" ca="1" si="17">IF(AND(M17&gt;1,N17=1),C17,"")</f>
        <v/>
      </c>
      <c r="P17" s="688" t="str">
        <f t="shared" ref="P17:P25" ca="1" si="18">IF(AND(M17&gt;1,N17=2),C17,"")</f>
        <v/>
      </c>
      <c r="Q17" s="688" t="str">
        <f t="shared" ref="Q17:Q25" ca="1" si="19">IF(AND(M17&gt;1,N17=3),C17,"")</f>
        <v/>
      </c>
      <c r="R17" s="688" t="str">
        <f t="shared" ref="R17:R25" ca="1" si="20">IF(AND(M17&gt;1,N17=4),C17,"")</f>
        <v/>
      </c>
      <c r="S17" s="688" t="str">
        <f t="shared" ref="S17:S25" ca="1" si="21">IF(AND(M17&gt;1,N17=5),C17,"")</f>
        <v/>
      </c>
      <c r="T17" s="688" t="str">
        <f t="shared" ref="T17:T25" ca="1" si="22">IF(AND($M17&gt;1,$N17=6),$C17,"")</f>
        <v/>
      </c>
      <c r="U17" s="688" t="str">
        <f t="shared" ref="U17:U25" ca="1" si="23">IF(AND($M17&gt;1,$N17=7),$C17,"")</f>
        <v/>
      </c>
      <c r="V17" s="689" t="str">
        <f t="shared" ref="V17:V25" ca="1" si="24">IF(AND($M17&gt;1,$N17=8),$C17,"")</f>
        <v/>
      </c>
      <c r="W17" s="690">
        <f ca="1">AA17*$F$64+(AB17+$H$65)*$F$65</f>
        <v>500000</v>
      </c>
      <c r="X17" s="670">
        <f ca="1">RANK($L17,$L$17:$L$25)+RANK($W17,$W$17:$W$25)/100+(9-$Y17)/10000+($C17="")*100</f>
        <v>1.0108999999999999</v>
      </c>
      <c r="Y17" s="661">
        <f ca="1">'Finals 4'!$AU26+$AD17</f>
        <v>0</v>
      </c>
      <c r="Z17" s="662">
        <f ca="1">RANK($W17,$W$17:$W$25)+(9-$Y17)/10</f>
        <v>1.9</v>
      </c>
      <c r="AA17" s="662">
        <f ca="1">SUM(E30:BP30)</f>
        <v>0</v>
      </c>
      <c r="AB17" s="662">
        <f ca="1">SUM(E41:BP41)</f>
        <v>0</v>
      </c>
      <c r="AC17" s="662">
        <f ca="1">SUM(E52:BP52)</f>
        <v>0</v>
      </c>
      <c r="AD17" s="661">
        <f ca="1">IF($C17="",0,COUNTIF(Playoffs!$U$25:$U$30,$C17))</f>
        <v>0</v>
      </c>
      <c r="AE17" s="769"/>
      <c r="AF17" s="661"/>
      <c r="AG17" s="661"/>
      <c r="AH17" s="691"/>
      <c r="AI17" s="661"/>
      <c r="AJ17" s="660"/>
      <c r="AK17" s="660"/>
      <c r="AL17" s="660"/>
      <c r="AM17" s="660"/>
      <c r="AN17" s="660"/>
      <c r="AO17" s="660"/>
      <c r="AP17" s="660"/>
      <c r="AQ17" s="660"/>
      <c r="AR17" s="660"/>
      <c r="AS17" s="660"/>
      <c r="AT17" s="660"/>
      <c r="AU17" s="660"/>
      <c r="AV17" s="660"/>
      <c r="AW17" s="660"/>
      <c r="AX17" s="660"/>
      <c r="AY17" s="660"/>
      <c r="AZ17" s="660"/>
      <c r="BA17" s="660"/>
      <c r="BB17" s="660"/>
      <c r="BC17" s="660"/>
      <c r="BD17" s="660"/>
      <c r="BE17" s="660"/>
      <c r="BF17" s="660"/>
      <c r="BG17" s="660"/>
      <c r="BH17" s="660"/>
      <c r="BI17" s="660"/>
      <c r="BJ17" s="660"/>
      <c r="BK17" s="660"/>
      <c r="BL17" s="660"/>
      <c r="BM17" s="660"/>
      <c r="BN17" s="660"/>
      <c r="BO17" s="660"/>
      <c r="BP17" s="660"/>
      <c r="BQ17" s="660"/>
      <c r="BR17" s="660"/>
      <c r="BS17" s="660"/>
      <c r="BT17" s="660"/>
      <c r="BU17" s="660"/>
      <c r="BV17" s="660"/>
      <c r="BW17" s="660"/>
      <c r="BX17" s="660"/>
      <c r="BY17" s="660"/>
      <c r="BZ17" s="660"/>
      <c r="CA17" s="660"/>
      <c r="CB17" s="660"/>
    </row>
    <row r="18" spans="1:80" s="1" customFormat="1" x14ac:dyDescent="0.2">
      <c r="A18" s="660"/>
      <c r="B18" s="660"/>
      <c r="C18" s="660" t="str">
        <f t="shared" ref="C18:C25" ca="1" si="25">$Q65</f>
        <v>Mainz 05</v>
      </c>
      <c r="D18" s="662">
        <f t="shared" ca="1" si="15"/>
        <v>1</v>
      </c>
      <c r="E18" s="662">
        <f t="shared" ca="1" si="15"/>
        <v>0</v>
      </c>
      <c r="F18" s="662">
        <f t="shared" ca="1" si="15"/>
        <v>0</v>
      </c>
      <c r="G18" s="662">
        <f t="shared" ca="1" si="15"/>
        <v>1</v>
      </c>
      <c r="H18" s="662">
        <f t="shared" ca="1" si="16"/>
        <v>65</v>
      </c>
      <c r="I18" s="662">
        <f t="shared" ca="1" si="16"/>
        <v>70</v>
      </c>
      <c r="J18" s="661">
        <f t="shared" ca="1" si="16"/>
        <v>0.9285714285714286</v>
      </c>
      <c r="K18" s="662">
        <f ca="1">IF(Settings!$G$9,J5,$AT5)</f>
        <v>1</v>
      </c>
      <c r="L18" s="686">
        <f ca="1">K18*$F$64+(AU5+$H$65)*$F$65*Settings!$G$14+AT5*$F$66*Settings!$G$19+AX5*$F$67</f>
        <v>1000000.008</v>
      </c>
      <c r="M18" s="678">
        <f t="shared" ref="M18:M25" ca="1" si="26">IF($AI$15,COUNTIF($K$17:$K$25,K18),COUNTIF($L$17:$L$25,L18))</f>
        <v>1</v>
      </c>
      <c r="N18" s="678">
        <f t="array" aca="1" ref="N18" ca="1">IF($AI$15,SUM(($K$17:$K$25&gt;=K18)/COUNTIF($K$17:$K$25,$K$17:$K$25)),SUM(($L$17:$L$25&gt;=L18)/COUNTIF($L$17:$L$25,$L$17:$L$25)))</f>
        <v>2</v>
      </c>
      <c r="O18" s="692" t="str">
        <f t="shared" ca="1" si="17"/>
        <v/>
      </c>
      <c r="P18" s="681" t="str">
        <f t="shared" ca="1" si="18"/>
        <v/>
      </c>
      <c r="Q18" s="681" t="str">
        <f t="shared" ca="1" si="19"/>
        <v/>
      </c>
      <c r="R18" s="681" t="str">
        <f t="shared" ca="1" si="20"/>
        <v/>
      </c>
      <c r="S18" s="681" t="str">
        <f t="shared" ca="1" si="21"/>
        <v/>
      </c>
      <c r="T18" s="681" t="str">
        <f t="shared" ca="1" si="22"/>
        <v/>
      </c>
      <c r="U18" s="681" t="str">
        <f t="shared" ca="1" si="23"/>
        <v/>
      </c>
      <c r="V18" s="693" t="str">
        <f t="shared" ca="1" si="24"/>
        <v/>
      </c>
      <c r="W18" s="690">
        <f t="shared" ref="W18:W25" ca="1" si="27">AA18*$F$64+(AB18+$H$65)*$F$65</f>
        <v>500000</v>
      </c>
      <c r="X18" s="673">
        <f t="shared" ref="X18:X25" ca="1" si="28">RANK($L18,$L$17:$L$25)+RANK($W18,$W$17:$W$25)/100+(9-$Y18)/10000+($C18="")*100</f>
        <v>2.0108999999999999</v>
      </c>
      <c r="Y18" s="661">
        <f ca="1">'Finals 4'!$AU27+$AD18</f>
        <v>0</v>
      </c>
      <c r="Z18" s="662">
        <f t="shared" ref="Z18:Z25" ca="1" si="29">RANK($W18,$W$17:$W$25)+(9-$Y18)/10</f>
        <v>1.9</v>
      </c>
      <c r="AA18" s="662">
        <f t="shared" ref="AA18:AA25" ca="1" si="30">SUM(E31:BP31)</f>
        <v>0</v>
      </c>
      <c r="AB18" s="662">
        <f t="shared" ref="AB18:AB25" ca="1" si="31">SUM(E42:BP42)</f>
        <v>0</v>
      </c>
      <c r="AC18" s="662">
        <f t="shared" ref="AC18:AC25" ca="1" si="32">SUM(E53:BP53)</f>
        <v>0</v>
      </c>
      <c r="AD18" s="661">
        <f ca="1">IF($C18="",0,COUNTIF(Playoffs!$U$25:$U$30,$C18))</f>
        <v>0</v>
      </c>
      <c r="AE18" s="686"/>
      <c r="AF18" s="661"/>
      <c r="AG18" s="661"/>
      <c r="AH18" s="691"/>
      <c r="AI18" s="661"/>
      <c r="AJ18" s="660"/>
      <c r="AK18" s="660"/>
      <c r="AL18" s="660"/>
      <c r="AM18" s="660"/>
      <c r="AN18" s="660"/>
      <c r="AO18" s="660"/>
      <c r="AP18" s="660"/>
      <c r="AQ18" s="660"/>
      <c r="AR18" s="660"/>
      <c r="AS18" s="660"/>
      <c r="AT18" s="660"/>
      <c r="AU18" s="660"/>
      <c r="AV18" s="660"/>
      <c r="AW18" s="660"/>
      <c r="AX18" s="660"/>
      <c r="AY18" s="660"/>
      <c r="AZ18" s="660"/>
      <c r="BA18" s="660"/>
      <c r="BB18" s="660"/>
      <c r="BC18" s="660"/>
      <c r="BD18" s="660"/>
      <c r="BE18" s="660"/>
      <c r="BF18" s="660"/>
      <c r="BG18" s="660"/>
      <c r="BH18" s="660"/>
      <c r="BI18" s="660"/>
      <c r="BJ18" s="660"/>
      <c r="BK18" s="660"/>
      <c r="BL18" s="660"/>
      <c r="BM18" s="660"/>
      <c r="BN18" s="660"/>
      <c r="BO18" s="660"/>
      <c r="BP18" s="660"/>
      <c r="BQ18" s="660"/>
      <c r="BR18" s="660"/>
      <c r="BS18" s="660"/>
      <c r="BT18" s="660"/>
      <c r="BU18" s="660"/>
      <c r="BV18" s="660"/>
      <c r="BW18" s="660"/>
      <c r="BX18" s="660"/>
      <c r="BY18" s="660"/>
      <c r="BZ18" s="660"/>
      <c r="CA18" s="660"/>
      <c r="CB18" s="660"/>
    </row>
    <row r="19" spans="1:80" s="1" customFormat="1" x14ac:dyDescent="0.2">
      <c r="A19" s="660"/>
      <c r="B19" s="660"/>
      <c r="C19" s="660" t="str">
        <f t="shared" ca="1" si="25"/>
        <v/>
      </c>
      <c r="D19" s="662">
        <f t="shared" ca="1" si="15"/>
        <v>0</v>
      </c>
      <c r="E19" s="662">
        <f t="shared" ca="1" si="15"/>
        <v>0</v>
      </c>
      <c r="F19" s="662">
        <f t="shared" ca="1" si="15"/>
        <v>0</v>
      </c>
      <c r="G19" s="662">
        <f t="shared" ca="1" si="15"/>
        <v>0</v>
      </c>
      <c r="H19" s="662">
        <f t="shared" ca="1" si="16"/>
        <v>0</v>
      </c>
      <c r="I19" s="662">
        <f t="shared" ca="1" si="16"/>
        <v>0</v>
      </c>
      <c r="J19" s="661">
        <f t="shared" ca="1" si="16"/>
        <v>0</v>
      </c>
      <c r="K19" s="662">
        <f ca="1">IF(Settings!$G$9,J6,$AT6)</f>
        <v>0</v>
      </c>
      <c r="L19" s="686">
        <f ca="1">K19*$F$64+(AU6+$H$65)*$F$65*Settings!$G$14+AT6*$F$66*Settings!$G$19+AX6*$F$67</f>
        <v>1E-3</v>
      </c>
      <c r="M19" s="678">
        <f t="shared" ca="1" si="26"/>
        <v>7</v>
      </c>
      <c r="N19" s="678">
        <f t="array" aca="1" ref="N19" ca="1">IF($AI$15,SUM(($K$17:$K$25&gt;=K19)/COUNTIF($K$17:$K$25,$K$17:$K$25)),SUM(($L$17:$L$25&gt;=L19)/COUNTIF($L$17:$L$25,$L$17:$L$25)))</f>
        <v>2.9999999999999996</v>
      </c>
      <c r="O19" s="692" t="str">
        <f t="shared" ca="1" si="17"/>
        <v/>
      </c>
      <c r="P19" s="681" t="str">
        <f t="shared" ca="1" si="18"/>
        <v/>
      </c>
      <c r="Q19" s="681" t="str">
        <f t="shared" ca="1" si="19"/>
        <v/>
      </c>
      <c r="R19" s="681" t="str">
        <f t="shared" ca="1" si="20"/>
        <v/>
      </c>
      <c r="S19" s="681" t="str">
        <f t="shared" ca="1" si="21"/>
        <v/>
      </c>
      <c r="T19" s="681" t="str">
        <f t="shared" ca="1" si="22"/>
        <v/>
      </c>
      <c r="U19" s="681" t="str">
        <f t="shared" ca="1" si="23"/>
        <v/>
      </c>
      <c r="V19" s="693" t="str">
        <f t="shared" ca="1" si="24"/>
        <v/>
      </c>
      <c r="W19" s="690">
        <f t="shared" ca="1" si="27"/>
        <v>500000</v>
      </c>
      <c r="X19" s="673">
        <f t="shared" ca="1" si="28"/>
        <v>103.01090000000001</v>
      </c>
      <c r="Y19" s="661">
        <f ca="1">'Finals 4'!$AU28+$AD19</f>
        <v>0</v>
      </c>
      <c r="Z19" s="662">
        <f t="shared" ca="1" si="29"/>
        <v>1.9</v>
      </c>
      <c r="AA19" s="662">
        <f t="shared" ca="1" si="30"/>
        <v>0</v>
      </c>
      <c r="AB19" s="662">
        <f t="shared" ca="1" si="31"/>
        <v>0</v>
      </c>
      <c r="AC19" s="662">
        <f t="shared" ca="1" si="32"/>
        <v>0</v>
      </c>
      <c r="AD19" s="661">
        <f ca="1">IF($C19="",0,COUNTIF(Playoffs!$U$25:$U$30,$C19))</f>
        <v>0</v>
      </c>
      <c r="AE19" s="686"/>
      <c r="AF19" s="661"/>
      <c r="AG19" s="661"/>
      <c r="AH19" s="691"/>
      <c r="AI19" s="661"/>
      <c r="AJ19" s="660"/>
      <c r="AK19" s="660"/>
      <c r="AL19" s="660"/>
      <c r="AM19" s="660"/>
      <c r="AN19" s="660"/>
      <c r="AO19" s="660"/>
      <c r="AP19" s="660"/>
      <c r="AQ19" s="660"/>
      <c r="AR19" s="660"/>
      <c r="AS19" s="660"/>
      <c r="AT19" s="660"/>
      <c r="AU19" s="660"/>
      <c r="AV19" s="660"/>
      <c r="AW19" s="660"/>
      <c r="AX19" s="660"/>
      <c r="AY19" s="660"/>
      <c r="AZ19" s="660"/>
      <c r="BA19" s="660"/>
      <c r="BB19" s="660"/>
      <c r="BC19" s="660"/>
      <c r="BD19" s="660"/>
      <c r="BE19" s="660"/>
      <c r="BF19" s="660"/>
      <c r="BG19" s="660"/>
      <c r="BH19" s="660"/>
      <c r="BI19" s="660"/>
      <c r="BJ19" s="660"/>
      <c r="BK19" s="660"/>
      <c r="BL19" s="660"/>
      <c r="BM19" s="660"/>
      <c r="BN19" s="660"/>
      <c r="BO19" s="660"/>
      <c r="BP19" s="660"/>
      <c r="BQ19" s="660"/>
      <c r="BR19" s="660"/>
      <c r="BS19" s="660"/>
      <c r="BT19" s="660"/>
      <c r="BU19" s="660"/>
      <c r="BV19" s="660"/>
      <c r="BW19" s="660"/>
      <c r="BX19" s="660"/>
      <c r="BY19" s="660"/>
      <c r="BZ19" s="660"/>
      <c r="CA19" s="660"/>
      <c r="CB19" s="660"/>
    </row>
    <row r="20" spans="1:80" s="1" customFormat="1" x14ac:dyDescent="0.2">
      <c r="A20" s="660"/>
      <c r="B20" s="660"/>
      <c r="C20" s="660" t="str">
        <f t="shared" ca="1" si="25"/>
        <v/>
      </c>
      <c r="D20" s="662">
        <f t="shared" ca="1" si="15"/>
        <v>0</v>
      </c>
      <c r="E20" s="662">
        <f t="shared" ca="1" si="15"/>
        <v>0</v>
      </c>
      <c r="F20" s="662">
        <f t="shared" ca="1" si="15"/>
        <v>0</v>
      </c>
      <c r="G20" s="662">
        <f t="shared" ca="1" si="15"/>
        <v>0</v>
      </c>
      <c r="H20" s="662">
        <f t="shared" ca="1" si="16"/>
        <v>0</v>
      </c>
      <c r="I20" s="662">
        <f t="shared" ca="1" si="16"/>
        <v>0</v>
      </c>
      <c r="J20" s="661">
        <f t="shared" ca="1" si="16"/>
        <v>0</v>
      </c>
      <c r="K20" s="662">
        <f ca="1">IF(Settings!$G$9,J7,$AT7)</f>
        <v>0</v>
      </c>
      <c r="L20" s="686">
        <f ca="1">K20*$F$64+(AU7+$H$65)*$F$65*Settings!$G$14+AT7*$F$66*Settings!$G$19+AX7*$F$67</f>
        <v>1E-3</v>
      </c>
      <c r="M20" s="678">
        <f t="shared" ca="1" si="26"/>
        <v>7</v>
      </c>
      <c r="N20" s="678">
        <f t="array" aca="1" ref="N20" ca="1">IF($AI$15,SUM(($K$17:$K$25&gt;=K20)/COUNTIF($K$17:$K$25,$K$17:$K$25)),SUM(($L$17:$L$25&gt;=L20)/COUNTIF($L$17:$L$25,$L$17:$L$25)))</f>
        <v>2.9999999999999996</v>
      </c>
      <c r="O20" s="692" t="str">
        <f t="shared" ca="1" si="17"/>
        <v/>
      </c>
      <c r="P20" s="681" t="str">
        <f t="shared" ca="1" si="18"/>
        <v/>
      </c>
      <c r="Q20" s="681" t="str">
        <f t="shared" ca="1" si="19"/>
        <v/>
      </c>
      <c r="R20" s="681" t="str">
        <f t="shared" ca="1" si="20"/>
        <v/>
      </c>
      <c r="S20" s="681" t="str">
        <f t="shared" ca="1" si="21"/>
        <v/>
      </c>
      <c r="T20" s="681" t="str">
        <f t="shared" ca="1" si="22"/>
        <v/>
      </c>
      <c r="U20" s="681" t="str">
        <f t="shared" ca="1" si="23"/>
        <v/>
      </c>
      <c r="V20" s="693" t="str">
        <f t="shared" ca="1" si="24"/>
        <v/>
      </c>
      <c r="W20" s="690">
        <f t="shared" ca="1" si="27"/>
        <v>500000</v>
      </c>
      <c r="X20" s="673">
        <f t="shared" ca="1" si="28"/>
        <v>103.01090000000001</v>
      </c>
      <c r="Y20" s="661">
        <f ca="1">'Finals 4'!$AU29+$AD20</f>
        <v>0</v>
      </c>
      <c r="Z20" s="662">
        <f t="shared" ca="1" si="29"/>
        <v>1.9</v>
      </c>
      <c r="AA20" s="662">
        <f t="shared" ca="1" si="30"/>
        <v>0</v>
      </c>
      <c r="AB20" s="662">
        <f t="shared" ca="1" si="31"/>
        <v>0</v>
      </c>
      <c r="AC20" s="662">
        <f t="shared" ca="1" si="32"/>
        <v>0</v>
      </c>
      <c r="AD20" s="661">
        <f ca="1">IF($C20="",0,COUNTIF(Playoffs!$U$25:$U$30,$C20))</f>
        <v>0</v>
      </c>
      <c r="AE20" s="686"/>
      <c r="AF20" s="661"/>
      <c r="AG20" s="661"/>
      <c r="AH20" s="691"/>
      <c r="AI20" s="661"/>
      <c r="AJ20" s="660"/>
      <c r="AK20" s="660"/>
      <c r="AL20" s="660"/>
      <c r="AM20" s="660"/>
      <c r="AN20" s="660"/>
      <c r="AO20" s="660"/>
      <c r="AP20" s="660"/>
      <c r="AQ20" s="660"/>
      <c r="AR20" s="660"/>
      <c r="AS20" s="660"/>
      <c r="AT20" s="660"/>
      <c r="AU20" s="660"/>
      <c r="AV20" s="660"/>
      <c r="AW20" s="660"/>
      <c r="AX20" s="660"/>
      <c r="AY20" s="660"/>
      <c r="AZ20" s="660"/>
      <c r="BA20" s="660"/>
      <c r="BB20" s="660"/>
      <c r="BC20" s="660"/>
      <c r="BD20" s="660"/>
      <c r="BE20" s="660"/>
      <c r="BF20" s="660"/>
      <c r="BG20" s="660"/>
      <c r="BH20" s="660"/>
      <c r="BI20" s="660"/>
      <c r="BJ20" s="660"/>
      <c r="BK20" s="660"/>
      <c r="BL20" s="660"/>
      <c r="BM20" s="660"/>
      <c r="BN20" s="660"/>
      <c r="BO20" s="660"/>
      <c r="BP20" s="660"/>
      <c r="BQ20" s="660"/>
      <c r="BR20" s="660"/>
      <c r="BS20" s="660"/>
      <c r="BT20" s="660"/>
      <c r="BU20" s="660"/>
      <c r="BV20" s="660"/>
      <c r="BW20" s="660"/>
      <c r="BX20" s="660"/>
      <c r="BY20" s="660"/>
      <c r="BZ20" s="660"/>
      <c r="CA20" s="660"/>
      <c r="CB20" s="660"/>
    </row>
    <row r="21" spans="1:80" s="1" customFormat="1" x14ac:dyDescent="0.2">
      <c r="A21" s="660"/>
      <c r="B21" s="660"/>
      <c r="C21" s="660" t="str">
        <f t="shared" si="25"/>
        <v/>
      </c>
      <c r="D21" s="662">
        <f t="shared" ca="1" si="15"/>
        <v>0</v>
      </c>
      <c r="E21" s="662">
        <f t="shared" ca="1" si="15"/>
        <v>0</v>
      </c>
      <c r="F21" s="662">
        <f t="shared" ca="1" si="15"/>
        <v>0</v>
      </c>
      <c r="G21" s="662">
        <f t="shared" ca="1" si="15"/>
        <v>0</v>
      </c>
      <c r="H21" s="662">
        <f t="shared" ca="1" si="16"/>
        <v>0</v>
      </c>
      <c r="I21" s="662">
        <f t="shared" ca="1" si="16"/>
        <v>0</v>
      </c>
      <c r="J21" s="661">
        <f t="shared" ca="1" si="16"/>
        <v>0</v>
      </c>
      <c r="K21" s="662">
        <f ca="1">IF(Settings!$G$9,J8,$AT8)</f>
        <v>0</v>
      </c>
      <c r="L21" s="686">
        <f ca="1">K21*$F$64+(AU8+$H$65)*$F$65*Settings!$G$14+AT8*$F$66*Settings!$G$19+AX8*$F$67</f>
        <v>1E-3</v>
      </c>
      <c r="M21" s="678">
        <f t="shared" ca="1" si="26"/>
        <v>7</v>
      </c>
      <c r="N21" s="678">
        <f t="array" aca="1" ref="N21" ca="1">IF($AI$15,SUM(($K$17:$K$25&gt;=K21)/COUNTIF($K$17:$K$25,$K$17:$K$25)),SUM(($L$17:$L$25&gt;=L21)/COUNTIF($L$17:$L$25,$L$17:$L$25)))</f>
        <v>2.9999999999999996</v>
      </c>
      <c r="O21" s="692" t="str">
        <f t="shared" ca="1" si="17"/>
        <v/>
      </c>
      <c r="P21" s="681" t="str">
        <f t="shared" ca="1" si="18"/>
        <v/>
      </c>
      <c r="Q21" s="681" t="str">
        <f t="shared" ca="1" si="19"/>
        <v/>
      </c>
      <c r="R21" s="681" t="str">
        <f t="shared" ca="1" si="20"/>
        <v/>
      </c>
      <c r="S21" s="681" t="str">
        <f t="shared" ca="1" si="21"/>
        <v/>
      </c>
      <c r="T21" s="681" t="str">
        <f t="shared" ca="1" si="22"/>
        <v/>
      </c>
      <c r="U21" s="681" t="str">
        <f t="shared" ca="1" si="23"/>
        <v/>
      </c>
      <c r="V21" s="693" t="str">
        <f t="shared" ca="1" si="24"/>
        <v/>
      </c>
      <c r="W21" s="690">
        <f t="shared" ca="1" si="27"/>
        <v>500000</v>
      </c>
      <c r="X21" s="673">
        <f t="shared" ca="1" si="28"/>
        <v>103.01090000000001</v>
      </c>
      <c r="Y21" s="661">
        <v>0</v>
      </c>
      <c r="Z21" s="662">
        <f t="shared" ca="1" si="29"/>
        <v>1.9</v>
      </c>
      <c r="AA21" s="662">
        <f t="shared" ca="1" si="30"/>
        <v>0</v>
      </c>
      <c r="AB21" s="662">
        <f t="shared" ca="1" si="31"/>
        <v>0</v>
      </c>
      <c r="AC21" s="662">
        <f t="shared" ca="1" si="32"/>
        <v>0</v>
      </c>
      <c r="AD21" s="661">
        <v>0</v>
      </c>
      <c r="AE21" s="686"/>
      <c r="AF21" s="661"/>
      <c r="AG21" s="661"/>
      <c r="AH21" s="691"/>
      <c r="AI21" s="661"/>
      <c r="AJ21" s="660"/>
      <c r="AK21" s="660"/>
      <c r="AL21" s="660"/>
      <c r="AM21" s="660"/>
      <c r="AN21" s="660"/>
      <c r="AO21" s="660"/>
      <c r="AP21" s="660"/>
      <c r="AQ21" s="660"/>
      <c r="AR21" s="660"/>
      <c r="AS21" s="660"/>
      <c r="AT21" s="660"/>
      <c r="AU21" s="660"/>
      <c r="AV21" s="660"/>
      <c r="AW21" s="660"/>
      <c r="AX21" s="660"/>
      <c r="AY21" s="660"/>
      <c r="AZ21" s="660"/>
      <c r="BA21" s="660"/>
      <c r="BB21" s="660"/>
      <c r="BC21" s="660"/>
      <c r="BD21" s="660"/>
      <c r="BE21" s="660"/>
      <c r="BF21" s="660"/>
      <c r="BG21" s="660"/>
      <c r="BH21" s="660"/>
      <c r="BI21" s="660"/>
      <c r="BJ21" s="660"/>
      <c r="BK21" s="660"/>
      <c r="BL21" s="660"/>
      <c r="BM21" s="660"/>
      <c r="BN21" s="660"/>
      <c r="BO21" s="660"/>
      <c r="BP21" s="660"/>
      <c r="BQ21" s="660"/>
      <c r="BR21" s="660"/>
      <c r="BS21" s="660"/>
      <c r="BT21" s="660"/>
      <c r="BU21" s="660"/>
      <c r="BV21" s="660"/>
      <c r="BW21" s="660"/>
      <c r="BX21" s="660"/>
      <c r="BY21" s="660"/>
      <c r="BZ21" s="660"/>
      <c r="CA21" s="660"/>
      <c r="CB21" s="660"/>
    </row>
    <row r="22" spans="1:80" s="1" customFormat="1" x14ac:dyDescent="0.2">
      <c r="A22" s="660"/>
      <c r="B22" s="660"/>
      <c r="C22" s="660" t="str">
        <f t="shared" si="25"/>
        <v/>
      </c>
      <c r="D22" s="662">
        <f t="shared" ca="1" si="15"/>
        <v>0</v>
      </c>
      <c r="E22" s="662">
        <f t="shared" ca="1" si="15"/>
        <v>0</v>
      </c>
      <c r="F22" s="662">
        <f t="shared" ca="1" si="15"/>
        <v>0</v>
      </c>
      <c r="G22" s="662">
        <f t="shared" ca="1" si="15"/>
        <v>0</v>
      </c>
      <c r="H22" s="662">
        <f t="shared" ca="1" si="16"/>
        <v>0</v>
      </c>
      <c r="I22" s="662">
        <f t="shared" ca="1" si="16"/>
        <v>0</v>
      </c>
      <c r="J22" s="661">
        <f t="shared" ca="1" si="16"/>
        <v>0</v>
      </c>
      <c r="K22" s="662">
        <f ca="1">IF(Settings!$G$9,J9,$AT9)</f>
        <v>0</v>
      </c>
      <c r="L22" s="686">
        <f ca="1">K22*$F$64+(AU9+$H$65)*$F$65*Settings!$G$14+AT9*$F$66*Settings!$G$19+AX9*$F$67</f>
        <v>1E-3</v>
      </c>
      <c r="M22" s="678">
        <f t="shared" ca="1" si="26"/>
        <v>7</v>
      </c>
      <c r="N22" s="678">
        <f t="array" aca="1" ref="N22" ca="1">IF($AI$15,SUM(($K$17:$K$25&gt;=K22)/COUNTIF($K$17:$K$25,$K$17:$K$25)),SUM(($L$17:$L$25&gt;=L22)/COUNTIF($L$17:$L$25,$L$17:$L$25)))</f>
        <v>2.9999999999999996</v>
      </c>
      <c r="O22" s="692" t="str">
        <f t="shared" ca="1" si="17"/>
        <v/>
      </c>
      <c r="P22" s="681" t="str">
        <f t="shared" ca="1" si="18"/>
        <v/>
      </c>
      <c r="Q22" s="681" t="str">
        <f t="shared" ca="1" si="19"/>
        <v/>
      </c>
      <c r="R22" s="681" t="str">
        <f t="shared" ca="1" si="20"/>
        <v/>
      </c>
      <c r="S22" s="681" t="str">
        <f t="shared" ca="1" si="21"/>
        <v/>
      </c>
      <c r="T22" s="681" t="str">
        <f t="shared" ca="1" si="22"/>
        <v/>
      </c>
      <c r="U22" s="681" t="str">
        <f t="shared" ca="1" si="23"/>
        <v/>
      </c>
      <c r="V22" s="693" t="str">
        <f t="shared" ca="1" si="24"/>
        <v/>
      </c>
      <c r="W22" s="690">
        <f t="shared" ca="1" si="27"/>
        <v>500000</v>
      </c>
      <c r="X22" s="673">
        <f t="shared" ca="1" si="28"/>
        <v>103.01090000000001</v>
      </c>
      <c r="Y22" s="661">
        <v>0</v>
      </c>
      <c r="Z22" s="662">
        <f t="shared" ca="1" si="29"/>
        <v>1.9</v>
      </c>
      <c r="AA22" s="662">
        <f t="shared" ca="1" si="30"/>
        <v>0</v>
      </c>
      <c r="AB22" s="662">
        <f t="shared" ca="1" si="31"/>
        <v>0</v>
      </c>
      <c r="AC22" s="662">
        <f t="shared" ca="1" si="32"/>
        <v>0</v>
      </c>
      <c r="AD22" s="661">
        <v>0</v>
      </c>
      <c r="AE22" s="686"/>
      <c r="AF22" s="661"/>
      <c r="AG22" s="661"/>
      <c r="AH22" s="691"/>
      <c r="AI22" s="661"/>
      <c r="AJ22" s="660"/>
      <c r="AK22" s="660"/>
      <c r="AL22" s="660"/>
      <c r="AM22" s="660"/>
      <c r="AN22" s="660"/>
      <c r="AO22" s="660"/>
      <c r="AP22" s="660"/>
      <c r="AQ22" s="660"/>
      <c r="AR22" s="660"/>
      <c r="AS22" s="660"/>
      <c r="AT22" s="660"/>
      <c r="AU22" s="660"/>
      <c r="AV22" s="660"/>
      <c r="AW22" s="660"/>
      <c r="AX22" s="660"/>
      <c r="AY22" s="660"/>
      <c r="AZ22" s="660"/>
      <c r="BA22" s="660"/>
      <c r="BB22" s="660"/>
      <c r="BC22" s="660"/>
      <c r="BD22" s="660"/>
      <c r="BE22" s="660"/>
      <c r="BF22" s="660"/>
      <c r="BG22" s="660"/>
      <c r="BH22" s="660"/>
      <c r="BI22" s="660"/>
      <c r="BJ22" s="660"/>
      <c r="BK22" s="660"/>
      <c r="BL22" s="660"/>
      <c r="BM22" s="660"/>
      <c r="BN22" s="660"/>
      <c r="BO22" s="660"/>
      <c r="BP22" s="660"/>
      <c r="BQ22" s="660"/>
      <c r="BR22" s="660"/>
      <c r="BS22" s="660"/>
      <c r="BT22" s="660"/>
      <c r="BU22" s="660"/>
      <c r="BV22" s="660"/>
      <c r="BW22" s="660"/>
      <c r="BX22" s="660"/>
      <c r="BY22" s="660"/>
      <c r="BZ22" s="660"/>
      <c r="CA22" s="660"/>
      <c r="CB22" s="660"/>
    </row>
    <row r="23" spans="1:80" s="1" customFormat="1" x14ac:dyDescent="0.2">
      <c r="A23" s="660"/>
      <c r="B23" s="660"/>
      <c r="C23" s="660" t="str">
        <f t="shared" si="25"/>
        <v/>
      </c>
      <c r="D23" s="662">
        <f t="shared" ca="1" si="15"/>
        <v>0</v>
      </c>
      <c r="E23" s="662">
        <f t="shared" ca="1" si="15"/>
        <v>0</v>
      </c>
      <c r="F23" s="662">
        <f t="shared" ca="1" si="15"/>
        <v>0</v>
      </c>
      <c r="G23" s="662">
        <f t="shared" ca="1" si="15"/>
        <v>0</v>
      </c>
      <c r="H23" s="662">
        <f t="shared" ca="1" si="16"/>
        <v>0</v>
      </c>
      <c r="I23" s="662">
        <f t="shared" ca="1" si="16"/>
        <v>0</v>
      </c>
      <c r="J23" s="661">
        <f t="shared" ca="1" si="16"/>
        <v>0</v>
      </c>
      <c r="K23" s="662">
        <f ca="1">IF(Settings!$G$9,J10,$AT10)</f>
        <v>0</v>
      </c>
      <c r="L23" s="686">
        <f ca="1">K23*$F$64+(AU10+$H$65)*$F$65*Settings!$G$14+AT10*$F$66*Settings!$G$19+AX10*$F$67</f>
        <v>1E-3</v>
      </c>
      <c r="M23" s="678">
        <f t="shared" ca="1" si="26"/>
        <v>7</v>
      </c>
      <c r="N23" s="678">
        <f t="array" aca="1" ref="N23" ca="1">IF($AI$15,SUM(($K$17:$K$25&gt;=K23)/COUNTIF($K$17:$K$25,$K$17:$K$25)),SUM(($L$17:$L$25&gt;=L23)/COUNTIF($L$17:$L$25,$L$17:$L$25)))</f>
        <v>2.9999999999999996</v>
      </c>
      <c r="O23" s="692" t="str">
        <f t="shared" ca="1" si="17"/>
        <v/>
      </c>
      <c r="P23" s="681" t="str">
        <f t="shared" ca="1" si="18"/>
        <v/>
      </c>
      <c r="Q23" s="681" t="str">
        <f t="shared" ca="1" si="19"/>
        <v/>
      </c>
      <c r="R23" s="681" t="str">
        <f t="shared" ca="1" si="20"/>
        <v/>
      </c>
      <c r="S23" s="681" t="str">
        <f t="shared" ca="1" si="21"/>
        <v/>
      </c>
      <c r="T23" s="681" t="str">
        <f t="shared" ca="1" si="22"/>
        <v/>
      </c>
      <c r="U23" s="681" t="str">
        <f t="shared" ca="1" si="23"/>
        <v/>
      </c>
      <c r="V23" s="693" t="str">
        <f t="shared" ca="1" si="24"/>
        <v/>
      </c>
      <c r="W23" s="690">
        <f t="shared" ca="1" si="27"/>
        <v>500000</v>
      </c>
      <c r="X23" s="673">
        <f t="shared" ca="1" si="28"/>
        <v>103.01090000000001</v>
      </c>
      <c r="Y23" s="661">
        <v>0</v>
      </c>
      <c r="Z23" s="662">
        <f t="shared" ca="1" si="29"/>
        <v>1.9</v>
      </c>
      <c r="AA23" s="662">
        <f t="shared" ca="1" si="30"/>
        <v>0</v>
      </c>
      <c r="AB23" s="662">
        <f t="shared" ca="1" si="31"/>
        <v>0</v>
      </c>
      <c r="AC23" s="662">
        <f t="shared" ca="1" si="32"/>
        <v>0</v>
      </c>
      <c r="AD23" s="661">
        <v>0</v>
      </c>
      <c r="AE23" s="686"/>
      <c r="AF23" s="661"/>
      <c r="AG23" s="661"/>
      <c r="AH23" s="691"/>
      <c r="AI23" s="661"/>
      <c r="AJ23" s="660"/>
      <c r="AK23" s="660"/>
      <c r="AL23" s="660"/>
      <c r="AM23" s="660"/>
      <c r="AN23" s="660"/>
      <c r="AO23" s="660"/>
      <c r="AP23" s="660"/>
      <c r="AQ23" s="660"/>
      <c r="AR23" s="660"/>
      <c r="AS23" s="660"/>
      <c r="AT23" s="660"/>
      <c r="AU23" s="660"/>
      <c r="AV23" s="660"/>
      <c r="AW23" s="660"/>
      <c r="AX23" s="660"/>
      <c r="AY23" s="660"/>
      <c r="AZ23" s="660"/>
      <c r="BA23" s="660"/>
      <c r="BB23" s="660"/>
      <c r="BC23" s="660"/>
      <c r="BD23" s="660"/>
      <c r="BE23" s="660"/>
      <c r="BF23" s="660"/>
      <c r="BG23" s="660"/>
      <c r="BH23" s="660"/>
      <c r="BI23" s="660"/>
      <c r="BJ23" s="660"/>
      <c r="BK23" s="660"/>
      <c r="BL23" s="660"/>
      <c r="BM23" s="660"/>
      <c r="BN23" s="660"/>
      <c r="BO23" s="660"/>
      <c r="BP23" s="660"/>
      <c r="BQ23" s="660"/>
      <c r="BR23" s="660"/>
      <c r="BS23" s="660"/>
      <c r="BT23" s="660"/>
      <c r="BU23" s="660"/>
      <c r="BV23" s="660"/>
      <c r="BW23" s="660"/>
      <c r="BX23" s="660"/>
      <c r="BY23" s="660"/>
      <c r="BZ23" s="660"/>
      <c r="CA23" s="660"/>
      <c r="CB23" s="660"/>
    </row>
    <row r="24" spans="1:80" s="1" customFormat="1" x14ac:dyDescent="0.2">
      <c r="A24" s="660"/>
      <c r="B24" s="660"/>
      <c r="C24" s="660" t="str">
        <f t="shared" si="25"/>
        <v/>
      </c>
      <c r="D24" s="662">
        <f t="shared" ca="1" si="15"/>
        <v>0</v>
      </c>
      <c r="E24" s="662">
        <f t="shared" ca="1" si="15"/>
        <v>0</v>
      </c>
      <c r="F24" s="662">
        <f t="shared" ca="1" si="15"/>
        <v>0</v>
      </c>
      <c r="G24" s="662">
        <f t="shared" ca="1" si="15"/>
        <v>0</v>
      </c>
      <c r="H24" s="662">
        <f t="shared" ca="1" si="16"/>
        <v>0</v>
      </c>
      <c r="I24" s="662">
        <f t="shared" ca="1" si="16"/>
        <v>0</v>
      </c>
      <c r="J24" s="661">
        <f t="shared" ca="1" si="16"/>
        <v>0</v>
      </c>
      <c r="K24" s="662">
        <f ca="1">IF(Settings!$G$9,J11,$AT11)</f>
        <v>0</v>
      </c>
      <c r="L24" s="686">
        <f ca="1">K24*$F$64+(AU11+$H$65)*$F$65*Settings!$G$14+AT11*$F$66*Settings!$G$19+AX11*$F$67</f>
        <v>1E-3</v>
      </c>
      <c r="M24" s="678">
        <f t="shared" ca="1" si="26"/>
        <v>7</v>
      </c>
      <c r="N24" s="678">
        <f t="array" aca="1" ref="N24" ca="1">IF($AI$15,SUM(($K$17:$K$25&gt;=K24)/COUNTIF($K$17:$K$25,$K$17:$K$25)),SUM(($L$17:$L$25&gt;=L24)/COUNTIF($L$17:$L$25,$L$17:$L$25)))</f>
        <v>2.9999999999999996</v>
      </c>
      <c r="O24" s="692" t="str">
        <f t="shared" ca="1" si="17"/>
        <v/>
      </c>
      <c r="P24" s="681" t="str">
        <f t="shared" ca="1" si="18"/>
        <v/>
      </c>
      <c r="Q24" s="681" t="str">
        <f t="shared" ca="1" si="19"/>
        <v/>
      </c>
      <c r="R24" s="681" t="str">
        <f t="shared" ca="1" si="20"/>
        <v/>
      </c>
      <c r="S24" s="681" t="str">
        <f t="shared" ca="1" si="21"/>
        <v/>
      </c>
      <c r="T24" s="681" t="str">
        <f t="shared" ca="1" si="22"/>
        <v/>
      </c>
      <c r="U24" s="681" t="str">
        <f t="shared" ca="1" si="23"/>
        <v/>
      </c>
      <c r="V24" s="693" t="str">
        <f t="shared" ca="1" si="24"/>
        <v/>
      </c>
      <c r="W24" s="690">
        <f t="shared" ca="1" si="27"/>
        <v>500000</v>
      </c>
      <c r="X24" s="673">
        <f t="shared" ca="1" si="28"/>
        <v>103.01090000000001</v>
      </c>
      <c r="Y24" s="661">
        <v>0</v>
      </c>
      <c r="Z24" s="662">
        <f t="shared" ca="1" si="29"/>
        <v>1.9</v>
      </c>
      <c r="AA24" s="662">
        <f t="shared" ca="1" si="30"/>
        <v>0</v>
      </c>
      <c r="AB24" s="662">
        <f t="shared" ca="1" si="31"/>
        <v>0</v>
      </c>
      <c r="AC24" s="662">
        <f t="shared" ca="1" si="32"/>
        <v>0</v>
      </c>
      <c r="AD24" s="661">
        <v>0</v>
      </c>
      <c r="AE24" s="686"/>
      <c r="AF24" s="661"/>
      <c r="AG24" s="661"/>
      <c r="AH24" s="691"/>
      <c r="AI24" s="661"/>
      <c r="AJ24" s="660"/>
      <c r="AK24" s="660"/>
      <c r="AL24" s="660"/>
      <c r="AM24" s="660"/>
      <c r="AN24" s="660"/>
      <c r="AO24" s="660"/>
      <c r="AP24" s="660"/>
      <c r="AQ24" s="660"/>
      <c r="AR24" s="660"/>
      <c r="AS24" s="660"/>
      <c r="AT24" s="660"/>
      <c r="AU24" s="660"/>
      <c r="AV24" s="660"/>
      <c r="AW24" s="660"/>
      <c r="AX24" s="660"/>
      <c r="AY24" s="660"/>
      <c r="AZ24" s="660"/>
      <c r="BA24" s="660"/>
      <c r="BB24" s="660"/>
      <c r="BC24" s="660"/>
      <c r="BD24" s="660"/>
      <c r="BE24" s="660"/>
      <c r="BF24" s="660"/>
      <c r="BG24" s="660"/>
      <c r="BH24" s="660"/>
      <c r="BI24" s="660"/>
      <c r="BJ24" s="660"/>
      <c r="BK24" s="660"/>
      <c r="BL24" s="660"/>
      <c r="BM24" s="660"/>
      <c r="BN24" s="660"/>
      <c r="BO24" s="660"/>
      <c r="BP24" s="660"/>
      <c r="BQ24" s="660"/>
      <c r="BR24" s="660"/>
      <c r="BS24" s="660"/>
      <c r="BT24" s="660"/>
      <c r="BU24" s="660"/>
      <c r="BV24" s="660"/>
      <c r="BW24" s="660"/>
      <c r="BX24" s="660"/>
      <c r="BY24" s="660"/>
      <c r="BZ24" s="660"/>
      <c r="CA24" s="660"/>
      <c r="CB24" s="660"/>
    </row>
    <row r="25" spans="1:80" s="1" customFormat="1" ht="12.75" thickBot="1" x14ac:dyDescent="0.25">
      <c r="A25" s="660"/>
      <c r="B25" s="660"/>
      <c r="C25" s="660" t="str">
        <f t="shared" si="25"/>
        <v/>
      </c>
      <c r="D25" s="662">
        <f t="shared" ca="1" si="15"/>
        <v>0</v>
      </c>
      <c r="E25" s="662">
        <f t="shared" ca="1" si="15"/>
        <v>0</v>
      </c>
      <c r="F25" s="662">
        <f t="shared" ca="1" si="15"/>
        <v>0</v>
      </c>
      <c r="G25" s="662">
        <f t="shared" ca="1" si="15"/>
        <v>0</v>
      </c>
      <c r="H25" s="662">
        <f t="shared" ca="1" si="16"/>
        <v>0</v>
      </c>
      <c r="I25" s="662">
        <f t="shared" ca="1" si="16"/>
        <v>0</v>
      </c>
      <c r="J25" s="661">
        <f t="shared" ca="1" si="16"/>
        <v>0</v>
      </c>
      <c r="K25" s="662">
        <f ca="1">IF(Settings!$G$9,J12,$AT12)</f>
        <v>0</v>
      </c>
      <c r="L25" s="686">
        <f ca="1">K25*$F$64+(AU12+$H$65)*$F$65*Settings!$G$14+AT12*$F$66*Settings!$G$19+AX12*$F$67</f>
        <v>1E-3</v>
      </c>
      <c r="M25" s="678">
        <f t="shared" ca="1" si="26"/>
        <v>7</v>
      </c>
      <c r="N25" s="678">
        <f t="array" aca="1" ref="N25" ca="1">IF($AI$15,SUM(($K$17:$K$25&gt;=K25)/COUNTIF($K$17:$K$25,$K$17:$K$25)),SUM(($L$17:$L$25&gt;=L25)/COUNTIF($L$17:$L$25,$L$17:$L$25)))</f>
        <v>2.9999999999999996</v>
      </c>
      <c r="O25" s="694" t="str">
        <f t="shared" ca="1" si="17"/>
        <v/>
      </c>
      <c r="P25" s="695" t="str">
        <f t="shared" ca="1" si="18"/>
        <v/>
      </c>
      <c r="Q25" s="695" t="str">
        <f t="shared" ca="1" si="19"/>
        <v/>
      </c>
      <c r="R25" s="695" t="str">
        <f t="shared" ca="1" si="20"/>
        <v/>
      </c>
      <c r="S25" s="695" t="str">
        <f t="shared" ca="1" si="21"/>
        <v/>
      </c>
      <c r="T25" s="695" t="str">
        <f t="shared" ca="1" si="22"/>
        <v/>
      </c>
      <c r="U25" s="695" t="str">
        <f t="shared" ca="1" si="23"/>
        <v/>
      </c>
      <c r="V25" s="696" t="str">
        <f t="shared" ca="1" si="24"/>
        <v/>
      </c>
      <c r="W25" s="690">
        <f t="shared" ca="1" si="27"/>
        <v>500000</v>
      </c>
      <c r="X25" s="676">
        <f t="shared" ca="1" si="28"/>
        <v>103.01090000000001</v>
      </c>
      <c r="Y25" s="661">
        <v>0</v>
      </c>
      <c r="Z25" s="662">
        <f t="shared" ca="1" si="29"/>
        <v>1.9</v>
      </c>
      <c r="AA25" s="662">
        <f t="shared" ca="1" si="30"/>
        <v>0</v>
      </c>
      <c r="AB25" s="662">
        <f t="shared" ca="1" si="31"/>
        <v>0</v>
      </c>
      <c r="AC25" s="662">
        <f t="shared" ca="1" si="32"/>
        <v>0</v>
      </c>
      <c r="AD25" s="661">
        <v>0</v>
      </c>
      <c r="AE25" s="686"/>
      <c r="AF25" s="661"/>
      <c r="AG25" s="661"/>
      <c r="AH25" s="691"/>
      <c r="AI25" s="661"/>
      <c r="AJ25" s="660"/>
      <c r="AK25" s="660"/>
      <c r="AL25" s="660"/>
      <c r="AM25" s="660"/>
      <c r="AN25" s="660"/>
      <c r="AO25" s="660"/>
      <c r="AP25" s="660"/>
      <c r="AQ25" s="660"/>
      <c r="AR25" s="660"/>
      <c r="AS25" s="660"/>
      <c r="AT25" s="660"/>
      <c r="AU25" s="660"/>
      <c r="AV25" s="660"/>
      <c r="AW25" s="660"/>
      <c r="AX25" s="660"/>
      <c r="AY25" s="660"/>
      <c r="AZ25" s="660"/>
      <c r="BA25" s="660"/>
      <c r="BB25" s="660"/>
      <c r="BC25" s="660"/>
      <c r="BD25" s="660"/>
      <c r="BE25" s="660"/>
      <c r="BF25" s="660"/>
      <c r="BG25" s="660"/>
      <c r="BH25" s="660"/>
      <c r="BI25" s="660"/>
      <c r="BJ25" s="660"/>
      <c r="BK25" s="660"/>
      <c r="BL25" s="660"/>
      <c r="BM25" s="660"/>
      <c r="BN25" s="660"/>
      <c r="BO25" s="660"/>
      <c r="BP25" s="660"/>
      <c r="BQ25" s="660"/>
      <c r="BR25" s="660"/>
      <c r="BS25" s="660"/>
      <c r="BT25" s="660"/>
      <c r="BU25" s="660"/>
      <c r="BV25" s="660"/>
      <c r="BW25" s="660"/>
      <c r="BX25" s="660"/>
      <c r="BY25" s="660"/>
      <c r="BZ25" s="660"/>
      <c r="CA25" s="660"/>
      <c r="CB25" s="660"/>
    </row>
    <row r="26" spans="1:80" s="1" customFormat="1" ht="12.75" thickTop="1" x14ac:dyDescent="0.2">
      <c r="A26" s="660"/>
      <c r="B26" s="660"/>
      <c r="C26" s="660"/>
      <c r="D26" s="660"/>
      <c r="E26" s="660"/>
      <c r="F26" s="660"/>
      <c r="G26" s="660"/>
      <c r="H26" s="660"/>
      <c r="I26" s="660"/>
      <c r="J26" s="660"/>
      <c r="K26" s="660"/>
      <c r="L26" s="660"/>
      <c r="M26" s="660"/>
      <c r="N26" s="660"/>
      <c r="O26" s="662"/>
      <c r="P26" s="662"/>
      <c r="Q26" s="662"/>
      <c r="R26" s="662"/>
      <c r="S26" s="662"/>
      <c r="T26" s="662"/>
      <c r="U26" s="662"/>
      <c r="V26" s="662"/>
      <c r="W26" s="660"/>
      <c r="X26" s="660"/>
      <c r="Y26" s="660"/>
      <c r="Z26" s="660"/>
      <c r="AA26" s="660"/>
      <c r="AB26" s="660"/>
      <c r="AC26" s="660"/>
      <c r="AD26" s="660"/>
      <c r="AE26" s="660"/>
      <c r="AF26" s="660"/>
      <c r="AG26" s="660"/>
      <c r="AH26" s="660"/>
      <c r="AI26" s="660"/>
      <c r="AJ26" s="660"/>
      <c r="AK26" s="660"/>
      <c r="AL26" s="660"/>
      <c r="AM26" s="660"/>
      <c r="AN26" s="660"/>
      <c r="AO26" s="660"/>
      <c r="AP26" s="660"/>
      <c r="AQ26" s="660"/>
      <c r="AR26" s="660"/>
      <c r="AS26" s="660"/>
      <c r="AT26" s="660"/>
      <c r="AU26" s="660"/>
      <c r="AV26" s="660"/>
      <c r="AW26" s="660"/>
      <c r="AX26" s="660"/>
      <c r="AY26" s="660"/>
      <c r="AZ26" s="660"/>
      <c r="BA26" s="660"/>
      <c r="BB26" s="660"/>
      <c r="BC26" s="660"/>
      <c r="BD26" s="660"/>
      <c r="BE26" s="660"/>
      <c r="BF26" s="660"/>
      <c r="BG26" s="660"/>
      <c r="BH26" s="660"/>
      <c r="BI26" s="660"/>
      <c r="BJ26" s="660"/>
      <c r="BK26" s="660"/>
      <c r="BL26" s="660"/>
      <c r="BM26" s="660"/>
      <c r="BN26" s="660"/>
      <c r="BO26" s="660"/>
      <c r="BP26" s="660"/>
      <c r="BQ26" s="660"/>
      <c r="BR26" s="660"/>
      <c r="BS26" s="660"/>
      <c r="BT26" s="660"/>
      <c r="BU26" s="660"/>
      <c r="BV26" s="660"/>
      <c r="BW26" s="660"/>
      <c r="BX26" s="660"/>
      <c r="BY26" s="660"/>
      <c r="BZ26" s="660"/>
      <c r="CA26" s="660"/>
      <c r="CB26" s="660"/>
    </row>
    <row r="27" spans="1:80" s="1" customFormat="1" x14ac:dyDescent="0.2">
      <c r="A27" s="660"/>
      <c r="B27" s="660"/>
      <c r="C27" s="660"/>
      <c r="D27" s="660"/>
      <c r="E27" s="660"/>
      <c r="F27" s="660"/>
      <c r="G27" s="660"/>
      <c r="H27" s="660"/>
      <c r="I27" s="660"/>
      <c r="J27" s="660"/>
      <c r="K27" s="660"/>
      <c r="L27" s="660"/>
      <c r="M27" s="660"/>
      <c r="N27" s="660"/>
      <c r="O27" s="662"/>
      <c r="P27" s="662"/>
      <c r="Q27" s="662"/>
      <c r="R27" s="662"/>
      <c r="S27" s="662"/>
      <c r="T27" s="662"/>
      <c r="U27" s="662"/>
      <c r="V27" s="662"/>
      <c r="W27" s="660"/>
      <c r="X27" s="660"/>
      <c r="Y27" s="660"/>
      <c r="Z27" s="660"/>
      <c r="AA27" s="660"/>
      <c r="AB27" s="660"/>
      <c r="AC27" s="660"/>
      <c r="AD27" s="660"/>
      <c r="AE27" s="660"/>
      <c r="AF27" s="660"/>
      <c r="AG27" s="660"/>
      <c r="AH27" s="660"/>
      <c r="AI27" s="660"/>
      <c r="AJ27" s="660"/>
      <c r="AK27" s="660"/>
      <c r="AL27" s="660"/>
      <c r="AM27" s="660"/>
      <c r="AN27" s="660"/>
      <c r="AO27" s="660"/>
      <c r="AP27" s="660"/>
      <c r="AQ27" s="660"/>
      <c r="AR27" s="660"/>
      <c r="AS27" s="660"/>
      <c r="AT27" s="660"/>
      <c r="AU27" s="660"/>
      <c r="AV27" s="660"/>
      <c r="AW27" s="660"/>
      <c r="AX27" s="660"/>
      <c r="AY27" s="660"/>
      <c r="AZ27" s="660"/>
      <c r="BA27" s="660"/>
      <c r="BB27" s="660"/>
      <c r="BC27" s="660"/>
      <c r="BD27" s="660"/>
      <c r="BE27" s="660"/>
      <c r="BF27" s="660"/>
      <c r="BG27" s="660"/>
      <c r="BH27" s="660"/>
      <c r="BI27" s="660"/>
      <c r="BJ27" s="660"/>
      <c r="BK27" s="660"/>
      <c r="BL27" s="660"/>
      <c r="BM27" s="660"/>
      <c r="BN27" s="660"/>
      <c r="BO27" s="660"/>
      <c r="BP27" s="660"/>
      <c r="BQ27" s="660"/>
      <c r="BR27" s="660"/>
      <c r="BS27" s="660"/>
      <c r="BT27" s="660"/>
      <c r="BU27" s="660"/>
      <c r="BV27" s="660"/>
      <c r="BW27" s="660"/>
      <c r="BX27" s="660"/>
      <c r="BY27" s="660"/>
      <c r="BZ27" s="660"/>
      <c r="CA27" s="660"/>
      <c r="CB27" s="660"/>
    </row>
    <row r="28" spans="1:80" s="1" customFormat="1" ht="12.75" thickBot="1" x14ac:dyDescent="0.25">
      <c r="A28" s="660"/>
      <c r="B28" s="697" t="s">
        <v>98</v>
      </c>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660"/>
      <c r="AQ28" s="660"/>
      <c r="AR28" s="660"/>
      <c r="AS28" s="660"/>
      <c r="AT28" s="660"/>
      <c r="AU28" s="660"/>
      <c r="AV28" s="660"/>
      <c r="AW28" s="660"/>
      <c r="AX28" s="660"/>
      <c r="AY28" s="660"/>
      <c r="AZ28" s="660"/>
      <c r="BA28" s="660"/>
      <c r="BB28" s="660"/>
      <c r="BC28" s="660"/>
      <c r="BD28" s="660"/>
      <c r="BE28" s="660"/>
      <c r="BF28" s="660"/>
      <c r="BG28" s="660"/>
      <c r="BH28" s="660"/>
      <c r="BI28" s="660"/>
      <c r="BJ28" s="660"/>
      <c r="BK28" s="660"/>
      <c r="BL28" s="660"/>
      <c r="BM28" s="660"/>
      <c r="BN28" s="660"/>
      <c r="BO28" s="660"/>
      <c r="BP28" s="660"/>
      <c r="BQ28" s="660"/>
      <c r="BR28" s="660"/>
      <c r="BS28" s="660"/>
      <c r="BT28" s="660"/>
      <c r="BU28" s="660"/>
      <c r="BV28" s="660"/>
      <c r="BW28" s="660"/>
      <c r="BX28" s="660"/>
      <c r="BY28" s="660"/>
      <c r="BZ28" s="660"/>
      <c r="CA28" s="660"/>
      <c r="CB28" s="660"/>
    </row>
    <row r="29" spans="1:80" s="1" customFormat="1" ht="12.75" thickTop="1" x14ac:dyDescent="0.2">
      <c r="A29" s="660"/>
      <c r="B29" s="698" t="s">
        <v>396</v>
      </c>
      <c r="C29" s="660"/>
      <c r="D29" s="660"/>
      <c r="E29" s="1031">
        <v>1</v>
      </c>
      <c r="F29" s="1032"/>
      <c r="G29" s="1032"/>
      <c r="H29" s="1032"/>
      <c r="I29" s="1032"/>
      <c r="J29" s="1032"/>
      <c r="K29" s="1032"/>
      <c r="L29" s="1033"/>
      <c r="M29" s="1034">
        <v>2</v>
      </c>
      <c r="N29" s="1032"/>
      <c r="O29" s="1032"/>
      <c r="P29" s="1032"/>
      <c r="Q29" s="1032"/>
      <c r="R29" s="1032"/>
      <c r="S29" s="1032"/>
      <c r="T29" s="1033"/>
      <c r="U29" s="1034">
        <v>3</v>
      </c>
      <c r="V29" s="1032"/>
      <c r="W29" s="1032"/>
      <c r="X29" s="1032"/>
      <c r="Y29" s="1032"/>
      <c r="Z29" s="1032"/>
      <c r="AA29" s="1032"/>
      <c r="AB29" s="1033"/>
      <c r="AC29" s="1034">
        <v>4</v>
      </c>
      <c r="AD29" s="1032"/>
      <c r="AE29" s="1032"/>
      <c r="AF29" s="1032"/>
      <c r="AG29" s="1032"/>
      <c r="AH29" s="1032"/>
      <c r="AI29" s="1032"/>
      <c r="AJ29" s="1033"/>
      <c r="AK29" s="1034">
        <v>5</v>
      </c>
      <c r="AL29" s="1032"/>
      <c r="AM29" s="1032"/>
      <c r="AN29" s="1032"/>
      <c r="AO29" s="1032"/>
      <c r="AP29" s="1032"/>
      <c r="AQ29" s="1032"/>
      <c r="AR29" s="1033"/>
      <c r="AS29" s="1034">
        <v>6</v>
      </c>
      <c r="AT29" s="1032"/>
      <c r="AU29" s="1032"/>
      <c r="AV29" s="1032"/>
      <c r="AW29" s="1032"/>
      <c r="AX29" s="1032"/>
      <c r="AY29" s="1032"/>
      <c r="AZ29" s="1033"/>
      <c r="BA29" s="1034">
        <v>7</v>
      </c>
      <c r="BB29" s="1032"/>
      <c r="BC29" s="1032"/>
      <c r="BD29" s="1032"/>
      <c r="BE29" s="1032"/>
      <c r="BF29" s="1032"/>
      <c r="BG29" s="1032"/>
      <c r="BH29" s="1033"/>
      <c r="BI29" s="1034">
        <v>8</v>
      </c>
      <c r="BJ29" s="1032"/>
      <c r="BK29" s="1032"/>
      <c r="BL29" s="1032"/>
      <c r="BM29" s="1032"/>
      <c r="BN29" s="1032"/>
      <c r="BO29" s="1032"/>
      <c r="BP29" s="1035"/>
      <c r="BQ29" s="661"/>
      <c r="BR29" s="697" t="s">
        <v>94</v>
      </c>
      <c r="BS29" s="660" t="str">
        <f ca="1">$F$4</f>
        <v>FC Barcelona</v>
      </c>
      <c r="BT29" s="660" t="str">
        <f ca="1">$F$5</f>
        <v>Mainz 05</v>
      </c>
      <c r="BU29" s="660" t="str">
        <f ca="1">$F$6</f>
        <v/>
      </c>
      <c r="BV29" s="660" t="str">
        <f ca="1">$F$7</f>
        <v/>
      </c>
      <c r="BW29" s="660" t="str">
        <f>$F$8</f>
        <v/>
      </c>
      <c r="BX29" s="660" t="str">
        <f>$F$9</f>
        <v/>
      </c>
      <c r="BY29" s="660" t="str">
        <f>$F$10</f>
        <v/>
      </c>
      <c r="BZ29" s="660" t="str">
        <f>$F$11</f>
        <v/>
      </c>
      <c r="CA29" s="660" t="str">
        <f>$F$12</f>
        <v/>
      </c>
      <c r="CB29" s="699"/>
    </row>
    <row r="30" spans="1:80" s="1" customFormat="1" x14ac:dyDescent="0.2">
      <c r="A30" s="660"/>
      <c r="B30" s="660"/>
      <c r="C30" s="660" t="str">
        <f ca="1">$Q64</f>
        <v>FC Barcelona</v>
      </c>
      <c r="D30" s="660"/>
      <c r="E30" s="700">
        <f t="array" aca="1" ref="E30" ca="1">IF(O17=C17,SUM(IF(($BR$52:$BR$60=C17)*($BS$51:$CA$51=O18),$BS$52:$CA$60)),0)</f>
        <v>0</v>
      </c>
      <c r="F30" s="681">
        <f t="array" aca="1" ref="F30" ca="1">IF(O17=C17,SUM(IF(($BR$52:$BR$60=C17)*($BS$51:$CA$51=O19),$BS$52:$CA$60)),0)</f>
        <v>0</v>
      </c>
      <c r="G30" s="681">
        <f t="array" aca="1" ref="G30" ca="1">IF(O17=C17,SUM(IF(($BR$52:$BR$60=C17)*($BS$51:$CA$51=O20),$BS$52:$CA$60)),0)</f>
        <v>0</v>
      </c>
      <c r="H30" s="681">
        <f t="array" aca="1" ref="H30" ca="1">IF(O17=C17,SUM(IF(($BR$52:$BR$60=C17)*($BS$51:$CA$51=O21),$BS$52:$CA$60)),0)</f>
        <v>0</v>
      </c>
      <c r="I30" s="681">
        <f t="array" aca="1" ref="I30" ca="1">IF(O17=C17,SUM(IF(($BR$52:$BR$60=C17)*($BS$51:$CA$51=O22),$BS$52:$CA$60)),0)</f>
        <v>0</v>
      </c>
      <c r="J30" s="681">
        <f t="array" aca="1" ref="J30" ca="1">IF(O17=C17,SUM(IF(($BR$52:$BR$60=C17)*($BS$51:$CA$51=O23),$BS$52:$CA$60)),0)</f>
        <v>0</v>
      </c>
      <c r="K30" s="681">
        <f t="array" aca="1" ref="K30" ca="1">IF(O17=C17,SUM(IF(($BR$52:$BR$60=C17)*($BS$51:$CA$51=O$24),$BS$52:$CA$60)),0)</f>
        <v>0</v>
      </c>
      <c r="L30" s="681">
        <f t="array" aca="1" ref="L30" ca="1">IF(O17=C17,SUM(IF(($BR$52:$BR$60=C17)*($BS$51:$CA$51=O$25),$BS$52:$CA$60)),0)</f>
        <v>0</v>
      </c>
      <c r="M30" s="692">
        <f t="array" aca="1" ref="M30" ca="1">IF(P17=C17,SUM(IF(($BR$52:$BR$60=C17)*($BS$51:$CA$51=P18),$BS$52:$CA$60)),0)</f>
        <v>0</v>
      </c>
      <c r="N30" s="681">
        <f t="array" aca="1" ref="N30" ca="1">IF(P17=C17,SUM(IF(($BR$52:$BR$60=C17)*($BS$51:$CA$51=P19),$BS$52:$CA$60)),0)</f>
        <v>0</v>
      </c>
      <c r="O30" s="681">
        <f t="array" aca="1" ref="O30" ca="1">IF(P17=C17,SUM(IF(($BR$52:$BR$60=C17)*($BS$51:$CA$51=P20),$BS$52:$CA$60)),0)</f>
        <v>0</v>
      </c>
      <c r="P30" s="681">
        <f t="array" aca="1" ref="P30" ca="1">IF(P17=C17,SUM(IF(($BR$52:$BR$60=C17)*($BS$51:$CA$51=P21),$BS$52:$CA$60)),0)</f>
        <v>0</v>
      </c>
      <c r="Q30" s="681">
        <f t="array" aca="1" ref="Q30" ca="1">IF(P17=C17,SUM(IF(($BR$52:$BR$60=C17)*($BS$51:$CA$51=P22),$BS$52:$CA$60)),0)</f>
        <v>0</v>
      </c>
      <c r="R30" s="681">
        <f t="array" aca="1" ref="R30" ca="1">IF(P17=C17,SUM(IF(($BR$52:$BR$60=C17)*($BS$51:$CA$51=P23),$BS$52:$CA$60)),0)</f>
        <v>0</v>
      </c>
      <c r="S30" s="681">
        <f t="array" aca="1" ref="S30" ca="1">IF(P17=C17,SUM(IF(($BR$52:$BR$60=C17)*($BS$51:$CA$51=P$24),$BS$52:$CA$60)),0)</f>
        <v>0</v>
      </c>
      <c r="T30" s="681">
        <f t="array" aca="1" ref="T30" ca="1">IF(P17=C17,SUM(IF(($BR$52:$BR$60=C17)*($BS$51:$CA$51=P$25),$BS$52:$CA$60)),0)</f>
        <v>0</v>
      </c>
      <c r="U30" s="692">
        <f t="array" aca="1" ref="U30" ca="1">IF(Q17=C17,SUM(IF(($BR$52:$BR$60=C17)*($BS$51:$CA$51=Q18),$BS$52:$CA$60)),0)</f>
        <v>0</v>
      </c>
      <c r="V30" s="681">
        <f t="array" aca="1" ref="V30" ca="1">IF(Q17=C17,SUM(IF(($BR$52:$BR$60=C17)*($BS$51:$CA$51=Q19),$BS$52:$CA$60)),0)</f>
        <v>0</v>
      </c>
      <c r="W30" s="681">
        <f t="array" aca="1" ref="W30" ca="1">IF(Q17=C17,SUM(IF(($BR$52:$BR$60=C17)*($BS$51:$CA$51=Q20),$BS$52:$CA$60)),0)</f>
        <v>0</v>
      </c>
      <c r="X30" s="681">
        <f t="array" aca="1" ref="X30" ca="1">IF(Q17=C17,SUM(IF(($BR$52:$BR$60=C17)*($BS$51:$CA$51=Q21),$BS$52:$CA$60)),0)</f>
        <v>0</v>
      </c>
      <c r="Y30" s="681">
        <f t="array" aca="1" ref="Y30" ca="1">IF(Q17=C17,SUM(IF(($BR$52:$BR$60=C17)*($BS$51:$CA$51=Q22),$BS$52:$CA$60)),0)</f>
        <v>0</v>
      </c>
      <c r="Z30" s="681">
        <f t="array" aca="1" ref="Z30" ca="1">IF(Q17=C17,SUM(IF(($BR$52:$BR$60=C17)*($BS$51:$CA$51=Q23),$BS$52:$CA$60)),0)</f>
        <v>0</v>
      </c>
      <c r="AA30" s="681">
        <f t="array" aca="1" ref="AA30" ca="1">IF(Q17=C17,SUM(IF(($BR$52:$BR$60=C17)*($BS$51:$CA$51=Q$24),$BS$52:$CA$60)),0)</f>
        <v>0</v>
      </c>
      <c r="AB30" s="681">
        <f t="array" aca="1" ref="AB30" ca="1">IF(Q17=C17,SUM(IF(($BR$52:$BR$60=C17)*($BS$51:$CA$51=Q$25),$BS$52:$CA$60)),0)</f>
        <v>0</v>
      </c>
      <c r="AC30" s="692">
        <f t="array" aca="1" ref="AC30" ca="1">IF(R17=C17,SUM(IF(($BR$52:$BR$60=C17)*($BS$51:$CA$51=R18),$BS$52:$CA$60)),0)</f>
        <v>0</v>
      </c>
      <c r="AD30" s="681">
        <f t="array" aca="1" ref="AD30" ca="1">IF(R17=C17,SUM(IF(($BR$52:$BR$60=C17)*($BS$51:$CA$51=R19),$BS$52:$CA$60)),0)</f>
        <v>0</v>
      </c>
      <c r="AE30" s="681">
        <f t="array" aca="1" ref="AE30" ca="1">IF(R17=C17,SUM(IF(($BR$52:$BR$60=C17)*($BS$51:$CA$51=R20),$BS$52:$CA$60)),0)</f>
        <v>0</v>
      </c>
      <c r="AF30" s="681">
        <f t="array" aca="1" ref="AF30" ca="1">IF(R17=C17,SUM(IF(($BR$52:$BR$60=C17)*($BS$51:$CA$51=R21),$BS$52:$CA$60)),0)</f>
        <v>0</v>
      </c>
      <c r="AG30" s="681">
        <f t="array" aca="1" ref="AG30" ca="1">IF(R17=C17,SUM(IF(($BR$52:$BR$60=C17)*($BS$51:$CA$51=R22),$BS$52:$CA$60)),0)</f>
        <v>0</v>
      </c>
      <c r="AH30" s="681">
        <f t="array" aca="1" ref="AH30" ca="1">IF(R17=C17,SUM(IF(($BR$52:$BR$60=C17)*($BS$51:$CA$51=R23),$BS$52:$CA$60)),0)</f>
        <v>0</v>
      </c>
      <c r="AI30" s="681">
        <f t="array" aca="1" ref="AI30" ca="1">IF(R17=C17,SUM(IF(($BR$52:$BR$60=C17)*($BS$51:$CA$51=R$24),$BS$52:$CA$60)),0)</f>
        <v>0</v>
      </c>
      <c r="AJ30" s="681">
        <f t="array" aca="1" ref="AJ30" ca="1">IF(R17=C17,SUM(IF(($BR$52:$BR$60=C17)*($BS$51:$CA$51=R$25),$BS$52:$CA$60)),0)</f>
        <v>0</v>
      </c>
      <c r="AK30" s="692">
        <f t="array" aca="1" ref="AK30" ca="1">IF(S17=C17,SUM(IF(($BR$52:$BR$60=C17)*($BS$51:$CA$51=S18),$BS$52:$CA$60)),0)</f>
        <v>0</v>
      </c>
      <c r="AL30" s="681">
        <f t="array" aca="1" ref="AL30" ca="1">IF(S17=C17,SUM(IF(($BR$52:$BR$60=C17)*($BS$51:$CA$51=S19),$BS$52:$CA$60)),0)</f>
        <v>0</v>
      </c>
      <c r="AM30" s="681">
        <f t="array" aca="1" ref="AM30" ca="1">IF(S17=C17,SUM(IF(($BR$52:$BR$60=C17)*($BS$51:$CA$51=S20),$BS$52:$CA$60)),0)</f>
        <v>0</v>
      </c>
      <c r="AN30" s="681">
        <f t="array" aca="1" ref="AN30" ca="1">IF(S17=C17,SUM(IF(($BR$52:$BR$60=C17)*($BS$51:$CA$51=S21),$BS$52:$CA$60)),0)</f>
        <v>0</v>
      </c>
      <c r="AO30" s="681">
        <f t="array" aca="1" ref="AO30" ca="1">IF(S17=C17,SUM(IF(($BR$52:$BR$60=C17)*($BS$51:$CA$51=S22),$BS$52:$CA$60)),0)</f>
        <v>0</v>
      </c>
      <c r="AP30" s="681">
        <f t="array" aca="1" ref="AP30" ca="1">IF(S17=C17,SUM(IF(($BR$52:$BR$60=C17)*($BS$51:$CA$51=S23),$BS$52:$CA$60)),0)</f>
        <v>0</v>
      </c>
      <c r="AQ30" s="681">
        <f t="array" aca="1" ref="AQ30" ca="1">IF(S17=C17,SUM(IF(($BR$52:$BR$60=C17)*($BS$51:$CA$51=S$24),$BS$52:$CA$60)),0)</f>
        <v>0</v>
      </c>
      <c r="AR30" s="681">
        <f t="array" aca="1" ref="AR30" ca="1">IF(S17=C17,SUM(IF(($BR$52:$BR$60=C17)*($BS$51:$CA$51=S$25),$BS$52:$CA$60)),0)</f>
        <v>0</v>
      </c>
      <c r="AS30" s="692">
        <f t="array" aca="1" ref="AS30" ca="1">IF(T17=C17,SUM(IF(($BR$52:$BR$60=C17)*($BS$51:$CA$51=T18),$BS$52:$CA$60)),0)</f>
        <v>0</v>
      </c>
      <c r="AT30" s="681">
        <f t="array" aca="1" ref="AT30" ca="1">IF(T17=C17,SUM(IF(($BR$52:$BR$60=C17)*($BS$51:$CA$51=T19),$BS$52:$CA$60)),0)</f>
        <v>0</v>
      </c>
      <c r="AU30" s="681">
        <f t="array" aca="1" ref="AU30" ca="1">IF(T17=C17,SUM(IF(($BR$52:$BR$60=C17)*($BS$51:$CA$51=T20),$BS$52:$CA$60)),0)</f>
        <v>0</v>
      </c>
      <c r="AV30" s="681">
        <f t="array" aca="1" ref="AV30" ca="1">IF(T17=C17,SUM(IF(($BR$52:$BR$60=C17)*($BS$51:$CA$51=T21),$BS$52:$CA$60)),0)</f>
        <v>0</v>
      </c>
      <c r="AW30" s="681">
        <f t="array" aca="1" ref="AW30" ca="1">IF(T17=C17,SUM(IF(($BR$52:$BR$60=C17)*($BS$51:$CA$51=T22),$BS$52:$CA$60)),0)</f>
        <v>0</v>
      </c>
      <c r="AX30" s="681">
        <f t="array" aca="1" ref="AX30" ca="1">IF(T17=C17,SUM(IF(($BR$52:$BR$60=C17)*($BS$51:$CA$51=T23),$BS$52:$CA$60)),0)</f>
        <v>0</v>
      </c>
      <c r="AY30" s="681">
        <f t="array" aca="1" ref="AY30" ca="1">IF(T17=C17,SUM(IF(($BR$52:$BR$60=C17)*($BS$51:$CA$51=T$24),$BS$52:$CA$60)),0)</f>
        <v>0</v>
      </c>
      <c r="AZ30" s="681">
        <f t="array" aca="1" ref="AZ30" ca="1">IF(T17=C17,SUM(IF(($BR$52:$BR$60=C17)*($BS$51:$CA$51=T$25),$BS$52:$CA$60)),0)</f>
        <v>0</v>
      </c>
      <c r="BA30" s="692">
        <f t="array" aca="1" ref="BA30" ca="1">IF(U17=C17,SUM(IF(($BR$52:$BR$60=C17)*($BS$51:$CA$51=U$18),$BS$52:$CA$60)),0)</f>
        <v>0</v>
      </c>
      <c r="BB30" s="681">
        <f t="array" aca="1" ref="BB30" ca="1">IF(U17=C17,SUM(IF(($BR$52:$BR$60=C17)*($BS$51:$CA$51=U$19),$BS$52:$CA$60)),0)</f>
        <v>0</v>
      </c>
      <c r="BC30" s="681">
        <f t="array" aca="1" ref="BC30" ca="1">IF(U17=C17,SUM(IF(($BR$52:$BR$60=C17)*($BS$51:$CA$51=U$20),$BS$52:$CA$60)),0)</f>
        <v>0</v>
      </c>
      <c r="BD30" s="681">
        <f t="array" aca="1" ref="BD30" ca="1">IF(U17=C17,SUM(IF(($BR$52:$BR$60=C17)*($BS$51:$CA$51=U$21),$BS$52:$CA$60)),0)</f>
        <v>0</v>
      </c>
      <c r="BE30" s="681">
        <f t="array" aca="1" ref="BE30" ca="1">IF(U17=C17,SUM(IF(($BR$52:$BR$60=C17)*($BS$51:$CA$51=U$22),$BS$52:$CA$60)),0)</f>
        <v>0</v>
      </c>
      <c r="BF30" s="681">
        <f t="array" aca="1" ref="BF30" ca="1">IF(U17=C17,SUM(IF(($BR$52:$BR$60=C17)*($BS$51:$CA$51=U$23),$BS$52:$CA$60)),0)</f>
        <v>0</v>
      </c>
      <c r="BG30" s="681">
        <f t="array" aca="1" ref="BG30" ca="1">IF(U17=C17,SUM(IF(($BR$52:$BR$60=C17)*($BS$51:$CA$51=U$24),$BS$52:$CA$60)),0)</f>
        <v>0</v>
      </c>
      <c r="BH30" s="681">
        <f t="array" aca="1" ref="BH30" ca="1">IF(U17=C17,SUM(IF(($BR$52:$BR$60=C17)*($BS$51:$CA$51=U$25),$BS$52:$CA$60)),0)</f>
        <v>0</v>
      </c>
      <c r="BI30" s="692">
        <f t="array" aca="1" ref="BI30" ca="1">IF(V17=C17,SUM(IF(($BR$52:$BR$60=C17)*($BS$51:$CA$51=V$18),$BS$52:$CA$60)),0)</f>
        <v>0</v>
      </c>
      <c r="BJ30" s="681">
        <f t="array" aca="1" ref="BJ30" ca="1">IF(V17=C17,SUM(IF(($BR$52:$BR$60=C17)*($BS$51:$CA$51=V$19),$BS$52:$CA$60)),0)</f>
        <v>0</v>
      </c>
      <c r="BK30" s="681">
        <f t="array" aca="1" ref="BK30" ca="1">IF(V17=C17,SUM(IF(($BR$52:$BR$60=C17)*($BS$51:$CA$51=V$20),$BS$52:$CA$60)),0)</f>
        <v>0</v>
      </c>
      <c r="BL30" s="681">
        <f t="array" aca="1" ref="BL30" ca="1">IF(V17=C17,SUM(IF(($BR$52:$BR$60=C17)*($BS$51:$CA$51=V$21),$BS$52:$CA$60)),0)</f>
        <v>0</v>
      </c>
      <c r="BM30" s="681">
        <f t="array" aca="1" ref="BM30" ca="1">IF(V17=C17,SUM(IF(($BR$52:$BR$60=C17)*($BS$51:$CA$51=V$22),$BS$52:$CA$60)),0)</f>
        <v>0</v>
      </c>
      <c r="BN30" s="681">
        <f t="array" aca="1" ref="BN30" ca="1">IF(V17=C17,SUM(IF(($BR$52:$BR$60=C17)*($BS$51:$CA$51=V$23),$BS$52:$CA$60)),0)</f>
        <v>0</v>
      </c>
      <c r="BO30" s="681">
        <f t="array" aca="1" ref="BO30" ca="1">IF(V17=C17,SUM(IF(($BR$52:$BR$60=C17)*($BS$51:$CA$51=V$24),$BS$52:$CA$60)),0)</f>
        <v>0</v>
      </c>
      <c r="BP30" s="701">
        <f t="array" aca="1" ref="BP30" ca="1">IF(V17=C17,SUM(IF(($BR$52:$BR$60=C17)*($BS$51:$CA$51=V$25),$BS$52:$CA$60)),0)</f>
        <v>0</v>
      </c>
      <c r="BQ30" s="681"/>
      <c r="BR30" s="660" t="str">
        <f t="shared" ref="BR30:BR38" ca="1" si="33">F4</f>
        <v>FC Barcelona</v>
      </c>
      <c r="BS30" s="702"/>
      <c r="BT30" s="703">
        <f t="shared" ref="BT30:CA30" ca="1" si="34">SUMIFS($AH$64:$AH$135,$V$64:$V$135,$BR30,$W$64:$W$135,BT$29)+SUMIFS($AI$64:$AI$135,$W$64:$W$135,$BR30,$V$64:$V$135,BT$29)</f>
        <v>70</v>
      </c>
      <c r="BU30" s="703">
        <f t="shared" ca="1" si="34"/>
        <v>0</v>
      </c>
      <c r="BV30" s="703">
        <f t="shared" ca="1" si="34"/>
        <v>0</v>
      </c>
      <c r="BW30" s="703">
        <f t="shared" ca="1" si="34"/>
        <v>0</v>
      </c>
      <c r="BX30" s="703">
        <f t="shared" ca="1" si="34"/>
        <v>0</v>
      </c>
      <c r="BY30" s="703">
        <f t="shared" ca="1" si="34"/>
        <v>0</v>
      </c>
      <c r="BZ30" s="703">
        <f t="shared" ca="1" si="34"/>
        <v>0</v>
      </c>
      <c r="CA30" s="703">
        <f t="shared" ca="1" si="34"/>
        <v>0</v>
      </c>
      <c r="CB30" s="681"/>
    </row>
    <row r="31" spans="1:80" s="1" customFormat="1" x14ac:dyDescent="0.2">
      <c r="A31" s="660"/>
      <c r="B31" s="660"/>
      <c r="C31" s="660" t="str">
        <f t="shared" ref="C31:C38" ca="1" si="35">$Q65</f>
        <v>Mainz 05</v>
      </c>
      <c r="D31" s="660"/>
      <c r="E31" s="700">
        <f t="array" aca="1" ref="E31" ca="1">IF(O18=C18,SUM(IF(($BR$52:$BR$60=C18)*($BS$51:$CA$51=O17),$BS$52:$CA$60)),0)</f>
        <v>0</v>
      </c>
      <c r="F31" s="681">
        <f t="array" aca="1" ref="F31" ca="1">IF(O18=C18,SUM(IF(($BR$52:$BR$60=C18)*($BS$51:$CA$51=O19),$BS$52:$CA$60)),0)</f>
        <v>0</v>
      </c>
      <c r="G31" s="681">
        <f t="array" aca="1" ref="G31" ca="1">IF(O18=C18,SUM(IF(($BR$52:$BR$60=C18)*($BS$51:$CA$51=O20),$BS$52:$CA$60)),0)</f>
        <v>0</v>
      </c>
      <c r="H31" s="681">
        <f t="array" aca="1" ref="H31" ca="1">IF(O18=C18,SUM(IF(($BR$52:$BR$60=C18)*($BS$51:$CA$51=O21),$BS$52:$CA$60)),0)</f>
        <v>0</v>
      </c>
      <c r="I31" s="681">
        <f t="array" aca="1" ref="I31" ca="1">IF(O18=C18,SUM(IF(($BR$52:$BR$60=C18)*($BS$51:$CA$51=O22),$BS$52:$CA$60)),0)</f>
        <v>0</v>
      </c>
      <c r="J31" s="681">
        <f t="array" aca="1" ref="J31" ca="1">IF(O18=C18,SUM(IF(($BR$52:$BR$60=C18)*($BS$51:$CA$51=O23),$BS$52:$CA$60)),0)</f>
        <v>0</v>
      </c>
      <c r="K31" s="681">
        <f t="array" aca="1" ref="K31" ca="1">IF(O18=C18,SUM(IF(($BR$52:$BR$60=C18)*($BS$51:$CA$51=O$24),$BS$52:$CA$60)),0)</f>
        <v>0</v>
      </c>
      <c r="L31" s="681">
        <f t="array" aca="1" ref="L31" ca="1">IF(O18=C18,SUM(IF(($BR$52:$BR$60=C18)*($BS$51:$CA$51=O$25),$BS$52:$CA$60)),0)</f>
        <v>0</v>
      </c>
      <c r="M31" s="692">
        <f t="array" aca="1" ref="M31" ca="1">IF(P18=C18,SUM(IF(($BR$52:$BR$60=C18)*($BS$51:$CA$51=P17),$BS$52:$CA$60)),0)</f>
        <v>0</v>
      </c>
      <c r="N31" s="681">
        <f t="array" aca="1" ref="N31" ca="1">IF(P18=C18,SUM(IF(($BR$52:$BR$60=C18)*($BS$51:$CA$51=P19),$BS$52:$CA$60)),0)</f>
        <v>0</v>
      </c>
      <c r="O31" s="681">
        <f t="array" aca="1" ref="O31" ca="1">IF(P18=C18,SUM(IF(($BR$52:$BR$60=C18)*($BS$51:$CA$51=P20),$BS$52:$CA$60)),0)</f>
        <v>0</v>
      </c>
      <c r="P31" s="681">
        <f t="array" aca="1" ref="P31" ca="1">IF(P18=C18,SUM(IF(($BR$52:$BR$60=C18)*($BS$51:$CA$51=P21),$BS$52:$CA$60)),0)</f>
        <v>0</v>
      </c>
      <c r="Q31" s="681">
        <f t="array" aca="1" ref="Q31" ca="1">IF(P18=C18,SUM(IF(($BR$52:$BR$60=C18)*($BS$51:$CA$51=P22),$BS$52:$CA$60)),0)</f>
        <v>0</v>
      </c>
      <c r="R31" s="681">
        <f t="array" aca="1" ref="R31" ca="1">IF(P18=C18,SUM(IF(($BR$52:$BR$60=C18)*($BS$51:$CA$51=P23),$BS$52:$CA$60)),0)</f>
        <v>0</v>
      </c>
      <c r="S31" s="681">
        <f t="array" aca="1" ref="S31" ca="1">IF(P18=C18,SUM(IF(($BR$52:$BR$60=C18)*($BS$51:$CA$51=P$24),$BS$52:$CA$60)),0)</f>
        <v>0</v>
      </c>
      <c r="T31" s="681">
        <f t="array" aca="1" ref="T31" ca="1">IF(P18=C18,SUM(IF(($BR$52:$BR$60=C18)*($BS$51:$CA$51=P$25),$BS$52:$CA$60)),0)</f>
        <v>0</v>
      </c>
      <c r="U31" s="692">
        <f t="array" aca="1" ref="U31" ca="1">IF(Q18=C18,SUM(IF(($BR$52:$BR$60=C18)*($BS$51:$CA$51=Q17),$BS$52:$CA$60)),0)</f>
        <v>0</v>
      </c>
      <c r="V31" s="681">
        <f t="array" aca="1" ref="V31" ca="1">IF(Q18=C18,SUM(IF(($BR$52:$BR$60=C18)*($BS$51:$CA$51=Q19),$BS$52:$CA$60)),0)</f>
        <v>0</v>
      </c>
      <c r="W31" s="681">
        <f t="array" aca="1" ref="W31" ca="1">IF(Q18=C18,SUM(IF(($BR$52:$BR$60=C18)*($BS$51:$CA$51=Q20),$BS$52:$CA$60)),0)</f>
        <v>0</v>
      </c>
      <c r="X31" s="681">
        <f t="array" aca="1" ref="X31" ca="1">IF(Q18=C18,SUM(IF(($BR$52:$BR$60=C18)*($BS$51:$CA$51=Q21),$BS$52:$CA$60)),0)</f>
        <v>0</v>
      </c>
      <c r="Y31" s="681">
        <f t="array" aca="1" ref="Y31" ca="1">IF(Q18=C18,SUM(IF(($BR$52:$BR$60=C18)*($BS$51:$CA$51=Q22),$BS$52:$CA$60)),0)</f>
        <v>0</v>
      </c>
      <c r="Z31" s="681">
        <f t="array" aca="1" ref="Z31" ca="1">IF(Q18=C18,SUM(IF(($BR$52:$BR$60=C18)*($BS$51:$CA$51=Q23),$BS$52:$CA$60)),0)</f>
        <v>0</v>
      </c>
      <c r="AA31" s="681">
        <f t="array" aca="1" ref="AA31" ca="1">IF(Q18=C18,SUM(IF(($BR$52:$BR$60=C18)*($BS$51:$CA$51=Q$24),$BS$52:$CA$60)),0)</f>
        <v>0</v>
      </c>
      <c r="AB31" s="681">
        <f t="array" aca="1" ref="AB31" ca="1">IF(Q18=C18,SUM(IF(($BR$52:$BR$60=C18)*($BS$51:$CA$51=Q$25),$BS$52:$CA$60)),0)</f>
        <v>0</v>
      </c>
      <c r="AC31" s="692">
        <f t="array" aca="1" ref="AC31" ca="1">IF(R18=C18,SUM(IF(($BR$52:$BR$60=C18)*($BS$51:$CA$51=R17),$BS$52:$CA$60)),0)</f>
        <v>0</v>
      </c>
      <c r="AD31" s="681">
        <f t="array" aca="1" ref="AD31" ca="1">IF(R18=C18,SUM(IF(($BR$52:$BR$60=C18)*($BS$51:$CA$51=R19),$BS$52:$CA$60)),0)</f>
        <v>0</v>
      </c>
      <c r="AE31" s="681">
        <f t="array" aca="1" ref="AE31" ca="1">IF(R18=C18,SUM(IF(($BR$52:$BR$60=C18)*($BS$51:$CA$51=R20),$BS$52:$CA$60)),0)</f>
        <v>0</v>
      </c>
      <c r="AF31" s="681">
        <f t="array" aca="1" ref="AF31" ca="1">IF(R18=C18,SUM(IF(($BR$52:$BR$60=C18)*($BS$51:$CA$51=R21),$BS$52:$CA$60)),0)</f>
        <v>0</v>
      </c>
      <c r="AG31" s="681">
        <f t="array" aca="1" ref="AG31" ca="1">IF(R18=C18,SUM(IF(($BR$52:$BR$60=C18)*($BS$51:$CA$51=R22),$BS$52:$CA$60)),0)</f>
        <v>0</v>
      </c>
      <c r="AH31" s="681">
        <f t="array" aca="1" ref="AH31" ca="1">IF(R18=C18,SUM(IF(($BR$52:$BR$60=C18)*($BS$51:$CA$51=R23),$BS$52:$CA$60)),0)</f>
        <v>0</v>
      </c>
      <c r="AI31" s="681">
        <f t="array" aca="1" ref="AI31" ca="1">IF(R18=C18,SUM(IF(($BR$52:$BR$60=C18)*($BS$51:$CA$51=R$24),$BS$52:$CA$60)),0)</f>
        <v>0</v>
      </c>
      <c r="AJ31" s="681">
        <f t="array" aca="1" ref="AJ31" ca="1">IF(R18=C18,SUM(IF(($BR$52:$BR$60=C18)*($BS$51:$CA$51=R$25),$BS$52:$CA$60)),0)</f>
        <v>0</v>
      </c>
      <c r="AK31" s="692">
        <f t="array" aca="1" ref="AK31" ca="1">IF(S18=C18,SUM(IF(($BR$52:$BR$60=C18)*($BS$51:$CA$51=S17),$BS$52:$CA$60)),0)</f>
        <v>0</v>
      </c>
      <c r="AL31" s="681">
        <f t="array" aca="1" ref="AL31" ca="1">IF(S18=C18,SUM(IF(($BR$52:$BR$60=C18)*($BS$51:$CA$51=S19),$BS$52:$CA$60)),0)</f>
        <v>0</v>
      </c>
      <c r="AM31" s="681">
        <f t="array" aca="1" ref="AM31" ca="1">IF(S18=C18,SUM(IF(($BR$52:$BR$60=C18)*($BS$51:$CA$51=S20),$BS$52:$CA$60)),0)</f>
        <v>0</v>
      </c>
      <c r="AN31" s="681">
        <f t="array" aca="1" ref="AN31" ca="1">IF(S18=C18,SUM(IF(($BR$52:$BR$60=C18)*($BS$51:$CA$51=S21),$BS$52:$CA$60)),0)</f>
        <v>0</v>
      </c>
      <c r="AO31" s="681">
        <f t="array" aca="1" ref="AO31" ca="1">IF(S18=C18,SUM(IF(($BR$52:$BR$60=C18)*($BS$51:$CA$51=S22),$BS$52:$CA$60)),0)</f>
        <v>0</v>
      </c>
      <c r="AP31" s="681">
        <f t="array" aca="1" ref="AP31" ca="1">IF(S18=C18,SUM(IF(($BR$52:$BR$60=C18)*($BS$51:$CA$51=S23),$BS$52:$CA$60)),0)</f>
        <v>0</v>
      </c>
      <c r="AQ31" s="681">
        <f t="array" aca="1" ref="AQ31" ca="1">IF(S18=C18,SUM(IF(($BR$52:$BR$60=C18)*($BS$51:$CA$51=S$24),$BS$52:$CA$60)),0)</f>
        <v>0</v>
      </c>
      <c r="AR31" s="681">
        <f t="array" aca="1" ref="AR31" ca="1">IF(S18=C18,SUM(IF(($BR$52:$BR$60=C18)*($BS$51:$CA$51=S$25),$BS$52:$CA$60)),0)</f>
        <v>0</v>
      </c>
      <c r="AS31" s="692">
        <f t="array" aca="1" ref="AS31" ca="1">IF(T18=C18,SUM(IF(($BR$52:$BR$60=C18)*($BS$51:$CA$51=T17),$BS$52:$CA$60)),0)</f>
        <v>0</v>
      </c>
      <c r="AT31" s="681">
        <f t="array" aca="1" ref="AT31" ca="1">IF(T18=C18,SUM(IF(($BR$52:$BR$60=C18)*($BS$51:$CA$51=T19),$BS$52:$CA$60)),0)</f>
        <v>0</v>
      </c>
      <c r="AU31" s="681">
        <f t="array" aca="1" ref="AU31" ca="1">IF(T18=C18,SUM(IF(($BR$52:$BR$60=C18)*($BS$51:$CA$51=T20),$BS$52:$CA$60)),0)</f>
        <v>0</v>
      </c>
      <c r="AV31" s="681">
        <f t="array" aca="1" ref="AV31" ca="1">IF(T18=C18,SUM(IF(($BR$52:$BR$60=C18)*($BS$51:$CA$51=T21),$BS$52:$CA$60)),0)</f>
        <v>0</v>
      </c>
      <c r="AW31" s="681">
        <f t="array" aca="1" ref="AW31" ca="1">IF(T18=C18,SUM(IF(($BR$52:$BR$60=C18)*($BS$51:$CA$51=T22),$BS$52:$CA$60)),0)</f>
        <v>0</v>
      </c>
      <c r="AX31" s="681">
        <f t="array" aca="1" ref="AX31" ca="1">IF(T18=C18,SUM(IF(($BR$52:$BR$60=C18)*($BS$51:$CA$51=T23),$BS$52:$CA$60)),0)</f>
        <v>0</v>
      </c>
      <c r="AY31" s="681">
        <f t="array" aca="1" ref="AY31" ca="1">IF(T18=C18,SUM(IF(($BR$52:$BR$60=C18)*($BS$51:$CA$51=T$24),$BS$52:$CA$60)),0)</f>
        <v>0</v>
      </c>
      <c r="AZ31" s="681">
        <f t="array" aca="1" ref="AZ31" ca="1">IF(T18=C18,SUM(IF(($BR$52:$BR$60=C18)*($BS$51:$CA$51=T$25),$BS$52:$CA$60)),0)</f>
        <v>0</v>
      </c>
      <c r="BA31" s="692">
        <f t="array" aca="1" ref="BA31" ca="1">IF(U18=C18,SUM(IF(($BR$52:$BR$60=C18)*($BS$51:$CA$51=U$17),$BS$52:$CA$60)),0)</f>
        <v>0</v>
      </c>
      <c r="BB31" s="681">
        <f t="array" aca="1" ref="BB31" ca="1">IF(U18=C18,SUM(IF(($BR$52:$BR$60=C18)*($BS$51:$CA$51=U$19),$BS$52:$CA$60)),0)</f>
        <v>0</v>
      </c>
      <c r="BC31" s="681">
        <f t="array" aca="1" ref="BC31" ca="1">IF(U18=C18,SUM(IF(($BR$52:$BR$60=C18)*($BS$51:$CA$51=U$20),$BS$52:$CA$60)),0)</f>
        <v>0</v>
      </c>
      <c r="BD31" s="681">
        <f t="array" aca="1" ref="BD31" ca="1">IF(U18=C18,SUM(IF(($BR$52:$BR$60=C18)*($BS$51:$CA$51=U$21),$BS$52:$CA$60)),0)</f>
        <v>0</v>
      </c>
      <c r="BE31" s="681">
        <f t="array" aca="1" ref="BE31" ca="1">IF(U18=C18,SUM(IF(($BR$52:$BR$60=C18)*($BS$51:$CA$51=U$22),$BS$52:$CA$60)),0)</f>
        <v>0</v>
      </c>
      <c r="BF31" s="681">
        <f t="array" aca="1" ref="BF31" ca="1">IF(U18=C18,SUM(IF(($BR$52:$BR$60=C18)*($BS$51:$CA$51=U$23),$BS$52:$CA$60)),0)</f>
        <v>0</v>
      </c>
      <c r="BG31" s="681">
        <f t="array" aca="1" ref="BG31" ca="1">IF(U18=C18,SUM(IF(($BR$52:$BR$60=C18)*($BS$51:$CA$51=U$24),$BS$52:$CA$60)),0)</f>
        <v>0</v>
      </c>
      <c r="BH31" s="681">
        <f t="array" aca="1" ref="BH31" ca="1">IF(U18=C18,SUM(IF(($BR$52:$BR$60=C18)*($BS$51:$CA$51=U$25),$BS$52:$CA$60)),0)</f>
        <v>0</v>
      </c>
      <c r="BI31" s="692">
        <f t="array" aca="1" ref="BI31" ca="1">IF(V18=C18,SUM(IF(($BR$52:$BR$60=C18)*($BS$51:$CA$51=V$17),$BS$52:$CA$60)),0)</f>
        <v>0</v>
      </c>
      <c r="BJ31" s="681">
        <f t="array" aca="1" ref="BJ31" ca="1">IF(V18=C18,SUM(IF(($BR$52:$BR$60=C18)*($BS$51:$CA$51=V$19),$BS$52:$CA$60)),0)</f>
        <v>0</v>
      </c>
      <c r="BK31" s="681">
        <f t="array" aca="1" ref="BK31" ca="1">IF(V18=C18,SUM(IF(($BR$52:$BR$60=C18)*($BS$51:$CA$51=V$20),$BS$52:$CA$60)),0)</f>
        <v>0</v>
      </c>
      <c r="BL31" s="681">
        <f t="array" aca="1" ref="BL31" ca="1">IF(V18=C18,SUM(IF(($BR$52:$BR$60=C18)*($BS$51:$CA$51=V$21),$BS$52:$CA$60)),0)</f>
        <v>0</v>
      </c>
      <c r="BM31" s="681">
        <f t="array" aca="1" ref="BM31" ca="1">IF(V18=C18,SUM(IF(($BR$52:$BR$60=C18)*($BS$51:$CA$51=V$22),$BS$52:$CA$60)),0)</f>
        <v>0</v>
      </c>
      <c r="BN31" s="681">
        <f t="array" aca="1" ref="BN31" ca="1">IF(V18=C18,SUM(IF(($BR$52:$BR$60=C18)*($BS$51:$CA$51=V$23),$BS$52:$CA$60)),0)</f>
        <v>0</v>
      </c>
      <c r="BO31" s="681">
        <f t="array" aca="1" ref="BO31" ca="1">IF(V18=C18,SUM(IF(($BR$52:$BR$60=C18)*($BS$51:$CA$51=V$24),$BS$52:$CA$60)),0)</f>
        <v>0</v>
      </c>
      <c r="BP31" s="701">
        <f t="array" aca="1" ref="BP31" ca="1">IF(V18=C18,SUM(IF(($BR$52:$BR$60=C18)*($BS$51:$CA$51=V$25),$BS$52:$CA$60)),0)</f>
        <v>0</v>
      </c>
      <c r="BQ31" s="681"/>
      <c r="BR31" s="660" t="str">
        <f t="shared" ca="1" si="33"/>
        <v>Mainz 05</v>
      </c>
      <c r="BS31" s="704">
        <f t="shared" ref="BS31:BS38" ca="1" si="36">SUMIFS($AH$64:$AH$135,$V$64:$V$135,$BR31,$W$64:$W$135,BS$29)+SUMIFS($AI$64:$AI$135,$W$64:$W$135,$BR31,$V$64:$V$135,BS$29)</f>
        <v>65</v>
      </c>
      <c r="BT31" s="702"/>
      <c r="BU31" s="703">
        <f t="shared" ref="BU31:CA31" ca="1" si="37">SUMIFS($AH$64:$AH$135,$V$64:$V$135,$BR31,$W$64:$W$135,BU$29)+SUMIFS($AI$64:$AI$135,$W$64:$W$135,$BR31,$V$64:$V$135,BU$29)</f>
        <v>0</v>
      </c>
      <c r="BV31" s="703">
        <f t="shared" ca="1" si="37"/>
        <v>0</v>
      </c>
      <c r="BW31" s="703">
        <f t="shared" ca="1" si="37"/>
        <v>0</v>
      </c>
      <c r="BX31" s="703">
        <f t="shared" ca="1" si="37"/>
        <v>0</v>
      </c>
      <c r="BY31" s="703">
        <f t="shared" ca="1" si="37"/>
        <v>0</v>
      </c>
      <c r="BZ31" s="703">
        <f t="shared" ca="1" si="37"/>
        <v>0</v>
      </c>
      <c r="CA31" s="703">
        <f t="shared" ca="1" si="37"/>
        <v>0</v>
      </c>
      <c r="CB31" s="681"/>
    </row>
    <row r="32" spans="1:80" s="1" customFormat="1" x14ac:dyDescent="0.2">
      <c r="A32" s="660"/>
      <c r="B32" s="660"/>
      <c r="C32" s="660" t="str">
        <f t="shared" ca="1" si="35"/>
        <v/>
      </c>
      <c r="D32" s="660"/>
      <c r="E32" s="700">
        <f t="array" aca="1" ref="E32" ca="1">IF(O19=C19,SUM(IF(($BR$52:$BR$60=C19)*($BS$51:$CA$51=O17),$BS$52:$CA$60)),0)</f>
        <v>0</v>
      </c>
      <c r="F32" s="681">
        <f t="array" aca="1" ref="F32" ca="1">IF(O19=C19,SUM(IF(($BR$52:$BR$60=C19)*($BS$51:$CA$51=O18),$BS$52:$CA$60)),0)</f>
        <v>0</v>
      </c>
      <c r="G32" s="681">
        <f t="array" aca="1" ref="G32" ca="1">IF(O19=C19,SUM(IF(($BR$52:$BR$60=C19)*($BS$51:$CA$51=O20),$BS$52:$CA$60)),0)</f>
        <v>0</v>
      </c>
      <c r="H32" s="681">
        <f t="array" aca="1" ref="H32" ca="1">IF(O19=C19,SUM(IF(($BR$52:$BR$60=C19)*($BS$51:$CA$51=O21),$BS$52:$CA$60)),0)</f>
        <v>0</v>
      </c>
      <c r="I32" s="681">
        <f t="array" aca="1" ref="I32" ca="1">IF(O19=C19,SUM(IF(($BR$52:$BR$60=C19)*($BS$51:$CA$51=O22),$BS$52:$CA$60)),0)</f>
        <v>0</v>
      </c>
      <c r="J32" s="681">
        <f t="array" aca="1" ref="J32" ca="1">IF(O19=C19,SUM(IF(($BR$52:$BR$60=C19)*($BS$51:$CA$51=O23),$BS$52:$CA$60)),0)</f>
        <v>0</v>
      </c>
      <c r="K32" s="681">
        <f t="array" aca="1" ref="K32" ca="1">IF(O19=C19,SUM(IF(($BR$52:$BR$60=C19)*($BS$51:$CA$51=O$24),$BS$52:$CA$60)),0)</f>
        <v>0</v>
      </c>
      <c r="L32" s="681">
        <f t="array" aca="1" ref="L32" ca="1">IF(O19=C19,SUM(IF(($BR$52:$BR$60=C19)*($BS$51:$CA$51=O$25),$BS$52:$CA$60)),0)</f>
        <v>0</v>
      </c>
      <c r="M32" s="692">
        <f t="array" aca="1" ref="M32" ca="1">IF(P19=C19,SUM(IF(($BR$52:$BR$60=C19)*($BS$51:$CA$51=P17),$BS$52:$CA$60)),0)</f>
        <v>0</v>
      </c>
      <c r="N32" s="681">
        <f t="array" aca="1" ref="N32" ca="1">IF(P19=C19,SUM(IF(($BR$52:$BR$60=C19)*($BS$51:$CA$51=P18),$BS$52:$CA$60)),0)</f>
        <v>0</v>
      </c>
      <c r="O32" s="681">
        <f t="array" aca="1" ref="O32" ca="1">IF(P19=C19,SUM(IF(($BR$52:$BR$60=C19)*($BS$51:$CA$51=P20),$BS$52:$CA$60)),0)</f>
        <v>0</v>
      </c>
      <c r="P32" s="681">
        <f t="array" aca="1" ref="P32" ca="1">IF(P19=C19,SUM(IF(($BR$52:$BR$60=C19)*($BS$51:$CA$51=P21),$BS$52:$CA$60)),0)</f>
        <v>0</v>
      </c>
      <c r="Q32" s="681">
        <f t="array" aca="1" ref="Q32" ca="1">IF(P19=C19,SUM(IF(($BR$52:$BR$60=C19)*($BS$51:$CA$51=P22),$BS$52:$CA$60)),0)</f>
        <v>0</v>
      </c>
      <c r="R32" s="681">
        <f t="array" aca="1" ref="R32" ca="1">IF(P19=C19,SUM(IF(($BR$52:$BR$60=C19)*($BS$51:$CA$51=P23),$BS$52:$CA$60)),0)</f>
        <v>0</v>
      </c>
      <c r="S32" s="681">
        <f t="array" aca="1" ref="S32" ca="1">IF(P19=C19,SUM(IF(($BR$52:$BR$60=C19)*($BS$51:$CA$51=P$24),$BS$52:$CA$60)),0)</f>
        <v>0</v>
      </c>
      <c r="T32" s="681">
        <f t="array" aca="1" ref="T32" ca="1">IF(P19=C19,SUM(IF(($BR$52:$BR$60=C19)*($BS$51:$CA$51=P$25),$BS$52:$CA$60)),0)</f>
        <v>0</v>
      </c>
      <c r="U32" s="692">
        <f t="array" aca="1" ref="U32" ca="1">IF(Q19=C19,SUM(IF(($BR$52:$BR$60=C19)*($BS$51:$CA$51=Q17),$BS$52:$CA$60)),0)</f>
        <v>0</v>
      </c>
      <c r="V32" s="681">
        <f t="array" aca="1" ref="V32" ca="1">IF(Q19=C19,SUM(IF(($BR$52:$BR$60=C19)*($BS$51:$CA$51=Q18),$BS$52:$CA$60)),0)</f>
        <v>0</v>
      </c>
      <c r="W32" s="681">
        <f t="array" aca="1" ref="W32" ca="1">IF(Q19=C19,SUM(IF(($BR$52:$BR$60=C19)*($BS$51:$CA$51=Q20),$BS$52:$CA$60)),0)</f>
        <v>0</v>
      </c>
      <c r="X32" s="681">
        <f t="array" aca="1" ref="X32" ca="1">IF(Q19=C19,SUM(IF(($BR$52:$BR$60=C19)*($BS$51:$CA$51=Q21),$BS$52:$CA$60)),0)</f>
        <v>0</v>
      </c>
      <c r="Y32" s="681">
        <f t="array" aca="1" ref="Y32" ca="1">IF(Q19=C19,SUM(IF(($BR$52:$BR$60=C19)*($BS$51:$CA$51=Q22),$BS$52:$CA$60)),0)</f>
        <v>0</v>
      </c>
      <c r="Z32" s="681">
        <f t="array" aca="1" ref="Z32" ca="1">IF(Q19=C19,SUM(IF(($BR$52:$BR$60=C19)*($BS$51:$CA$51=Q23),$BS$52:$CA$60)),0)</f>
        <v>0</v>
      </c>
      <c r="AA32" s="681">
        <f t="array" aca="1" ref="AA32" ca="1">IF(Q19=C19,SUM(IF(($BR$52:$BR$60=C19)*($BS$51:$CA$51=Q$24),$BS$52:$CA$60)),0)</f>
        <v>0</v>
      </c>
      <c r="AB32" s="681">
        <f t="array" aca="1" ref="AB32" ca="1">IF(Q19=C19,SUM(IF(($BR$52:$BR$60=C19)*($BS$51:$CA$51=Q$25),$BS$52:$CA$60)),0)</f>
        <v>0</v>
      </c>
      <c r="AC32" s="692">
        <f t="array" aca="1" ref="AC32" ca="1">IF(R19=C19,SUM(IF(($BR$52:$BR$60=C19)*($BS$51:$CA$51=R17),$BS$52:$CA$60)),0)</f>
        <v>0</v>
      </c>
      <c r="AD32" s="681">
        <f t="array" aca="1" ref="AD32" ca="1">IF(R19=C19,SUM(IF(($BR$52:$BR$60=C19)*($BS$51:$CA$51=R18),$BS$52:$CA$60)),0)</f>
        <v>0</v>
      </c>
      <c r="AE32" s="681">
        <f t="array" aca="1" ref="AE32" ca="1">IF(R19=C19,SUM(IF(($BR$52:$BR$60=C19)*($BS$51:$CA$51=R20),$BS$52:$CA$60)),0)</f>
        <v>0</v>
      </c>
      <c r="AF32" s="681">
        <f t="array" aca="1" ref="AF32" ca="1">IF(R19=C19,SUM(IF(($BR$52:$BR$60=C19)*($BS$51:$CA$51=R21),$BS$52:$CA$60)),0)</f>
        <v>0</v>
      </c>
      <c r="AG32" s="681">
        <f t="array" aca="1" ref="AG32" ca="1">IF(R19=C19,SUM(IF(($BR$52:$BR$60=C19)*($BS$51:$CA$51=R22),$BS$52:$CA$60)),0)</f>
        <v>0</v>
      </c>
      <c r="AH32" s="681">
        <f t="array" aca="1" ref="AH32" ca="1">IF(R19=C19,SUM(IF(($BR$52:$BR$60=C19)*($BS$51:$CA$51=R23),$BS$52:$CA$60)),0)</f>
        <v>0</v>
      </c>
      <c r="AI32" s="681">
        <f t="array" aca="1" ref="AI32" ca="1">IF(R19=C19,SUM(IF(($BR$52:$BR$60=C19)*($BS$51:$CA$51=R$24),$BS$52:$CA$60)),0)</f>
        <v>0</v>
      </c>
      <c r="AJ32" s="681">
        <f t="array" aca="1" ref="AJ32" ca="1">IF(R19=C19,SUM(IF(($BR$52:$BR$60=C19)*($BS$51:$CA$51=R$25),$BS$52:$CA$60)),0)</f>
        <v>0</v>
      </c>
      <c r="AK32" s="692">
        <f t="array" aca="1" ref="AK32" ca="1">IF(S19=C19,SUM(IF(($BR$52:$BR$60=C19)*($BS$51:$CA$51=S17),$BS$52:$CA$60)),0)</f>
        <v>0</v>
      </c>
      <c r="AL32" s="681">
        <f t="array" aca="1" ref="AL32" ca="1">IF(S19=C19,SUM(IF(($BR$52:$BR$60=C19)*($BS$51:$CA$51=S18),$BS$52:$CA$60)),0)</f>
        <v>0</v>
      </c>
      <c r="AM32" s="681">
        <f t="array" aca="1" ref="AM32" ca="1">IF(S19=C19,SUM(IF(($BR$52:$BR$60=C19)*($BS$51:$CA$51=S20),$BS$52:$CA$60)),0)</f>
        <v>0</v>
      </c>
      <c r="AN32" s="681">
        <f t="array" aca="1" ref="AN32" ca="1">IF(S19=C19,SUM(IF(($BR$52:$BR$60=C19)*($BS$51:$CA$51=S21),$BS$52:$CA$60)),0)</f>
        <v>0</v>
      </c>
      <c r="AO32" s="681">
        <f t="array" aca="1" ref="AO32" ca="1">IF(S19=C19,SUM(IF(($BR$52:$BR$60=C19)*($BS$51:$CA$51=S22),$BS$52:$CA$60)),0)</f>
        <v>0</v>
      </c>
      <c r="AP32" s="681">
        <f t="array" aca="1" ref="AP32" ca="1">IF(S19=C19,SUM(IF(($BR$52:$BR$60=C19)*($BS$51:$CA$51=S23),$BS$52:$CA$60)),0)</f>
        <v>0</v>
      </c>
      <c r="AQ32" s="681">
        <f t="array" aca="1" ref="AQ32" ca="1">IF(S19=C19,SUM(IF(($BR$52:$BR$60=C19)*($BS$51:$CA$51=S$24),$BS$52:$CA$60)),0)</f>
        <v>0</v>
      </c>
      <c r="AR32" s="681">
        <f t="array" aca="1" ref="AR32" ca="1">IF(S19=C19,SUM(IF(($BR$52:$BR$60=C19)*($BS$51:$CA$51=S$25),$BS$52:$CA$60)),0)</f>
        <v>0</v>
      </c>
      <c r="AS32" s="692">
        <f t="array" aca="1" ref="AS32" ca="1">IF(T19=C19,SUM(IF(($BR$52:$BR$60=C19)*($BS$51:$CA$51=T17),$BS$52:$CA$60)),0)</f>
        <v>0</v>
      </c>
      <c r="AT32" s="681">
        <f t="array" aca="1" ref="AT32" ca="1">IF(T19=C19,SUM(IF(($BR$52:$BR$60=C19)*($BS$51:$CA$51=T18),$BS$52:$CA$60)),0)</f>
        <v>0</v>
      </c>
      <c r="AU32" s="681">
        <f t="array" aca="1" ref="AU32" ca="1">IF(T19=C19,SUM(IF(($BR$52:$BR$60=C19)*($BS$51:$CA$51=T20),$BS$52:$CA$60)),0)</f>
        <v>0</v>
      </c>
      <c r="AV32" s="681">
        <f t="array" aca="1" ref="AV32" ca="1">IF(T19=C19,SUM(IF(($BR$52:$BR$60=C19)*($BS$51:$CA$51=T21),$BS$52:$CA$60)),0)</f>
        <v>0</v>
      </c>
      <c r="AW32" s="681">
        <f t="array" aca="1" ref="AW32" ca="1">IF(T19=C19,SUM(IF(($BR$52:$BR$60=C19)*($BS$51:$CA$51=T22),$BS$52:$CA$60)),0)</f>
        <v>0</v>
      </c>
      <c r="AX32" s="681">
        <f t="array" aca="1" ref="AX32" ca="1">IF(T19=C19,SUM(IF(($BR$52:$BR$60=C19)*($BS$51:$CA$51=T23),$BS$52:$CA$60)),0)</f>
        <v>0</v>
      </c>
      <c r="AY32" s="681">
        <f t="array" aca="1" ref="AY32" ca="1">IF(T19=C19,SUM(IF(($BR$52:$BR$60=C19)*($BS$51:$CA$51=T$24),$BS$52:$CA$60)),0)</f>
        <v>0</v>
      </c>
      <c r="AZ32" s="681">
        <f t="array" aca="1" ref="AZ32" ca="1">IF(T19=C19,SUM(IF(($BR$52:$BR$60=C19)*($BS$51:$CA$51=T$25),$BS$52:$CA$60)),0)</f>
        <v>0</v>
      </c>
      <c r="BA32" s="692">
        <f t="array" aca="1" ref="BA32" ca="1">IF(U19=C19,SUM(IF(($BR$52:$BR$60=C19)*($BS$51:$CA$51=U$17),$BS$52:$CA$60)),0)</f>
        <v>0</v>
      </c>
      <c r="BB32" s="681">
        <f t="array" aca="1" ref="BB32" ca="1">IF(U19=C19,SUM(IF(($BR$52:$BR$60=C19)*($BS$51:$CA$51=U$18),$BS$52:$CA$60)),0)</f>
        <v>0</v>
      </c>
      <c r="BC32" s="681">
        <f t="array" aca="1" ref="BC32" ca="1">IF(U19=C19,SUM(IF(($BR$52:$BR$60=C19)*($BS$51:$CA$51=U$20),$BS$52:$CA$60)),0)</f>
        <v>0</v>
      </c>
      <c r="BD32" s="681">
        <f t="array" aca="1" ref="BD32" ca="1">IF(U19=C19,SUM(IF(($BR$52:$BR$60=C19)*($BS$51:$CA$51=U$21),$BS$52:$CA$60)),0)</f>
        <v>0</v>
      </c>
      <c r="BE32" s="681">
        <f t="array" aca="1" ref="BE32" ca="1">IF(U19=C19,SUM(IF(($BR$52:$BR$60=C19)*($BS$51:$CA$51=U$22),$BS$52:$CA$60)),0)</f>
        <v>0</v>
      </c>
      <c r="BF32" s="681">
        <f t="array" aca="1" ref="BF32" ca="1">IF(U19=C19,SUM(IF(($BR$52:$BR$60=C19)*($BS$51:$CA$51=U$23),$BS$52:$CA$60)),0)</f>
        <v>0</v>
      </c>
      <c r="BG32" s="681">
        <f t="array" aca="1" ref="BG32" ca="1">IF(U19=C19,SUM(IF(($BR$52:$BR$60=C19)*($BS$51:$CA$51=U$24),$BS$52:$CA$60)),0)</f>
        <v>0</v>
      </c>
      <c r="BH32" s="681">
        <f t="array" aca="1" ref="BH32" ca="1">IF(U19=C19,SUM(IF(($BR$52:$BR$60=C19)*($BS$51:$CA$51=U$25),$BS$52:$CA$60)),0)</f>
        <v>0</v>
      </c>
      <c r="BI32" s="692">
        <f t="array" aca="1" ref="BI32" ca="1">IF(V19=C19,SUM(IF(($BR$52:$BR$60=C19)*($BS$51:$CA$51=V$17),$BS$52:$CA$60)),0)</f>
        <v>0</v>
      </c>
      <c r="BJ32" s="681">
        <f t="array" aca="1" ref="BJ32" ca="1">IF(V19=C19,SUM(IF(($BR$52:$BR$60=C19)*($BS$51:$CA$51=V$18),$BS$52:$CA$60)),0)</f>
        <v>0</v>
      </c>
      <c r="BK32" s="681">
        <f t="array" aca="1" ref="BK32" ca="1">IF(V19=C19,SUM(IF(($BR$52:$BR$60=C19)*($BS$51:$CA$51=V$20),$BS$52:$CA$60)),0)</f>
        <v>0</v>
      </c>
      <c r="BL32" s="681">
        <f t="array" aca="1" ref="BL32" ca="1">IF(V19=C19,SUM(IF(($BR$52:$BR$60=C19)*($BS$51:$CA$51=V$21),$BS$52:$CA$60)),0)</f>
        <v>0</v>
      </c>
      <c r="BM32" s="681">
        <f t="array" aca="1" ref="BM32" ca="1">IF(V19=C19,SUM(IF(($BR$52:$BR$60=C19)*($BS$51:$CA$51=V$22),$BS$52:$CA$60)),0)</f>
        <v>0</v>
      </c>
      <c r="BN32" s="681">
        <f t="array" aca="1" ref="BN32" ca="1">IF(V19=C19,SUM(IF(($BR$52:$BR$60=C19)*($BS$51:$CA$51=V$23),$BS$52:$CA$60)),0)</f>
        <v>0</v>
      </c>
      <c r="BO32" s="681">
        <f t="array" aca="1" ref="BO32" ca="1">IF(V19=C19,SUM(IF(($BR$52:$BR$60=C19)*($BS$51:$CA$51=V$24),$BS$52:$CA$60)),0)</f>
        <v>0</v>
      </c>
      <c r="BP32" s="701">
        <f t="array" aca="1" ref="BP32" ca="1">IF(V19=C19,SUM(IF(($BR$52:$BR$60=C19)*($BS$51:$CA$51=V$25),$BS$52:$CA$60)),0)</f>
        <v>0</v>
      </c>
      <c r="BQ32" s="681"/>
      <c r="BR32" s="660" t="str">
        <f t="shared" ca="1" si="33"/>
        <v/>
      </c>
      <c r="BS32" s="704">
        <f t="shared" ca="1" si="36"/>
        <v>0</v>
      </c>
      <c r="BT32" s="704">
        <f t="shared" ref="BT32:BT38" ca="1" si="38">SUMIFS($AH$64:$AH$135,$V$64:$V$135,$BR32,$W$64:$W$135,BT$29)+SUMIFS($AI$64:$AI$135,$W$64:$W$135,$BR32,$V$64:$V$135,BT$29)</f>
        <v>0</v>
      </c>
      <c r="BU32" s="702"/>
      <c r="BV32" s="703">
        <f t="shared" ref="BV32:CA32" ca="1" si="39">SUMIFS($AH$64:$AH$135,$V$64:$V$135,$BR32,$W$64:$W$135,BV$29)+SUMIFS($AI$64:$AI$135,$W$64:$W$135,$BR32,$V$64:$V$135,BV$29)</f>
        <v>0</v>
      </c>
      <c r="BW32" s="703">
        <f t="shared" ca="1" si="39"/>
        <v>0</v>
      </c>
      <c r="BX32" s="703">
        <f t="shared" ca="1" si="39"/>
        <v>0</v>
      </c>
      <c r="BY32" s="703">
        <f t="shared" ca="1" si="39"/>
        <v>0</v>
      </c>
      <c r="BZ32" s="703">
        <f t="shared" ca="1" si="39"/>
        <v>0</v>
      </c>
      <c r="CA32" s="703">
        <f t="shared" ca="1" si="39"/>
        <v>0</v>
      </c>
      <c r="CB32" s="681"/>
    </row>
    <row r="33" spans="1:80" s="1" customFormat="1" x14ac:dyDescent="0.2">
      <c r="A33" s="660"/>
      <c r="B33" s="660"/>
      <c r="C33" s="660" t="str">
        <f t="shared" ca="1" si="35"/>
        <v/>
      </c>
      <c r="D33" s="660"/>
      <c r="E33" s="700">
        <f t="array" aca="1" ref="E33" ca="1">IF(O20=C20,SUM(IF(($BR$52:$BR$60=C20)*($BS$51:$CA$51=O17),$BS$52:$CA$60)),0)</f>
        <v>0</v>
      </c>
      <c r="F33" s="681">
        <f t="array" aca="1" ref="F33" ca="1">IF(O20=C20,SUM(IF(($BR$52:$BR$60=C20)*($BS$51:$CA$51=O18),$BS$52:$CA$60)),0)</f>
        <v>0</v>
      </c>
      <c r="G33" s="681">
        <f t="array" aca="1" ref="G33" ca="1">IF(O20=C20,SUM(IF(($BR$52:$BR$60=C20)*($BS$51:$CA$51=O19),$BS$52:$CA$60)),0)</f>
        <v>0</v>
      </c>
      <c r="H33" s="681">
        <f t="array" aca="1" ref="H33" ca="1">IF(O20=C20,SUM(IF(($BR$52:$BR$60=C20)*($BS$51:$CA$51=O21),$BS$52:$CA$60)),0)</f>
        <v>0</v>
      </c>
      <c r="I33" s="681">
        <f t="array" aca="1" ref="I33" ca="1">IF(O20=C20,SUM(IF(($BR$52:$BR$60=C20)*($BS$51:$CA$51=O22),$BS$52:$CA$60)),0)</f>
        <v>0</v>
      </c>
      <c r="J33" s="681">
        <f t="array" aca="1" ref="J33" ca="1">IF(O20=C20,SUM(IF(($BR$52:$BR$60=C20)*($BS$51:$CA$51=O23),$BS$52:$CA$60)),0)</f>
        <v>0</v>
      </c>
      <c r="K33" s="681">
        <f t="array" aca="1" ref="K33" ca="1">IF(O20=C20,SUM(IF(($BR$52:$BR$60=C20)*($BS$51:$CA$51=O$24),$BS$52:$CA$60)),0)</f>
        <v>0</v>
      </c>
      <c r="L33" s="681">
        <f t="array" aca="1" ref="L33" ca="1">IF(O20=C20,SUM(IF(($BR$52:$BR$60=C20)*($BS$51:$CA$51=O$25),$BS$52:$CA$60)),0)</f>
        <v>0</v>
      </c>
      <c r="M33" s="692">
        <f t="array" aca="1" ref="M33" ca="1">IF(P20=C20,SUM(IF(($BR$52:$BR$60=C20)*($BS$51:$CA$51=P17),$BS$52:$CA$60)),0)</f>
        <v>0</v>
      </c>
      <c r="N33" s="681">
        <f t="array" aca="1" ref="N33" ca="1">IF(P20=C20,SUM(IF(($BR$52:$BR$60=C20)*($BS$51:$CA$51=P18),$BS$52:$CA$60)),0)</f>
        <v>0</v>
      </c>
      <c r="O33" s="681">
        <f t="array" aca="1" ref="O33" ca="1">IF(P20=C20,SUM(IF(($BR$52:$BR$60=C20)*($BS$51:$CA$51=P19),$BS$52:$CA$60)),0)</f>
        <v>0</v>
      </c>
      <c r="P33" s="681">
        <f t="array" aca="1" ref="P33" ca="1">IF(P20=C20,SUM(IF(($BR$52:$BR$60=C20)*($BS$51:$CA$51=P21),$BS$52:$CA$60)),0)</f>
        <v>0</v>
      </c>
      <c r="Q33" s="681">
        <f t="array" aca="1" ref="Q33" ca="1">IF(P20=C20,SUM(IF(($BR$52:$BR$60=C20)*($BS$51:$CA$51=P22),$BS$52:$CA$60)),0)</f>
        <v>0</v>
      </c>
      <c r="R33" s="681">
        <f t="array" aca="1" ref="R33" ca="1">IF(P20=C20,SUM(IF(($BR$52:$BR$60=C20)*($BS$51:$CA$51=P23),$BS$52:$CA$60)),0)</f>
        <v>0</v>
      </c>
      <c r="S33" s="681">
        <f t="array" aca="1" ref="S33" ca="1">IF(P20=C20,SUM(IF(($BR$52:$BR$60=C20)*($BS$51:$CA$51=P$24),$BS$52:$CA$60)),0)</f>
        <v>0</v>
      </c>
      <c r="T33" s="681">
        <f t="array" aca="1" ref="T33" ca="1">IF(P20=C20,SUM(IF(($BR$52:$BR$60=C20)*($BS$51:$CA$51=P$25),$BS$52:$CA$60)),0)</f>
        <v>0</v>
      </c>
      <c r="U33" s="692">
        <f t="array" aca="1" ref="U33" ca="1">IF(Q20=C20,SUM(IF(($BR$52:$BR$60=C20)*($BS$51:$CA$51=Q17),$BS$52:$CA$60)),0)</f>
        <v>0</v>
      </c>
      <c r="V33" s="681">
        <f t="array" aca="1" ref="V33" ca="1">IF(Q20=C20,SUM(IF(($BR$52:$BR$60=C20)*($BS$51:$CA$51=Q18),$BS$52:$CA$60)),0)</f>
        <v>0</v>
      </c>
      <c r="W33" s="681">
        <f t="array" aca="1" ref="W33" ca="1">IF(Q20=C20,SUM(IF(($BR$52:$BR$60=C20)*($BS$51:$CA$51=Q19),$BS$52:$CA$60)),0)</f>
        <v>0</v>
      </c>
      <c r="X33" s="681">
        <f t="array" aca="1" ref="X33" ca="1">IF(Q20=C20,SUM(IF(($BR$52:$BR$60=C20)*($BS$51:$CA$51=Q21),$BS$52:$CA$60)),0)</f>
        <v>0</v>
      </c>
      <c r="Y33" s="681">
        <f t="array" aca="1" ref="Y33" ca="1">IF(Q20=C20,SUM(IF(($BR$52:$BR$60=C20)*($BS$51:$CA$51=Q22),$BS$52:$CA$60)),0)</f>
        <v>0</v>
      </c>
      <c r="Z33" s="681">
        <f t="array" aca="1" ref="Z33" ca="1">IF(Q20=C20,SUM(IF(($BR$52:$BR$60=C20)*($BS$51:$CA$51=Q23),$BS$52:$CA$60)),0)</f>
        <v>0</v>
      </c>
      <c r="AA33" s="681">
        <f t="array" aca="1" ref="AA33" ca="1">IF(Q20=C20,SUM(IF(($BR$52:$BR$60=C20)*($BS$51:$CA$51=Q$24),$BS$52:$CA$60)),0)</f>
        <v>0</v>
      </c>
      <c r="AB33" s="681">
        <f t="array" aca="1" ref="AB33" ca="1">IF(Q20=C20,SUM(IF(($BR$52:$BR$60=C20)*($BS$51:$CA$51=Q$25),$BS$52:$CA$60)),0)</f>
        <v>0</v>
      </c>
      <c r="AC33" s="692">
        <f t="array" aca="1" ref="AC33" ca="1">IF(R20=C20,SUM(IF(($BR$52:$BR$60=C20)*($BS$51:$CA$51=R17),$BS$52:$CA$60)),0)</f>
        <v>0</v>
      </c>
      <c r="AD33" s="681">
        <f t="array" aca="1" ref="AD33" ca="1">IF(R20=C20,SUM(IF(($BR$52:$BR$60=C20)*($BS$51:$CA$51=R18),$BS$52:$CA$60)),0)</f>
        <v>0</v>
      </c>
      <c r="AE33" s="681">
        <f t="array" aca="1" ref="AE33" ca="1">IF(R20=C20,SUM(IF(($BR$52:$BR$60=C20)*($BS$51:$CA$51=R19),$BS$52:$CA$60)),0)</f>
        <v>0</v>
      </c>
      <c r="AF33" s="681">
        <f t="array" aca="1" ref="AF33" ca="1">IF(R20=C20,SUM(IF(($BR$52:$BR$60=C20)*($BS$51:$CA$51=R21),$BS$52:$CA$60)),0)</f>
        <v>0</v>
      </c>
      <c r="AG33" s="681">
        <f t="array" aca="1" ref="AG33" ca="1">IF(R20=C20,SUM(IF(($BR$52:$BR$60=C20)*($BS$51:$CA$51=R22),$BS$52:$CA$60)),0)</f>
        <v>0</v>
      </c>
      <c r="AH33" s="681">
        <f t="array" aca="1" ref="AH33" ca="1">IF(R20=C20,SUM(IF(($BR$52:$BR$60=C20)*($BS$51:$CA$51=R23),$BS$52:$CA$60)),0)</f>
        <v>0</v>
      </c>
      <c r="AI33" s="681">
        <f t="array" aca="1" ref="AI33" ca="1">IF(R20=C20,SUM(IF(($BR$52:$BR$60=C20)*($BS$51:$CA$51=R$24),$BS$52:$CA$60)),0)</f>
        <v>0</v>
      </c>
      <c r="AJ33" s="681">
        <f t="array" aca="1" ref="AJ33" ca="1">IF(R20=C20,SUM(IF(($BR$52:$BR$60=C20)*($BS$51:$CA$51=R$25),$BS$52:$CA$60)),0)</f>
        <v>0</v>
      </c>
      <c r="AK33" s="692">
        <f t="array" aca="1" ref="AK33" ca="1">IF(S20=C20,SUM(IF(($BR$52:$BR$60=C20)*($BS$51:$CA$51=S17),$BS$52:$CA$60)),0)</f>
        <v>0</v>
      </c>
      <c r="AL33" s="681">
        <f t="array" aca="1" ref="AL33" ca="1">IF(S20=C20,SUM(IF(($BR$52:$BR$60=C20)*($BS$51:$CA$51=S18),$BS$52:$CA$60)),0)</f>
        <v>0</v>
      </c>
      <c r="AM33" s="681">
        <f t="array" aca="1" ref="AM33" ca="1">IF(S20=C20,SUM(IF(($BR$52:$BR$60=C20)*($BS$51:$CA$51=S19),$BS$52:$CA$60)),0)</f>
        <v>0</v>
      </c>
      <c r="AN33" s="681">
        <f t="array" aca="1" ref="AN33" ca="1">IF(S20=C20,SUM(IF(($BR$52:$BR$60=C20)*($BS$51:$CA$51=S21),$BS$52:$CA$60)),0)</f>
        <v>0</v>
      </c>
      <c r="AO33" s="681">
        <f t="array" aca="1" ref="AO33" ca="1">IF(S20=C20,SUM(IF(($BR$52:$BR$60=C20)*($BS$51:$CA$51=S22),$BS$52:$CA$60)),0)</f>
        <v>0</v>
      </c>
      <c r="AP33" s="681">
        <f t="array" aca="1" ref="AP33" ca="1">IF(S20=C20,SUM(IF(($BR$52:$BR$60=C20)*($BS$51:$CA$51=S23),$BS$52:$CA$60)),0)</f>
        <v>0</v>
      </c>
      <c r="AQ33" s="681">
        <f t="array" aca="1" ref="AQ33" ca="1">IF(S20=C20,SUM(IF(($BR$52:$BR$60=C20)*($BS$51:$CA$51=S$24),$BS$52:$CA$60)),0)</f>
        <v>0</v>
      </c>
      <c r="AR33" s="681">
        <f t="array" aca="1" ref="AR33" ca="1">IF(S20=C20,SUM(IF(($BR$52:$BR$60=C20)*($BS$51:$CA$51=S$25),$BS$52:$CA$60)),0)</f>
        <v>0</v>
      </c>
      <c r="AS33" s="692">
        <f t="array" aca="1" ref="AS33" ca="1">IF(T20=C20,SUM(IF(($BR$52:$BR$60=C20)*($BS$51:$CA$51=T17),$BS$52:$CA$60)),0)</f>
        <v>0</v>
      </c>
      <c r="AT33" s="681">
        <f t="array" aca="1" ref="AT33" ca="1">IF(T20=C20,SUM(IF(($BR$52:$BR$60=C20)*($BS$51:$CA$51=T18),$BS$52:$CA$60)),0)</f>
        <v>0</v>
      </c>
      <c r="AU33" s="681">
        <f t="array" aca="1" ref="AU33" ca="1">IF(T20=C20,SUM(IF(($BR$52:$BR$60=C20)*($BS$51:$CA$51=T19),$BS$52:$CA$60)),0)</f>
        <v>0</v>
      </c>
      <c r="AV33" s="681">
        <f t="array" aca="1" ref="AV33" ca="1">IF(T20=C20,SUM(IF(($BR$52:$BR$60=C20)*($BS$51:$CA$51=T21),$BS$52:$CA$60)),0)</f>
        <v>0</v>
      </c>
      <c r="AW33" s="681">
        <f t="array" aca="1" ref="AW33" ca="1">IF(T20=C20,SUM(IF(($BR$52:$BR$60=C20)*($BS$51:$CA$51=T22),$BS$52:$CA$60)),0)</f>
        <v>0</v>
      </c>
      <c r="AX33" s="681">
        <f t="array" aca="1" ref="AX33" ca="1">IF(T20=C20,SUM(IF(($BR$52:$BR$60=C20)*($BS$51:$CA$51=T23),$BS$52:$CA$60)),0)</f>
        <v>0</v>
      </c>
      <c r="AY33" s="681">
        <f t="array" aca="1" ref="AY33" ca="1">IF(T20=C20,SUM(IF(($BR$52:$BR$60=C20)*($BS$51:$CA$51=T$24),$BS$52:$CA$60)),0)</f>
        <v>0</v>
      </c>
      <c r="AZ33" s="681">
        <f t="array" aca="1" ref="AZ33" ca="1">IF(T20=C20,SUM(IF(($BR$52:$BR$60=C20)*($BS$51:$CA$51=T$25),$BS$52:$CA$60)),0)</f>
        <v>0</v>
      </c>
      <c r="BA33" s="692">
        <f t="array" aca="1" ref="BA33" ca="1">IF(U20=C20,SUM(IF(($BR$52:$BR$60=C20)*($BS$51:$CA$51=U$17),$BS$52:$CA$60)),0)</f>
        <v>0</v>
      </c>
      <c r="BB33" s="681">
        <f t="array" aca="1" ref="BB33" ca="1">IF(U20=C20,SUM(IF(($BR$52:$BR$60=C20)*($BS$51:$CA$51=U$18),$BS$52:$CA$60)),0)</f>
        <v>0</v>
      </c>
      <c r="BC33" s="681">
        <f t="array" aca="1" ref="BC33" ca="1">IF(U20=C20,SUM(IF(($BR$52:$BR$60=C20)*($BS$51:$CA$51=U$19),$BS$52:$CA$60)),0)</f>
        <v>0</v>
      </c>
      <c r="BD33" s="681">
        <f t="array" aca="1" ref="BD33" ca="1">IF(U20=C20,SUM(IF(($BR$52:$BR$60=C20)*($BS$51:$CA$51=U$21),$BS$52:$CA$60)),0)</f>
        <v>0</v>
      </c>
      <c r="BE33" s="681">
        <f t="array" aca="1" ref="BE33" ca="1">IF(U20=C20,SUM(IF(($BR$52:$BR$60=C20)*($BS$51:$CA$51=U$22),$BS$52:$CA$60)),0)</f>
        <v>0</v>
      </c>
      <c r="BF33" s="681">
        <f t="array" aca="1" ref="BF33" ca="1">IF(U20=C20,SUM(IF(($BR$52:$BR$60=C20)*($BS$51:$CA$51=U$23),$BS$52:$CA$60)),0)</f>
        <v>0</v>
      </c>
      <c r="BG33" s="681">
        <f t="array" aca="1" ref="BG33" ca="1">IF(U20=C20,SUM(IF(($BR$52:$BR$60=C20)*($BS$51:$CA$51=U$24),$BS$52:$CA$60)),0)</f>
        <v>0</v>
      </c>
      <c r="BH33" s="681">
        <f t="array" aca="1" ref="BH33" ca="1">IF(U20=C20,SUM(IF(($BR$52:$BR$60=C20)*($BS$51:$CA$51=U$25),$BS$52:$CA$60)),0)</f>
        <v>0</v>
      </c>
      <c r="BI33" s="692">
        <f t="array" aca="1" ref="BI33" ca="1">IF(V20=C20,SUM(IF(($BR$52:$BR$60=C20)*($BS$51:$CA$51=V$17),$BS$52:$CA$60)),0)</f>
        <v>0</v>
      </c>
      <c r="BJ33" s="681">
        <f t="array" aca="1" ref="BJ33" ca="1">IF(V20=C20,SUM(IF(($BR$52:$BR$60=C20)*($BS$51:$CA$51=V$18),$BS$52:$CA$60)),0)</f>
        <v>0</v>
      </c>
      <c r="BK33" s="681">
        <f t="array" aca="1" ref="BK33" ca="1">IF(V20=C20,SUM(IF(($BR$52:$BR$60=C20)*($BS$51:$CA$51=V$19),$BS$52:$CA$60)),0)</f>
        <v>0</v>
      </c>
      <c r="BL33" s="681">
        <f t="array" aca="1" ref="BL33" ca="1">IF(V20=C20,SUM(IF(($BR$52:$BR$60=C20)*($BS$51:$CA$51=V$21),$BS$52:$CA$60)),0)</f>
        <v>0</v>
      </c>
      <c r="BM33" s="681">
        <f t="array" aca="1" ref="BM33" ca="1">IF(V20=C20,SUM(IF(($BR$52:$BR$60=C20)*($BS$51:$CA$51=V$22),$BS$52:$CA$60)),0)</f>
        <v>0</v>
      </c>
      <c r="BN33" s="681">
        <f t="array" aca="1" ref="BN33" ca="1">IF(V20=C20,SUM(IF(($BR$52:$BR$60=C20)*($BS$51:$CA$51=V$23),$BS$52:$CA$60)),0)</f>
        <v>0</v>
      </c>
      <c r="BO33" s="681">
        <f t="array" aca="1" ref="BO33" ca="1">IF(V20=C20,SUM(IF(($BR$52:$BR$60=C20)*($BS$51:$CA$51=V$24),$BS$52:$CA$60)),0)</f>
        <v>0</v>
      </c>
      <c r="BP33" s="701">
        <f t="array" aca="1" ref="BP33" ca="1">IF(V20=C20,SUM(IF(($BR$52:$BR$60=C20)*($BS$51:$CA$51=V$25),$BS$52:$CA$60)),0)</f>
        <v>0</v>
      </c>
      <c r="BQ33" s="681"/>
      <c r="BR33" s="660" t="str">
        <f t="shared" ca="1" si="33"/>
        <v/>
      </c>
      <c r="BS33" s="704">
        <f t="shared" ca="1" si="36"/>
        <v>0</v>
      </c>
      <c r="BT33" s="704">
        <f t="shared" ca="1" si="38"/>
        <v>0</v>
      </c>
      <c r="BU33" s="704">
        <f t="shared" ref="BU33:BU38" ca="1" si="40">SUMIFS($AH$64:$AH$135,$V$64:$V$135,$BR33,$W$64:$W$135,BU$29)+SUMIFS($AI$64:$AI$135,$W$64:$W$135,$BR33,$V$64:$V$135,BU$29)</f>
        <v>0</v>
      </c>
      <c r="BV33" s="702"/>
      <c r="BW33" s="703">
        <f ca="1">SUMIFS($AH$64:$AH$135,$V$64:$V$135,$BR33,$W$64:$W$135,BW$29)+SUMIFS($AI$64:$AI$135,$W$64:$W$135,$BR33,$V$64:$V$135,BW$29)</f>
        <v>0</v>
      </c>
      <c r="BX33" s="703">
        <f ca="1">SUMIFS($AH$64:$AH$135,$V$64:$V$135,$BR33,$W$64:$W$135,BX$29)+SUMIFS($AI$64:$AI$135,$W$64:$W$135,$BR33,$V$64:$V$135,BX$29)</f>
        <v>0</v>
      </c>
      <c r="BY33" s="703">
        <f ca="1">SUMIFS($AH$64:$AH$135,$V$64:$V$135,$BR33,$W$64:$W$135,BY$29)+SUMIFS($AI$64:$AI$135,$W$64:$W$135,$BR33,$V$64:$V$135,BY$29)</f>
        <v>0</v>
      </c>
      <c r="BZ33" s="703">
        <f ca="1">SUMIFS($AH$64:$AH$135,$V$64:$V$135,$BR33,$W$64:$W$135,BZ$29)+SUMIFS($AI$64:$AI$135,$W$64:$W$135,$BR33,$V$64:$V$135,BZ$29)</f>
        <v>0</v>
      </c>
      <c r="CA33" s="703">
        <f ca="1">SUMIFS($AH$64:$AH$135,$V$64:$V$135,$BR33,$W$64:$W$135,CA$29)+SUMIFS($AI$64:$AI$135,$W$64:$W$135,$BR33,$V$64:$V$135,CA$29)</f>
        <v>0</v>
      </c>
      <c r="CB33" s="681"/>
    </row>
    <row r="34" spans="1:80" s="1" customFormat="1" x14ac:dyDescent="0.2">
      <c r="A34" s="660"/>
      <c r="B34" s="660"/>
      <c r="C34" s="660" t="str">
        <f t="shared" si="35"/>
        <v/>
      </c>
      <c r="D34" s="660"/>
      <c r="E34" s="700">
        <f t="array" aca="1" ref="E34" ca="1">IF(O21=C21,SUM(IF(($BR$52:$BR$60=C21)*($BS$51:$CA$51=O17),$BS$52:$CA$60)),0)</f>
        <v>0</v>
      </c>
      <c r="F34" s="681">
        <f t="array" aca="1" ref="F34" ca="1">IF(O21=C21,SUM(IF(($BR$52:$BR$60=C21)*($BS$51:$CA$51=O18),$BS$52:$CA$60)),0)</f>
        <v>0</v>
      </c>
      <c r="G34" s="681">
        <f t="array" aca="1" ref="G34" ca="1">IF(O21=C21,SUM(IF(($BR$52:$BR$60=C21)*($BS$51:$CA$51=O19),$BS$52:$CA$60)),0)</f>
        <v>0</v>
      </c>
      <c r="H34" s="681">
        <f t="array" aca="1" ref="H34" ca="1">IF(O21=C21,SUM(IF(($BR$52:$BR$60=C21)*($BS$51:$CA$51=O20),$BS$52:$CA$60)),0)</f>
        <v>0</v>
      </c>
      <c r="I34" s="681">
        <f t="array" aca="1" ref="I34" ca="1">IF(O21=C21,SUM(IF(($BR$52:$BR$60=C21)*($BS$51:$CA$51=O22),$BS$52:$CA$60)),0)</f>
        <v>0</v>
      </c>
      <c r="J34" s="681">
        <f t="array" aca="1" ref="J34" ca="1">IF(O21=C21,SUM(IF(($BR$52:$BR$60=C21)*($BS$51:$CA$51=O23),$BS$52:$CA$60)),0)</f>
        <v>0</v>
      </c>
      <c r="K34" s="681">
        <f t="array" aca="1" ref="K34" ca="1">IF(O21=C21,SUM(IF(($BR$52:$BR$60=C21)*($BS$51:$CA$51=O$24),$BS$52:$CA$60)),0)</f>
        <v>0</v>
      </c>
      <c r="L34" s="681">
        <f t="array" aca="1" ref="L34" ca="1">IF(O21=C21,SUM(IF(($BR$52:$BR$60=C21)*($BS$51:$CA$51=O$25),$BS$52:$CA$60)),0)</f>
        <v>0</v>
      </c>
      <c r="M34" s="692">
        <f t="array" aca="1" ref="M34" ca="1">IF(P21=C21,SUM(IF(($BR$52:$BR$60=C21)*($BS$51:$CA$51=P17),$BS$52:$CA$60)),0)</f>
        <v>0</v>
      </c>
      <c r="N34" s="681">
        <f t="array" aca="1" ref="N34" ca="1">IF(P21=C21,SUM(IF(($BR$52:$BR$60=C21)*($BS$51:$CA$51=P18),$BS$52:$CA$60)),0)</f>
        <v>0</v>
      </c>
      <c r="O34" s="681">
        <f t="array" aca="1" ref="O34" ca="1">IF(P21=C21,SUM(IF(($BR$52:$BR$60=C21)*($BS$51:$CA$51=P19),$BS$52:$CA$60)),0)</f>
        <v>0</v>
      </c>
      <c r="P34" s="681">
        <f t="array" aca="1" ref="P34" ca="1">IF(P21=C21,SUM(IF(($BR$52:$BR$60=C21)*($BS$51:$CA$51=P20),$BS$52:$CA$60)),0)</f>
        <v>0</v>
      </c>
      <c r="Q34" s="681">
        <f t="array" aca="1" ref="Q34" ca="1">IF(P21=C21,SUM(IF(($BR$52:$BR$60=C21)*($BS$51:$CA$51=P22),$BS$52:$CA$60)),0)</f>
        <v>0</v>
      </c>
      <c r="R34" s="681">
        <f t="array" aca="1" ref="R34" ca="1">IF(P21=C21,SUM(IF(($BR$52:$BR$60=C21)*($BS$51:$CA$51=P23),$BS$52:$CA$60)),0)</f>
        <v>0</v>
      </c>
      <c r="S34" s="681">
        <f t="array" aca="1" ref="S34" ca="1">IF(P21=C21,SUM(IF(($BR$52:$BR$60=C21)*($BS$51:$CA$51=P$24),$BS$52:$CA$60)),0)</f>
        <v>0</v>
      </c>
      <c r="T34" s="681">
        <f t="array" aca="1" ref="T34" ca="1">IF(P21=C21,SUM(IF(($BR$52:$BR$60=C21)*($BS$51:$CA$51=P$25),$BS$52:$CA$60)),0)</f>
        <v>0</v>
      </c>
      <c r="U34" s="692">
        <f t="array" aca="1" ref="U34" ca="1">IF(Q21=C21,SUM(IF(($BR$52:$BR$60=C21)*($BS$51:$CA$51=Q17),$BS$52:$CA$60)),0)</f>
        <v>0</v>
      </c>
      <c r="V34" s="681">
        <f t="array" aca="1" ref="V34" ca="1">IF(Q21=C21,SUM(IF(($BR$52:$BR$60=C21)*($BS$51:$CA$51=Q18),$BS$52:$CA$60)),0)</f>
        <v>0</v>
      </c>
      <c r="W34" s="681">
        <f t="array" aca="1" ref="W34" ca="1">IF(Q21=C21,SUM(IF(($BR$52:$BR$60=C21)*($BS$51:$CA$51=Q19),$BS$52:$CA$60)),0)</f>
        <v>0</v>
      </c>
      <c r="X34" s="681">
        <f t="array" aca="1" ref="X34" ca="1">IF(Q21=C21,SUM(IF(($BR$52:$BR$60=C21)*($BS$51:$CA$51=Q20),$BS$52:$CA$60)),0)</f>
        <v>0</v>
      </c>
      <c r="Y34" s="681">
        <f t="array" aca="1" ref="Y34" ca="1">IF(Q21=C21,SUM(IF(($BR$52:$BR$60=C21)*($BS$51:$CA$51=Q22),$BS$52:$CA$60)),0)</f>
        <v>0</v>
      </c>
      <c r="Z34" s="681">
        <f t="array" aca="1" ref="Z34" ca="1">IF(Q21=C21,SUM(IF(($BR$52:$BR$60=C21)*($BS$51:$CA$51=Q23),$BS$52:$CA$60)),0)</f>
        <v>0</v>
      </c>
      <c r="AA34" s="681">
        <f t="array" aca="1" ref="AA34" ca="1">IF(Q21=C21,SUM(IF(($BR$52:$BR$60=C21)*($BS$51:$CA$51=Q$24),$BS$52:$CA$60)),0)</f>
        <v>0</v>
      </c>
      <c r="AB34" s="681">
        <f t="array" aca="1" ref="AB34" ca="1">IF(Q21=C21,SUM(IF(($BR$52:$BR$60=C21)*($BS$51:$CA$51=Q$25),$BS$52:$CA$60)),0)</f>
        <v>0</v>
      </c>
      <c r="AC34" s="692">
        <f t="array" aca="1" ref="AC34" ca="1">IF(R21=C21,SUM(IF(($BR$52:$BR$60=C21)*($BS$51:$CA$51=R17),$BS$52:$CA$60)),0)</f>
        <v>0</v>
      </c>
      <c r="AD34" s="681">
        <f t="array" aca="1" ref="AD34" ca="1">IF(R21=C21,SUM(IF(($BR$52:$BR$60=C21)*($BS$51:$CA$51=R18),$BS$52:$CA$60)),0)</f>
        <v>0</v>
      </c>
      <c r="AE34" s="681">
        <f t="array" aca="1" ref="AE34" ca="1">IF(R21=C21,SUM(IF(($BR$52:$BR$60=C21)*($BS$51:$CA$51=R19),$BS$52:$CA$60)),0)</f>
        <v>0</v>
      </c>
      <c r="AF34" s="681">
        <f t="array" aca="1" ref="AF34" ca="1">IF(R21=C21,SUM(IF(($BR$52:$BR$60=C21)*($BS$51:$CA$51=R20),$BS$52:$CA$60)),0)</f>
        <v>0</v>
      </c>
      <c r="AG34" s="681">
        <f t="array" aca="1" ref="AG34" ca="1">IF(R21=C21,SUM(IF(($BR$52:$BR$60=C21)*($BS$51:$CA$51=R22),$BS$52:$CA$60)),0)</f>
        <v>0</v>
      </c>
      <c r="AH34" s="681">
        <f t="array" aca="1" ref="AH34" ca="1">IF(R21=C21,SUM(IF(($BR$52:$BR$60=C21)*($BS$51:$CA$51=R23),$BS$52:$CA$60)),0)</f>
        <v>0</v>
      </c>
      <c r="AI34" s="681">
        <f t="array" aca="1" ref="AI34" ca="1">IF(R21=C21,SUM(IF(($BR$52:$BR$60=C21)*($BS$51:$CA$51=R$24),$BS$52:$CA$60)),0)</f>
        <v>0</v>
      </c>
      <c r="AJ34" s="681">
        <f t="array" aca="1" ref="AJ34" ca="1">IF(R21=C21,SUM(IF(($BR$52:$BR$60=C21)*($BS$51:$CA$51=R$25),$BS$52:$CA$60)),0)</f>
        <v>0</v>
      </c>
      <c r="AK34" s="692">
        <f t="array" aca="1" ref="AK34" ca="1">IF(S21=C21,SUM(IF(($BR$52:$BR$60=C21)*($BS$51:$CA$51=S17),$BS$52:$CA$60)),0)</f>
        <v>0</v>
      </c>
      <c r="AL34" s="681">
        <f t="array" aca="1" ref="AL34" ca="1">IF(S21=C21,SUM(IF(($BR$52:$BR$60=C21)*($BS$51:$CA$51=S18),$BS$52:$CA$60)),0)</f>
        <v>0</v>
      </c>
      <c r="AM34" s="681">
        <f t="array" aca="1" ref="AM34" ca="1">IF(S21=C21,SUM(IF(($BR$52:$BR$60=C21)*($BS$51:$CA$51=S19),$BS$52:$CA$60)),0)</f>
        <v>0</v>
      </c>
      <c r="AN34" s="681">
        <f t="array" aca="1" ref="AN34" ca="1">IF(S21=C21,SUM(IF(($BR$52:$BR$60=C21)*($BS$51:$CA$51=S20),$BS$52:$CA$60)),0)</f>
        <v>0</v>
      </c>
      <c r="AO34" s="681">
        <f t="array" aca="1" ref="AO34" ca="1">IF(S21=C21,SUM(IF(($BR$52:$BR$60=C21)*($BS$51:$CA$51=S22),$BS$52:$CA$60)),0)</f>
        <v>0</v>
      </c>
      <c r="AP34" s="681">
        <f t="array" aca="1" ref="AP34" ca="1">IF(S21=C21,SUM(IF(($BR$52:$BR$60=C21)*($BS$51:$CA$51=S23),$BS$52:$CA$60)),0)</f>
        <v>0</v>
      </c>
      <c r="AQ34" s="681">
        <f t="array" aca="1" ref="AQ34" ca="1">IF(S21=C21,SUM(IF(($BR$52:$BR$60=C21)*($BS$51:$CA$51=S$24),$BS$52:$CA$60)),0)</f>
        <v>0</v>
      </c>
      <c r="AR34" s="681">
        <f t="array" aca="1" ref="AR34" ca="1">IF(S21=C21,SUM(IF(($BR$52:$BR$60=C21)*($BS$51:$CA$51=S$25),$BS$52:$CA$60)),0)</f>
        <v>0</v>
      </c>
      <c r="AS34" s="692">
        <f t="array" aca="1" ref="AS34" ca="1">IF(T21=C21,SUM(IF(($BR$52:$BR$60=C21)*($BS$51:$CA$51=T17),$BS$52:$CA$60)),0)</f>
        <v>0</v>
      </c>
      <c r="AT34" s="681">
        <f t="array" aca="1" ref="AT34" ca="1">IF(T21=C21,SUM(IF(($BR$52:$BR$60=C21)*($BS$51:$CA$51=T18),$BS$52:$CA$60)),0)</f>
        <v>0</v>
      </c>
      <c r="AU34" s="681">
        <f t="array" aca="1" ref="AU34" ca="1">IF(T21=C21,SUM(IF(($BR$52:$BR$60=C21)*($BS$51:$CA$51=T19),$BS$52:$CA$60)),0)</f>
        <v>0</v>
      </c>
      <c r="AV34" s="681">
        <f t="array" aca="1" ref="AV34" ca="1">IF(T21=C21,SUM(IF(($BR$52:$BR$60=C21)*($BS$51:$CA$51=T20),$BS$52:$CA$60)),0)</f>
        <v>0</v>
      </c>
      <c r="AW34" s="681">
        <f t="array" aca="1" ref="AW34" ca="1">IF(T21=C21,SUM(IF(($BR$52:$BR$60=C21)*($BS$51:$CA$51=T22),$BS$52:$CA$60)),0)</f>
        <v>0</v>
      </c>
      <c r="AX34" s="681">
        <f t="array" aca="1" ref="AX34" ca="1">IF(T21=C21,SUM(IF(($BR$52:$BR$60=C21)*($BS$51:$CA$51=T23),$BS$52:$CA$60)),0)</f>
        <v>0</v>
      </c>
      <c r="AY34" s="681">
        <f t="array" aca="1" ref="AY34" ca="1">IF(T21=C21,SUM(IF(($BR$52:$BR$60=C21)*($BS$51:$CA$51=T$24),$BS$52:$CA$60)),0)</f>
        <v>0</v>
      </c>
      <c r="AZ34" s="681">
        <f t="array" aca="1" ref="AZ34" ca="1">IF(T21=C21,SUM(IF(($BR$52:$BR$60=C21)*($BS$51:$CA$51=T$25),$BS$52:$CA$60)),0)</f>
        <v>0</v>
      </c>
      <c r="BA34" s="692">
        <f t="array" aca="1" ref="BA34" ca="1">IF(U21=C21,SUM(IF(($BR$52:$BR$60=C21)*($BS$51:$CA$51=U$17),$BS$52:$CA$60)),0)</f>
        <v>0</v>
      </c>
      <c r="BB34" s="681">
        <f t="array" aca="1" ref="BB34" ca="1">IF(U21=C21,SUM(IF(($BR$52:$BR$60=C21)*($BS$51:$CA$51=U$18),$BS$52:$CA$60)),0)</f>
        <v>0</v>
      </c>
      <c r="BC34" s="681">
        <f t="array" aca="1" ref="BC34" ca="1">IF(U21=C21,SUM(IF(($BR$52:$BR$60=C21)*($BS$51:$CA$51=U$19),$BS$52:$CA$60)),0)</f>
        <v>0</v>
      </c>
      <c r="BD34" s="681">
        <f t="array" aca="1" ref="BD34" ca="1">IF(U21=C21,SUM(IF(($BR$52:$BR$60=C21)*($BS$51:$CA$51=U$20),$BS$52:$CA$60)),0)</f>
        <v>0</v>
      </c>
      <c r="BE34" s="681">
        <f t="array" aca="1" ref="BE34" ca="1">IF(U21=C21,SUM(IF(($BR$52:$BR$60=C21)*($BS$51:$CA$51=U$22),$BS$52:$CA$60)),0)</f>
        <v>0</v>
      </c>
      <c r="BF34" s="681">
        <f t="array" aca="1" ref="BF34" ca="1">IF(U21=C21,SUM(IF(($BR$52:$BR$60=C21)*($BS$51:$CA$51=U$23),$BS$52:$CA$60)),0)</f>
        <v>0</v>
      </c>
      <c r="BG34" s="681">
        <f t="array" aca="1" ref="BG34" ca="1">IF(U21=C21,SUM(IF(($BR$52:$BR$60=C21)*($BS$51:$CA$51=U$24),$BS$52:$CA$60)),0)</f>
        <v>0</v>
      </c>
      <c r="BH34" s="681">
        <f t="array" aca="1" ref="BH34" ca="1">IF(U21=C21,SUM(IF(($BR$52:$BR$60=C21)*($BS$51:$CA$51=U$25),$BS$52:$CA$60)),0)</f>
        <v>0</v>
      </c>
      <c r="BI34" s="692">
        <f t="array" aca="1" ref="BI34" ca="1">IF(V21=C21,SUM(IF(($BR$52:$BR$60=C21)*($BS$51:$CA$51=V$17),$BS$52:$CA$60)),0)</f>
        <v>0</v>
      </c>
      <c r="BJ34" s="681">
        <f t="array" aca="1" ref="BJ34" ca="1">IF(V21=C21,SUM(IF(($BR$52:$BR$60=C21)*($BS$51:$CA$51=V$18),$BS$52:$CA$60)),0)</f>
        <v>0</v>
      </c>
      <c r="BK34" s="681">
        <f t="array" aca="1" ref="BK34" ca="1">IF(V21=C21,SUM(IF(($BR$52:$BR$60=C21)*($BS$51:$CA$51=V$19),$BS$52:$CA$60)),0)</f>
        <v>0</v>
      </c>
      <c r="BL34" s="681">
        <f t="array" aca="1" ref="BL34" ca="1">IF(V21=C21,SUM(IF(($BR$52:$BR$60=C21)*($BS$51:$CA$51=V$20),$BS$52:$CA$60)),0)</f>
        <v>0</v>
      </c>
      <c r="BM34" s="681">
        <f t="array" aca="1" ref="BM34" ca="1">IF(V21=C21,SUM(IF(($BR$52:$BR$60=C21)*($BS$51:$CA$51=V$22),$BS$52:$CA$60)),0)</f>
        <v>0</v>
      </c>
      <c r="BN34" s="681">
        <f t="array" aca="1" ref="BN34" ca="1">IF(V21=C21,SUM(IF(($BR$52:$BR$60=C21)*($BS$51:$CA$51=V$23),$BS$52:$CA$60)),0)</f>
        <v>0</v>
      </c>
      <c r="BO34" s="681">
        <f t="array" aca="1" ref="BO34" ca="1">IF(V21=C21,SUM(IF(($BR$52:$BR$60=C21)*($BS$51:$CA$51=V$24),$BS$52:$CA$60)),0)</f>
        <v>0</v>
      </c>
      <c r="BP34" s="701">
        <f t="array" aca="1" ref="BP34" ca="1">IF(V21=C21,SUM(IF(($BR$52:$BR$60=C21)*($BS$51:$CA$51=V$25),$BS$52:$CA$60)),0)</f>
        <v>0</v>
      </c>
      <c r="BQ34" s="681"/>
      <c r="BR34" s="660" t="str">
        <f t="shared" si="33"/>
        <v/>
      </c>
      <c r="BS34" s="704">
        <f t="shared" ca="1" si="36"/>
        <v>0</v>
      </c>
      <c r="BT34" s="704">
        <f t="shared" ca="1" si="38"/>
        <v>0</v>
      </c>
      <c r="BU34" s="704">
        <f t="shared" ca="1" si="40"/>
        <v>0</v>
      </c>
      <c r="BV34" s="704">
        <f ca="1">SUMIFS($AH$64:$AH$135,$V$64:$V$135,$BR34,$W$64:$W$135,BV$29)+SUMIFS($AI$64:$AI$135,$W$64:$W$135,$BR34,$V$64:$V$135,BV$29)</f>
        <v>0</v>
      </c>
      <c r="BW34" s="702"/>
      <c r="BX34" s="703">
        <f ca="1">SUMIFS($AH$64:$AH$135,$V$64:$V$135,$BR34,$W$64:$W$135,BX$29)+SUMIFS($AI$64:$AI$135,$W$64:$W$135,$BR34,$V$64:$V$135,BX$29)</f>
        <v>0</v>
      </c>
      <c r="BY34" s="703">
        <f ca="1">SUMIFS($AH$64:$AH$135,$V$64:$V$135,$BR34,$W$64:$W$135,BY$29)+SUMIFS($AI$64:$AI$135,$W$64:$W$135,$BR34,$V$64:$V$135,BY$29)</f>
        <v>0</v>
      </c>
      <c r="BZ34" s="703">
        <f ca="1">SUMIFS($AH$64:$AH$135,$V$64:$V$135,$BR34,$W$64:$W$135,BZ$29)+SUMIFS($AI$64:$AI$135,$W$64:$W$135,$BR34,$V$64:$V$135,BZ$29)</f>
        <v>0</v>
      </c>
      <c r="CA34" s="703">
        <f ca="1">SUMIFS($AH$64:$AH$135,$V$64:$V$135,$BR34,$W$64:$W$135,CA$29)+SUMIFS($AI$64:$AI$135,$W$64:$W$135,$BR34,$V$64:$V$135,CA$29)</f>
        <v>0</v>
      </c>
      <c r="CB34" s="681"/>
    </row>
    <row r="35" spans="1:80" s="1" customFormat="1" x14ac:dyDescent="0.2">
      <c r="A35" s="660"/>
      <c r="B35" s="660"/>
      <c r="C35" s="660" t="str">
        <f t="shared" si="35"/>
        <v/>
      </c>
      <c r="D35" s="660"/>
      <c r="E35" s="700">
        <f t="array" aca="1" ref="E35" ca="1">IF(O22=C22,SUM(IF(($BR$52:$BR$60=C22)*($BS$51:$CA$51=O17),$BS$52:$CA$60)),0)</f>
        <v>0</v>
      </c>
      <c r="F35" s="681">
        <f t="array" aca="1" ref="F35" ca="1">IF(O22=C22,SUM(IF(($BR$52:$BR$60=C22)*($BS$51:$CA$51=O18),$BS$52:$CA$60)),0)</f>
        <v>0</v>
      </c>
      <c r="G35" s="681">
        <f t="array" aca="1" ref="G35" ca="1">IF(O22=C22,SUM(IF(($BR$52:$BR$60=C22)*($BS$51:$CA$51=O19),$BS$52:$CA$60)),0)</f>
        <v>0</v>
      </c>
      <c r="H35" s="681">
        <f t="array" aca="1" ref="H35" ca="1">IF(O22=C22,SUM(IF(($BR$52:$BR$60=C22)*($BS$51:$CA$51=O20),$BS$52:$CA$60)),0)</f>
        <v>0</v>
      </c>
      <c r="I35" s="681">
        <f t="array" aca="1" ref="I35" ca="1">IF(O22=C22,SUM(IF(($BR$52:$BR$60=C22)*($BS$51:$CA$51=O21),$BS$52:$CA$60)),0)</f>
        <v>0</v>
      </c>
      <c r="J35" s="681">
        <f t="array" aca="1" ref="J35" ca="1">IF(O22=C22,SUM(IF(($BR$52:$BR$60=C22)*($BS$51:$CA$51=O23),$BS$52:$CA$60)),0)</f>
        <v>0</v>
      </c>
      <c r="K35" s="681">
        <f t="array" aca="1" ref="K35" ca="1">IF(O22=C22,SUM(IF(($BR$52:$BR$60=C22)*($BS$51:$CA$51=O$24),$BS$52:$CA$60)),0)</f>
        <v>0</v>
      </c>
      <c r="L35" s="681">
        <f t="array" aca="1" ref="L35" ca="1">IF(O22=C22,SUM(IF(($BR$52:$BR$60=C22)*($BS$51:$CA$51=O$25),$BS$52:$CA$60)),0)</f>
        <v>0</v>
      </c>
      <c r="M35" s="692">
        <f t="array" aca="1" ref="M35" ca="1">IF(P22=C22,SUM(IF(($BR$52:$BR$60=C22)*($BS$51:$CA$51=P17),$BS$52:$CA$60)),0)</f>
        <v>0</v>
      </c>
      <c r="N35" s="681">
        <f t="array" aca="1" ref="N35" ca="1">IF(P22=C22,SUM(IF(($BR$52:$BR$60=C22)*($BS$51:$CA$51=P18),$BS$52:$CA$60)),0)</f>
        <v>0</v>
      </c>
      <c r="O35" s="681">
        <f t="array" aca="1" ref="O35" ca="1">IF(P22=C22,SUM(IF(($BR$52:$BR$60=C22)*($BS$51:$CA$51=P19),$BS$52:$CA$60)),0)</f>
        <v>0</v>
      </c>
      <c r="P35" s="681">
        <f t="array" aca="1" ref="P35" ca="1">IF(P22=C22,SUM(IF(($BR$52:$BR$60=C22)*($BS$51:$CA$51=P20),$BS$52:$CA$60)),0)</f>
        <v>0</v>
      </c>
      <c r="Q35" s="681">
        <f t="array" aca="1" ref="Q35" ca="1">IF(P22=C22,SUM(IF(($BR$52:$BR$60=C22)*($BS$51:$CA$51=P21),$BS$52:$CA$60)),0)</f>
        <v>0</v>
      </c>
      <c r="R35" s="681">
        <f t="array" aca="1" ref="R35" ca="1">IF(P22=C22,SUM(IF(($BR$52:$BR$60=C22)*($BS$51:$CA$51=P23),$BS$52:$CA$60)),0)</f>
        <v>0</v>
      </c>
      <c r="S35" s="681">
        <f t="array" aca="1" ref="S35" ca="1">IF(P22=C22,SUM(IF(($BR$52:$BR$60=C22)*($BS$51:$CA$51=P$24),$BS$52:$CA$60)),0)</f>
        <v>0</v>
      </c>
      <c r="T35" s="681">
        <f t="array" aca="1" ref="T35" ca="1">IF(P22=C22,SUM(IF(($BR$52:$BR$60=C22)*($BS$51:$CA$51=P$25),$BS$52:$CA$60)),0)</f>
        <v>0</v>
      </c>
      <c r="U35" s="692">
        <f t="array" aca="1" ref="U35" ca="1">IF(Q22=C22,SUM(IF(($BR$52:$BR$60=C22)*($BS$51:$CA$51=Q17),$BS$52:$CA$60)),0)</f>
        <v>0</v>
      </c>
      <c r="V35" s="681">
        <f t="array" aca="1" ref="V35" ca="1">IF(Q22=C22,SUM(IF(($BR$52:$BR$60=C22)*($BS$51:$CA$51=Q18),$BS$52:$CA$60)),0)</f>
        <v>0</v>
      </c>
      <c r="W35" s="681">
        <f t="array" aca="1" ref="W35" ca="1">IF(Q22=C22,SUM(IF(($BR$52:$BR$60=C22)*($BS$51:$CA$51=Q19),$BS$52:$CA$60)),0)</f>
        <v>0</v>
      </c>
      <c r="X35" s="681">
        <f t="array" aca="1" ref="X35" ca="1">IF(Q22=C22,SUM(IF(($BR$52:$BR$60=C22)*($BS$51:$CA$51=Q20),$BS$52:$CA$60)),0)</f>
        <v>0</v>
      </c>
      <c r="Y35" s="681">
        <f t="array" aca="1" ref="Y35" ca="1">IF(Q22=C22,SUM(IF(($BR$52:$BR$60=C22)*($BS$51:$CA$51=Q21),$BS$52:$CA$60)),0)</f>
        <v>0</v>
      </c>
      <c r="Z35" s="681">
        <f t="array" aca="1" ref="Z35" ca="1">IF(Q22=C22,SUM(IF(($BR$52:$BR$60=C22)*($BS$51:$CA$51=Q23),$BS$52:$CA$60)),0)</f>
        <v>0</v>
      </c>
      <c r="AA35" s="681">
        <f t="array" aca="1" ref="AA35" ca="1">IF(Q22=C22,SUM(IF(($BR$52:$BR$60=C22)*($BS$51:$CA$51=Q$24),$BS$52:$CA$60)),0)</f>
        <v>0</v>
      </c>
      <c r="AB35" s="681">
        <f t="array" aca="1" ref="AB35" ca="1">IF(Q22=C22,SUM(IF(($BR$52:$BR$60=C22)*($BS$51:$CA$51=Q$25),$BS$52:$CA$60)),0)</f>
        <v>0</v>
      </c>
      <c r="AC35" s="692">
        <f t="array" aca="1" ref="AC35" ca="1">IF(R22=C22,SUM(IF(($BR$52:$BR$60=C22)*($BS$51:$CA$51=R17),$BS$52:$CA$60)),0)</f>
        <v>0</v>
      </c>
      <c r="AD35" s="681">
        <f t="array" aca="1" ref="AD35" ca="1">IF(R22=C22,SUM(IF(($BR$52:$BR$60=C22)*($BS$51:$CA$51=R18),$BS$52:$CA$60)),0)</f>
        <v>0</v>
      </c>
      <c r="AE35" s="681">
        <f t="array" aca="1" ref="AE35" ca="1">IF(R22=C22,SUM(IF(($BR$52:$BR$60=C22)*($BS$51:$CA$51=R19),$BS$52:$CA$60)),0)</f>
        <v>0</v>
      </c>
      <c r="AF35" s="681">
        <f t="array" aca="1" ref="AF35" ca="1">IF(R22=C22,SUM(IF(($BR$52:$BR$60=C22)*($BS$51:$CA$51=R20),$BS$52:$CA$60)),0)</f>
        <v>0</v>
      </c>
      <c r="AG35" s="681">
        <f t="array" aca="1" ref="AG35" ca="1">IF(R22=C22,SUM(IF(($BR$52:$BR$60=C22)*($BS$51:$CA$51=R21),$BS$52:$CA$60)),0)</f>
        <v>0</v>
      </c>
      <c r="AH35" s="681">
        <f t="array" aca="1" ref="AH35" ca="1">IF(R22=C22,SUM(IF(($BR$52:$BR$60=C22)*($BS$51:$CA$51=R23),$BS$52:$CA$60)),0)</f>
        <v>0</v>
      </c>
      <c r="AI35" s="681">
        <f t="array" aca="1" ref="AI35" ca="1">IF(R22=C22,SUM(IF(($BR$52:$BR$60=C22)*($BS$51:$CA$51=R$24),$BS$52:$CA$60)),0)</f>
        <v>0</v>
      </c>
      <c r="AJ35" s="681">
        <f t="array" aca="1" ref="AJ35" ca="1">IF(R22=C22,SUM(IF(($BR$52:$BR$60=C22)*($BS$51:$CA$51=R$25),$BS$52:$CA$60)),0)</f>
        <v>0</v>
      </c>
      <c r="AK35" s="692">
        <f t="array" aca="1" ref="AK35" ca="1">IF(S22=C22,SUM(IF(($BR$52:$BR$60=C22)*($BS$51:$CA$51=S17),$BS$52:$CA$60)),0)</f>
        <v>0</v>
      </c>
      <c r="AL35" s="681">
        <f t="array" aca="1" ref="AL35" ca="1">IF(S22=C22,SUM(IF(($BR$52:$BR$60=C22)*($BS$51:$CA$51=S18),$BS$52:$CA$60)),0)</f>
        <v>0</v>
      </c>
      <c r="AM35" s="681">
        <f t="array" aca="1" ref="AM35" ca="1">IF(S22=C22,SUM(IF(($BR$52:$BR$60=C22)*($BS$51:$CA$51=S19),$BS$52:$CA$60)),0)</f>
        <v>0</v>
      </c>
      <c r="AN35" s="681">
        <f t="array" aca="1" ref="AN35" ca="1">IF(S22=C22,SUM(IF(($BR$52:$BR$60=C22)*($BS$51:$CA$51=S20),$BS$52:$CA$60)),0)</f>
        <v>0</v>
      </c>
      <c r="AO35" s="681">
        <f t="array" aca="1" ref="AO35" ca="1">IF(S22=C22,SUM(IF(($BR$52:$BR$60=C22)*($BS$51:$CA$51=S21),$BS$52:$CA$60)),0)</f>
        <v>0</v>
      </c>
      <c r="AP35" s="681">
        <f t="array" aca="1" ref="AP35" ca="1">IF(S22=C22,SUM(IF(($BR$52:$BR$60=C22)*($BS$51:$CA$51=S23),$BS$52:$CA$60)),0)</f>
        <v>0</v>
      </c>
      <c r="AQ35" s="681">
        <f t="array" aca="1" ref="AQ35" ca="1">IF(S22=C22,SUM(IF(($BR$52:$BR$60=C22)*($BS$51:$CA$51=S$24),$BS$52:$CA$60)),0)</f>
        <v>0</v>
      </c>
      <c r="AR35" s="681">
        <f t="array" aca="1" ref="AR35" ca="1">IF(S22=C22,SUM(IF(($BR$52:$BR$60=C22)*($BS$51:$CA$51=S$25),$BS$52:$CA$60)),0)</f>
        <v>0</v>
      </c>
      <c r="AS35" s="692">
        <f t="array" aca="1" ref="AS35" ca="1">IF(T22=C22,SUM(IF(($BR$52:$BR$60=C22)*($BS$51:$CA$51=T17),$BS$52:$CA$60)),0)</f>
        <v>0</v>
      </c>
      <c r="AT35" s="681">
        <f t="array" aca="1" ref="AT35" ca="1">IF(T22=C22,SUM(IF(($BR$52:$BR$60=C22)*($BS$51:$CA$51=T18),$BS$52:$CA$60)),0)</f>
        <v>0</v>
      </c>
      <c r="AU35" s="681">
        <f t="array" aca="1" ref="AU35" ca="1">IF(T22=C22,SUM(IF(($BR$52:$BR$60=C22)*($BS$51:$CA$51=T19),$BS$52:$CA$60)),0)</f>
        <v>0</v>
      </c>
      <c r="AV35" s="681">
        <f t="array" aca="1" ref="AV35" ca="1">IF(T22=C22,SUM(IF(($BR$52:$BR$60=C22)*($BS$51:$CA$51=T20),$BS$52:$CA$60)),0)</f>
        <v>0</v>
      </c>
      <c r="AW35" s="681">
        <f t="array" aca="1" ref="AW35" ca="1">IF(T22=C22,SUM(IF(($BR$52:$BR$60=C22)*($BS$51:$CA$51=T21),$BS$52:$CA$60)),0)</f>
        <v>0</v>
      </c>
      <c r="AX35" s="681">
        <f t="array" aca="1" ref="AX35" ca="1">IF(T22=C22,SUM(IF(($BR$52:$BR$60=C22)*($BS$51:$CA$51=T23),$BS$52:$CA$60)),0)</f>
        <v>0</v>
      </c>
      <c r="AY35" s="681">
        <f t="array" aca="1" ref="AY35" ca="1">IF(T22=C22,SUM(IF(($BR$52:$BR$60=C22)*($BS$51:$CA$51=T$24),$BS$52:$CA$60)),0)</f>
        <v>0</v>
      </c>
      <c r="AZ35" s="681">
        <f t="array" aca="1" ref="AZ35" ca="1">IF(T22=C22,SUM(IF(($BR$52:$BR$60=C22)*($BS$51:$CA$51=T$25),$BS$52:$CA$60)),0)</f>
        <v>0</v>
      </c>
      <c r="BA35" s="692">
        <f t="array" aca="1" ref="BA35" ca="1">IF(U22=C22,SUM(IF(($BR$52:$BR$60=C22)*($BS$51:$CA$51=U$17),$BS$52:$CA$60)),0)</f>
        <v>0</v>
      </c>
      <c r="BB35" s="681">
        <f t="array" aca="1" ref="BB35" ca="1">IF(U22=C22,SUM(IF(($BR$52:$BR$60=C22)*($BS$51:$CA$51=U$18),$BS$52:$CA$60)),0)</f>
        <v>0</v>
      </c>
      <c r="BC35" s="681">
        <f t="array" aca="1" ref="BC35" ca="1">IF(U22=C22,SUM(IF(($BR$52:$BR$60=C22)*($BS$51:$CA$51=U$19),$BS$52:$CA$60)),0)</f>
        <v>0</v>
      </c>
      <c r="BD35" s="681">
        <f t="array" aca="1" ref="BD35" ca="1">IF(U22=C22,SUM(IF(($BR$52:$BR$60=C22)*($BS$51:$CA$51=U$20),$BS$52:$CA$60)),0)</f>
        <v>0</v>
      </c>
      <c r="BE35" s="681">
        <f t="array" aca="1" ref="BE35" ca="1">IF(U22=C22,SUM(IF(($BR$52:$BR$60=C22)*($BS$51:$CA$51=U$21),$BS$52:$CA$60)),0)</f>
        <v>0</v>
      </c>
      <c r="BF35" s="681">
        <f t="array" aca="1" ref="BF35" ca="1">IF(U22=C22,SUM(IF(($BR$52:$BR$60=C22)*($BS$51:$CA$51=U$23),$BS$52:$CA$60)),0)</f>
        <v>0</v>
      </c>
      <c r="BG35" s="681">
        <f t="array" aca="1" ref="BG35" ca="1">IF(U22=C22,SUM(IF(($BR$52:$BR$60=C22)*($BS$51:$CA$51=U$24),$BS$52:$CA$60)),0)</f>
        <v>0</v>
      </c>
      <c r="BH35" s="681">
        <f t="array" aca="1" ref="BH35" ca="1">IF(U22=C22,SUM(IF(($BR$52:$BR$60=C22)*($BS$51:$CA$51=U$25),$BS$52:$CA$60)),0)</f>
        <v>0</v>
      </c>
      <c r="BI35" s="692">
        <f t="array" aca="1" ref="BI35" ca="1">IF(V22=C22,SUM(IF(($BR$52:$BR$60=C22)*($BS$51:$CA$51=V$17),$BS$52:$CA$60)),0)</f>
        <v>0</v>
      </c>
      <c r="BJ35" s="681">
        <f t="array" aca="1" ref="BJ35" ca="1">IF(V22=C22,SUM(IF(($BR$52:$BR$60=C22)*($BS$51:$CA$51=V$18),$BS$52:$CA$60)),0)</f>
        <v>0</v>
      </c>
      <c r="BK35" s="681">
        <f t="array" aca="1" ref="BK35" ca="1">IF(V22=C22,SUM(IF(($BR$52:$BR$60=C22)*($BS$51:$CA$51=V$19),$BS$52:$CA$60)),0)</f>
        <v>0</v>
      </c>
      <c r="BL35" s="681">
        <f t="array" aca="1" ref="BL35" ca="1">IF(V22=C22,SUM(IF(($BR$52:$BR$60=C22)*($BS$51:$CA$51=V$20),$BS$52:$CA$60)),0)</f>
        <v>0</v>
      </c>
      <c r="BM35" s="681">
        <f t="array" aca="1" ref="BM35" ca="1">IF(V22=C22,SUM(IF(($BR$52:$BR$60=C22)*($BS$51:$CA$51=V$21),$BS$52:$CA$60)),0)</f>
        <v>0</v>
      </c>
      <c r="BN35" s="681">
        <f t="array" aca="1" ref="BN35" ca="1">IF(V22=C22,SUM(IF(($BR$52:$BR$60=C22)*($BS$51:$CA$51=V$23),$BS$52:$CA$60)),0)</f>
        <v>0</v>
      </c>
      <c r="BO35" s="681">
        <f t="array" aca="1" ref="BO35" ca="1">IF(V22=C22,SUM(IF(($BR$52:$BR$60=C22)*($BS$51:$CA$51=V$24),$BS$52:$CA$60)),0)</f>
        <v>0</v>
      </c>
      <c r="BP35" s="701">
        <f t="array" aca="1" ref="BP35" ca="1">IF(V22=C22,SUM(IF(($BR$52:$BR$60=C22)*($BS$51:$CA$51=V$25),$BS$52:$CA$60)),0)</f>
        <v>0</v>
      </c>
      <c r="BQ35" s="681"/>
      <c r="BR35" s="660" t="str">
        <f t="shared" si="33"/>
        <v/>
      </c>
      <c r="BS35" s="704">
        <f t="shared" ca="1" si="36"/>
        <v>0</v>
      </c>
      <c r="BT35" s="704">
        <f t="shared" ca="1" si="38"/>
        <v>0</v>
      </c>
      <c r="BU35" s="704">
        <f t="shared" ca="1" si="40"/>
        <v>0</v>
      </c>
      <c r="BV35" s="704">
        <f ca="1">SUMIFS($AH$64:$AH$135,$V$64:$V$135,$BR35,$W$64:$W$135,BV$29)+SUMIFS($AI$64:$AI$135,$W$64:$W$135,$BR35,$V$64:$V$135,BV$29)</f>
        <v>0</v>
      </c>
      <c r="BW35" s="704">
        <f ca="1">SUMIFS($AH$64:$AH$135,$V$64:$V$135,$BR35,$W$64:$W$135,BW$29)+SUMIFS($AI$64:$AI$135,$W$64:$W$135,$BR35,$V$64:$V$135,BW$29)</f>
        <v>0</v>
      </c>
      <c r="BX35" s="702"/>
      <c r="BY35" s="703">
        <f ca="1">SUMIFS($AH$64:$AH$135,$V$64:$V$135,$BR35,$W$64:$W$135,BY$29)+SUMIFS($AI$64:$AI$135,$W$64:$W$135,$BR35,$V$64:$V$135,BY$29)</f>
        <v>0</v>
      </c>
      <c r="BZ35" s="703">
        <f ca="1">SUMIFS($AH$64:$AH$135,$V$64:$V$135,$BR35,$W$64:$W$135,BZ$29)+SUMIFS($AI$64:$AI$135,$W$64:$W$135,$BR35,$V$64:$V$135,BZ$29)</f>
        <v>0</v>
      </c>
      <c r="CA35" s="703">
        <f ca="1">SUMIFS($AH$64:$AH$135,$V$64:$V$135,$BR35,$W$64:$W$135,CA$29)+SUMIFS($AI$64:$AI$135,$W$64:$W$135,$BR35,$V$64:$V$135,CA$29)</f>
        <v>0</v>
      </c>
      <c r="CB35" s="681"/>
    </row>
    <row r="36" spans="1:80" s="1" customFormat="1" x14ac:dyDescent="0.2">
      <c r="A36" s="660"/>
      <c r="B36" s="660"/>
      <c r="C36" s="660" t="str">
        <f t="shared" si="35"/>
        <v/>
      </c>
      <c r="D36" s="660"/>
      <c r="E36" s="700">
        <f t="array" aca="1" ref="E36" ca="1">IF(O23=C23,SUM(IF(($BR$52:$BR$60=C23)*($BS$51:$CA$51=O17),$BS$52:$CA$60)),0)</f>
        <v>0</v>
      </c>
      <c r="F36" s="681">
        <f t="array" aca="1" ref="F36" ca="1">IF(O23=C23,SUM(IF(($BR$52:$BR$60=C23)*($BS$51:$CA$51=O$18),$BS$52:$CA$60)),0)</f>
        <v>0</v>
      </c>
      <c r="G36" s="681">
        <f t="array" aca="1" ref="G36" ca="1">IF(O23=C23,SUM(IF(($BR$52:$BR$60=C23)*($BS$51:$CA$51=O$19),$BS$52:$CA$60)),0)</f>
        <v>0</v>
      </c>
      <c r="H36" s="681">
        <f t="array" aca="1" ref="H36" ca="1">IF(O23=C23,SUM(IF(($BR$52:$BR$60=C23)*($BS$51:$CA$51=O$20),$BS$52:$CA$60)),0)</f>
        <v>0</v>
      </c>
      <c r="I36" s="681">
        <f t="array" aca="1" ref="I36" ca="1">IF(O23=C23,SUM(IF(($BR$52:$BR$60=C23)*($BS$51:$CA$51=O$21),$BS$52:$CA$60)),0)</f>
        <v>0</v>
      </c>
      <c r="J36" s="681">
        <f t="array" aca="1" ref="J36" ca="1">IF(O23=C23,SUM(IF(($BR$52:$BR$60=C23)*($BS$51:$CA$51=O$22),$BS$52:$CA$60)),0)</f>
        <v>0</v>
      </c>
      <c r="K36" s="681">
        <f t="array" aca="1" ref="K36" ca="1">IF(O23=C23,SUM(IF(($BR$52:$BR$60=C23)*($BS$51:$CA$51=O$24),$BS$52:$CA$60)),0)</f>
        <v>0</v>
      </c>
      <c r="L36" s="681">
        <f t="array" aca="1" ref="L36" ca="1">IF(O23=C23,SUM(IF(($BR$52:$BR$60=C23)*($BS$51:$CA$51=O$25),$BS$52:$CA$60)),0)</f>
        <v>0</v>
      </c>
      <c r="M36" s="692">
        <f t="array" aca="1" ref="M36" ca="1">IF(P23=C23,SUM(IF(($BR$52:$BR$60=C23)*($BS$51:$CA$51=P$17),$BS$52:$CA$60)),0)</f>
        <v>0</v>
      </c>
      <c r="N36" s="681">
        <f t="array" aca="1" ref="N36" ca="1">IF(P23=C23,SUM(IF(($BR$52:$BR$60=C23)*($BS$51:$CA$51=P$18),$BS$52:$CA$60)),0)</f>
        <v>0</v>
      </c>
      <c r="O36" s="681">
        <f t="array" aca="1" ref="O36" ca="1">IF(P23=C23,SUM(IF(($BR$52:$BR$60=C23)*($BS$51:$CA$51=P$19),$BS$52:$CA$60)),0)</f>
        <v>0</v>
      </c>
      <c r="P36" s="681">
        <f t="array" aca="1" ref="P36" ca="1">IF(P23=C23,SUM(IF(($BR$52:$BR$60=C23)*($BS$51:$CA$51=P$20),$BS$52:$CA$60)),0)</f>
        <v>0</v>
      </c>
      <c r="Q36" s="681">
        <f t="array" aca="1" ref="Q36" ca="1">IF(P23=C23,SUM(IF(($BR$52:$BR$60=C23)*($BS$51:$CA$51=P$21),$BS$52:$CA$60)),0)</f>
        <v>0</v>
      </c>
      <c r="R36" s="681">
        <f t="array" aca="1" ref="R36" ca="1">IF(P23=C23,SUM(IF(($BR$52:$BR$60=C23)*($BS$51:$CA$51=P$22),$BS$52:$CA$60)),0)</f>
        <v>0</v>
      </c>
      <c r="S36" s="681">
        <f t="array" aca="1" ref="S36" ca="1">IF(P23=C23,SUM(IF(($BR$52:$BR$60=C23)*($BS$51:$CA$51=P$24),$BS$52:$CA$60)),0)</f>
        <v>0</v>
      </c>
      <c r="T36" s="681">
        <f t="array" aca="1" ref="T36" ca="1">IF(P23=C23,SUM(IF(($BR$52:$BR$60=C23)*($BS$51:$CA$51=P$25),$BS$52:$CA$60)),0)</f>
        <v>0</v>
      </c>
      <c r="U36" s="692">
        <f t="array" aca="1" ref="U36" ca="1">IF(Q23=C23,SUM(IF(($BR$52:$BR$60=C23)*($BS$51:$CA$51=Q$17),$BS$52:$CA$60)),0)</f>
        <v>0</v>
      </c>
      <c r="V36" s="681">
        <f t="array" aca="1" ref="V36" ca="1">IF(Q23=C23,SUM(IF(($BR$52:$BR$60=C23)*($BS$51:$CA$51=Q$18),$BS$52:$CA$60)),0)</f>
        <v>0</v>
      </c>
      <c r="W36" s="681">
        <f t="array" aca="1" ref="W36" ca="1">IF(Q23=C23,SUM(IF(($BR$52:$BR$60=C23)*($BS$51:$CA$51=Q$19),$BS$52:$CA$60)),0)</f>
        <v>0</v>
      </c>
      <c r="X36" s="681">
        <f t="array" aca="1" ref="X36" ca="1">IF(Q23=C23,SUM(IF(($BR$52:$BR$60=C23)*($BS$51:$CA$51=Q$20),$BS$52:$CA$60)),0)</f>
        <v>0</v>
      </c>
      <c r="Y36" s="681">
        <f t="array" aca="1" ref="Y36" ca="1">IF(Q23=C23,SUM(IF(($BR$52:$BR$60=C23)*($BS$51:$CA$51=Q$21),$BS$52:$CA$60)),0)</f>
        <v>0</v>
      </c>
      <c r="Z36" s="681">
        <f t="array" aca="1" ref="Z36" ca="1">IF(Q23=C23,SUM(IF(($BR$52:$BR$60=C23)*($BS$51:$CA$51=Q$22),$BS$52:$CA$60)),0)</f>
        <v>0</v>
      </c>
      <c r="AA36" s="681">
        <f t="array" aca="1" ref="AA36" ca="1">IF(Q23=C23,SUM(IF(($BR$52:$BR$60=C23)*($BS$51:$CA$51=Q$24),$BS$52:$CA$60)),0)</f>
        <v>0</v>
      </c>
      <c r="AB36" s="681">
        <f t="array" aca="1" ref="AB36" ca="1">IF(Q23=C23,SUM(IF(($BR$52:$BR$60=C23)*($BS$51:$CA$51=Q$25),$BS$52:$CA$60)),0)</f>
        <v>0</v>
      </c>
      <c r="AC36" s="692">
        <f t="array" aca="1" ref="AC36" ca="1">IF(R23=C23,SUM(IF(($BR$52:$BR$60=C23)*($BS$51:$CA$51=R$17),$BS$52:$CA$60)),0)</f>
        <v>0</v>
      </c>
      <c r="AD36" s="681">
        <f t="array" aca="1" ref="AD36" ca="1">IF(R23=C23,SUM(IF(($BR$52:$BR$60=C23)*($BS$51:$CA$51=R$18),$BS$52:$CA$60)),0)</f>
        <v>0</v>
      </c>
      <c r="AE36" s="681">
        <f t="array" aca="1" ref="AE36" ca="1">IF(R23=C23,SUM(IF(($BR$52:$BR$60=C23)*($BS$51:$CA$51=R$19),$BS$52:$CA$60)),0)</f>
        <v>0</v>
      </c>
      <c r="AF36" s="681">
        <f t="array" aca="1" ref="AF36" ca="1">IF(R23=C23,SUM(IF(($BR$52:$BR$60=C23)*($BS$51:$CA$51=R$20),$BS$52:$CA$60)),0)</f>
        <v>0</v>
      </c>
      <c r="AG36" s="681">
        <f t="array" aca="1" ref="AG36" ca="1">IF(R23=C23,SUM(IF(($BR$52:$BR$60=C23)*($BS$51:$CA$51=R$21),$BS$52:$CA$60)),0)</f>
        <v>0</v>
      </c>
      <c r="AH36" s="681">
        <f t="array" aca="1" ref="AH36" ca="1">IF(R23=C23,SUM(IF(($BR$52:$BR$60=C23)*($BS$51:$CA$51=R$22),$BS$52:$CA$60)),0)</f>
        <v>0</v>
      </c>
      <c r="AI36" s="681">
        <f t="array" aca="1" ref="AI36" ca="1">IF(R23=C23,SUM(IF(($BR$52:$BR$60=C23)*($BS$51:$CA$51=R$24),$BS$52:$CA$60)),0)</f>
        <v>0</v>
      </c>
      <c r="AJ36" s="681">
        <f t="array" aca="1" ref="AJ36" ca="1">IF(R23=C23,SUM(IF(($BR$52:$BR$60=C23)*($BS$51:$CA$51=R$25),$BS$52:$CA$60)),0)</f>
        <v>0</v>
      </c>
      <c r="AK36" s="692">
        <f t="array" aca="1" ref="AK36" ca="1">IF(S23=C23,SUM(IF(($BR$52:$BR$60=C23)*($BS$51:$CA$51=S$17),$BS$52:$CA$60)),0)</f>
        <v>0</v>
      </c>
      <c r="AL36" s="681">
        <f t="array" aca="1" ref="AL36" ca="1">IF(S23=C23,SUM(IF(($BR$52:$BR$60=C23)*($BS$51:$CA$51=S$18),$BS$52:$CA$60)),0)</f>
        <v>0</v>
      </c>
      <c r="AM36" s="681">
        <f t="array" aca="1" ref="AM36" ca="1">IF(S23=C23,SUM(IF(($BR$52:$BR$60=C23)*($BS$51:$CA$51=S$19),$BS$52:$CA$60)),0)</f>
        <v>0</v>
      </c>
      <c r="AN36" s="681">
        <f t="array" aca="1" ref="AN36" ca="1">IF(S23=C23,SUM(IF(($BR$52:$BR$60=C23)*($BS$51:$CA$51=S$20),$BS$52:$CA$60)),0)</f>
        <v>0</v>
      </c>
      <c r="AO36" s="681">
        <f t="array" aca="1" ref="AO36" ca="1">IF(S23=C23,SUM(IF(($BR$52:$BR$60=C23)*($BS$51:$CA$51=S$21),$BS$52:$CA$60)),0)</f>
        <v>0</v>
      </c>
      <c r="AP36" s="681">
        <f t="array" aca="1" ref="AP36" ca="1">IF(S23=C23,SUM(IF(($BR$52:$BR$60=C23)*($BS$51:$CA$51=S$22),$BS$52:$CA$60)),0)</f>
        <v>0</v>
      </c>
      <c r="AQ36" s="681">
        <f t="array" aca="1" ref="AQ36" ca="1">IF(S23=C23,SUM(IF(($BR$52:$BR$60=C23)*($BS$51:$CA$51=S$24),$BS$52:$CA$60)),0)</f>
        <v>0</v>
      </c>
      <c r="AR36" s="681">
        <f t="array" aca="1" ref="AR36" ca="1">IF(S23=C23,SUM(IF(($BR$52:$BR$60=C23)*($BS$51:$CA$51=S$25),$BS$52:$CA$60)),0)</f>
        <v>0</v>
      </c>
      <c r="AS36" s="692">
        <f t="array" aca="1" ref="AS36" ca="1">IF(T23=C23,SUM(IF(($BR$52:$BR$60=C23)*($BS$51:$CA$51=T$17),$BS$52:$CA$60)),0)</f>
        <v>0</v>
      </c>
      <c r="AT36" s="681">
        <f t="array" aca="1" ref="AT36" ca="1">IF(T23=C23,SUM(IF(($BR$52:$BR$60=C23)*($BS$51:$CA$51=T$18),$BS$52:$CA$60)),0)</f>
        <v>0</v>
      </c>
      <c r="AU36" s="681">
        <f t="array" aca="1" ref="AU36" ca="1">IF(T23=C23,SUM(IF(($BR$52:$BR$60=C23)*($BS$51:$CA$51=T$19),$BS$52:$CA$60)),0)</f>
        <v>0</v>
      </c>
      <c r="AV36" s="681">
        <f t="array" aca="1" ref="AV36" ca="1">IF(T23=C23,SUM(IF(($BR$52:$BR$60=C23)*($BS$51:$CA$51=T$20),$BS$52:$CA$60)),0)</f>
        <v>0</v>
      </c>
      <c r="AW36" s="681">
        <f t="array" aca="1" ref="AW36" ca="1">IF(T23=C23,SUM(IF(($BR$52:$BR$60=C23)*($BS$51:$CA$51=T$21),$BS$52:$CA$60)),0)</f>
        <v>0</v>
      </c>
      <c r="AX36" s="681">
        <f t="array" aca="1" ref="AX36" ca="1">IF(T23=C23,SUM(IF(($BR$52:$BR$60=C23)*($BS$51:$CA$51=T$22),$BS$52:$CA$60)),0)</f>
        <v>0</v>
      </c>
      <c r="AY36" s="681">
        <f t="array" aca="1" ref="AY36" ca="1">IF(T23=C23,SUM(IF(($BR$52:$BR$60=C23)*($BS$51:$CA$51=T$24),$BS$52:$CA$60)),0)</f>
        <v>0</v>
      </c>
      <c r="AZ36" s="681">
        <f t="array" aca="1" ref="AZ36" ca="1">IF(T23=C23,SUM(IF(($BR$52:$BR$60=C23)*($BS$51:$CA$51=T$25),$BS$52:$CA$60)),0)</f>
        <v>0</v>
      </c>
      <c r="BA36" s="692">
        <f t="array" aca="1" ref="BA36" ca="1">IF(U23=C23,SUM(IF(($BR$52:$BR$60=C23)*($BS$51:$CA$51=U$17),$BS$52:$CA$60)),0)</f>
        <v>0</v>
      </c>
      <c r="BB36" s="681">
        <f t="array" aca="1" ref="BB36" ca="1">IF(U23=C23,SUM(IF(($BR$52:$BR$60=C23)*($BS$51:$CA$51=U$18),$BS$52:$CA$60)),0)</f>
        <v>0</v>
      </c>
      <c r="BC36" s="681">
        <f t="array" aca="1" ref="BC36" ca="1">IF(U23=C23,SUM(IF(($BR$52:$BR$60=C23)*($BS$51:$CA$51=U$19),$BS$52:$CA$60)),0)</f>
        <v>0</v>
      </c>
      <c r="BD36" s="681">
        <f t="array" aca="1" ref="BD36" ca="1">IF(U23=C23,SUM(IF(($BR$52:$BR$60=C23)*($BS$51:$CA$51=U$20),$BS$52:$CA$60)),0)</f>
        <v>0</v>
      </c>
      <c r="BE36" s="681">
        <f t="array" aca="1" ref="BE36" ca="1">IF(U23=C23,SUM(IF(($BR$52:$BR$60=C23)*($BS$51:$CA$51=U$21),$BS$52:$CA$60)),0)</f>
        <v>0</v>
      </c>
      <c r="BF36" s="681">
        <f t="array" aca="1" ref="BF36" ca="1">IF(U23=C23,SUM(IF(($BR$52:$BR$60=C23)*($BS$51:$CA$51=U$22),$BS$52:$CA$60)),0)</f>
        <v>0</v>
      </c>
      <c r="BG36" s="681">
        <f t="array" aca="1" ref="BG36" ca="1">IF(U23=C23,SUM(IF(($BR$52:$BR$60=C23)*($BS$51:$CA$51=U$24),$BS$52:$CA$60)),0)</f>
        <v>0</v>
      </c>
      <c r="BH36" s="681">
        <f t="array" aca="1" ref="BH36" ca="1">IF(U23=C23,SUM(IF(($BR$52:$BR$60=C23)*($BS$51:$CA$51=U$25),$BS$52:$CA$60)),0)</f>
        <v>0</v>
      </c>
      <c r="BI36" s="692">
        <f t="array" aca="1" ref="BI36" ca="1">IF(V23=C23,SUM(IF(($BR$52:$BR$60=C23)*($BS$51:$CA$51=V$17),$BS$52:$CA$60)),0)</f>
        <v>0</v>
      </c>
      <c r="BJ36" s="681">
        <f t="array" aca="1" ref="BJ36" ca="1">IF(V23=C23,SUM(IF(($BR$52:$BR$60=C23)*($BS$51:$CA$51=V$18),$BS$52:$CA$60)),0)</f>
        <v>0</v>
      </c>
      <c r="BK36" s="681">
        <f t="array" aca="1" ref="BK36" ca="1">IF(V23=C23,SUM(IF(($BR$52:$BR$60=C23)*($BS$51:$CA$51=V$19),$BS$52:$CA$60)),0)</f>
        <v>0</v>
      </c>
      <c r="BL36" s="681">
        <f t="array" aca="1" ref="BL36" ca="1">IF(V23=C23,SUM(IF(($BR$52:$BR$60=C23)*($BS$51:$CA$51=V$20),$BS$52:$CA$60)),0)</f>
        <v>0</v>
      </c>
      <c r="BM36" s="681">
        <f t="array" aca="1" ref="BM36" ca="1">IF(V23=C23,SUM(IF(($BR$52:$BR$60=C23)*($BS$51:$CA$51=V$21),$BS$52:$CA$60)),0)</f>
        <v>0</v>
      </c>
      <c r="BN36" s="681">
        <f t="array" aca="1" ref="BN36" ca="1">IF(V23=C23,SUM(IF(($BR$52:$BR$60=C23)*($BS$51:$CA$51=V$22),$BS$52:$CA$60)),0)</f>
        <v>0</v>
      </c>
      <c r="BO36" s="681">
        <f t="array" aca="1" ref="BO36" ca="1">IF(V23=C23,SUM(IF(($BR$52:$BR$60=C23)*($BS$51:$CA$51=V$24),$BS$52:$CA$60)),0)</f>
        <v>0</v>
      </c>
      <c r="BP36" s="701">
        <f t="array" aca="1" ref="BP36" ca="1">IF(V23=C23,SUM(IF(($BR$52:$BR$60=C23)*($BS$51:$CA$51=V$25),$BS$52:$CA$60)),0)</f>
        <v>0</v>
      </c>
      <c r="BQ36" s="681"/>
      <c r="BR36" s="660" t="str">
        <f t="shared" si="33"/>
        <v/>
      </c>
      <c r="BS36" s="704">
        <f t="shared" ca="1" si="36"/>
        <v>0</v>
      </c>
      <c r="BT36" s="704">
        <f t="shared" ca="1" si="38"/>
        <v>0</v>
      </c>
      <c r="BU36" s="704">
        <f t="shared" ca="1" si="40"/>
        <v>0</v>
      </c>
      <c r="BV36" s="704">
        <f ca="1">SUMIFS($AH$64:$AH$135,$V$64:$V$135,$BR36,$W$64:$W$135,BV$29)+SUMIFS($AI$64:$AI$135,$W$64:$W$135,$BR36,$V$64:$V$135,BV$29)</f>
        <v>0</v>
      </c>
      <c r="BW36" s="704">
        <f ca="1">SUMIFS($AH$64:$AH$135,$V$64:$V$135,$BR36,$W$64:$W$135,BW$29)+SUMIFS($AI$64:$AI$135,$W$64:$W$135,$BR36,$V$64:$V$135,BW$29)</f>
        <v>0</v>
      </c>
      <c r="BX36" s="704">
        <f ca="1">SUMIFS($AH$64:$AH$135,$V$64:$V$135,$BR36,$W$64:$W$135,BX$29)+SUMIFS($AI$64:$AI$135,$W$64:$W$135,$BR36,$V$64:$V$135,BX$29)</f>
        <v>0</v>
      </c>
      <c r="BY36" s="702"/>
      <c r="BZ36" s="703">
        <f ca="1">SUMIFS($AH$64:$AH$135,$V$64:$V$135,$BR36,$W$64:$W$135,BZ$29)+SUMIFS($AI$64:$AI$135,$W$64:$W$135,$BR36,$V$64:$V$135,BZ$29)</f>
        <v>0</v>
      </c>
      <c r="CA36" s="703">
        <f ca="1">SUMIFS($AH$64:$AH$135,$V$64:$V$135,$BR36,$W$64:$W$135,CA$29)+SUMIFS($AI$64:$AI$135,$W$64:$W$135,$BR36,$V$64:$V$135,CA$29)</f>
        <v>0</v>
      </c>
      <c r="CB36" s="681"/>
    </row>
    <row r="37" spans="1:80" s="1" customFormat="1" x14ac:dyDescent="0.2">
      <c r="A37" s="660"/>
      <c r="B37" s="660"/>
      <c r="C37" s="660" t="str">
        <f t="shared" si="35"/>
        <v/>
      </c>
      <c r="D37" s="660"/>
      <c r="E37" s="700">
        <f t="array" aca="1" ref="E37" ca="1">IF(O24=C24,SUM(IF(($BR$52:$BR$60=C24)*($BS$51:$CA$51=O17),$BS$52:$CA$60)),0)</f>
        <v>0</v>
      </c>
      <c r="F37" s="681">
        <f t="array" aca="1" ref="F37" ca="1">IF(O24=C24,SUM(IF(($BR$52:$BR$60=C24)*($BS$51:$CA$51=O$18),$BS$52:$CA$60)),0)</f>
        <v>0</v>
      </c>
      <c r="G37" s="681">
        <f t="array" aca="1" ref="G37" ca="1">IF(O24=C24,SUM(IF(($BR$52:$BR$60=C24)*($BS$51:$CA$51=O$19),$BS$52:$CA$60)),0)</f>
        <v>0</v>
      </c>
      <c r="H37" s="681">
        <f t="array" aca="1" ref="H37" ca="1">IF(O24=C24,SUM(IF(($BR$52:$BR$60=C24)*($BS$51:$CA$51=O$20),$BS$52:$CA$60)),0)</f>
        <v>0</v>
      </c>
      <c r="I37" s="681">
        <f t="array" aca="1" ref="I37" ca="1">IF(O24=C24,SUM(IF(($BR$52:$BR$60=C24)*($BS$51:$CA$51=O$21),$BS$52:$CA$60)),0)</f>
        <v>0</v>
      </c>
      <c r="J37" s="681">
        <f t="array" aca="1" ref="J37" ca="1">IF(O24=C24,SUM(IF(($BR$52:$BR$60=C24)*($BS$51:$CA$51=O$22),$BS$52:$CA$60)),0)</f>
        <v>0</v>
      </c>
      <c r="K37" s="681">
        <f t="array" aca="1" ref="K37" ca="1">IF(O24=C24,SUM(IF(($BR$52:$BR$60=C24)*($BS$51:$CA$51=O$23),$BS$52:$CA$60)),0)</f>
        <v>0</v>
      </c>
      <c r="L37" s="681">
        <f t="array" aca="1" ref="L37" ca="1">IF(O24=C24,SUM(IF(($BR$52:$BR$60=C24)*($BS$51:$CA$51=O$25),$BS$52:$CA$60)),0)</f>
        <v>0</v>
      </c>
      <c r="M37" s="692">
        <f t="array" aca="1" ref="M37" ca="1">IF(P24=C24,SUM(IF(($BR$52:$BR$60=C24)*($BS$51:$CA$51=P$17),$BS$52:$CA$60)),0)</f>
        <v>0</v>
      </c>
      <c r="N37" s="681">
        <f t="array" aca="1" ref="N37" ca="1">IF(P24=C24,SUM(IF(($BR$52:$BR$60=C24)*($BS$51:$CA$51=P$18),$BS$52:$CA$60)),0)</f>
        <v>0</v>
      </c>
      <c r="O37" s="681">
        <f t="array" aca="1" ref="O37" ca="1">IF(P24=C24,SUM(IF(($BR$52:$BR$60=C24)*($BS$51:$CA$51=P$19),$BS$52:$CA$60)),0)</f>
        <v>0</v>
      </c>
      <c r="P37" s="681">
        <f t="array" aca="1" ref="P37" ca="1">IF(P24=C24,SUM(IF(($BR$52:$BR$60=C24)*($BS$51:$CA$51=P$20),$BS$52:$CA$60)),0)</f>
        <v>0</v>
      </c>
      <c r="Q37" s="681">
        <f t="array" aca="1" ref="Q37" ca="1">IF(P24=C24,SUM(IF(($BR$52:$BR$60=C24)*($BS$51:$CA$51=P$21),$BS$52:$CA$60)),0)</f>
        <v>0</v>
      </c>
      <c r="R37" s="681">
        <f t="array" aca="1" ref="R37" ca="1">IF(P24=C24,SUM(IF(($BR$52:$BR$60=C24)*($BS$51:$CA$51=P$22),$BS$52:$CA$60)),0)</f>
        <v>0</v>
      </c>
      <c r="S37" s="681">
        <f t="array" aca="1" ref="S37" ca="1">IF(P24=C24,SUM(IF(($BR$52:$BR$60=C24)*($BS$51:$CA$51=P$23),$BS$52:$CA$60)),0)</f>
        <v>0</v>
      </c>
      <c r="T37" s="681">
        <f t="array" aca="1" ref="T37" ca="1">IF(P24=C24,SUM(IF(($BR$52:$BR$60=C24)*($BS$51:$CA$51=P$25),$BS$52:$CA$60)),0)</f>
        <v>0</v>
      </c>
      <c r="U37" s="692">
        <f t="array" aca="1" ref="U37" ca="1">IF(Q24=C24,SUM(IF(($BR$52:$BR$60=C24)*($BS$51:$CA$51=Q$17),$BS$52:$CA$60)),0)</f>
        <v>0</v>
      </c>
      <c r="V37" s="681">
        <f t="array" aca="1" ref="V37" ca="1">IF(Q24=C24,SUM(IF(($BR$52:$BR$60=C24)*($BS$51:$CA$51=Q$18),$BS$52:$CA$60)),0)</f>
        <v>0</v>
      </c>
      <c r="W37" s="681">
        <f t="array" aca="1" ref="W37" ca="1">IF(Q24=C24,SUM(IF(($BR$52:$BR$60=C24)*($BS$51:$CA$51=Q$19),$BS$52:$CA$60)),0)</f>
        <v>0</v>
      </c>
      <c r="X37" s="681">
        <f t="array" aca="1" ref="X37" ca="1">IF(Q24=C24,SUM(IF(($BR$52:$BR$60=C24)*($BS$51:$CA$51=Q$20),$BS$52:$CA$60)),0)</f>
        <v>0</v>
      </c>
      <c r="Y37" s="681">
        <f t="array" aca="1" ref="Y37" ca="1">IF(Q24=C24,SUM(IF(($BR$52:$BR$60=C24)*($BS$51:$CA$51=Q$21),$BS$52:$CA$60)),0)</f>
        <v>0</v>
      </c>
      <c r="Z37" s="681">
        <f t="array" aca="1" ref="Z37" ca="1">IF(Q24=C24,SUM(IF(($BR$52:$BR$60=C24)*($BS$51:$CA$51=Q$22),$BS$52:$CA$60)),0)</f>
        <v>0</v>
      </c>
      <c r="AA37" s="681">
        <f t="array" aca="1" ref="AA37" ca="1">IF(Q24=C24,SUM(IF(($BR$52:$BR$60=C24)*($BS$51:$CA$51=Q$23),$BS$52:$CA$60)),0)</f>
        <v>0</v>
      </c>
      <c r="AB37" s="681">
        <f t="array" aca="1" ref="AB37" ca="1">IF(Q24=C24,SUM(IF(($BR$52:$BR$60=C24)*($BS$51:$CA$51=Q$25),$BS$52:$CA$60)),0)</f>
        <v>0</v>
      </c>
      <c r="AC37" s="692">
        <f t="array" aca="1" ref="AC37" ca="1">IF(R24=C24,SUM(IF(($BR$52:$BR$60=C24)*($BS$51:$CA$51=R$17),$BS$52:$CA$60)),0)</f>
        <v>0</v>
      </c>
      <c r="AD37" s="681">
        <f t="array" aca="1" ref="AD37" ca="1">IF(R24=C24,SUM(IF(($BR$52:$BR$60=C24)*($BS$51:$CA$51=R$18),$BS$52:$CA$60)),0)</f>
        <v>0</v>
      </c>
      <c r="AE37" s="681">
        <f t="array" aca="1" ref="AE37" ca="1">IF(R24=C24,SUM(IF(($BR$52:$BR$60=C24)*($BS$51:$CA$51=R$19),$BS$52:$CA$60)),0)</f>
        <v>0</v>
      </c>
      <c r="AF37" s="681">
        <f t="array" aca="1" ref="AF37" ca="1">IF(R24=C24,SUM(IF(($BR$52:$BR$60=C24)*($BS$51:$CA$51=R$20),$BS$52:$CA$60)),0)</f>
        <v>0</v>
      </c>
      <c r="AG37" s="681">
        <f t="array" aca="1" ref="AG37" ca="1">IF(R24=C24,SUM(IF(($BR$52:$BR$60=C24)*($BS$51:$CA$51=R$21),$BS$52:$CA$60)),0)</f>
        <v>0</v>
      </c>
      <c r="AH37" s="681">
        <f t="array" aca="1" ref="AH37" ca="1">IF(R24=C24,SUM(IF(($BR$52:$BR$60=C24)*($BS$51:$CA$51=R$22),$BS$52:$CA$60)),0)</f>
        <v>0</v>
      </c>
      <c r="AI37" s="681">
        <f t="array" aca="1" ref="AI37" ca="1">IF(R24=C24,SUM(IF(($BR$52:$BR$60=C24)*($BS$51:$CA$51=R$23),$BS$52:$CA$60)),0)</f>
        <v>0</v>
      </c>
      <c r="AJ37" s="681">
        <f t="array" aca="1" ref="AJ37" ca="1">IF(R24=C24,SUM(IF(($BR$52:$BR$60=C24)*($BS$51:$CA$51=R$25),$BS$52:$CA$60)),0)</f>
        <v>0</v>
      </c>
      <c r="AK37" s="692">
        <f t="array" aca="1" ref="AK37" ca="1">IF(S24=C24,SUM(IF(($BR$52:$BR$60=C24)*($BS$51:$CA$51=S$17),$BS$52:$CA$60)),0)</f>
        <v>0</v>
      </c>
      <c r="AL37" s="681">
        <f t="array" aca="1" ref="AL37" ca="1">IF(S24=C24,SUM(IF(($BR$52:$BR$60=C24)*($BS$51:$CA$51=S$18),$BS$52:$CA$60)),0)</f>
        <v>0</v>
      </c>
      <c r="AM37" s="681">
        <f t="array" aca="1" ref="AM37" ca="1">IF(S24=C24,SUM(IF(($BR$52:$BR$60=C24)*($BS$51:$CA$51=S$19),$BS$52:$CA$60)),0)</f>
        <v>0</v>
      </c>
      <c r="AN37" s="681">
        <f t="array" aca="1" ref="AN37" ca="1">IF(S24=C24,SUM(IF(($BR$52:$BR$60=C24)*($BS$51:$CA$51=S$20),$BS$52:$CA$60)),0)</f>
        <v>0</v>
      </c>
      <c r="AO37" s="681">
        <f t="array" aca="1" ref="AO37" ca="1">IF(S24=C24,SUM(IF(($BR$52:$BR$60=C24)*($BS$51:$CA$51=S$21),$BS$52:$CA$60)),0)</f>
        <v>0</v>
      </c>
      <c r="AP37" s="681">
        <f t="array" aca="1" ref="AP37" ca="1">IF(S24=C24,SUM(IF(($BR$52:$BR$60=C24)*($BS$51:$CA$51=S$22),$BS$52:$CA$60)),0)</f>
        <v>0</v>
      </c>
      <c r="AQ37" s="681">
        <f t="array" aca="1" ref="AQ37" ca="1">IF(S24=C24,SUM(IF(($BR$52:$BR$60=C24)*($BS$51:$CA$51=S$23),$BS$52:$CA$60)),0)</f>
        <v>0</v>
      </c>
      <c r="AR37" s="681">
        <f t="array" aca="1" ref="AR37" ca="1">IF(S24=C24,SUM(IF(($BR$52:$BR$60=C24)*($BS$51:$CA$51=S$25),$BS$52:$CA$60)),0)</f>
        <v>0</v>
      </c>
      <c r="AS37" s="692">
        <f t="array" aca="1" ref="AS37" ca="1">IF(T24=C24,SUM(IF(($BR$52:$BR$60=C24)*($BS$51:$CA$51=T$17),$BS$52:$CA$60)),0)</f>
        <v>0</v>
      </c>
      <c r="AT37" s="681">
        <f t="array" aca="1" ref="AT37" ca="1">IF(T24=C24,SUM(IF(($BR$52:$BR$60=C24)*($BS$51:$CA$51=T$18),$BS$52:$CA$60)),0)</f>
        <v>0</v>
      </c>
      <c r="AU37" s="681">
        <f t="array" aca="1" ref="AU37" ca="1">IF(T24=C24,SUM(IF(($BR$52:$BR$60=C24)*($BS$51:$CA$51=T$19),$BS$52:$CA$60)),0)</f>
        <v>0</v>
      </c>
      <c r="AV37" s="681">
        <f t="array" aca="1" ref="AV37" ca="1">IF(T24=C24,SUM(IF(($BR$52:$BR$60=C24)*($BS$51:$CA$51=T$20),$BS$52:$CA$60)),0)</f>
        <v>0</v>
      </c>
      <c r="AW37" s="681">
        <f t="array" aca="1" ref="AW37" ca="1">IF(T24=C24,SUM(IF(($BR$52:$BR$60=C24)*($BS$51:$CA$51=T$21),$BS$52:$CA$60)),0)</f>
        <v>0</v>
      </c>
      <c r="AX37" s="681">
        <f t="array" aca="1" ref="AX37" ca="1">IF(T24=C24,SUM(IF(($BR$52:$BR$60=C24)*($BS$51:$CA$51=T$22),$BS$52:$CA$60)),0)</f>
        <v>0</v>
      </c>
      <c r="AY37" s="681">
        <f t="array" aca="1" ref="AY37" ca="1">IF(T24=C24,SUM(IF(($BR$52:$BR$60=C24)*($BS$51:$CA$51=T$23),$BS$52:$CA$60)),0)</f>
        <v>0</v>
      </c>
      <c r="AZ37" s="681">
        <f t="array" aca="1" ref="AZ37" ca="1">IF(T24=C24,SUM(IF(($BR$52:$BR$60=C24)*($BS$51:$CA$51=T$25),$BS$52:$CA$60)),0)</f>
        <v>0</v>
      </c>
      <c r="BA37" s="692">
        <f t="array" aca="1" ref="BA37" ca="1">IF(U24=C24,SUM(IF(($BR$52:$BR$60=C24)*($BS$51:$CA$51=U$17),$BS$52:$CA$60)),0)</f>
        <v>0</v>
      </c>
      <c r="BB37" s="681">
        <f t="array" aca="1" ref="BB37" ca="1">IF(U24=C24,SUM(IF(($BR$52:$BR$60=C24)*($BS$51:$CA$51=U$18),$BS$52:$CA$60)),0)</f>
        <v>0</v>
      </c>
      <c r="BC37" s="681">
        <f t="array" aca="1" ref="BC37" ca="1">IF(U24=C24,SUM(IF(($BR$52:$BR$60=C24)*($BS$51:$CA$51=U$19),$BS$52:$CA$60)),0)</f>
        <v>0</v>
      </c>
      <c r="BD37" s="681">
        <f t="array" aca="1" ref="BD37" ca="1">IF(U24=C24,SUM(IF(($BR$52:$BR$60=C24)*($BS$51:$CA$51=U$20),$BS$52:$CA$60)),0)</f>
        <v>0</v>
      </c>
      <c r="BE37" s="681">
        <f t="array" aca="1" ref="BE37" ca="1">IF(U24=C24,SUM(IF(($BR$52:$BR$60=C24)*($BS$51:$CA$51=U$21),$BS$52:$CA$60)),0)</f>
        <v>0</v>
      </c>
      <c r="BF37" s="681">
        <f t="array" aca="1" ref="BF37" ca="1">IF(U24=C24,SUM(IF(($BR$52:$BR$60=C24)*($BS$51:$CA$51=U$22),$BS$52:$CA$60)),0)</f>
        <v>0</v>
      </c>
      <c r="BG37" s="681">
        <f t="array" aca="1" ref="BG37" ca="1">IF(U24=C24,SUM(IF(($BR$52:$BR$60=C24)*($BS$51:$CA$51=U$23),$BS$52:$CA$60)),0)</f>
        <v>0</v>
      </c>
      <c r="BH37" s="681">
        <f t="array" aca="1" ref="BH37" ca="1">IF(U24=C24,SUM(IF(($BR$52:$BR$60=C24)*($BS$51:$CA$51=U$25),$BS$52:$CA$60)),0)</f>
        <v>0</v>
      </c>
      <c r="BI37" s="692">
        <f t="array" aca="1" ref="BI37" ca="1">IF(V24=C24,SUM(IF(($BR$52:$BR$60=C24)*($BS$51:$CA$51=V$17),$BS$52:$CA$60)),0)</f>
        <v>0</v>
      </c>
      <c r="BJ37" s="681">
        <f t="array" aca="1" ref="BJ37" ca="1">IF(V24=C24,SUM(IF(($BR$52:$BR$60=C24)*($BS$51:$CA$51=V$18),$BS$52:$CA$60)),0)</f>
        <v>0</v>
      </c>
      <c r="BK37" s="681">
        <f t="array" aca="1" ref="BK37" ca="1">IF(V24=C24,SUM(IF(($BR$52:$BR$60=C24)*($BS$51:$CA$51=V$19),$BS$52:$CA$60)),0)</f>
        <v>0</v>
      </c>
      <c r="BL37" s="681">
        <f t="array" aca="1" ref="BL37" ca="1">IF(V24=C24,SUM(IF(($BR$52:$BR$60=C24)*($BS$51:$CA$51=V$20),$BS$52:$CA$60)),0)</f>
        <v>0</v>
      </c>
      <c r="BM37" s="681">
        <f t="array" aca="1" ref="BM37" ca="1">IF(V24=C24,SUM(IF(($BR$52:$BR$60=C24)*($BS$51:$CA$51=V$21),$BS$52:$CA$60)),0)</f>
        <v>0</v>
      </c>
      <c r="BN37" s="681">
        <f t="array" aca="1" ref="BN37" ca="1">IF(V24=C24,SUM(IF(($BR$52:$BR$60=C24)*($BS$51:$CA$51=V$22),$BS$52:$CA$60)),0)</f>
        <v>0</v>
      </c>
      <c r="BO37" s="681">
        <f t="array" aca="1" ref="BO37" ca="1">IF(V24=C24,SUM(IF(($BR$52:$BR$60=C24)*($BS$51:$CA$51=V$23),$BS$52:$CA$60)),0)</f>
        <v>0</v>
      </c>
      <c r="BP37" s="701">
        <f t="array" aca="1" ref="BP37" ca="1">IF(V24=C24,SUM(IF(($BR$52:$BR$60=C24)*($BS$51:$CA$51=V$25),$BS$52:$CA$60)),0)</f>
        <v>0</v>
      </c>
      <c r="BQ37" s="681"/>
      <c r="BR37" s="660" t="str">
        <f t="shared" si="33"/>
        <v/>
      </c>
      <c r="BS37" s="704">
        <f t="shared" ca="1" si="36"/>
        <v>0</v>
      </c>
      <c r="BT37" s="704">
        <f t="shared" ca="1" si="38"/>
        <v>0</v>
      </c>
      <c r="BU37" s="704">
        <f t="shared" ca="1" si="40"/>
        <v>0</v>
      </c>
      <c r="BV37" s="704">
        <f ca="1">SUMIFS($AH$64:$AH$135,$V$64:$V$135,$BR37,$W$64:$W$135,BV$29)+SUMIFS($AI$64:$AI$135,$W$64:$W$135,$BR37,$V$64:$V$135,BV$29)</f>
        <v>0</v>
      </c>
      <c r="BW37" s="704">
        <f ca="1">SUMIFS($AH$64:$AH$135,$V$64:$V$135,$BR37,$W$64:$W$135,BW$29)+SUMIFS($AI$64:$AI$135,$W$64:$W$135,$BR37,$V$64:$V$135,BW$29)</f>
        <v>0</v>
      </c>
      <c r="BX37" s="704">
        <f ca="1">SUMIFS($AH$64:$AH$135,$V$64:$V$135,$BR37,$W$64:$W$135,BX$29)+SUMIFS($AI$64:$AI$135,$W$64:$W$135,$BR37,$V$64:$V$135,BX$29)</f>
        <v>0</v>
      </c>
      <c r="BY37" s="704">
        <f ca="1">SUMIFS($AH$64:$AH$135,$V$64:$V$135,$BR37,$W$64:$W$135,BY$29)+SUMIFS($AI$64:$AI$135,$W$64:$W$135,$BR37,$V$64:$V$135,BY$29)</f>
        <v>0</v>
      </c>
      <c r="BZ37" s="702"/>
      <c r="CA37" s="703">
        <f ca="1">SUMIFS($AH$64:$AH$135,$V$64:$V$135,$BR37,$W$64:$W$135,CA$29)+SUMIFS($AI$64:$AI$135,$W$64:$W$135,$BR37,$V$64:$V$135,CA$29)</f>
        <v>0</v>
      </c>
      <c r="CB37" s="681"/>
    </row>
    <row r="38" spans="1:80" s="1" customFormat="1" x14ac:dyDescent="0.2">
      <c r="A38" s="660"/>
      <c r="B38" s="660"/>
      <c r="C38" s="660" t="str">
        <f t="shared" si="35"/>
        <v/>
      </c>
      <c r="D38" s="660"/>
      <c r="E38" s="700">
        <f t="array" aca="1" ref="E38" ca="1">IF(O25=C25,SUM(IF(($BR$52:$BR$60=C25)*($BS$51:$CA$51=O17),$BS$52:$CA$60)),0)</f>
        <v>0</v>
      </c>
      <c r="F38" s="681">
        <f t="array" aca="1" ref="F38" ca="1">IF(O25=C25,SUM(IF(($BR$52:$BR$60=C25)*($BS$51:$CA$51=O$18),$BS$52:$CA$60)),0)</f>
        <v>0</v>
      </c>
      <c r="G38" s="681">
        <f t="array" aca="1" ref="G38" ca="1">IF(O25=C25,SUM(IF(($BR$52:$BR$60=C25)*($BS$51:$CA$51=O$19),$BS$52:$CA$60)),0)</f>
        <v>0</v>
      </c>
      <c r="H38" s="681">
        <f t="array" aca="1" ref="H38" ca="1">IF(O25=C25,SUM(IF(($BR$52:$BR$60=C25)*($BS$51:$CA$51=O$20),$BS$52:$CA$60)),0)</f>
        <v>0</v>
      </c>
      <c r="I38" s="681">
        <f t="array" aca="1" ref="I38" ca="1">IF(O25=C25,SUM(IF(($BR$52:$BR$60=C25)*($BS$51:$CA$51=O$21),$BS$52:$CA$60)),0)</f>
        <v>0</v>
      </c>
      <c r="J38" s="681">
        <f t="array" aca="1" ref="J38" ca="1">IF(O25=C25,SUM(IF(($BR$52:$BR$60=C25)*($BS$51:$CA$51=O$22),$BS$52:$CA$60)),0)</f>
        <v>0</v>
      </c>
      <c r="K38" s="681">
        <f t="array" aca="1" ref="K38" ca="1">IF(O25=C25,SUM(IF(($BR$52:$BR$60=C25)*($BS$51:$CA$51=O$23),$BS$52:$CA$60)),0)</f>
        <v>0</v>
      </c>
      <c r="L38" s="681">
        <f t="array" aca="1" ref="L38" ca="1">IF(O25=C25,SUM(IF(($BR$52:$BR$60=C25)*($BS$51:$CA$51=O$24),$BS$52:$CA$60)),0)</f>
        <v>0</v>
      </c>
      <c r="M38" s="692">
        <f t="array" aca="1" ref="M38" ca="1">IF(P25=C25,SUM(IF(($BR$52:$BR$60=C25)*($BS$51:$CA$51=P$17),$BS$52:$CA$60)),0)</f>
        <v>0</v>
      </c>
      <c r="N38" s="681">
        <f t="array" aca="1" ref="N38" ca="1">IF(P25=C25,SUM(IF(($BR$52:$BR$60=C25)*($BS$51:$CA$51=P$18),$BS$52:$CA$60)),0)</f>
        <v>0</v>
      </c>
      <c r="O38" s="681">
        <f t="array" aca="1" ref="O38" ca="1">IF(P25=C25,SUM(IF(($BR$52:$BR$60=C25)*($BS$51:$CA$51=P$19),$BS$52:$CA$60)),0)</f>
        <v>0</v>
      </c>
      <c r="P38" s="681">
        <f t="array" aca="1" ref="P38" ca="1">IF(P25=C25,SUM(IF(($BR$52:$BR$60=C25)*($BS$51:$CA$51=P$20),$BS$52:$CA$60)),0)</f>
        <v>0</v>
      </c>
      <c r="Q38" s="681">
        <f t="array" aca="1" ref="Q38" ca="1">IF(P25=C25,SUM(IF(($BR$52:$BR$60=C25)*($BS$51:$CA$51=P$21),$BS$52:$CA$60)),0)</f>
        <v>0</v>
      </c>
      <c r="R38" s="681">
        <f t="array" aca="1" ref="R38" ca="1">IF(P25=C25,SUM(IF(($BR$52:$BR$60=C25)*($BS$51:$CA$51=P$22),$BS$52:$CA$60)),0)</f>
        <v>0</v>
      </c>
      <c r="S38" s="681">
        <f t="array" aca="1" ref="S38" ca="1">IF(P25=C25,SUM(IF(($BR$52:$BR$60=C25)*($BS$51:$CA$51=P$23),$BS$52:$CA$60)),0)</f>
        <v>0</v>
      </c>
      <c r="T38" s="681">
        <f t="array" aca="1" ref="T38" ca="1">IF(P25=C25,SUM(IF(($BR$52:$BR$60=C25)*($BS$51:$CA$51=P$24),$BS$52:$CA$60)),0)</f>
        <v>0</v>
      </c>
      <c r="U38" s="692">
        <f t="array" aca="1" ref="U38" ca="1">IF(Q25=C25,SUM(IF(($BR$52:$BR$60=C25)*($BS$51:$CA$51=Q$17),$BS$52:$CA$60)),0)</f>
        <v>0</v>
      </c>
      <c r="V38" s="681">
        <f t="array" aca="1" ref="V38" ca="1">IF(Q25=C25,SUM(IF(($BR$52:$BR$60=C25)*($BS$51:$CA$51=Q$18),$BS$52:$CA$60)),0)</f>
        <v>0</v>
      </c>
      <c r="W38" s="681">
        <f t="array" aca="1" ref="W38" ca="1">IF(Q25=C25,SUM(IF(($BR$52:$BR$60=C25)*($BS$51:$CA$51=Q$19),$BS$52:$CA$60)),0)</f>
        <v>0</v>
      </c>
      <c r="X38" s="681">
        <f t="array" aca="1" ref="X38" ca="1">IF(Q25=C25,SUM(IF(($BR$52:$BR$60=C25)*($BS$51:$CA$51=Q$20),$BS$52:$CA$60)),0)</f>
        <v>0</v>
      </c>
      <c r="Y38" s="681">
        <f t="array" aca="1" ref="Y38" ca="1">IF(Q25=C25,SUM(IF(($BR$52:$BR$60=C25)*($BS$51:$CA$51=Q$21),$BS$52:$CA$60)),0)</f>
        <v>0</v>
      </c>
      <c r="Z38" s="681">
        <f t="array" aca="1" ref="Z38" ca="1">IF(Q25=C25,SUM(IF(($BR$52:$BR$60=C25)*($BS$51:$CA$51=Q$22),$BS$52:$CA$60)),0)</f>
        <v>0</v>
      </c>
      <c r="AA38" s="681">
        <f t="array" aca="1" ref="AA38" ca="1">IF(Q25=C25,SUM(IF(($BR$52:$BR$60=C25)*($BS$51:$CA$51=Q$23),$BS$52:$CA$60)),0)</f>
        <v>0</v>
      </c>
      <c r="AB38" s="681">
        <f t="array" aca="1" ref="AB38" ca="1">IF(Q25=C25,SUM(IF(($BR$52:$BR$60=C25)*($BS$51:$CA$51=Q$24),$BS$52:$CA$60)),0)</f>
        <v>0</v>
      </c>
      <c r="AC38" s="692">
        <f t="array" aca="1" ref="AC38" ca="1">IF(R25=C25,SUM(IF(($BR$52:$BR$60=C25)*($BS$51:$CA$51=R$17),$BS$52:$CA$60)),0)</f>
        <v>0</v>
      </c>
      <c r="AD38" s="681">
        <f t="array" aca="1" ref="AD38" ca="1">IF(R25=C25,SUM(IF(($BR$52:$BR$60=C25)*($BS$51:$CA$51=R$18),$BS$52:$CA$60)),0)</f>
        <v>0</v>
      </c>
      <c r="AE38" s="681">
        <f t="array" aca="1" ref="AE38" ca="1">IF(R25=C25,SUM(IF(($BR$52:$BR$60=C25)*($BS$51:$CA$51=R$19),$BS$52:$CA$60)),0)</f>
        <v>0</v>
      </c>
      <c r="AF38" s="681">
        <f t="array" aca="1" ref="AF38" ca="1">IF(R25=C25,SUM(IF(($BR$52:$BR$60=C25)*($BS$51:$CA$51=R$20),$BS$52:$CA$60)),0)</f>
        <v>0</v>
      </c>
      <c r="AG38" s="681">
        <f t="array" aca="1" ref="AG38" ca="1">IF(R25=C25,SUM(IF(($BR$52:$BR$60=C25)*($BS$51:$CA$51=R$21),$BS$52:$CA$60)),0)</f>
        <v>0</v>
      </c>
      <c r="AH38" s="681">
        <f t="array" aca="1" ref="AH38" ca="1">IF(R25=C25,SUM(IF(($BR$52:$BR$60=C25)*($BS$51:$CA$51=R$22),$BS$52:$CA$60)),0)</f>
        <v>0</v>
      </c>
      <c r="AI38" s="681">
        <f t="array" aca="1" ref="AI38" ca="1">IF(R25=C25,SUM(IF(($BR$52:$BR$60=C25)*($BS$51:$CA$51=R$23),$BS$52:$CA$60)),0)</f>
        <v>0</v>
      </c>
      <c r="AJ38" s="681">
        <f t="array" aca="1" ref="AJ38" ca="1">IF(R25=C25,SUM(IF(($BR$52:$BR$60=C25)*($BS$51:$CA$51=R$24),$BS$52:$CA$60)),0)</f>
        <v>0</v>
      </c>
      <c r="AK38" s="692">
        <f t="array" aca="1" ref="AK38" ca="1">IF(S25=C25,SUM(IF(($BR$52:$BR$60=C25)*($BS$51:$CA$51=S$17),$BS$52:$CA$60)),0)</f>
        <v>0</v>
      </c>
      <c r="AL38" s="681">
        <f t="array" aca="1" ref="AL38" ca="1">IF(S25=C25,SUM(IF(($BR$52:$BR$60=C25)*($BS$51:$CA$51=S$18),$BS$52:$CA$60)),0)</f>
        <v>0</v>
      </c>
      <c r="AM38" s="681">
        <f t="array" aca="1" ref="AM38" ca="1">IF(S25=C25,SUM(IF(($BR$52:$BR$60=C25)*($BS$51:$CA$51=S$19),$BS$52:$CA$60)),0)</f>
        <v>0</v>
      </c>
      <c r="AN38" s="681">
        <f t="array" aca="1" ref="AN38" ca="1">IF(S25=C25,SUM(IF(($BR$52:$BR$60=C25)*($BS$51:$CA$51=S$20),$BS$52:$CA$60)),0)</f>
        <v>0</v>
      </c>
      <c r="AO38" s="681">
        <f t="array" aca="1" ref="AO38" ca="1">IF(S25=C25,SUM(IF(($BR$52:$BR$60=C25)*($BS$51:$CA$51=S$21),$BS$52:$CA$60)),0)</f>
        <v>0</v>
      </c>
      <c r="AP38" s="681">
        <f t="array" aca="1" ref="AP38" ca="1">IF(S25=C25,SUM(IF(($BR$52:$BR$60=C25)*($BS$51:$CA$51=S$22),$BS$52:$CA$60)),0)</f>
        <v>0</v>
      </c>
      <c r="AQ38" s="681">
        <f t="array" aca="1" ref="AQ38" ca="1">IF(S25=C25,SUM(IF(($BR$52:$BR$60=C25)*($BS$51:$CA$51=S$23),$BS$52:$CA$60)),0)</f>
        <v>0</v>
      </c>
      <c r="AR38" s="681">
        <f t="array" aca="1" ref="AR38" ca="1">IF(S25=C25,SUM(IF(($BR$52:$BR$60=C25)*($BS$51:$CA$51=S$24),$BS$52:$CA$60)),0)</f>
        <v>0</v>
      </c>
      <c r="AS38" s="692">
        <f t="array" aca="1" ref="AS38" ca="1">IF(T25=C25,SUM(IF(($BR$52:$BR$60=C25)*($BS$51:$CA$51=T$17),$BS$52:$CA$60)),0)</f>
        <v>0</v>
      </c>
      <c r="AT38" s="681">
        <f t="array" aca="1" ref="AT38" ca="1">IF(T25=C25,SUM(IF(($BR$52:$BR$60=C25)*($BS$51:$CA$51=T$18),$BS$52:$CA$60)),0)</f>
        <v>0</v>
      </c>
      <c r="AU38" s="681">
        <f t="array" aca="1" ref="AU38" ca="1">IF(T25=C25,SUM(IF(($BR$52:$BR$60=C25)*($BS$51:$CA$51=T$19),$BS$52:$CA$60)),0)</f>
        <v>0</v>
      </c>
      <c r="AV38" s="681">
        <f t="array" aca="1" ref="AV38" ca="1">IF(T25=C25,SUM(IF(($BR$52:$BR$60=C25)*($BS$51:$CA$51=T$20),$BS$52:$CA$60)),0)</f>
        <v>0</v>
      </c>
      <c r="AW38" s="681">
        <f t="array" aca="1" ref="AW38" ca="1">IF(T25=C25,SUM(IF(($BR$52:$BR$60=C25)*($BS$51:$CA$51=T$21),$BS$52:$CA$60)),0)</f>
        <v>0</v>
      </c>
      <c r="AX38" s="681">
        <f t="array" aca="1" ref="AX38" ca="1">IF(T25=C25,SUM(IF(($BR$52:$BR$60=C25)*($BS$51:$CA$51=T$22),$BS$52:$CA$60)),0)</f>
        <v>0</v>
      </c>
      <c r="AY38" s="681">
        <f t="array" aca="1" ref="AY38" ca="1">IF(T25=C25,SUM(IF(($BR$52:$BR$60=C25)*($BS$51:$CA$51=T$23),$BS$52:$CA$60)),0)</f>
        <v>0</v>
      </c>
      <c r="AZ38" s="681">
        <f t="array" aca="1" ref="AZ38" ca="1">IF(T25=C25,SUM(IF(($BR$52:$BR$60=C25)*($BS$51:$CA$51=T$24),$BS$52:$CA$60)),0)</f>
        <v>0</v>
      </c>
      <c r="BA38" s="692">
        <f t="array" aca="1" ref="BA38" ca="1">IF(U25=C25,SUM(IF(($BR$52:$BR$60=C25)*($BS$51:$CA$51=U$17),$BS$52:$CA$60)),0)</f>
        <v>0</v>
      </c>
      <c r="BB38" s="681">
        <f t="array" aca="1" ref="BB38" ca="1">IF(U25=C25,SUM(IF(($BR$52:$BR$60=C25)*($BS$51:$CA$51=U$18),$BS$52:$CA$60)),0)</f>
        <v>0</v>
      </c>
      <c r="BC38" s="681">
        <f t="array" aca="1" ref="BC38" ca="1">IF(U25=C25,SUM(IF(($BR$52:$BR$60=C25)*($BS$51:$CA$51=U$19),$BS$52:$CA$60)),0)</f>
        <v>0</v>
      </c>
      <c r="BD38" s="681">
        <f t="array" aca="1" ref="BD38" ca="1">IF(U25=C25,SUM(IF(($BR$52:$BR$60=C25)*($BS$51:$CA$51=U$20),$BS$52:$CA$60)),0)</f>
        <v>0</v>
      </c>
      <c r="BE38" s="681">
        <f t="array" aca="1" ref="BE38" ca="1">IF(U25=C25,SUM(IF(($BR$52:$BR$60=C25)*($BS$51:$CA$51=U$21),$BS$52:$CA$60)),0)</f>
        <v>0</v>
      </c>
      <c r="BF38" s="681">
        <f t="array" aca="1" ref="BF38" ca="1">IF(U25=C25,SUM(IF(($BR$52:$BR$60=C25)*($BS$51:$CA$51=U$22),$BS$52:$CA$60)),0)</f>
        <v>0</v>
      </c>
      <c r="BG38" s="681">
        <f t="array" aca="1" ref="BG38" ca="1">IF(U25=C25,SUM(IF(($BR$52:$BR$60=C25)*($BS$51:$CA$51=U$23),$BS$52:$CA$60)),0)</f>
        <v>0</v>
      </c>
      <c r="BH38" s="681">
        <f t="array" aca="1" ref="BH38" ca="1">IF(U25=C25,SUM(IF(($BR$52:$BR$60=C25)*($BS$51:$CA$51=U$24),$BS$52:$CA$60)),0)</f>
        <v>0</v>
      </c>
      <c r="BI38" s="692">
        <f t="array" aca="1" ref="BI38" ca="1">IF(V25=C25,SUM(IF(($BR$52:$BR$60=C25)*($BS$51:$CA$51=V$17),$BS$52:$CA$60)),0)</f>
        <v>0</v>
      </c>
      <c r="BJ38" s="681">
        <f t="array" aca="1" ref="BJ38" ca="1">IF(V25=C25,SUM(IF(($BR$52:$BR$60=C25)*($BS$51:$CA$51=V$18),$BS$52:$CA$60)),0)</f>
        <v>0</v>
      </c>
      <c r="BK38" s="681">
        <f t="array" aca="1" ref="BK38" ca="1">IF(V25=C25,SUM(IF(($BR$52:$BR$60=C25)*($BS$51:$CA$51=V$19),$BS$52:$CA$60)),0)</f>
        <v>0</v>
      </c>
      <c r="BL38" s="681">
        <f t="array" aca="1" ref="BL38" ca="1">IF(V25=C25,SUM(IF(($BR$52:$BR$60=C25)*($BS$51:$CA$51=V$20),$BS$52:$CA$60)),0)</f>
        <v>0</v>
      </c>
      <c r="BM38" s="681">
        <f t="array" aca="1" ref="BM38" ca="1">IF(V25=C25,SUM(IF(($BR$52:$BR$60=C25)*($BS$51:$CA$51=V$21),$BS$52:$CA$60)),0)</f>
        <v>0</v>
      </c>
      <c r="BN38" s="681">
        <f t="array" aca="1" ref="BN38" ca="1">IF(V25=C25,SUM(IF(($BR$52:$BR$60=C25)*($BS$51:$CA$51=V$22),$BS$52:$CA$60)),0)</f>
        <v>0</v>
      </c>
      <c r="BO38" s="681">
        <f t="array" aca="1" ref="BO38" ca="1">IF(V25=C25,SUM(IF(($BR$52:$BR$60=C25)*($BS$51:$CA$51=V$23),$BS$52:$CA$60)),0)</f>
        <v>0</v>
      </c>
      <c r="BP38" s="701">
        <f t="array" aca="1" ref="BP38" ca="1">IF(V25=C25,SUM(IF(($BR$52:$BR$60=C25)*($BS$51:$CA$51=V$24),$BS$52:$CA$60)),0)</f>
        <v>0</v>
      </c>
      <c r="BQ38" s="681"/>
      <c r="BR38" s="660" t="str">
        <f t="shared" si="33"/>
        <v/>
      </c>
      <c r="BS38" s="704">
        <f t="shared" ca="1" si="36"/>
        <v>0</v>
      </c>
      <c r="BT38" s="704">
        <f t="shared" ca="1" si="38"/>
        <v>0</v>
      </c>
      <c r="BU38" s="704">
        <f t="shared" ca="1" si="40"/>
        <v>0</v>
      </c>
      <c r="BV38" s="704">
        <f ca="1">SUMIFS($AH$64:$AH$135,$V$64:$V$135,$BR38,$W$64:$W$135,BV$29)+SUMIFS($AI$64:$AI$135,$W$64:$W$135,$BR38,$V$64:$V$135,BV$29)</f>
        <v>0</v>
      </c>
      <c r="BW38" s="704">
        <f ca="1">SUMIFS($AH$64:$AH$135,$V$64:$V$135,$BR38,$W$64:$W$135,BW$29)+SUMIFS($AI$64:$AI$135,$W$64:$W$135,$BR38,$V$64:$V$135,BW$29)</f>
        <v>0</v>
      </c>
      <c r="BX38" s="704">
        <f ca="1">SUMIFS($AH$64:$AH$135,$V$64:$V$135,$BR38,$W$64:$W$135,BX$29)+SUMIFS($AI$64:$AI$135,$W$64:$W$135,$BR38,$V$64:$V$135,BX$29)</f>
        <v>0</v>
      </c>
      <c r="BY38" s="704">
        <f ca="1">SUMIFS($AH$64:$AH$135,$V$64:$V$135,$BR38,$W$64:$W$135,BY$29)+SUMIFS($AI$64:$AI$135,$W$64:$W$135,$BR38,$V$64:$V$135,BY$29)</f>
        <v>0</v>
      </c>
      <c r="BZ38" s="704">
        <f ca="1">SUMIFS($AH$64:$AH$135,$V$64:$V$135,$BR38,$W$64:$W$135,BZ$29)+SUMIFS($AI$64:$AI$135,$W$64:$W$135,$BR38,$V$64:$V$135,BZ$29)</f>
        <v>0</v>
      </c>
      <c r="CA38" s="702"/>
      <c r="CB38" s="681"/>
    </row>
    <row r="39" spans="1:80" s="1" customFormat="1" x14ac:dyDescent="0.2">
      <c r="A39" s="660"/>
      <c r="B39" s="660"/>
      <c r="C39" s="660"/>
      <c r="D39" s="660"/>
      <c r="E39" s="700"/>
      <c r="F39" s="681"/>
      <c r="G39" s="681"/>
      <c r="H39" s="681"/>
      <c r="I39" s="681"/>
      <c r="J39" s="681"/>
      <c r="K39" s="681"/>
      <c r="L39" s="681"/>
      <c r="M39" s="692"/>
      <c r="N39" s="681"/>
      <c r="O39" s="681"/>
      <c r="P39" s="681"/>
      <c r="Q39" s="681"/>
      <c r="R39" s="681"/>
      <c r="S39" s="681"/>
      <c r="T39" s="681"/>
      <c r="U39" s="692"/>
      <c r="V39" s="681"/>
      <c r="W39" s="681"/>
      <c r="X39" s="681"/>
      <c r="Y39" s="681"/>
      <c r="Z39" s="681"/>
      <c r="AA39" s="681"/>
      <c r="AB39" s="681"/>
      <c r="AC39" s="692"/>
      <c r="AD39" s="681"/>
      <c r="AE39" s="681"/>
      <c r="AF39" s="681"/>
      <c r="AG39" s="681"/>
      <c r="AH39" s="681"/>
      <c r="AI39" s="681"/>
      <c r="AJ39" s="681"/>
      <c r="AK39" s="692"/>
      <c r="AL39" s="681"/>
      <c r="AM39" s="681"/>
      <c r="AN39" s="681"/>
      <c r="AO39" s="681"/>
      <c r="AP39" s="681"/>
      <c r="AQ39" s="681"/>
      <c r="AR39" s="681"/>
      <c r="AS39" s="692"/>
      <c r="AT39" s="681"/>
      <c r="AU39" s="681"/>
      <c r="AV39" s="681"/>
      <c r="AW39" s="681"/>
      <c r="AX39" s="681"/>
      <c r="AY39" s="681"/>
      <c r="AZ39" s="681"/>
      <c r="BA39" s="692"/>
      <c r="BB39" s="681"/>
      <c r="BC39" s="681"/>
      <c r="BD39" s="681"/>
      <c r="BE39" s="681"/>
      <c r="BF39" s="681"/>
      <c r="BG39" s="681"/>
      <c r="BH39" s="681"/>
      <c r="BI39" s="692"/>
      <c r="BJ39" s="681"/>
      <c r="BK39" s="681"/>
      <c r="BL39" s="681"/>
      <c r="BM39" s="681"/>
      <c r="BN39" s="681"/>
      <c r="BO39" s="681"/>
      <c r="BP39" s="701"/>
      <c r="BQ39" s="681"/>
      <c r="BR39" s="660"/>
      <c r="BS39" s="660"/>
      <c r="BT39" s="660"/>
      <c r="BU39" s="660"/>
      <c r="BV39" s="660"/>
      <c r="BW39" s="660"/>
      <c r="BX39" s="660"/>
      <c r="BY39" s="660"/>
      <c r="BZ39" s="660"/>
      <c r="CA39" s="660"/>
      <c r="CB39" s="681"/>
    </row>
    <row r="40" spans="1:80" s="1" customFormat="1" x14ac:dyDescent="0.2">
      <c r="A40" s="660"/>
      <c r="B40" s="660"/>
      <c r="C40" s="660"/>
      <c r="D40" s="660"/>
      <c r="E40" s="700"/>
      <c r="F40" s="681"/>
      <c r="G40" s="681"/>
      <c r="H40" s="681"/>
      <c r="I40" s="681"/>
      <c r="J40" s="681"/>
      <c r="K40" s="681"/>
      <c r="L40" s="681"/>
      <c r="M40" s="692"/>
      <c r="N40" s="681"/>
      <c r="O40" s="681"/>
      <c r="P40" s="681"/>
      <c r="Q40" s="681"/>
      <c r="R40" s="681"/>
      <c r="S40" s="681"/>
      <c r="T40" s="681"/>
      <c r="U40" s="692"/>
      <c r="V40" s="681"/>
      <c r="W40" s="681"/>
      <c r="X40" s="681"/>
      <c r="Y40" s="681"/>
      <c r="Z40" s="681"/>
      <c r="AA40" s="681"/>
      <c r="AB40" s="681"/>
      <c r="AC40" s="692"/>
      <c r="AD40" s="681"/>
      <c r="AE40" s="681"/>
      <c r="AF40" s="681"/>
      <c r="AG40" s="681"/>
      <c r="AH40" s="681"/>
      <c r="AI40" s="681"/>
      <c r="AJ40" s="681"/>
      <c r="AK40" s="692"/>
      <c r="AL40" s="681"/>
      <c r="AM40" s="681"/>
      <c r="AN40" s="681"/>
      <c r="AO40" s="681"/>
      <c r="AP40" s="681"/>
      <c r="AQ40" s="681"/>
      <c r="AR40" s="681"/>
      <c r="AS40" s="692"/>
      <c r="AT40" s="681"/>
      <c r="AU40" s="681"/>
      <c r="AV40" s="681"/>
      <c r="AW40" s="681"/>
      <c r="AX40" s="681"/>
      <c r="AY40" s="681"/>
      <c r="AZ40" s="681"/>
      <c r="BA40" s="692"/>
      <c r="BB40" s="681"/>
      <c r="BC40" s="681"/>
      <c r="BD40" s="681"/>
      <c r="BE40" s="681"/>
      <c r="BF40" s="681"/>
      <c r="BG40" s="681"/>
      <c r="BH40" s="681"/>
      <c r="BI40" s="692"/>
      <c r="BJ40" s="681"/>
      <c r="BK40" s="681"/>
      <c r="BL40" s="681"/>
      <c r="BM40" s="681"/>
      <c r="BN40" s="681"/>
      <c r="BO40" s="681"/>
      <c r="BP40" s="701"/>
      <c r="BQ40" s="681"/>
      <c r="BR40" s="697" t="s">
        <v>100</v>
      </c>
      <c r="BS40" s="660" t="str">
        <f ca="1">$F$4</f>
        <v>FC Barcelona</v>
      </c>
      <c r="BT40" s="660" t="str">
        <f ca="1">$F$5</f>
        <v>Mainz 05</v>
      </c>
      <c r="BU40" s="660" t="str">
        <f ca="1">$F$6</f>
        <v/>
      </c>
      <c r="BV40" s="660" t="str">
        <f ca="1">$F$7</f>
        <v/>
      </c>
      <c r="BW40" s="660" t="str">
        <f>$F$8</f>
        <v/>
      </c>
      <c r="BX40" s="660" t="str">
        <f>$F$9</f>
        <v/>
      </c>
      <c r="BY40" s="660" t="str">
        <f>$F$10</f>
        <v/>
      </c>
      <c r="BZ40" s="660" t="str">
        <f>$F$11</f>
        <v/>
      </c>
      <c r="CA40" s="660" t="str">
        <f>$F$12</f>
        <v/>
      </c>
      <c r="CB40" s="681"/>
    </row>
    <row r="41" spans="1:80" s="1" customFormat="1" x14ac:dyDescent="0.2">
      <c r="A41" s="660"/>
      <c r="B41" s="698" t="s">
        <v>99</v>
      </c>
      <c r="C41" s="660"/>
      <c r="D41" s="660"/>
      <c r="E41" s="700">
        <f t="array" aca="1" ref="E41" ca="1">IF(O17=C17,SUM(IF(($BR$41:$BR$49=C17)*($BS$40:$CA$40=O18),$BS$41:$CA$49)),0)</f>
        <v>0</v>
      </c>
      <c r="F41" s="681">
        <f t="array" aca="1" ref="F41" ca="1">IF(O17=C17,SUM(IF(($BR$41:$BR$49=C17)*($BS$40:$CA$40=O19),$BS$41:$CA$49)),0)</f>
        <v>0</v>
      </c>
      <c r="G41" s="681">
        <f t="array" aca="1" ref="G41" ca="1">IF(O17=C17,SUM(IF(($BR$41:$BR$49=C17)*($BS$40:$CA$40=O20),$BS$41:$CA$49)),0)</f>
        <v>0</v>
      </c>
      <c r="H41" s="681">
        <f t="array" aca="1" ref="H41" ca="1">IF(O17=C17,SUM(IF(($BR$41:$BR$49=C17)*($BS$40:$CA$40=O21),$BS$41:$CA$49)),0)</f>
        <v>0</v>
      </c>
      <c r="I41" s="681">
        <f t="array" aca="1" ref="I41" ca="1">IF(O17=C17,SUM(IF(($BR$41:$BR$49=C17)*($BS$40:$CA$40=O22),$BS$41:$CA$49)),0)</f>
        <v>0</v>
      </c>
      <c r="J41" s="681">
        <f t="array" aca="1" ref="J41" ca="1">IF(O17=C17,SUM(IF(($BR$41:$BR$49=C17)*($BS$40:$CA$40=O23),$BS$41:$CA$49)),0)</f>
        <v>0</v>
      </c>
      <c r="K41" s="681">
        <f t="array" aca="1" ref="K41" ca="1">IF(O17=C17,SUM(IF(($BR$41:$BR$49=C17)*($BS$40:$CA$40=O$24),$BS$41:$CA$49)),0)</f>
        <v>0</v>
      </c>
      <c r="L41" s="681">
        <f t="array" aca="1" ref="L41" ca="1">IF(O17=C17,SUM(IF(($BR$41:$BR$49=C17)*($BS$40:$CA$40=O$25),$BS$41:$CA$49)),0)</f>
        <v>0</v>
      </c>
      <c r="M41" s="692">
        <f t="array" aca="1" ref="M41" ca="1">IF(P17=C17,SUM(IF(($BR$41:$BR$49=C17)*($BS$40:$CA$40=P18),$BS$41:$CA$49)),0)</f>
        <v>0</v>
      </c>
      <c r="N41" s="681">
        <f t="array" aca="1" ref="N41" ca="1">IF(P17=C17,SUM(IF(($BR$41:$BR$49=C17)*($BS$40:$CA$40=P19),$BS$41:$CA$49)),0)</f>
        <v>0</v>
      </c>
      <c r="O41" s="681">
        <f t="array" aca="1" ref="O41" ca="1">IF(P17=C17,SUM(IF(($BR$41:$BR$49=C17)*($BS$40:$CA$40=P20),$BS$41:$CA$49)),0)</f>
        <v>0</v>
      </c>
      <c r="P41" s="681">
        <f t="array" aca="1" ref="P41" ca="1">IF(P17=C17,SUM(IF(($BR$41:$BR$49=C17)*($BS$40:$CA$40=P21),$BS$41:$CA$49)),0)</f>
        <v>0</v>
      </c>
      <c r="Q41" s="681">
        <f t="array" aca="1" ref="Q41" ca="1">IF(P17=C17,SUM(IF(($BR$41:$BR$49=C17)*($BS$40:$CA$40=P22),$BS$41:$CA$49)),0)</f>
        <v>0</v>
      </c>
      <c r="R41" s="681">
        <f t="array" aca="1" ref="R41" ca="1">IF(P17=C17,SUM(IF(($BR$41:$BR$49=C17)*($BS$40:$CA$40=P23),$BS$41:$CA$49)),0)</f>
        <v>0</v>
      </c>
      <c r="S41" s="681">
        <f t="array" aca="1" ref="S41" ca="1">IF(P17=C17,SUM(IF(($BR$41:$BR$49=C17)*($BS$40:$CA$40=P$24),$BS$41:$CA$49)),0)</f>
        <v>0</v>
      </c>
      <c r="T41" s="681">
        <f t="array" aca="1" ref="T41" ca="1">IF(P17=C17,SUM(IF(($BR$41:$BR$49=C17)*($BS$40:$CA$40=P$25),$BS$41:$CA$49)),0)</f>
        <v>0</v>
      </c>
      <c r="U41" s="692">
        <f t="array" aca="1" ref="U41" ca="1">IF(Q17=C17,SUM(IF(($BR$41:$BR$49=C17)*($BS$40:$CA$40=Q18),$BS$41:$CA$49)),0)</f>
        <v>0</v>
      </c>
      <c r="V41" s="681">
        <f t="array" aca="1" ref="V41" ca="1">IF(Q17=C17,SUM(IF(($BR$41:$BR$49=C17)*($BS$40:$CA$40=Q19),$BS$41:$CA$49)),0)</f>
        <v>0</v>
      </c>
      <c r="W41" s="681">
        <f t="array" aca="1" ref="W41" ca="1">IF(Q17=C17,SUM(IF(($BR$41:$BR$49=C17)*($BS$40:$CA$40=Q20),$BS$41:$CA$49)),0)</f>
        <v>0</v>
      </c>
      <c r="X41" s="681">
        <f t="array" aca="1" ref="X41" ca="1">IF(Q17=C17,SUM(IF(($BR$41:$BR$49=C17)*($BS$40:$CA$40=Q21),$BS$41:$CA$49)),0)</f>
        <v>0</v>
      </c>
      <c r="Y41" s="681">
        <f t="array" aca="1" ref="Y41" ca="1">IF(Q17=C17,SUM(IF(($BR$41:$BR$49=C17)*($BS$40:$CA$40=Q22),$BS$41:$CA$49)),0)</f>
        <v>0</v>
      </c>
      <c r="Z41" s="681">
        <f t="array" aca="1" ref="Z41" ca="1">IF(Q17=C17,SUM(IF(($BR$41:$BR$49=C17)*($BS$40:$CA$40=Q23),$BS$41:$CA$49)),0)</f>
        <v>0</v>
      </c>
      <c r="AA41" s="681">
        <f t="array" aca="1" ref="AA41" ca="1">IF(Q17=C17,SUM(IF(($BR$41:$BR$49=C17)*($BS$40:$CA$40=Q$24),$BS$41:$CA$49)),0)</f>
        <v>0</v>
      </c>
      <c r="AB41" s="681">
        <f t="array" aca="1" ref="AB41" ca="1">IF(Q17=C17,SUM(IF(($BR$41:$BR$49=C17)*($BS$40:$CA$40=Q$25),$BS$41:$CA$49)),0)</f>
        <v>0</v>
      </c>
      <c r="AC41" s="692">
        <f t="array" aca="1" ref="AC41" ca="1">IF(R17=C17,SUM(IF(($BR$41:$BR$49=C17)*($BS$40:$CA$40=R18),$BS$41:$CA$49)),0)</f>
        <v>0</v>
      </c>
      <c r="AD41" s="681">
        <f t="array" aca="1" ref="AD41" ca="1">IF(R17=C17,SUM(IF(($BR$41:$BR$49=C17)*($BS$40:$CA$40=R19),$BS$41:$CA$49)),0)</f>
        <v>0</v>
      </c>
      <c r="AE41" s="681">
        <f t="array" aca="1" ref="AE41" ca="1">IF(R17=C17,SUM(IF(($BR$41:$BR$49=C17)*($BS$40:$CA$40=R20),$BS$41:$CA$49)),0)</f>
        <v>0</v>
      </c>
      <c r="AF41" s="681">
        <f t="array" aca="1" ref="AF41" ca="1">IF(R17=C17,SUM(IF(($BR$41:$BR$49=C17)*($BS$40:$CA$40=R21),$BS$41:$CA$49)),0)</f>
        <v>0</v>
      </c>
      <c r="AG41" s="681">
        <f t="array" aca="1" ref="AG41" ca="1">IF(R17=C17,SUM(IF(($BR$41:$BR$49=C17)*($BS$40:$CA$40=R22),$BS$41:$CA$49)),0)</f>
        <v>0</v>
      </c>
      <c r="AH41" s="681">
        <f t="array" aca="1" ref="AH41" ca="1">IF(R17=C17,SUM(IF(($BR$41:$BR$49=C17)*($BS$40:$CA$40=R23),$BS$41:$CA$49)),0)</f>
        <v>0</v>
      </c>
      <c r="AI41" s="681">
        <f t="array" aca="1" ref="AI41" ca="1">IF(R17=C17,SUM(IF(($BR$41:$BR$49=C17)*($BS$40:$CA$40=R$24),$BS$41:$CA$49)),0)</f>
        <v>0</v>
      </c>
      <c r="AJ41" s="681">
        <f t="array" aca="1" ref="AJ41" ca="1">IF(R17=C17,SUM(IF(($BR$41:$BR$49=C17)*($BS$40:$CA$40=R$25),$BS$41:$CA$49)),0)</f>
        <v>0</v>
      </c>
      <c r="AK41" s="692">
        <f t="array" aca="1" ref="AK41" ca="1">IF(S17=C17,SUM(IF(($BR$41:$BR$49=C17)*($BS$40:$CA$40=S18),$BS$41:$CA$49)),0)</f>
        <v>0</v>
      </c>
      <c r="AL41" s="681">
        <f t="array" aca="1" ref="AL41" ca="1">IF(S17=C17,SUM(IF(($BR$41:$BR$49=C17)*($BS$40:$CA$40=S19),$BS$41:$CA$49)),0)</f>
        <v>0</v>
      </c>
      <c r="AM41" s="681">
        <f t="array" aca="1" ref="AM41" ca="1">IF(S17=C17,SUM(IF(($BR$41:$BR$49=C17)*($BS$40:$CA$40=S20),$BS$41:$CA$49)),0)</f>
        <v>0</v>
      </c>
      <c r="AN41" s="681">
        <f t="array" aca="1" ref="AN41" ca="1">IF(S17=C17,SUM(IF(($BR$41:$BR$49=C17)*($BS$40:$CA$40=S21),$BS$41:$CA$49)),0)</f>
        <v>0</v>
      </c>
      <c r="AO41" s="681">
        <f t="array" aca="1" ref="AO41" ca="1">IF(S17=C17,SUM(IF(($BR$41:$BR$49=C17)*($BS$40:$CA$40=S22),$BS$41:$CA$49)),0)</f>
        <v>0</v>
      </c>
      <c r="AP41" s="681">
        <f t="array" aca="1" ref="AP41" ca="1">IF(S17=C17,SUM(IF(($BR$41:$BR$49=C17)*($BS$40:$CA$40=S23),$BS$41:$CA$49)),0)</f>
        <v>0</v>
      </c>
      <c r="AQ41" s="681">
        <f t="array" aca="1" ref="AQ41" ca="1">IF(S17=C17,SUM(IF(($BR$41:$BR$49=C17)*($BS$40:$CA$40=S$24),$BS$41:$CA$49)),0)</f>
        <v>0</v>
      </c>
      <c r="AR41" s="681">
        <f t="array" aca="1" ref="AR41" ca="1">IF(S17=C17,SUM(IF(($BR$41:$BR$49=C17)*($BS$40:$CA$40=S$25),$BS$41:$CA$49)),0)</f>
        <v>0</v>
      </c>
      <c r="AS41" s="692">
        <f t="array" aca="1" ref="AS41" ca="1">IF(T17=C17,SUM(IF(($BR$41:$BR$49=C17)*($BS$40:$CA$40=T18),$BS$41:$CA$49)),0)</f>
        <v>0</v>
      </c>
      <c r="AT41" s="681">
        <f t="array" aca="1" ref="AT41" ca="1">IF(T17=C17,SUM(IF(($BR$41:$BR$49=C17)*($BS$40:$CA$40=T19),$BS$41:$CA$49)),0)</f>
        <v>0</v>
      </c>
      <c r="AU41" s="681">
        <f t="array" aca="1" ref="AU41" ca="1">IF(T17=C17,SUM(IF(($BR$41:$BR$49=C17)*($BS$40:$CA$40=T20),$BS$41:$CA$49)),0)</f>
        <v>0</v>
      </c>
      <c r="AV41" s="681">
        <f t="array" aca="1" ref="AV41" ca="1">IF(T17=C17,SUM(IF(($BR$41:$BR$49=C17)*($BS$40:$CA$40=T21),$BS$41:$CA$49)),0)</f>
        <v>0</v>
      </c>
      <c r="AW41" s="681">
        <f t="array" aca="1" ref="AW41" ca="1">IF(T17=C17,SUM(IF(($BR$41:$BR$49=C17)*($BS$40:$CA$40=T22),$BS$41:$CA$49)),0)</f>
        <v>0</v>
      </c>
      <c r="AX41" s="681">
        <f t="array" aca="1" ref="AX41" ca="1">IF(T17=C17,SUM(IF(($BR$41:$BR$49=C17)*($BS$40:$CA$40=T23),$BS$41:$CA$49)),0)</f>
        <v>0</v>
      </c>
      <c r="AY41" s="681">
        <f t="array" aca="1" ref="AY41" ca="1">IF(T17=C17,SUM(IF(($BR$41:$BR$49=C17)*($BS$40:$CA$40=T$24),$BS$41:$CA$49)),0)</f>
        <v>0</v>
      </c>
      <c r="AZ41" s="681">
        <f t="array" aca="1" ref="AZ41" ca="1">IF(T17=C17,SUM(IF(($BR$41:$BR$49=C17)*($BS$40:$CA$40=T$25),$BS$41:$CA$49)),0)</f>
        <v>0</v>
      </c>
      <c r="BA41" s="692">
        <f t="array" aca="1" ref="BA41" ca="1">IF(U17=C17,SUM(IF(($BR$41:$BR$49=C17)*($BS$40:$CA$40=U$18),$BS$41:$CA$49)),0)</f>
        <v>0</v>
      </c>
      <c r="BB41" s="681">
        <f t="array" aca="1" ref="BB41" ca="1">IF(U17=C17,SUM(IF(($BR$41:$BR$49=C17)*($BS$40:$CA$40=U$19),$BS$41:$CA$49)),0)</f>
        <v>0</v>
      </c>
      <c r="BC41" s="681">
        <f t="array" aca="1" ref="BC41" ca="1">IF(U17=C17,SUM(IF(($BR$41:$BR$49=C17)*($BS$40:$CA$40=U$20),$BS$41:$CA$49)),0)</f>
        <v>0</v>
      </c>
      <c r="BD41" s="681">
        <f t="array" aca="1" ref="BD41" ca="1">IF(U17=C17,SUM(IF(($BR$41:$BR$49=C17)*($BS$40:$CA$40=U$21),$BS$41:$CA$49)),0)</f>
        <v>0</v>
      </c>
      <c r="BE41" s="681">
        <f t="array" aca="1" ref="BE41" ca="1">IF(U17=C17,SUM(IF(($BR$41:$BR$49=C17)*($BS$40:$CA$40=U$22),$BS$41:$CA$49)),0)</f>
        <v>0</v>
      </c>
      <c r="BF41" s="681">
        <f t="array" aca="1" ref="BF41" ca="1">IF(U17=C17,SUM(IF(($BR$41:$BR$49=C17)*($BS$40:$CA$40=U$23),$BS$41:$CA$49)),0)</f>
        <v>0</v>
      </c>
      <c r="BG41" s="681">
        <f t="array" aca="1" ref="BG41" ca="1">IF(U17=C17,SUM(IF(($BR$41:$BR$49=C17)*($BS$40:$CA$40=U$24),$BS$41:$CA$49)),0)</f>
        <v>0</v>
      </c>
      <c r="BH41" s="681">
        <f t="array" aca="1" ref="BH41" ca="1">IF(U17=C17,SUM(IF(($BR$41:$BR$49=C17)*($BS$40:$CA$40=U$25),$BS$41:$CA$49)),0)</f>
        <v>0</v>
      </c>
      <c r="BI41" s="692">
        <f t="array" aca="1" ref="BI41" ca="1">IF(V17=C17,SUM(IF(($BR$41:$BR$49=C17)*($BS$40:$CA$40=V$18),$BS$41:$CA$49)),0)</f>
        <v>0</v>
      </c>
      <c r="BJ41" s="681">
        <f t="array" aca="1" ref="BJ41" ca="1">IF(V17=C17,SUM(IF(($BR$41:$BR$49=C17)*($BS$40:$CA$40=V$19),$BS$41:$CA$49)),0)</f>
        <v>0</v>
      </c>
      <c r="BK41" s="681">
        <f t="array" aca="1" ref="BK41" ca="1">IF(V17=C17,SUM(IF(($BR$41:$BR$49=C17)*($BS$40:$CA$40=V$20),$BS$41:$CA$49)),0)</f>
        <v>0</v>
      </c>
      <c r="BL41" s="681">
        <f t="array" aca="1" ref="BL41" ca="1">IF(V17=C17,SUM(IF(($BR$41:$BR$49=C17)*($BS$40:$CA$40=V$21),$BS$41:$CA$49)),0)</f>
        <v>0</v>
      </c>
      <c r="BM41" s="681">
        <f t="array" aca="1" ref="BM41" ca="1">IF(V17=C17,SUM(IF(($BR$41:$BR$49=C17)*($BS$40:$CA$40=V$22),$BS$41:$CA$49)),0)</f>
        <v>0</v>
      </c>
      <c r="BN41" s="681">
        <f t="array" aca="1" ref="BN41" ca="1">IF(V17=C17,SUM(IF(($BR$41:$BR$49=C17)*($BS$40:$CA$40=V$23),$BS$41:$CA$49)),0)</f>
        <v>0</v>
      </c>
      <c r="BO41" s="681">
        <f t="array" aca="1" ref="BO41" ca="1">IF(V17=C17,SUM(IF(($BR$41:$BR$49=C17)*($BS$40:$CA$40=V$24),$BS$41:$CA$49)),0)</f>
        <v>0</v>
      </c>
      <c r="BP41" s="701">
        <f t="array" aca="1" ref="BP41" ca="1">IF(V17=C17,SUM(IF(($BR$41:$BR$49=C17)*($BS$40:$CA$40=V$25),$BS$41:$CA$49)),0)</f>
        <v>0</v>
      </c>
      <c r="BQ41" s="681"/>
      <c r="BR41" s="660" t="str">
        <f t="shared" ref="BR41:BR49" ca="1" si="41">F4</f>
        <v>FC Barcelona</v>
      </c>
      <c r="BS41" s="702"/>
      <c r="BT41" s="703">
        <f ca="1">BT30-BS31</f>
        <v>5</v>
      </c>
      <c r="BU41" s="703">
        <f ca="1">BU30-BS32</f>
        <v>0</v>
      </c>
      <c r="BV41" s="703">
        <f ca="1">BV30-BS33</f>
        <v>0</v>
      </c>
      <c r="BW41" s="703">
        <f ca="1">BW30-BS34</f>
        <v>0</v>
      </c>
      <c r="BX41" s="703">
        <f ca="1">BX30-BS35</f>
        <v>0</v>
      </c>
      <c r="BY41" s="703">
        <f ca="1">BY30-BS36</f>
        <v>0</v>
      </c>
      <c r="BZ41" s="703">
        <f ca="1">BZ30-BS37</f>
        <v>0</v>
      </c>
      <c r="CA41" s="703">
        <f ca="1">CA30-BS38</f>
        <v>0</v>
      </c>
      <c r="CB41" s="681"/>
    </row>
    <row r="42" spans="1:80" s="1" customFormat="1" x14ac:dyDescent="0.2">
      <c r="A42" s="660"/>
      <c r="B42" s="660"/>
      <c r="C42" s="660"/>
      <c r="D42" s="660"/>
      <c r="E42" s="700">
        <f t="array" aca="1" ref="E42" ca="1">IF(O18=C18,SUM(IF(($BR$41:$BR$49=C18)*($BS$40:$CA$40=O17),$BS$41:$CA$49)),0)</f>
        <v>0</v>
      </c>
      <c r="F42" s="681">
        <f t="array" aca="1" ref="F42" ca="1">IF(O18=C18,SUM(IF(($BR$41:$BR$49=C18)*($BS$40:$CA$40=O19),$BS$41:$CA$49)),0)</f>
        <v>0</v>
      </c>
      <c r="G42" s="681">
        <f t="array" aca="1" ref="G42" ca="1">IF(O18=C18,SUM(IF(($BR$41:$BR$49=C18)*($BS$40:$CA$40=O20),$BS$41:$CA$49)),0)</f>
        <v>0</v>
      </c>
      <c r="H42" s="681">
        <f t="array" aca="1" ref="H42" ca="1">IF(O18=C18,SUM(IF(($BR$41:$BR$49=C18)*($BS$40:$CA$40=O21),$BS$41:$CA$49)),0)</f>
        <v>0</v>
      </c>
      <c r="I42" s="681">
        <f t="array" aca="1" ref="I42" ca="1">IF(O18=C18,SUM(IF(($BR$41:$BR$49=C18)*($BS$40:$CA$40=O22),$BS$41:$CA$49)),0)</f>
        <v>0</v>
      </c>
      <c r="J42" s="681">
        <f t="array" aca="1" ref="J42" ca="1">IF(O18=C18,SUM(IF(($BR$41:$BR$49=C18)*($BS$40:$CA$40=O23),$BS$41:$CA$49)),0)</f>
        <v>0</v>
      </c>
      <c r="K42" s="681">
        <f t="array" aca="1" ref="K42" ca="1">IF(O18=C18,SUM(IF(($BR$41:$BR$49=C18)*($BS$40:$CA$40=O$24),$BS$41:$CA$49)),0)</f>
        <v>0</v>
      </c>
      <c r="L42" s="681">
        <f t="array" aca="1" ref="L42" ca="1">IF(O18=C18,SUM(IF(($BR$41:$BR$49=C18)*($BS$40:$CA$40=O$25),$BS$41:$CA$49)),0)</f>
        <v>0</v>
      </c>
      <c r="M42" s="692">
        <f t="array" aca="1" ref="M42" ca="1">IF(P18=C18,SUM(IF(($BR$41:$BR$49=C18)*($BS$40:$CA$40=P17),$BS$41:$CA$49)),0)</f>
        <v>0</v>
      </c>
      <c r="N42" s="681">
        <f t="array" aca="1" ref="N42" ca="1">IF(P18=C18,SUM(IF(($BR$41:$BR$49=C18)*($BS$40:$CA$40=P19),$BS$41:$CA$49)),0)</f>
        <v>0</v>
      </c>
      <c r="O42" s="681">
        <f t="array" aca="1" ref="O42" ca="1">IF(P18=C18,SUM(IF(($BR$41:$BR$49=C18)*($BS$40:$CA$40=P20),$BS$41:$CA$49)),0)</f>
        <v>0</v>
      </c>
      <c r="P42" s="681">
        <f t="array" aca="1" ref="P42" ca="1">IF(P18=C18,SUM(IF(($BR$41:$BR$49=C18)*($BS$40:$CA$40=P21),$BS$41:$CA$49)),0)</f>
        <v>0</v>
      </c>
      <c r="Q42" s="681">
        <f t="array" aca="1" ref="Q42" ca="1">IF(P18=C18,SUM(IF(($BR$41:$BR$49=C18)*($BS$40:$CA$40=P22),$BS$41:$CA$49)),0)</f>
        <v>0</v>
      </c>
      <c r="R42" s="681">
        <f t="array" aca="1" ref="R42" ca="1">IF(P18=C18,SUM(IF(($BR$41:$BR$49=C18)*($BS$40:$CA$40=P23),$BS$41:$CA$49)),0)</f>
        <v>0</v>
      </c>
      <c r="S42" s="681">
        <f t="array" aca="1" ref="S42" ca="1">IF(P18=C18,SUM(IF(($BR$41:$BR$49=C18)*($BS$40:$CA$40=P$24),$BS$41:$CA$49)),0)</f>
        <v>0</v>
      </c>
      <c r="T42" s="681">
        <f t="array" aca="1" ref="T42" ca="1">IF(P18=C18,SUM(IF(($BR$41:$BR$49=C18)*($BS$40:$CA$40=P$25),$BS$41:$CA$49)),0)</f>
        <v>0</v>
      </c>
      <c r="U42" s="692">
        <f t="array" aca="1" ref="U42" ca="1">IF(Q18=C18,SUM(IF(($BR$41:$BR$49=C18)*($BS$40:$CA$40=Q17),$BS$41:$CA$49)),0)</f>
        <v>0</v>
      </c>
      <c r="V42" s="681">
        <f t="array" aca="1" ref="V42" ca="1">IF(Q18=C18,SUM(IF(($BR$41:$BR$49=C18)*($BS$40:$CA$40=Q19),$BS$41:$CA$49)),0)</f>
        <v>0</v>
      </c>
      <c r="W42" s="681">
        <f t="array" aca="1" ref="W42" ca="1">IF(Q18=C18,SUM(IF(($BR$41:$BR$49=C18)*($BS$40:$CA$40=Q20),$BS$41:$CA$49)),0)</f>
        <v>0</v>
      </c>
      <c r="X42" s="681">
        <f t="array" aca="1" ref="X42" ca="1">IF(Q18=C18,SUM(IF(($BR$41:$BR$49=C18)*($BS$40:$CA$40=Q21),$BS$41:$CA$49)),0)</f>
        <v>0</v>
      </c>
      <c r="Y42" s="681">
        <f t="array" aca="1" ref="Y42" ca="1">IF(Q18=C18,SUM(IF(($BR$41:$BR$49=C18)*($BS$40:$CA$40=Q22),$BS$41:$CA$49)),0)</f>
        <v>0</v>
      </c>
      <c r="Z42" s="681">
        <f t="array" aca="1" ref="Z42" ca="1">IF(Q18=C18,SUM(IF(($BR$41:$BR$49=C18)*($BS$40:$CA$40=Q23),$BS$41:$CA$49)),0)</f>
        <v>0</v>
      </c>
      <c r="AA42" s="681">
        <f t="array" aca="1" ref="AA42" ca="1">IF(Q18=C18,SUM(IF(($BR$41:$BR$49=C18)*($BS$40:$CA$40=Q$24),$BS$41:$CA$49)),0)</f>
        <v>0</v>
      </c>
      <c r="AB42" s="681">
        <f t="array" aca="1" ref="AB42" ca="1">IF(Q18=C18,SUM(IF(($BR$41:$BR$49=C18)*($BS$40:$CA$40=Q$25),$BS$41:$CA$49)),0)</f>
        <v>0</v>
      </c>
      <c r="AC42" s="692">
        <f t="array" aca="1" ref="AC42" ca="1">IF(R18=C18,SUM(IF(($BR$41:$BR$49=C18)*($BS$40:$CA$40=R17),$BS$41:$CA$49)),0)</f>
        <v>0</v>
      </c>
      <c r="AD42" s="681">
        <f t="array" aca="1" ref="AD42" ca="1">IF(R18=C18,SUM(IF(($BR$41:$BR$49=C18)*($BS$40:$CA$40=R19),$BS$41:$CA$49)),0)</f>
        <v>0</v>
      </c>
      <c r="AE42" s="681">
        <f t="array" aca="1" ref="AE42" ca="1">IF(R18=C18,SUM(IF(($BR$41:$BR$49=C18)*($BS$40:$CA$40=R20),$BS$41:$CA$49)),0)</f>
        <v>0</v>
      </c>
      <c r="AF42" s="681">
        <f t="array" aca="1" ref="AF42" ca="1">IF(R18=C18,SUM(IF(($BR$41:$BR$49=C18)*($BS$40:$CA$40=R21),$BS$41:$CA$49)),0)</f>
        <v>0</v>
      </c>
      <c r="AG42" s="681">
        <f t="array" aca="1" ref="AG42" ca="1">IF(R18=C18,SUM(IF(($BR$41:$BR$49=C18)*($BS$40:$CA$40=R22),$BS$41:$CA$49)),0)</f>
        <v>0</v>
      </c>
      <c r="AH42" s="681">
        <f t="array" aca="1" ref="AH42" ca="1">IF(R18=C18,SUM(IF(($BR$41:$BR$49=C18)*($BS$40:$CA$40=R23),$BS$41:$CA$49)),0)</f>
        <v>0</v>
      </c>
      <c r="AI42" s="681">
        <f t="array" aca="1" ref="AI42" ca="1">IF(R18=C18,SUM(IF(($BR$41:$BR$49=C18)*($BS$40:$CA$40=R$24),$BS$41:$CA$49)),0)</f>
        <v>0</v>
      </c>
      <c r="AJ42" s="681">
        <f t="array" aca="1" ref="AJ42" ca="1">IF(R18=C18,SUM(IF(($BR$41:$BR$49=C18)*($BS$40:$CA$40=R$25),$BS$41:$CA$49)),0)</f>
        <v>0</v>
      </c>
      <c r="AK42" s="692">
        <f t="array" aca="1" ref="AK42" ca="1">IF(S18=C18,SUM(IF(($BR$41:$BR$49=C18)*($BS$40:$CA$40=S17),$BS$41:$CA$49)),0)</f>
        <v>0</v>
      </c>
      <c r="AL42" s="681">
        <f t="array" aca="1" ref="AL42" ca="1">IF(S18=C18,SUM(IF(($BR$41:$BR$49=C18)*($BS$40:$CA$40=S19),$BS$41:$CA$49)),0)</f>
        <v>0</v>
      </c>
      <c r="AM42" s="681">
        <f t="array" aca="1" ref="AM42" ca="1">IF(S18=C18,SUM(IF(($BR$41:$BR$49=C18)*($BS$40:$CA$40=S20),$BS$41:$CA$49)),0)</f>
        <v>0</v>
      </c>
      <c r="AN42" s="681">
        <f t="array" aca="1" ref="AN42" ca="1">IF(S18=C18,SUM(IF(($BR$41:$BR$49=C18)*($BS$40:$CA$40=S21),$BS$41:$CA$49)),0)</f>
        <v>0</v>
      </c>
      <c r="AO42" s="681">
        <f t="array" aca="1" ref="AO42" ca="1">IF(S18=C18,SUM(IF(($BR$41:$BR$49=C18)*($BS$40:$CA$40=S22),$BS$41:$CA$49)),0)</f>
        <v>0</v>
      </c>
      <c r="AP42" s="681">
        <f t="array" aca="1" ref="AP42" ca="1">IF(S18=C18,SUM(IF(($BR$41:$BR$49=C18)*($BS$40:$CA$40=S23),$BS$41:$CA$49)),0)</f>
        <v>0</v>
      </c>
      <c r="AQ42" s="681">
        <f t="array" aca="1" ref="AQ42" ca="1">IF(S18=C18,SUM(IF(($BR$41:$BR$49=C18)*($BS$40:$CA$40=S$24),$BS$41:$CA$49)),0)</f>
        <v>0</v>
      </c>
      <c r="AR42" s="681">
        <f t="array" aca="1" ref="AR42" ca="1">IF(S18=C18,SUM(IF(($BR$41:$BR$49=C18)*($BS$40:$CA$40=S$25),$BS$41:$CA$49)),0)</f>
        <v>0</v>
      </c>
      <c r="AS42" s="692">
        <f t="array" aca="1" ref="AS42" ca="1">IF(T18=C18,SUM(IF(($BR$41:$BR$49=C18)*($BS$40:$CA$40=T17),$BS$41:$CA$49)),0)</f>
        <v>0</v>
      </c>
      <c r="AT42" s="681">
        <f t="array" aca="1" ref="AT42" ca="1">IF(T18=C18,SUM(IF(($BR$41:$BR$49=C18)*($BS$40:$CA$40=T19),$BS$41:$CA$49)),0)</f>
        <v>0</v>
      </c>
      <c r="AU42" s="681">
        <f t="array" aca="1" ref="AU42" ca="1">IF(T18=C18,SUM(IF(($BR$41:$BR$49=C18)*($BS$40:$CA$40=T20),$BS$41:$CA$49)),0)</f>
        <v>0</v>
      </c>
      <c r="AV42" s="681">
        <f t="array" aca="1" ref="AV42" ca="1">IF(T18=C18,SUM(IF(($BR$41:$BR$49=C18)*($BS$40:$CA$40=T21),$BS$41:$CA$49)),0)</f>
        <v>0</v>
      </c>
      <c r="AW42" s="681">
        <f t="array" aca="1" ref="AW42" ca="1">IF(T18=C18,SUM(IF(($BR$41:$BR$49=C18)*($BS$40:$CA$40=T22),$BS$41:$CA$49)),0)</f>
        <v>0</v>
      </c>
      <c r="AX42" s="681">
        <f t="array" aca="1" ref="AX42" ca="1">IF(T18=C18,SUM(IF(($BR$41:$BR$49=C18)*($BS$40:$CA$40=T23),$BS$41:$CA$49)),0)</f>
        <v>0</v>
      </c>
      <c r="AY42" s="681">
        <f t="array" aca="1" ref="AY42" ca="1">IF(T18=C18,SUM(IF(($BR$41:$BR$49=C18)*($BS$40:$CA$40=T$24),$BS$41:$CA$49)),0)</f>
        <v>0</v>
      </c>
      <c r="AZ42" s="681">
        <f t="array" aca="1" ref="AZ42" ca="1">IF(T18=C18,SUM(IF(($BR$41:$BR$49=C18)*($BS$40:$CA$40=T$25),$BS$41:$CA$49)),0)</f>
        <v>0</v>
      </c>
      <c r="BA42" s="692">
        <f t="array" aca="1" ref="BA42" ca="1">IF(U18=C18,SUM(IF(($BR$41:$BR$49=C18)*($BS$40:$CA$40=U$17),$BS$41:$CA$49)),0)</f>
        <v>0</v>
      </c>
      <c r="BB42" s="681">
        <f t="array" aca="1" ref="BB42" ca="1">IF(U18=C18,SUM(IF(($BR$41:$BR$49=C18)*($BS$40:$CA$40=U$19),$BS$41:$CA$49)),0)</f>
        <v>0</v>
      </c>
      <c r="BC42" s="681">
        <f t="array" aca="1" ref="BC42" ca="1">IF(U18=C18,SUM(IF(($BR$41:$BR$49=C18)*($BS$40:$CA$40=U$20),$BS$41:$CA$49)),0)</f>
        <v>0</v>
      </c>
      <c r="BD42" s="681">
        <f t="array" aca="1" ref="BD42" ca="1">IF(U18=C18,SUM(IF(($BR$41:$BR$49=C18)*($BS$40:$CA$40=U$21),$BS$41:$CA$49)),0)</f>
        <v>0</v>
      </c>
      <c r="BE42" s="681">
        <f t="array" aca="1" ref="BE42" ca="1">IF(U18=C18,SUM(IF(($BR$41:$BR$49=C18)*($BS$40:$CA$40=U$22),$BS$41:$CA$49)),0)</f>
        <v>0</v>
      </c>
      <c r="BF42" s="681">
        <f t="array" aca="1" ref="BF42" ca="1">IF(U18=C18,SUM(IF(($BR$41:$BR$49=C18)*($BS$40:$CA$40=U$23),$BS$41:$CA$49)),0)</f>
        <v>0</v>
      </c>
      <c r="BG42" s="681">
        <f t="array" aca="1" ref="BG42" ca="1">IF(U18=C18,SUM(IF(($BR$41:$BR$49=C18)*($BS$40:$CA$40=U$24),$BS$41:$CA$49)),0)</f>
        <v>0</v>
      </c>
      <c r="BH42" s="681">
        <f t="array" aca="1" ref="BH42" ca="1">IF(U18=C18,SUM(IF(($BR$41:$BR$49=C18)*($BS$40:$CA$40=U$25),$BS$41:$CA$49)),0)</f>
        <v>0</v>
      </c>
      <c r="BI42" s="692">
        <f t="array" aca="1" ref="BI42" ca="1">IF(V18=C18,SUM(IF(($BR$41:$BR$49=C18)*($BS$40:$CA$40=V$18),$BS$41:$CA$49)),0)</f>
        <v>0</v>
      </c>
      <c r="BJ42" s="681">
        <f t="array" aca="1" ref="BJ42" ca="1">IF(V18=C18,SUM(IF(($BR$41:$BR$49=C18)*($BS$40:$CA$40=V$19),$BS$41:$CA$49)),0)</f>
        <v>0</v>
      </c>
      <c r="BK42" s="681">
        <f t="array" aca="1" ref="BK42" ca="1">IF(V18=C18,SUM(IF(($BR$41:$BR$49=C18)*($BS$40:$CA$40=V$20),$BS$41:$CA$49)),0)</f>
        <v>0</v>
      </c>
      <c r="BL42" s="681">
        <f t="array" aca="1" ref="BL42" ca="1">IF(V18=C18,SUM(IF(($BR$41:$BR$49=C18)*($BS$40:$CA$40=V$21),$BS$41:$CA$49)),0)</f>
        <v>0</v>
      </c>
      <c r="BM42" s="681">
        <f t="array" aca="1" ref="BM42" ca="1">IF(V18=C18,SUM(IF(($BR$41:$BR$49=C18)*($BS$40:$CA$40=V$22),$BS$41:$CA$49)),0)</f>
        <v>0</v>
      </c>
      <c r="BN42" s="681">
        <f t="array" aca="1" ref="BN42" ca="1">IF(V18=C18,SUM(IF(($BR$41:$BR$49=C18)*($BS$40:$CA$40=V$23),$BS$41:$CA$49)),0)</f>
        <v>0</v>
      </c>
      <c r="BO42" s="681">
        <f t="array" aca="1" ref="BO42" ca="1">IF(V18=C18,SUM(IF(($BR$41:$BR$49=C18)*($BS$40:$CA$40=V$24),$BS$41:$CA$49)),0)</f>
        <v>0</v>
      </c>
      <c r="BP42" s="701">
        <f t="array" aca="1" ref="BP42" ca="1">IF(V18=C18,SUM(IF(($BR$41:$BR$49=C18)*($BS$40:$CA$40=V$25),$BS$41:$CA$49)),0)</f>
        <v>0</v>
      </c>
      <c r="BQ42" s="681"/>
      <c r="BR42" s="660" t="str">
        <f t="shared" ca="1" si="41"/>
        <v>Mainz 05</v>
      </c>
      <c r="BS42" s="704">
        <f ca="1">IF(BT41="","",-1*BT41)</f>
        <v>-5</v>
      </c>
      <c r="BT42" s="702"/>
      <c r="BU42" s="703">
        <f ca="1">BU31-BT32</f>
        <v>0</v>
      </c>
      <c r="BV42" s="703">
        <f ca="1">BV31-BT33</f>
        <v>0</v>
      </c>
      <c r="BW42" s="703">
        <f ca="1">BW31-BT34</f>
        <v>0</v>
      </c>
      <c r="BX42" s="703">
        <f ca="1">BX31-BT35</f>
        <v>0</v>
      </c>
      <c r="BY42" s="703">
        <f ca="1">BY31-BT36</f>
        <v>0</v>
      </c>
      <c r="BZ42" s="703">
        <f ca="1">BZ31-BT37</f>
        <v>0</v>
      </c>
      <c r="CA42" s="703">
        <f ca="1">CA31-BT38</f>
        <v>0</v>
      </c>
      <c r="CB42" s="681"/>
    </row>
    <row r="43" spans="1:80" s="1" customFormat="1" x14ac:dyDescent="0.2">
      <c r="A43" s="660"/>
      <c r="B43" s="660"/>
      <c r="C43" s="660"/>
      <c r="D43" s="660"/>
      <c r="E43" s="700">
        <f t="array" aca="1" ref="E43" ca="1">IF(O19=C19,SUM(IF(($BR$41:$BR$49=C19)*($BS$40:$CA$40=O17),$BS$41:$CA$49)),0)</f>
        <v>0</v>
      </c>
      <c r="F43" s="681">
        <f t="array" aca="1" ref="F43" ca="1">IF(O19=C19,SUM(IF(($BR$41:$BR$49=C19)*($BS$40:$CA$40=O18),$BS$41:$CA$49)),0)</f>
        <v>0</v>
      </c>
      <c r="G43" s="681">
        <f t="array" aca="1" ref="G43" ca="1">IF(O19=C19,SUM(IF(($BR$41:$BR$49=C19)*($BS$40:$CA$40=O20),$BS$41:$CA$49)),0)</f>
        <v>0</v>
      </c>
      <c r="H43" s="681">
        <f t="array" aca="1" ref="H43" ca="1">IF(O19=C19,SUM(IF(($BR$41:$BR$49=C19)*($BS$40:$CA$40=O21),$BS$41:$CA$49)),0)</f>
        <v>0</v>
      </c>
      <c r="I43" s="681">
        <f t="array" aca="1" ref="I43" ca="1">IF(O19=C19,SUM(IF(($BR$41:$BR$49=C19)*($BS$40:$CA$40=O22),$BS$41:$CA$49)),0)</f>
        <v>0</v>
      </c>
      <c r="J43" s="681">
        <f t="array" aca="1" ref="J43" ca="1">IF(O19=C19,SUM(IF(($BR$41:$BR$49=C19)*($BS$40:$CA$40=O23),$BS$41:$CA$49)),0)</f>
        <v>0</v>
      </c>
      <c r="K43" s="681">
        <f t="array" aca="1" ref="K43" ca="1">IF(O19=C19,SUM(IF(($BR$41:$BR$49=C19)*($BS$40:$CA$40=O$24),$BS$41:$CA$49)),0)</f>
        <v>0</v>
      </c>
      <c r="L43" s="681">
        <f t="array" aca="1" ref="L43" ca="1">IF(O19=C19,SUM(IF(($BR$41:$BR$49=C19)*($BS$40:$CA$40=O$25),$BS$41:$CA$49)),0)</f>
        <v>0</v>
      </c>
      <c r="M43" s="692">
        <f t="array" aca="1" ref="M43" ca="1">IF(P19=C19,SUM(IF(($BR$41:$BR$49=C19)*($BS$40:$CA$40=P17),$BS$41:$CA$49)),0)</f>
        <v>0</v>
      </c>
      <c r="N43" s="681">
        <f t="array" aca="1" ref="N43" ca="1">IF(P19=C19,SUM(IF(($BR$41:$BR$49=C19)*($BS$40:$CA$40=P18),$BS$41:$CA$49)),0)</f>
        <v>0</v>
      </c>
      <c r="O43" s="681">
        <f t="array" aca="1" ref="O43" ca="1">IF(P19=C19,SUM(IF(($BR$41:$BR$49=C19)*($BS$40:$CA$40=P20),$BS$41:$CA$49)),0)</f>
        <v>0</v>
      </c>
      <c r="P43" s="681">
        <f t="array" aca="1" ref="P43" ca="1">IF(P19=C19,SUM(IF(($BR$41:$BR$49=C19)*($BS$40:$CA$40=P21),$BS$41:$CA$49)),0)</f>
        <v>0</v>
      </c>
      <c r="Q43" s="681">
        <f t="array" aca="1" ref="Q43" ca="1">IF(P19=C19,SUM(IF(($BR$41:$BR$49=C19)*($BS$40:$CA$40=P22),$BS$41:$CA$49)),0)</f>
        <v>0</v>
      </c>
      <c r="R43" s="681">
        <f t="array" aca="1" ref="R43" ca="1">IF(P19=C19,SUM(IF(($BR$41:$BR$49=C19)*($BS$40:$CA$40=P23),$BS$41:$CA$49)),0)</f>
        <v>0</v>
      </c>
      <c r="S43" s="681">
        <f t="array" aca="1" ref="S43" ca="1">IF(P19=C19,SUM(IF(($BR$41:$BR$49=C19)*($BS$40:$CA$40=P$24),$BS$41:$CA$49)),0)</f>
        <v>0</v>
      </c>
      <c r="T43" s="681">
        <f t="array" aca="1" ref="T43" ca="1">IF(P19=C19,SUM(IF(($BR$41:$BR$49=C19)*($BS$40:$CA$40=P$25),$BS$41:$CA$49)),0)</f>
        <v>0</v>
      </c>
      <c r="U43" s="692">
        <f t="array" aca="1" ref="U43" ca="1">IF(Q19=C19,SUM(IF(($BR$41:$BR$49=C19)*($BS$40:$CA$40=Q17),$BS$41:$CA$49)),0)</f>
        <v>0</v>
      </c>
      <c r="V43" s="681">
        <f t="array" aca="1" ref="V43" ca="1">IF(Q19=C19,SUM(IF(($BR$41:$BR$49=C19)*($BS$40:$CA$40=Q18),$BS$41:$CA$49)),0)</f>
        <v>0</v>
      </c>
      <c r="W43" s="681">
        <f t="array" aca="1" ref="W43" ca="1">IF(Q19=C19,SUM(IF(($BR$41:$BR$49=C19)*($BS$40:$CA$40=Q20),$BS$41:$CA$49)),0)</f>
        <v>0</v>
      </c>
      <c r="X43" s="681">
        <f t="array" aca="1" ref="X43" ca="1">IF(Q19=C19,SUM(IF(($BR$41:$BR$49=C19)*($BS$40:$CA$40=Q21),$BS$41:$CA$49)),0)</f>
        <v>0</v>
      </c>
      <c r="Y43" s="681">
        <f t="array" aca="1" ref="Y43" ca="1">IF(Q19=C19,SUM(IF(($BR$41:$BR$49=C19)*($BS$40:$CA$40=Q22),$BS$41:$CA$49)),0)</f>
        <v>0</v>
      </c>
      <c r="Z43" s="681">
        <f t="array" aca="1" ref="Z43" ca="1">IF(Q19=C19,SUM(IF(($BR$41:$BR$49=C19)*($BS$40:$CA$40=Q23),$BS$41:$CA$49)),0)</f>
        <v>0</v>
      </c>
      <c r="AA43" s="681">
        <f t="array" aca="1" ref="AA43" ca="1">IF(Q19=C19,SUM(IF(($BR$41:$BR$49=C19)*($BS$40:$CA$40=Q$24),$BS$41:$CA$49)),0)</f>
        <v>0</v>
      </c>
      <c r="AB43" s="681">
        <f t="array" aca="1" ref="AB43" ca="1">IF(Q19=C19,SUM(IF(($BR$41:$BR$49=C19)*($BS$40:$CA$40=Q$25),$BS$41:$CA$49)),0)</f>
        <v>0</v>
      </c>
      <c r="AC43" s="692">
        <f t="array" aca="1" ref="AC43" ca="1">IF(R19=C19,SUM(IF(($BR$41:$BR$49=C19)*($BS$40:$CA$40=R17),$BS$41:$CA$49)),0)</f>
        <v>0</v>
      </c>
      <c r="AD43" s="681">
        <f t="array" aca="1" ref="AD43" ca="1">IF(R19=C19,SUM(IF(($BR$41:$BR$49=C19)*($BS$40:$CA$40=R18),$BS$41:$CA$49)),0)</f>
        <v>0</v>
      </c>
      <c r="AE43" s="681">
        <f t="array" aca="1" ref="AE43" ca="1">IF(R19=C19,SUM(IF(($BR$41:$BR$49=C19)*($BS$40:$CA$40=R20),$BS$41:$CA$49)),0)</f>
        <v>0</v>
      </c>
      <c r="AF43" s="681">
        <f t="array" aca="1" ref="AF43" ca="1">IF(R19=C19,SUM(IF(($BR$41:$BR$49=C19)*($BS$40:$CA$40=R21),$BS$41:$CA$49)),0)</f>
        <v>0</v>
      </c>
      <c r="AG43" s="681">
        <f t="array" aca="1" ref="AG43" ca="1">IF(R19=C19,SUM(IF(($BR$41:$BR$49=C19)*($BS$40:$CA$40=R22),$BS$41:$CA$49)),0)</f>
        <v>0</v>
      </c>
      <c r="AH43" s="681">
        <f t="array" aca="1" ref="AH43" ca="1">IF(R19=C19,SUM(IF(($BR$41:$BR$49=C19)*($BS$40:$CA$40=R23),$BS$41:$CA$49)),0)</f>
        <v>0</v>
      </c>
      <c r="AI43" s="681">
        <f t="array" aca="1" ref="AI43" ca="1">IF(R19=C19,SUM(IF(($BR$41:$BR$49=C19)*($BS$40:$CA$40=R$24),$BS$41:$CA$49)),0)</f>
        <v>0</v>
      </c>
      <c r="AJ43" s="681">
        <f t="array" aca="1" ref="AJ43" ca="1">IF(R19=C19,SUM(IF(($BR$41:$BR$49=C19)*($BS$40:$CA$40=R$25),$BS$41:$CA$49)),0)</f>
        <v>0</v>
      </c>
      <c r="AK43" s="692">
        <f t="array" aca="1" ref="AK43" ca="1">IF(S19=C19,SUM(IF(($BR$41:$BR$49=C19)*($BS$40:$CA$40=S17),$BS$41:$CA$49)),0)</f>
        <v>0</v>
      </c>
      <c r="AL43" s="681">
        <f t="array" aca="1" ref="AL43" ca="1">IF(S19=C19,SUM(IF(($BR$41:$BR$49=C19)*($BS$40:$CA$40=S18),$BS$41:$CA$49)),0)</f>
        <v>0</v>
      </c>
      <c r="AM43" s="681">
        <f t="array" aca="1" ref="AM43" ca="1">IF(S19=C19,SUM(IF(($BR$41:$BR$49=C19)*($BS$40:$CA$40=S20),$BS$41:$CA$49)),0)</f>
        <v>0</v>
      </c>
      <c r="AN43" s="681">
        <f t="array" aca="1" ref="AN43" ca="1">IF(S19=C19,SUM(IF(($BR$41:$BR$49=C19)*($BS$40:$CA$40=S21),$BS$41:$CA$49)),0)</f>
        <v>0</v>
      </c>
      <c r="AO43" s="681">
        <f t="array" aca="1" ref="AO43" ca="1">IF(S19=C19,SUM(IF(($BR$41:$BR$49=C19)*($BS$40:$CA$40=S22),$BS$41:$CA$49)),0)</f>
        <v>0</v>
      </c>
      <c r="AP43" s="681">
        <f t="array" aca="1" ref="AP43" ca="1">IF(S19=C19,SUM(IF(($BR$41:$BR$49=C19)*($BS$40:$CA$40=S23),$BS$41:$CA$49)),0)</f>
        <v>0</v>
      </c>
      <c r="AQ43" s="681">
        <f t="array" aca="1" ref="AQ43" ca="1">IF(S19=C19,SUM(IF(($BR$41:$BR$49=C19)*($BS$40:$CA$40=S$24),$BS$41:$CA$49)),0)</f>
        <v>0</v>
      </c>
      <c r="AR43" s="681">
        <f t="array" aca="1" ref="AR43" ca="1">IF(S19=C19,SUM(IF(($BR$41:$BR$49=C19)*($BS$40:$CA$40=S$25),$BS$41:$CA$49)),0)</f>
        <v>0</v>
      </c>
      <c r="AS43" s="692">
        <f t="array" aca="1" ref="AS43" ca="1">IF(T19=C19,SUM(IF(($BR$41:$BR$49=C19)*($BS$40:$CA$40=T17),$BS$41:$CA$49)),0)</f>
        <v>0</v>
      </c>
      <c r="AT43" s="681">
        <f t="array" aca="1" ref="AT43" ca="1">IF(T19=C19,SUM(IF(($BR$41:$BR$49=C19)*($BS$40:$CA$40=T18),$BS$41:$CA$49)),0)</f>
        <v>0</v>
      </c>
      <c r="AU43" s="681">
        <f t="array" aca="1" ref="AU43" ca="1">IF(T19=C19,SUM(IF(($BR$41:$BR$49=C19)*($BS$40:$CA$40=T20),$BS$41:$CA$49)),0)</f>
        <v>0</v>
      </c>
      <c r="AV43" s="681">
        <f t="array" aca="1" ref="AV43" ca="1">IF(T19=C19,SUM(IF(($BR$41:$BR$49=C19)*($BS$40:$CA$40=T21),$BS$41:$CA$49)),0)</f>
        <v>0</v>
      </c>
      <c r="AW43" s="681">
        <f t="array" aca="1" ref="AW43" ca="1">IF(T19=C19,SUM(IF(($BR$41:$BR$49=C19)*($BS$40:$CA$40=T22),$BS$41:$CA$49)),0)</f>
        <v>0</v>
      </c>
      <c r="AX43" s="681">
        <f t="array" aca="1" ref="AX43" ca="1">IF(T19=C19,SUM(IF(($BR$41:$BR$49=C19)*($BS$40:$CA$40=T23),$BS$41:$CA$49)),0)</f>
        <v>0</v>
      </c>
      <c r="AY43" s="681">
        <f t="array" aca="1" ref="AY43" ca="1">IF(T19=C19,SUM(IF(($BR$41:$BR$49=C19)*($BS$40:$CA$40=T$24),$BS$41:$CA$49)),0)</f>
        <v>0</v>
      </c>
      <c r="AZ43" s="681">
        <f t="array" aca="1" ref="AZ43" ca="1">IF(T19=C19,SUM(IF(($BR$41:$BR$49=C19)*($BS$40:$CA$40=T$25),$BS$41:$CA$49)),0)</f>
        <v>0</v>
      </c>
      <c r="BA43" s="692">
        <f t="array" aca="1" ref="BA43" ca="1">IF(U19=C19,SUM(IF(($BR$41:$BR$49=C19)*($BS$40:$CA$40=U$17),$BS$41:$CA$49)),0)</f>
        <v>0</v>
      </c>
      <c r="BB43" s="681">
        <f t="array" aca="1" ref="BB43" ca="1">IF(U19=C19,SUM(IF(($BR$41:$BR$49=C19)*($BS$40:$CA$40=U$18),$BS$41:$CA$49)),0)</f>
        <v>0</v>
      </c>
      <c r="BC43" s="681">
        <f t="array" aca="1" ref="BC43" ca="1">IF(U19=C19,SUM(IF(($BR$41:$BR$49=C19)*($BS$40:$CA$40=U$20),$BS$41:$CA$49)),0)</f>
        <v>0</v>
      </c>
      <c r="BD43" s="681">
        <f t="array" aca="1" ref="BD43" ca="1">IF(U19=C19,SUM(IF(($BR$41:$BR$49=C19)*($BS$40:$CA$40=U$21),$BS$41:$CA$49)),0)</f>
        <v>0</v>
      </c>
      <c r="BE43" s="681">
        <f t="array" aca="1" ref="BE43" ca="1">IF(U19=C19,SUM(IF(($BR$41:$BR$49=C19)*($BS$40:$CA$40=U$22),$BS$41:$CA$49)),0)</f>
        <v>0</v>
      </c>
      <c r="BF43" s="681">
        <f t="array" aca="1" ref="BF43" ca="1">IF(U19=C19,SUM(IF(($BR$41:$BR$49=C19)*($BS$40:$CA$40=U$23),$BS$41:$CA$49)),0)</f>
        <v>0</v>
      </c>
      <c r="BG43" s="681">
        <f t="array" aca="1" ref="BG43" ca="1">IF(U19=C19,SUM(IF(($BR$41:$BR$49=C19)*($BS$40:$CA$40=U$24),$BS$41:$CA$49)),0)</f>
        <v>0</v>
      </c>
      <c r="BH43" s="681">
        <f t="array" aca="1" ref="BH43" ca="1">IF(U19=C19,SUM(IF(($BR$41:$BR$49=C19)*($BS$40:$CA$40=U$25),$BS$41:$CA$49)),0)</f>
        <v>0</v>
      </c>
      <c r="BI43" s="692">
        <f t="array" aca="1" ref="BI43" ca="1">IF(V19=C19,SUM(IF(($BR$41:$BR$49=C19)*($BS$40:$CA$40=V$18),$BS$41:$CA$49)),0)</f>
        <v>0</v>
      </c>
      <c r="BJ43" s="681">
        <f t="array" aca="1" ref="BJ43" ca="1">IF(V19=C19,SUM(IF(($BR$41:$BR$49=C19)*($BS$40:$CA$40=V$19),$BS$41:$CA$49)),0)</f>
        <v>0</v>
      </c>
      <c r="BK43" s="681">
        <f t="array" aca="1" ref="BK43" ca="1">IF(V19=C19,SUM(IF(($BR$41:$BR$49=C19)*($BS$40:$CA$40=V$20),$BS$41:$CA$49)),0)</f>
        <v>0</v>
      </c>
      <c r="BL43" s="681">
        <f t="array" aca="1" ref="BL43" ca="1">IF(V19=C19,SUM(IF(($BR$41:$BR$49=C19)*($BS$40:$CA$40=V$21),$BS$41:$CA$49)),0)</f>
        <v>0</v>
      </c>
      <c r="BM43" s="681">
        <f t="array" aca="1" ref="BM43" ca="1">IF(V19=C19,SUM(IF(($BR$41:$BR$49=C19)*($BS$40:$CA$40=V$22),$BS$41:$CA$49)),0)</f>
        <v>0</v>
      </c>
      <c r="BN43" s="681">
        <f t="array" aca="1" ref="BN43" ca="1">IF(V19=C19,SUM(IF(($BR$41:$BR$49=C19)*($BS$40:$CA$40=V$23),$BS$41:$CA$49)),0)</f>
        <v>0</v>
      </c>
      <c r="BO43" s="681">
        <f t="array" aca="1" ref="BO43" ca="1">IF(V19=C19,SUM(IF(($BR$41:$BR$49=C19)*($BS$40:$CA$40=V$24),$BS$41:$CA$49)),0)</f>
        <v>0</v>
      </c>
      <c r="BP43" s="701">
        <f t="array" aca="1" ref="BP43" ca="1">IF(V19=C19,SUM(IF(($BR$41:$BR$49=C19)*($BS$40:$CA$40=V$25),$BS$41:$CA$49)),0)</f>
        <v>0</v>
      </c>
      <c r="BQ43" s="681"/>
      <c r="BR43" s="660" t="str">
        <f t="shared" ca="1" si="41"/>
        <v/>
      </c>
      <c r="BS43" s="704">
        <f ca="1">IF(BU41="","",-1*BU41)</f>
        <v>0</v>
      </c>
      <c r="BT43" s="704">
        <f ca="1">IF(BU42="","",-1*BU42)</f>
        <v>0</v>
      </c>
      <c r="BU43" s="702"/>
      <c r="BV43" s="703">
        <f ca="1">BV32-BU33</f>
        <v>0</v>
      </c>
      <c r="BW43" s="703">
        <f ca="1">BW32-BU34</f>
        <v>0</v>
      </c>
      <c r="BX43" s="703">
        <f ca="1">BX32-BU35</f>
        <v>0</v>
      </c>
      <c r="BY43" s="703">
        <f ca="1">BY32-BU36</f>
        <v>0</v>
      </c>
      <c r="BZ43" s="703">
        <f ca="1">BZ32-BU37</f>
        <v>0</v>
      </c>
      <c r="CA43" s="703">
        <f ca="1">CA32-BU38</f>
        <v>0</v>
      </c>
      <c r="CB43" s="681"/>
    </row>
    <row r="44" spans="1:80" s="1" customFormat="1" x14ac:dyDescent="0.2">
      <c r="A44" s="660"/>
      <c r="B44" s="660"/>
      <c r="C44" s="660"/>
      <c r="D44" s="660"/>
      <c r="E44" s="700">
        <f t="array" aca="1" ref="E44" ca="1">IF(O20=C20,SUM(IF(($BR$41:$BR$49=C20)*($BS$40:$CA$40=O17),$BS$41:$CA$49)),0)</f>
        <v>0</v>
      </c>
      <c r="F44" s="681">
        <f t="array" aca="1" ref="F44" ca="1">IF(O20=C20,SUM(IF(($BR$41:$BR$49=C20)*($BS$40:$CA$40=O18),$BS$41:$CA$49)),0)</f>
        <v>0</v>
      </c>
      <c r="G44" s="681">
        <f t="array" aca="1" ref="G44" ca="1">IF(O20=C20,SUM(IF(($BR$41:$BR$49=C20)*($BS$40:$CA$40=O19),$BS$41:$CA$49)),0)</f>
        <v>0</v>
      </c>
      <c r="H44" s="681">
        <f t="array" aca="1" ref="H44" ca="1">IF(O20=C20,SUM(IF(($BR$41:$BR$49=C20)*($BS$40:$CA$40=O21),$BS$41:$CA$49)),0)</f>
        <v>0</v>
      </c>
      <c r="I44" s="681">
        <f t="array" aca="1" ref="I44" ca="1">IF(O20=C20,SUM(IF(($BR$41:$BR$49=C20)*($BS$40:$CA$40=O22),$BS$41:$CA$49)),0)</f>
        <v>0</v>
      </c>
      <c r="J44" s="681">
        <f t="array" aca="1" ref="J44" ca="1">IF(O20=C20,SUM(IF(($BR$41:$BR$49=C20)*($BS$40:$CA$40=O23),$BS$41:$CA$49)),0)</f>
        <v>0</v>
      </c>
      <c r="K44" s="681">
        <f t="array" aca="1" ref="K44" ca="1">IF(O20=C20,SUM(IF(($BR$41:$BR$49=C20)*($BS$40:$CA$40=O$24),$BS$41:$CA$49)),0)</f>
        <v>0</v>
      </c>
      <c r="L44" s="681">
        <f t="array" aca="1" ref="L44" ca="1">IF(O20=C20,SUM(IF(($BR$41:$BR$49=C20)*($BS$40:$CA$40=O$25),$BS$41:$CA$49)),0)</f>
        <v>0</v>
      </c>
      <c r="M44" s="692">
        <f t="array" aca="1" ref="M44" ca="1">IF(P20=C20,SUM(IF(($BR$41:$BR$49=C20)*($BS$40:$CA$40=P17),$BS$41:$CA$49)),0)</f>
        <v>0</v>
      </c>
      <c r="N44" s="681">
        <f t="array" aca="1" ref="N44" ca="1">IF(P20=C20,SUM(IF(($BR$41:$BR$49=C20)*($BS$40:$CA$40=P18),$BS$41:$CA$49)),0)</f>
        <v>0</v>
      </c>
      <c r="O44" s="681">
        <f t="array" aca="1" ref="O44" ca="1">IF(P20=C20,SUM(IF(($BR$41:$BR$49=C20)*($BS$40:$CA$40=P19),$BS$41:$CA$49)),0)</f>
        <v>0</v>
      </c>
      <c r="P44" s="681">
        <f t="array" aca="1" ref="P44" ca="1">IF(P20=C20,SUM(IF(($BR$41:$BR$49=C20)*($BS$40:$CA$40=P21),$BS$41:$CA$49)),0)</f>
        <v>0</v>
      </c>
      <c r="Q44" s="681">
        <f t="array" aca="1" ref="Q44" ca="1">IF(P20=C20,SUM(IF(($BR$41:$BR$49=C20)*($BS$40:$CA$40=P22),$BS$41:$CA$49)),0)</f>
        <v>0</v>
      </c>
      <c r="R44" s="681">
        <f t="array" aca="1" ref="R44" ca="1">IF(P20=C20,SUM(IF(($BR$41:$BR$49=C20)*($BS$40:$CA$40=P23),$BS$41:$CA$49)),0)</f>
        <v>0</v>
      </c>
      <c r="S44" s="681">
        <f t="array" aca="1" ref="S44" ca="1">IF(P20=C20,SUM(IF(($BR$41:$BR$49=C20)*($BS$40:$CA$40=P$24),$BS$41:$CA$49)),0)</f>
        <v>0</v>
      </c>
      <c r="T44" s="681">
        <f t="array" aca="1" ref="T44" ca="1">IF(P20=C20,SUM(IF(($BR$41:$BR$49=C20)*($BS$40:$CA$40=P$25),$BS$41:$CA$49)),0)</f>
        <v>0</v>
      </c>
      <c r="U44" s="692">
        <f t="array" aca="1" ref="U44" ca="1">IF(Q20=C20,SUM(IF(($BR$41:$BR$49=C20)*($BS$40:$CA$40=Q17),$BS$41:$CA$49)),0)</f>
        <v>0</v>
      </c>
      <c r="V44" s="681">
        <f t="array" aca="1" ref="V44" ca="1">IF(Q20=C20,SUM(IF(($BR$41:$BR$49=C20)*($BS$40:$CA$40=Q18),$BS$41:$CA$49)),0)</f>
        <v>0</v>
      </c>
      <c r="W44" s="681">
        <f t="array" aca="1" ref="W44" ca="1">IF(Q20=C20,SUM(IF(($BR$41:$BR$49=C20)*($BS$40:$CA$40=Q19),$BS$41:$CA$49)),0)</f>
        <v>0</v>
      </c>
      <c r="X44" s="681">
        <f t="array" aca="1" ref="X44" ca="1">IF(Q20=C20,SUM(IF(($BR$41:$BR$49=C20)*($BS$40:$CA$40=Q21),$BS$41:$CA$49)),0)</f>
        <v>0</v>
      </c>
      <c r="Y44" s="681">
        <f t="array" aca="1" ref="Y44" ca="1">IF(Q20=C20,SUM(IF(($BR$41:$BR$49=C20)*($BS$40:$CA$40=Q22),$BS$41:$CA$49)),0)</f>
        <v>0</v>
      </c>
      <c r="Z44" s="681">
        <f t="array" aca="1" ref="Z44" ca="1">IF(Q20=C20,SUM(IF(($BR$41:$BR$49=C20)*($BS$40:$CA$40=Q23),$BS$41:$CA$49)),0)</f>
        <v>0</v>
      </c>
      <c r="AA44" s="681">
        <f t="array" aca="1" ref="AA44" ca="1">IF(Q20=C20,SUM(IF(($BR$41:$BR$49=C20)*($BS$40:$CA$40=Q$24),$BS$41:$CA$49)),0)</f>
        <v>0</v>
      </c>
      <c r="AB44" s="681">
        <f t="array" aca="1" ref="AB44" ca="1">IF(Q20=C20,SUM(IF(($BR$41:$BR$49=C20)*($BS$40:$CA$40=Q$25),$BS$41:$CA$49)),0)</f>
        <v>0</v>
      </c>
      <c r="AC44" s="692">
        <f t="array" aca="1" ref="AC44" ca="1">IF(R20=C20,SUM(IF(($BR$41:$BR$49=C20)*($BS$40:$CA$40=R17),$BS$41:$CA$49)),0)</f>
        <v>0</v>
      </c>
      <c r="AD44" s="681">
        <f t="array" aca="1" ref="AD44" ca="1">IF(R20=C20,SUM(IF(($BR$41:$BR$49=C20)*($BS$40:$CA$40=R18),$BS$41:$CA$49)),0)</f>
        <v>0</v>
      </c>
      <c r="AE44" s="681">
        <f t="array" aca="1" ref="AE44" ca="1">IF(R20=C20,SUM(IF(($BR$41:$BR$49=C20)*($BS$40:$CA$40=R19),$BS$41:$CA$49)),0)</f>
        <v>0</v>
      </c>
      <c r="AF44" s="681">
        <f t="array" aca="1" ref="AF44" ca="1">IF(R20=C20,SUM(IF(($BR$41:$BR$49=C20)*($BS$40:$CA$40=R21),$BS$41:$CA$49)),0)</f>
        <v>0</v>
      </c>
      <c r="AG44" s="681">
        <f t="array" aca="1" ref="AG44" ca="1">IF(R20=C20,SUM(IF(($BR$41:$BR$49=C20)*($BS$40:$CA$40=R22),$BS$41:$CA$49)),0)</f>
        <v>0</v>
      </c>
      <c r="AH44" s="681">
        <f t="array" aca="1" ref="AH44" ca="1">IF(R20=C20,SUM(IF(($BR$41:$BR$49=C20)*($BS$40:$CA$40=R23),$BS$41:$CA$49)),0)</f>
        <v>0</v>
      </c>
      <c r="AI44" s="681">
        <f t="array" aca="1" ref="AI44" ca="1">IF(R20=C20,SUM(IF(($BR$41:$BR$49=C20)*($BS$40:$CA$40=R$24),$BS$41:$CA$49)),0)</f>
        <v>0</v>
      </c>
      <c r="AJ44" s="681">
        <f t="array" aca="1" ref="AJ44" ca="1">IF(R20=C20,SUM(IF(($BR$41:$BR$49=C20)*($BS$40:$CA$40=R$25),$BS$41:$CA$49)),0)</f>
        <v>0</v>
      </c>
      <c r="AK44" s="692">
        <f t="array" aca="1" ref="AK44" ca="1">IF(S20=C20,SUM(IF(($BR$41:$BR$49=C20)*($BS$40:$CA$40=S17),$BS$41:$CA$49)),0)</f>
        <v>0</v>
      </c>
      <c r="AL44" s="681">
        <f t="array" aca="1" ref="AL44" ca="1">IF(S20=C20,SUM(IF(($BR$41:$BR$49=C20)*($BS$40:$CA$40=S18),$BS$41:$CA$49)),0)</f>
        <v>0</v>
      </c>
      <c r="AM44" s="681">
        <f t="array" aca="1" ref="AM44" ca="1">IF(S20=C20,SUM(IF(($BR$41:$BR$49=C20)*($BS$40:$CA$40=S19),$BS$41:$CA$49)),0)</f>
        <v>0</v>
      </c>
      <c r="AN44" s="681">
        <f t="array" aca="1" ref="AN44" ca="1">IF(S20=C20,SUM(IF(($BR$41:$BR$49=C20)*($BS$40:$CA$40=S21),$BS$41:$CA$49)),0)</f>
        <v>0</v>
      </c>
      <c r="AO44" s="681">
        <f t="array" aca="1" ref="AO44" ca="1">IF(S20=C20,SUM(IF(($BR$41:$BR$49=C20)*($BS$40:$CA$40=S22),$BS$41:$CA$49)),0)</f>
        <v>0</v>
      </c>
      <c r="AP44" s="681">
        <f t="array" aca="1" ref="AP44" ca="1">IF(S20=C20,SUM(IF(($BR$41:$BR$49=C20)*($BS$40:$CA$40=S23),$BS$41:$CA$49)),0)</f>
        <v>0</v>
      </c>
      <c r="AQ44" s="681">
        <f t="array" aca="1" ref="AQ44" ca="1">IF(S20=C20,SUM(IF(($BR$41:$BR$49=C20)*($BS$40:$CA$40=S$24),$BS$41:$CA$49)),0)</f>
        <v>0</v>
      </c>
      <c r="AR44" s="681">
        <f t="array" aca="1" ref="AR44" ca="1">IF(S20=C20,SUM(IF(($BR$41:$BR$49=C20)*($BS$40:$CA$40=S$25),$BS$41:$CA$49)),0)</f>
        <v>0</v>
      </c>
      <c r="AS44" s="692">
        <f t="array" aca="1" ref="AS44" ca="1">IF(T20=C20,SUM(IF(($BR$41:$BR$49=C20)*($BS$40:$CA$40=T17),$BS$41:$CA$49)),0)</f>
        <v>0</v>
      </c>
      <c r="AT44" s="681">
        <f t="array" aca="1" ref="AT44" ca="1">IF(T20=C20,SUM(IF(($BR$41:$BR$49=C20)*($BS$40:$CA$40=T18),$BS$41:$CA$49)),0)</f>
        <v>0</v>
      </c>
      <c r="AU44" s="681">
        <f t="array" aca="1" ref="AU44" ca="1">IF(T20=C20,SUM(IF(($BR$41:$BR$49=C20)*($BS$40:$CA$40=T19),$BS$41:$CA$49)),0)</f>
        <v>0</v>
      </c>
      <c r="AV44" s="681">
        <f t="array" aca="1" ref="AV44" ca="1">IF(T20=C20,SUM(IF(($BR$41:$BR$49=C20)*($BS$40:$CA$40=T21),$BS$41:$CA$49)),0)</f>
        <v>0</v>
      </c>
      <c r="AW44" s="681">
        <f t="array" aca="1" ref="AW44" ca="1">IF(T20=C20,SUM(IF(($BR$41:$BR$49=C20)*($BS$40:$CA$40=T22),$BS$41:$CA$49)),0)</f>
        <v>0</v>
      </c>
      <c r="AX44" s="681">
        <f t="array" aca="1" ref="AX44" ca="1">IF(T20=C20,SUM(IF(($BR$41:$BR$49=C20)*($BS$40:$CA$40=T23),$BS$41:$CA$49)),0)</f>
        <v>0</v>
      </c>
      <c r="AY44" s="681">
        <f t="array" aca="1" ref="AY44" ca="1">IF(T20=C20,SUM(IF(($BR$41:$BR$49=C20)*($BS$40:$CA$40=T$24),$BS$41:$CA$49)),0)</f>
        <v>0</v>
      </c>
      <c r="AZ44" s="681">
        <f t="array" aca="1" ref="AZ44" ca="1">IF(T20=C20,SUM(IF(($BR$41:$BR$49=C20)*($BS$40:$CA$40=T$25),$BS$41:$CA$49)),0)</f>
        <v>0</v>
      </c>
      <c r="BA44" s="692">
        <f t="array" aca="1" ref="BA44" ca="1">IF(U20=C20,SUM(IF(($BR$41:$BR$49=C20)*($BS$40:$CA$40=U$17),$BS$41:$CA$49)),0)</f>
        <v>0</v>
      </c>
      <c r="BB44" s="681">
        <f t="array" aca="1" ref="BB44" ca="1">IF(U20=C20,SUM(IF(($BR$41:$BR$49=C20)*($BS$40:$CA$40=U$18),$BS$41:$CA$49)),0)</f>
        <v>0</v>
      </c>
      <c r="BC44" s="681">
        <f t="array" aca="1" ref="BC44" ca="1">IF(U20=C20,SUM(IF(($BR$41:$BR$49=C20)*($BS$40:$CA$40=U$19),$BS$41:$CA$49)),0)</f>
        <v>0</v>
      </c>
      <c r="BD44" s="681">
        <f t="array" aca="1" ref="BD44" ca="1">IF(U20=C20,SUM(IF(($BR$41:$BR$49=C20)*($BS$40:$CA$40=U$21),$BS$41:$CA$49)),0)</f>
        <v>0</v>
      </c>
      <c r="BE44" s="681">
        <f t="array" aca="1" ref="BE44" ca="1">IF(U20=C20,SUM(IF(($BR$41:$BR$49=C20)*($BS$40:$CA$40=U$22),$BS$41:$CA$49)),0)</f>
        <v>0</v>
      </c>
      <c r="BF44" s="681">
        <f t="array" aca="1" ref="BF44" ca="1">IF(U20=C20,SUM(IF(($BR$41:$BR$49=C20)*($BS$40:$CA$40=U$23),$BS$41:$CA$49)),0)</f>
        <v>0</v>
      </c>
      <c r="BG44" s="681">
        <f t="array" aca="1" ref="BG44" ca="1">IF(U20=C20,SUM(IF(($BR$41:$BR$49=C20)*($BS$40:$CA$40=U$24),$BS$41:$CA$49)),0)</f>
        <v>0</v>
      </c>
      <c r="BH44" s="681">
        <f t="array" aca="1" ref="BH44" ca="1">IF(U20=C20,SUM(IF(($BR$41:$BR$49=C20)*($BS$40:$CA$40=U$25),$BS$41:$CA$49)),0)</f>
        <v>0</v>
      </c>
      <c r="BI44" s="692">
        <f t="array" aca="1" ref="BI44" ca="1">IF(V20=C20,SUM(IF(($BR$41:$BR$49=C20)*($BS$40:$CA$40=V$18),$BS$41:$CA$49)),0)</f>
        <v>0</v>
      </c>
      <c r="BJ44" s="681">
        <f t="array" aca="1" ref="BJ44" ca="1">IF(V20=C20,SUM(IF(($BR$41:$BR$49=C20)*($BS$40:$CA$40=V$19),$BS$41:$CA$49)),0)</f>
        <v>0</v>
      </c>
      <c r="BK44" s="681">
        <f t="array" aca="1" ref="BK44" ca="1">IF(V20=C20,SUM(IF(($BR$41:$BR$49=C20)*($BS$40:$CA$40=V$20),$BS$41:$CA$49)),0)</f>
        <v>0</v>
      </c>
      <c r="BL44" s="681">
        <f t="array" aca="1" ref="BL44" ca="1">IF(V20=C20,SUM(IF(($BR$41:$BR$49=C20)*($BS$40:$CA$40=V$21),$BS$41:$CA$49)),0)</f>
        <v>0</v>
      </c>
      <c r="BM44" s="681">
        <f t="array" aca="1" ref="BM44" ca="1">IF(V20=C20,SUM(IF(($BR$41:$BR$49=C20)*($BS$40:$CA$40=V$22),$BS$41:$CA$49)),0)</f>
        <v>0</v>
      </c>
      <c r="BN44" s="681">
        <f t="array" aca="1" ref="BN44" ca="1">IF(V20=C20,SUM(IF(($BR$41:$BR$49=C20)*($BS$40:$CA$40=V$23),$BS$41:$CA$49)),0)</f>
        <v>0</v>
      </c>
      <c r="BO44" s="681">
        <f t="array" aca="1" ref="BO44" ca="1">IF(V20=C20,SUM(IF(($BR$41:$BR$49=C20)*($BS$40:$CA$40=V$24),$BS$41:$CA$49)),0)</f>
        <v>0</v>
      </c>
      <c r="BP44" s="701">
        <f t="array" aca="1" ref="BP44" ca="1">IF(V20=C20,SUM(IF(($BR$41:$BR$49=C20)*($BS$40:$CA$40=V$25),$BS$41:$CA$49)),0)</f>
        <v>0</v>
      </c>
      <c r="BQ44" s="681"/>
      <c r="BR44" s="660" t="str">
        <f t="shared" ca="1" si="41"/>
        <v/>
      </c>
      <c r="BS44" s="704">
        <f ca="1">IF(BV41="","",-1*BV41)</f>
        <v>0</v>
      </c>
      <c r="BT44" s="704">
        <f ca="1">IF(BV42="","",-1*BV42)</f>
        <v>0</v>
      </c>
      <c r="BU44" s="704">
        <f ca="1">IF(BV43="","",-1*BV43)</f>
        <v>0</v>
      </c>
      <c r="BV44" s="702"/>
      <c r="BW44" s="703">
        <f ca="1">BW33-BV34</f>
        <v>0</v>
      </c>
      <c r="BX44" s="703">
        <f ca="1">BX33-BV35</f>
        <v>0</v>
      </c>
      <c r="BY44" s="703">
        <f ca="1">BY33-BV36</f>
        <v>0</v>
      </c>
      <c r="BZ44" s="703">
        <f ca="1">BZ33-BV37</f>
        <v>0</v>
      </c>
      <c r="CA44" s="703">
        <f ca="1">CA33-BV38</f>
        <v>0</v>
      </c>
      <c r="CB44" s="681"/>
    </row>
    <row r="45" spans="1:80" s="1" customFormat="1" x14ac:dyDescent="0.2">
      <c r="A45" s="660"/>
      <c r="B45" s="660"/>
      <c r="C45" s="660"/>
      <c r="D45" s="660"/>
      <c r="E45" s="700">
        <f t="array" aca="1" ref="E45" ca="1">IF(O21=C21,SUM(IF(($BR$41:$BR$49=C21)*($BS$40:$CA$40=O17),$BS$41:$CA$49)),0)</f>
        <v>0</v>
      </c>
      <c r="F45" s="681">
        <f t="array" aca="1" ref="F45" ca="1">IF(O21=C21,SUM(IF(($BR$41:$BR$49=C21)*($BS$40:$CA$40=O18),$BS$41:$CA$49)),0)</f>
        <v>0</v>
      </c>
      <c r="G45" s="681">
        <f t="array" aca="1" ref="G45" ca="1">IF(O21=C21,SUM(IF(($BR$41:$BR$49=C21)*($BS$40:$CA$40=O19),$BS$41:$CA$49)),0)</f>
        <v>0</v>
      </c>
      <c r="H45" s="681">
        <f t="array" aca="1" ref="H45" ca="1">IF(O21=C21,SUM(IF(($BR$41:$BR$49=C21)*($BS$40:$CA$40=O20),$BS$41:$CA$49)),0)</f>
        <v>0</v>
      </c>
      <c r="I45" s="681">
        <f t="array" aca="1" ref="I45" ca="1">IF(O21=C21,SUM(IF(($BR$41:$BR$49=C21)*($BS$40:$CA$40=O22),$BS$41:$CA$49)),0)</f>
        <v>0</v>
      </c>
      <c r="J45" s="681">
        <f t="array" aca="1" ref="J45" ca="1">IF(O21=C21,SUM(IF(($BR$41:$BR$49=C21)*($BS$40:$CA$40=O23),$BS$41:$CA$49)),0)</f>
        <v>0</v>
      </c>
      <c r="K45" s="681">
        <f t="array" aca="1" ref="K45" ca="1">IF(O21=C21,SUM(IF(($BR$41:$BR$49=C21)*($BS$40:$CA$40=O$24),$BS$41:$CA$49)),0)</f>
        <v>0</v>
      </c>
      <c r="L45" s="681">
        <f t="array" aca="1" ref="L45" ca="1">IF(O21=C21,SUM(IF(($BR$41:$BR$49=C21)*($BS$40:$CA$40=O$25),$BS$41:$CA$49)),0)</f>
        <v>0</v>
      </c>
      <c r="M45" s="692">
        <f t="array" aca="1" ref="M45" ca="1">IF(P21=C21,SUM(IF(($BR$41:$BR$49=C21)*($BS$40:$CA$40=P17),$BS$41:$CA$49)),0)</f>
        <v>0</v>
      </c>
      <c r="N45" s="681">
        <f t="array" aca="1" ref="N45" ca="1">IF(P21=C21,SUM(IF(($BR$41:$BR$49=C21)*($BS$40:$CA$40=P18),$BS$41:$CA$49)),0)</f>
        <v>0</v>
      </c>
      <c r="O45" s="681">
        <f t="array" aca="1" ref="O45" ca="1">IF(P21=C21,SUM(IF(($BR$41:$BR$49=C21)*($BS$40:$CA$40=P19),$BS$41:$CA$49)),0)</f>
        <v>0</v>
      </c>
      <c r="P45" s="681">
        <f t="array" aca="1" ref="P45" ca="1">IF(P21=C21,SUM(IF(($BR$41:$BR$49=C21)*($BS$40:$CA$40=P20),$BS$41:$CA$49)),0)</f>
        <v>0</v>
      </c>
      <c r="Q45" s="681">
        <f t="array" aca="1" ref="Q45" ca="1">IF(P21=C21,SUM(IF(($BR$41:$BR$49=C21)*($BS$40:$CA$40=P22),$BS$41:$CA$49)),0)</f>
        <v>0</v>
      </c>
      <c r="R45" s="681">
        <f t="array" aca="1" ref="R45" ca="1">IF(P21=C21,SUM(IF(($BR$41:$BR$49=C21)*($BS$40:$CA$40=P23),$BS$41:$CA$49)),0)</f>
        <v>0</v>
      </c>
      <c r="S45" s="681">
        <f t="array" aca="1" ref="S45" ca="1">IF(P21=C21,SUM(IF(($BR$41:$BR$49=C21)*($BS$40:$CA$40=P$24),$BS$41:$CA$49)),0)</f>
        <v>0</v>
      </c>
      <c r="T45" s="681">
        <f t="array" aca="1" ref="T45" ca="1">IF(P21=C21,SUM(IF(($BR$41:$BR$49=C21)*($BS$40:$CA$40=P$25),$BS$41:$CA$49)),0)</f>
        <v>0</v>
      </c>
      <c r="U45" s="692">
        <f t="array" aca="1" ref="U45" ca="1">IF(Q21=C21,SUM(IF(($BR$41:$BR$49=C21)*($BS$40:$CA$40=Q17),$BS$41:$CA$49)),0)</f>
        <v>0</v>
      </c>
      <c r="V45" s="681">
        <f t="array" aca="1" ref="V45" ca="1">IF(Q21=C21,SUM(IF(($BR$41:$BR$49=C21)*($BS$40:$CA$40=Q18),$BS$41:$CA$49)),0)</f>
        <v>0</v>
      </c>
      <c r="W45" s="681">
        <f t="array" aca="1" ref="W45" ca="1">IF(Q21=C21,SUM(IF(($BR$41:$BR$49=C21)*($BS$40:$CA$40=Q19),$BS$41:$CA$49)),0)</f>
        <v>0</v>
      </c>
      <c r="X45" s="681">
        <f t="array" aca="1" ref="X45" ca="1">IF(Q21=C21,SUM(IF(($BR$41:$BR$49=C21)*($BS$40:$CA$40=Q20),$BS$41:$CA$49)),0)</f>
        <v>0</v>
      </c>
      <c r="Y45" s="681">
        <f t="array" aca="1" ref="Y45" ca="1">IF(Q21=C21,SUM(IF(($BR$41:$BR$49=C21)*($BS$40:$CA$40=Q22),$BS$41:$CA$49)),0)</f>
        <v>0</v>
      </c>
      <c r="Z45" s="681">
        <f t="array" aca="1" ref="Z45" ca="1">IF(Q21=C21,SUM(IF(($BR$41:$BR$49=C21)*($BS$40:$CA$40=Q23),$BS$41:$CA$49)),0)</f>
        <v>0</v>
      </c>
      <c r="AA45" s="681">
        <f t="array" aca="1" ref="AA45" ca="1">IF(Q21=C21,SUM(IF(($BR$41:$BR$49=C21)*($BS$40:$CA$40=Q$24),$BS$41:$CA$49)),0)</f>
        <v>0</v>
      </c>
      <c r="AB45" s="681">
        <f t="array" aca="1" ref="AB45" ca="1">IF(Q21=C21,SUM(IF(($BR$41:$BR$49=C21)*($BS$40:$CA$40=Q$25),$BS$41:$CA$49)),0)</f>
        <v>0</v>
      </c>
      <c r="AC45" s="692">
        <f t="array" aca="1" ref="AC45" ca="1">IF(R21=C21,SUM(IF(($BR$41:$BR$49=C21)*($BS$40:$CA$40=R17),$BS$41:$CA$49)),0)</f>
        <v>0</v>
      </c>
      <c r="AD45" s="681">
        <f t="array" aca="1" ref="AD45" ca="1">IF(R21=C21,SUM(IF(($BR$41:$BR$49=C21)*($BS$40:$CA$40=R18),$BS$41:$CA$49)),0)</f>
        <v>0</v>
      </c>
      <c r="AE45" s="681">
        <f t="array" aca="1" ref="AE45" ca="1">IF(R21=C21,SUM(IF(($BR$41:$BR$49=C21)*($BS$40:$CA$40=R19),$BS$41:$CA$49)),0)</f>
        <v>0</v>
      </c>
      <c r="AF45" s="681">
        <f t="array" aca="1" ref="AF45" ca="1">IF(R21=C21,SUM(IF(($BR$41:$BR$49=C21)*($BS$40:$CA$40=R20),$BS$41:$CA$49)),0)</f>
        <v>0</v>
      </c>
      <c r="AG45" s="681">
        <f t="array" aca="1" ref="AG45" ca="1">IF(R21=C21,SUM(IF(($BR$41:$BR$49=C21)*($BS$40:$CA$40=R22),$BS$41:$CA$49)),0)</f>
        <v>0</v>
      </c>
      <c r="AH45" s="681">
        <f t="array" aca="1" ref="AH45" ca="1">IF(R21=C21,SUM(IF(($BR$41:$BR$49=C21)*($BS$40:$CA$40=R23),$BS$41:$CA$49)),0)</f>
        <v>0</v>
      </c>
      <c r="AI45" s="681">
        <f t="array" aca="1" ref="AI45" ca="1">IF(R21=C21,SUM(IF(($BR$41:$BR$49=C21)*($BS$40:$CA$40=R$24),$BS$41:$CA$49)),0)</f>
        <v>0</v>
      </c>
      <c r="AJ45" s="681">
        <f t="array" aca="1" ref="AJ45" ca="1">IF(R21=C21,SUM(IF(($BR$41:$BR$49=C21)*($BS$40:$CA$40=R$25),$BS$41:$CA$49)),0)</f>
        <v>0</v>
      </c>
      <c r="AK45" s="692">
        <f t="array" aca="1" ref="AK45" ca="1">IF(S21=C21,SUM(IF(($BR$41:$BR$49=C21)*($BS$40:$CA$40=S17),$BS$41:$CA$49)),0)</f>
        <v>0</v>
      </c>
      <c r="AL45" s="681">
        <f t="array" aca="1" ref="AL45" ca="1">IF(S21=C21,SUM(IF(($BR$41:$BR$49=C21)*($BS$40:$CA$40=S18),$BS$41:$CA$49)),0)</f>
        <v>0</v>
      </c>
      <c r="AM45" s="681">
        <f t="array" aca="1" ref="AM45" ca="1">IF(S21=C21,SUM(IF(($BR$41:$BR$49=C21)*($BS$40:$CA$40=S19),$BS$41:$CA$49)),0)</f>
        <v>0</v>
      </c>
      <c r="AN45" s="681">
        <f t="array" aca="1" ref="AN45" ca="1">IF(S21=C21,SUM(IF(($BR$41:$BR$49=C21)*($BS$40:$CA$40=S20),$BS$41:$CA$49)),0)</f>
        <v>0</v>
      </c>
      <c r="AO45" s="681">
        <f t="array" aca="1" ref="AO45" ca="1">IF(S21=C21,SUM(IF(($BR$41:$BR$49=C21)*($BS$40:$CA$40=S22),$BS$41:$CA$49)),0)</f>
        <v>0</v>
      </c>
      <c r="AP45" s="681">
        <f t="array" aca="1" ref="AP45" ca="1">IF(S21=C21,SUM(IF(($BR$41:$BR$49=C21)*($BS$40:$CA$40=S23),$BS$41:$CA$49)),0)</f>
        <v>0</v>
      </c>
      <c r="AQ45" s="681">
        <f t="array" aca="1" ref="AQ45" ca="1">IF(S21=C21,SUM(IF(($BR$41:$BR$49=C21)*($BS$40:$CA$40=S$24),$BS$41:$CA$49)),0)</f>
        <v>0</v>
      </c>
      <c r="AR45" s="681">
        <f t="array" aca="1" ref="AR45" ca="1">IF(S21=C21,SUM(IF(($BR$41:$BR$49=C21)*($BS$40:$CA$40=S$25),$BS$41:$CA$49)),0)</f>
        <v>0</v>
      </c>
      <c r="AS45" s="692">
        <f t="array" aca="1" ref="AS45" ca="1">IF(T21=C21,SUM(IF(($BR$41:$BR$49=C21)*($BS$40:$CA$40=T17),$BS$41:$CA$49)),0)</f>
        <v>0</v>
      </c>
      <c r="AT45" s="681">
        <f t="array" aca="1" ref="AT45" ca="1">IF(T21=C21,SUM(IF(($BR$41:$BR$49=C21)*($BS$40:$CA$40=T18),$BS$41:$CA$49)),0)</f>
        <v>0</v>
      </c>
      <c r="AU45" s="681">
        <f t="array" aca="1" ref="AU45" ca="1">IF(T21=C21,SUM(IF(($BR$41:$BR$49=C21)*($BS$40:$CA$40=T19),$BS$41:$CA$49)),0)</f>
        <v>0</v>
      </c>
      <c r="AV45" s="681">
        <f t="array" aca="1" ref="AV45" ca="1">IF(T21=C21,SUM(IF(($BR$41:$BR$49=C21)*($BS$40:$CA$40=T20),$BS$41:$CA$49)),0)</f>
        <v>0</v>
      </c>
      <c r="AW45" s="681">
        <f t="array" aca="1" ref="AW45" ca="1">IF(T21=C21,SUM(IF(($BR$41:$BR$49=C21)*($BS$40:$CA$40=T22),$BS$41:$CA$49)),0)</f>
        <v>0</v>
      </c>
      <c r="AX45" s="681">
        <f t="array" aca="1" ref="AX45" ca="1">IF(T21=C21,SUM(IF(($BR$41:$BR$49=C21)*($BS$40:$CA$40=T23),$BS$41:$CA$49)),0)</f>
        <v>0</v>
      </c>
      <c r="AY45" s="681">
        <f t="array" aca="1" ref="AY45" ca="1">IF(T21=C21,SUM(IF(($BR$41:$BR$49=C21)*($BS$40:$CA$40=T$24),$BS$41:$CA$49)),0)</f>
        <v>0</v>
      </c>
      <c r="AZ45" s="681">
        <f t="array" aca="1" ref="AZ45" ca="1">IF(T21=C21,SUM(IF(($BR$41:$BR$49=C21)*($BS$40:$CA$40=T$25),$BS$41:$CA$49)),0)</f>
        <v>0</v>
      </c>
      <c r="BA45" s="692">
        <f t="array" aca="1" ref="BA45" ca="1">IF(U21=C21,SUM(IF(($BR$41:$BR$49=C21)*($BS$40:$CA$40=U$17),$BS$41:$CA$49)),0)</f>
        <v>0</v>
      </c>
      <c r="BB45" s="681">
        <f t="array" aca="1" ref="BB45" ca="1">IF(U21=C21,SUM(IF(($BR$41:$BR$49=C21)*($BS$40:$CA$40=U$18),$BS$41:$CA$49)),0)</f>
        <v>0</v>
      </c>
      <c r="BC45" s="681">
        <f t="array" aca="1" ref="BC45" ca="1">IF(U21=C21,SUM(IF(($BR$41:$BR$49=C21)*($BS$40:$CA$40=U$19),$BS$41:$CA$49)),0)</f>
        <v>0</v>
      </c>
      <c r="BD45" s="681">
        <f t="array" aca="1" ref="BD45" ca="1">IF(U21=C21,SUM(IF(($BR$41:$BR$49=C21)*($BS$40:$CA$40=U$20),$BS$41:$CA$49)),0)</f>
        <v>0</v>
      </c>
      <c r="BE45" s="681">
        <f t="array" aca="1" ref="BE45" ca="1">IF(U21=C21,SUM(IF(($BR$41:$BR$49=C21)*($BS$40:$CA$40=U$22),$BS$41:$CA$49)),0)</f>
        <v>0</v>
      </c>
      <c r="BF45" s="681">
        <f t="array" aca="1" ref="BF45" ca="1">IF(U21=C21,SUM(IF(($BR$41:$BR$49=C21)*($BS$40:$CA$40=U$23),$BS$41:$CA$49)),0)</f>
        <v>0</v>
      </c>
      <c r="BG45" s="681">
        <f t="array" aca="1" ref="BG45" ca="1">IF(U21=C21,SUM(IF(($BR$41:$BR$49=C21)*($BS$40:$CA$40=U$24),$BS$41:$CA$49)),0)</f>
        <v>0</v>
      </c>
      <c r="BH45" s="681">
        <f t="array" aca="1" ref="BH45" ca="1">IF(U21=C21,SUM(IF(($BR$41:$BR$49=C21)*($BS$40:$CA$40=U$25),$BS$41:$CA$49)),0)</f>
        <v>0</v>
      </c>
      <c r="BI45" s="692">
        <f t="array" aca="1" ref="BI45" ca="1">IF(V21=C21,SUM(IF(($BR$41:$BR$49=C21)*($BS$40:$CA$40=V$18),$BS$41:$CA$49)),0)</f>
        <v>0</v>
      </c>
      <c r="BJ45" s="681">
        <f t="array" aca="1" ref="BJ45" ca="1">IF(V21=C21,SUM(IF(($BR$41:$BR$49=C21)*($BS$40:$CA$40=V$19),$BS$41:$CA$49)),0)</f>
        <v>0</v>
      </c>
      <c r="BK45" s="681">
        <f t="array" aca="1" ref="BK45" ca="1">IF(V21=C21,SUM(IF(($BR$41:$BR$49=C21)*($BS$40:$CA$40=V$20),$BS$41:$CA$49)),0)</f>
        <v>0</v>
      </c>
      <c r="BL45" s="681">
        <f t="array" aca="1" ref="BL45" ca="1">IF(V21=C21,SUM(IF(($BR$41:$BR$49=C21)*($BS$40:$CA$40=V$21),$BS$41:$CA$49)),0)</f>
        <v>0</v>
      </c>
      <c r="BM45" s="681">
        <f t="array" aca="1" ref="BM45" ca="1">IF(V21=C21,SUM(IF(($BR$41:$BR$49=C21)*($BS$40:$CA$40=V$22),$BS$41:$CA$49)),0)</f>
        <v>0</v>
      </c>
      <c r="BN45" s="681">
        <f t="array" aca="1" ref="BN45" ca="1">IF(V21=C21,SUM(IF(($BR$41:$BR$49=C21)*($BS$40:$CA$40=V$23),$BS$41:$CA$49)),0)</f>
        <v>0</v>
      </c>
      <c r="BO45" s="681">
        <f t="array" aca="1" ref="BO45" ca="1">IF(V21=C21,SUM(IF(($BR$41:$BR$49=C21)*($BS$40:$CA$40=V$24),$BS$41:$CA$49)),0)</f>
        <v>0</v>
      </c>
      <c r="BP45" s="701">
        <f t="array" aca="1" ref="BP45" ca="1">IF(V21=C21,SUM(IF(($BR$41:$BR$49=C21)*($BS$40:$CA$40=V$25),$BS$41:$CA$49)),0)</f>
        <v>0</v>
      </c>
      <c r="BQ45" s="681"/>
      <c r="BR45" s="660" t="str">
        <f t="shared" si="41"/>
        <v/>
      </c>
      <c r="BS45" s="704">
        <f ca="1">IF(BW41="","",-1*BW41)</f>
        <v>0</v>
      </c>
      <c r="BT45" s="704">
        <f ca="1">IF(BW42="","",-1*BW42)</f>
        <v>0</v>
      </c>
      <c r="BU45" s="704">
        <f ca="1">IF(BW43="","",-1*BW43)</f>
        <v>0</v>
      </c>
      <c r="BV45" s="704">
        <f ca="1">IF(BW44="","",-1*BW44)</f>
        <v>0</v>
      </c>
      <c r="BW45" s="702"/>
      <c r="BX45" s="703">
        <f ca="1">BX34-BW35</f>
        <v>0</v>
      </c>
      <c r="BY45" s="703">
        <f ca="1">BY34-BW36</f>
        <v>0</v>
      </c>
      <c r="BZ45" s="703">
        <f ca="1">BZ34-BW37</f>
        <v>0</v>
      </c>
      <c r="CA45" s="703">
        <f ca="1">CA34-BW38</f>
        <v>0</v>
      </c>
      <c r="CB45" s="681"/>
    </row>
    <row r="46" spans="1:80" s="1" customFormat="1" x14ac:dyDescent="0.2">
      <c r="A46" s="660"/>
      <c r="B46" s="660"/>
      <c r="C46" s="660"/>
      <c r="D46" s="660"/>
      <c r="E46" s="700">
        <f t="array" aca="1" ref="E46" ca="1">IF(O22=C22,SUM(IF(($BR$41:$BR$49=C22)*($BS$40:$CA$40=O17),$BS$41:$CA$49)),0)</f>
        <v>0</v>
      </c>
      <c r="F46" s="681">
        <f t="array" aca="1" ref="F46" ca="1">IF(O22=C22,SUM(IF(($BR$41:$BR$49=C22)*($BS$40:$CA$40=O18),$BS$41:$CA$49)),0)</f>
        <v>0</v>
      </c>
      <c r="G46" s="681">
        <f t="array" aca="1" ref="G46" ca="1">IF(O22=C22,SUM(IF(($BR$41:$BR$49=C22)*($BS$40:$CA$40=O19),$BS$41:$CA$49)),0)</f>
        <v>0</v>
      </c>
      <c r="H46" s="681">
        <f t="array" aca="1" ref="H46" ca="1">IF(O22=C22,SUM(IF(($BR$41:$BR$49=C22)*($BS$40:$CA$40=O20),$BS$41:$CA$49)),0)</f>
        <v>0</v>
      </c>
      <c r="I46" s="681">
        <f t="array" aca="1" ref="I46" ca="1">IF(O22=C22,SUM(IF(($BR$41:$BR$49=C22)*($BS$40:$CA$40=O21),$BS$41:$CA$49)),0)</f>
        <v>0</v>
      </c>
      <c r="J46" s="681">
        <f t="array" aca="1" ref="J46" ca="1">IF(O22=C22,SUM(IF(($BR$41:$BR$49=C22)*($BS$40:$CA$40=O23),$BS$41:$CA$49)),0)</f>
        <v>0</v>
      </c>
      <c r="K46" s="681">
        <f t="array" aca="1" ref="K46" ca="1">IF(O22=C22,SUM(IF(($BR$41:$BR$49=C22)*($BS$40:$CA$40=O$24),$BS$41:$CA$49)),0)</f>
        <v>0</v>
      </c>
      <c r="L46" s="681">
        <f t="array" aca="1" ref="L46" ca="1">IF(O22=C22,SUM(IF(($BR$41:$BR$49=C22)*($BS$40:$CA$40=O$25),$BS$41:$CA$49)),0)</f>
        <v>0</v>
      </c>
      <c r="M46" s="692">
        <f t="array" aca="1" ref="M46" ca="1">IF(P22=C22,SUM(IF(($BR$41:$BR$49=C22)*($BS$40:$CA$40=P17),$BS$41:$CA$49)),0)</f>
        <v>0</v>
      </c>
      <c r="N46" s="681">
        <f t="array" aca="1" ref="N46" ca="1">IF(P22=C22,SUM(IF(($BR$41:$BR$49=C22)*($BS$40:$CA$40=P18),$BS$41:$CA$49)),0)</f>
        <v>0</v>
      </c>
      <c r="O46" s="681">
        <f t="array" aca="1" ref="O46" ca="1">IF(P22=C22,SUM(IF(($BR$41:$BR$49=C22)*($BS$40:$CA$40=P19),$BS$41:$CA$49)),0)</f>
        <v>0</v>
      </c>
      <c r="P46" s="681">
        <f t="array" aca="1" ref="P46" ca="1">IF(P22=C22,SUM(IF(($BR$41:$BR$49=C22)*($BS$40:$CA$40=P20),$BS$41:$CA$49)),0)</f>
        <v>0</v>
      </c>
      <c r="Q46" s="681">
        <f t="array" aca="1" ref="Q46" ca="1">IF(P22=C22,SUM(IF(($BR$41:$BR$49=C22)*($BS$40:$CA$40=P21),$BS$41:$CA$49)),0)</f>
        <v>0</v>
      </c>
      <c r="R46" s="681">
        <f t="array" aca="1" ref="R46" ca="1">IF(P22=C22,SUM(IF(($BR$41:$BR$49=C22)*($BS$40:$CA$40=P23),$BS$41:$CA$49)),0)</f>
        <v>0</v>
      </c>
      <c r="S46" s="681">
        <f t="array" aca="1" ref="S46" ca="1">IF(P22=C22,SUM(IF(($BR$41:$BR$49=C22)*($BS$40:$CA$40=P$24),$BS$41:$CA$49)),0)</f>
        <v>0</v>
      </c>
      <c r="T46" s="681">
        <f t="array" aca="1" ref="T46" ca="1">IF(P22=C22,SUM(IF(($BR$41:$BR$49=C22)*($BS$40:$CA$40=P$25),$BS$41:$CA$49)),0)</f>
        <v>0</v>
      </c>
      <c r="U46" s="692">
        <f t="array" aca="1" ref="U46" ca="1">IF(Q22=C22,SUM(IF(($BR$41:$BR$49=C22)*($BS$40:$CA$40=Q17),$BS$41:$CA$49)),0)</f>
        <v>0</v>
      </c>
      <c r="V46" s="681">
        <f t="array" aca="1" ref="V46" ca="1">IF(Q22=C22,SUM(IF(($BR$41:$BR$49=C22)*($BS$40:$CA$40=Q18),$BS$41:$CA$49)),0)</f>
        <v>0</v>
      </c>
      <c r="W46" s="681">
        <f t="array" aca="1" ref="W46" ca="1">IF(Q22=C22,SUM(IF(($BR$41:$BR$49=C22)*($BS$40:$CA$40=Q19),$BS$41:$CA$49)),0)</f>
        <v>0</v>
      </c>
      <c r="X46" s="681">
        <f t="array" aca="1" ref="X46" ca="1">IF(Q22=C22,SUM(IF(($BR$41:$BR$49=C22)*($BS$40:$CA$40=Q20),$BS$41:$CA$49)),0)</f>
        <v>0</v>
      </c>
      <c r="Y46" s="681">
        <f t="array" aca="1" ref="Y46" ca="1">IF(Q22=C22,SUM(IF(($BR$41:$BR$49=C22)*($BS$40:$CA$40=Q21),$BS$41:$CA$49)),0)</f>
        <v>0</v>
      </c>
      <c r="Z46" s="681">
        <f t="array" aca="1" ref="Z46" ca="1">IF(Q22=C22,SUM(IF(($BR$41:$BR$49=C22)*($BS$40:$CA$40=Q23),$BS$41:$CA$49)),0)</f>
        <v>0</v>
      </c>
      <c r="AA46" s="681">
        <f t="array" aca="1" ref="AA46" ca="1">IF(Q22=C22,SUM(IF(($BR$41:$BR$49=C22)*($BS$40:$CA$40=Q$24),$BS$41:$CA$49)),0)</f>
        <v>0</v>
      </c>
      <c r="AB46" s="681">
        <f t="array" aca="1" ref="AB46" ca="1">IF(Q22=C22,SUM(IF(($BR$41:$BR$49=C22)*($BS$40:$CA$40=Q$25),$BS$41:$CA$49)),0)</f>
        <v>0</v>
      </c>
      <c r="AC46" s="692">
        <f t="array" aca="1" ref="AC46" ca="1">IF(R22=C22,SUM(IF(($BR$41:$BR$49=C22)*($BS$40:$CA$40=R17),$BS$41:$CA$49)),0)</f>
        <v>0</v>
      </c>
      <c r="AD46" s="681">
        <f t="array" aca="1" ref="AD46" ca="1">IF(R22=C22,SUM(IF(($BR$41:$BR$49=C22)*($BS$40:$CA$40=R18),$BS$41:$CA$49)),0)</f>
        <v>0</v>
      </c>
      <c r="AE46" s="681">
        <f t="array" aca="1" ref="AE46" ca="1">IF(R22=C22,SUM(IF(($BR$41:$BR$49=C22)*($BS$40:$CA$40=R19),$BS$41:$CA$49)),0)</f>
        <v>0</v>
      </c>
      <c r="AF46" s="681">
        <f t="array" aca="1" ref="AF46" ca="1">IF(R22=C22,SUM(IF(($BR$41:$BR$49=C22)*($BS$40:$CA$40=R20),$BS$41:$CA$49)),0)</f>
        <v>0</v>
      </c>
      <c r="AG46" s="681">
        <f t="array" aca="1" ref="AG46" ca="1">IF(R22=C22,SUM(IF(($BR$41:$BR$49=C22)*($BS$40:$CA$40=R21),$BS$41:$CA$49)),0)</f>
        <v>0</v>
      </c>
      <c r="AH46" s="681">
        <f t="array" aca="1" ref="AH46" ca="1">IF(R22=C22,SUM(IF(($BR$41:$BR$49=C22)*($BS$40:$CA$40=R23),$BS$41:$CA$49)),0)</f>
        <v>0</v>
      </c>
      <c r="AI46" s="681">
        <f t="array" aca="1" ref="AI46" ca="1">IF(R22=C22,SUM(IF(($BR$41:$BR$49=C22)*($BS$40:$CA$40=R$24),$BS$41:$CA$49)),0)</f>
        <v>0</v>
      </c>
      <c r="AJ46" s="681">
        <f t="array" aca="1" ref="AJ46" ca="1">IF(R22=C22,SUM(IF(($BR$41:$BR$49=C22)*($BS$40:$CA$40=R$25),$BS$41:$CA$49)),0)</f>
        <v>0</v>
      </c>
      <c r="AK46" s="692">
        <f t="array" aca="1" ref="AK46" ca="1">IF(S22=C22,SUM(IF(($BR$41:$BR$49=C22)*($BS$40:$CA$40=S17),$BS$41:$CA$49)),0)</f>
        <v>0</v>
      </c>
      <c r="AL46" s="681">
        <f t="array" aca="1" ref="AL46" ca="1">IF(S22=C22,SUM(IF(($BR$41:$BR$49=C22)*($BS$40:$CA$40=S18),$BS$41:$CA$49)),0)</f>
        <v>0</v>
      </c>
      <c r="AM46" s="681">
        <f t="array" aca="1" ref="AM46" ca="1">IF(S22=C22,SUM(IF(($BR$41:$BR$49=C22)*($BS$40:$CA$40=S19),$BS$41:$CA$49)),0)</f>
        <v>0</v>
      </c>
      <c r="AN46" s="681">
        <f t="array" aca="1" ref="AN46" ca="1">IF(S22=C22,SUM(IF(($BR$41:$BR$49=C22)*($BS$40:$CA$40=S20),$BS$41:$CA$49)),0)</f>
        <v>0</v>
      </c>
      <c r="AO46" s="681">
        <f t="array" aca="1" ref="AO46" ca="1">IF(S22=C22,SUM(IF(($BR$41:$BR$49=C22)*($BS$40:$CA$40=S21),$BS$41:$CA$49)),0)</f>
        <v>0</v>
      </c>
      <c r="AP46" s="681">
        <f t="array" aca="1" ref="AP46" ca="1">IF(S22=C22,SUM(IF(($BR$41:$BR$49=C22)*($BS$40:$CA$40=S23),$BS$41:$CA$49)),0)</f>
        <v>0</v>
      </c>
      <c r="AQ46" s="681">
        <f t="array" aca="1" ref="AQ46" ca="1">IF(S22=C22,SUM(IF(($BR$41:$BR$49=C22)*($BS$40:$CA$40=S$24),$BS$41:$CA$49)),0)</f>
        <v>0</v>
      </c>
      <c r="AR46" s="681">
        <f t="array" aca="1" ref="AR46" ca="1">IF(S22=C22,SUM(IF(($BR$41:$BR$49=C22)*($BS$40:$CA$40=S$25),$BS$41:$CA$49)),0)</f>
        <v>0</v>
      </c>
      <c r="AS46" s="692">
        <f t="array" aca="1" ref="AS46" ca="1">IF(T22=C22,SUM(IF(($BR$41:$BR$49=C22)*($BS$40:$CA$40=T17),$BS$41:$CA$49)),0)</f>
        <v>0</v>
      </c>
      <c r="AT46" s="681">
        <f t="array" aca="1" ref="AT46" ca="1">IF(T22=C22,SUM(IF(($BR$41:$BR$49=C22)*($BS$40:$CA$40=T18),$BS$41:$CA$49)),0)</f>
        <v>0</v>
      </c>
      <c r="AU46" s="681">
        <f t="array" aca="1" ref="AU46" ca="1">IF(T22=C22,SUM(IF(($BR$41:$BR$49=C22)*($BS$40:$CA$40=T19),$BS$41:$CA$49)),0)</f>
        <v>0</v>
      </c>
      <c r="AV46" s="681">
        <f t="array" aca="1" ref="AV46" ca="1">IF(T22=C22,SUM(IF(($BR$41:$BR$49=C22)*($BS$40:$CA$40=T20),$BS$41:$CA$49)),0)</f>
        <v>0</v>
      </c>
      <c r="AW46" s="681">
        <f t="array" aca="1" ref="AW46" ca="1">IF(T22=C22,SUM(IF(($BR$41:$BR$49=C22)*($BS$40:$CA$40=T21),$BS$41:$CA$49)),0)</f>
        <v>0</v>
      </c>
      <c r="AX46" s="681">
        <f t="array" aca="1" ref="AX46" ca="1">IF(T22=C22,SUM(IF(($BR$41:$BR$49=C22)*($BS$40:$CA$40=T23),$BS$41:$CA$49)),0)</f>
        <v>0</v>
      </c>
      <c r="AY46" s="681">
        <f t="array" aca="1" ref="AY46" ca="1">IF(T22=C22,SUM(IF(($BR$41:$BR$49=C22)*($BS$40:$CA$40=T$24),$BS$41:$CA$49)),0)</f>
        <v>0</v>
      </c>
      <c r="AZ46" s="681">
        <f t="array" aca="1" ref="AZ46" ca="1">IF(T22=C22,SUM(IF(($BR$41:$BR$49=C22)*($BS$40:$CA$40=T$25),$BS$41:$CA$49)),0)</f>
        <v>0</v>
      </c>
      <c r="BA46" s="692">
        <f t="array" aca="1" ref="BA46" ca="1">IF(U22=C22,SUM(IF(($BR$41:$BR$49=C22)*($BS$40:$CA$40=U$17),$BS$41:$CA$49)),0)</f>
        <v>0</v>
      </c>
      <c r="BB46" s="681">
        <f t="array" aca="1" ref="BB46" ca="1">IF(U22=C22,SUM(IF(($BR$41:$BR$49=C22)*($BS$40:$CA$40=U$18),$BS$41:$CA$49)),0)</f>
        <v>0</v>
      </c>
      <c r="BC46" s="681">
        <f t="array" aca="1" ref="BC46" ca="1">IF(U22=C22,SUM(IF(($BR$41:$BR$49=C22)*($BS$40:$CA$40=U$19),$BS$41:$CA$49)),0)</f>
        <v>0</v>
      </c>
      <c r="BD46" s="681">
        <f t="array" aca="1" ref="BD46" ca="1">IF(U22=C22,SUM(IF(($BR$41:$BR$49=C22)*($BS$40:$CA$40=U$20),$BS$41:$CA$49)),0)</f>
        <v>0</v>
      </c>
      <c r="BE46" s="681">
        <f t="array" aca="1" ref="BE46" ca="1">IF(U22=C22,SUM(IF(($BR$41:$BR$49=C22)*($BS$40:$CA$40=U$21),$BS$41:$CA$49)),0)</f>
        <v>0</v>
      </c>
      <c r="BF46" s="681">
        <f t="array" aca="1" ref="BF46" ca="1">IF(U22=C22,SUM(IF(($BR$41:$BR$49=C22)*($BS$40:$CA$40=U$23),$BS$41:$CA$49)),0)</f>
        <v>0</v>
      </c>
      <c r="BG46" s="681">
        <f t="array" aca="1" ref="BG46" ca="1">IF(U22=C22,SUM(IF(($BR$41:$BR$49=C22)*($BS$40:$CA$40=U$24),$BS$41:$CA$49)),0)</f>
        <v>0</v>
      </c>
      <c r="BH46" s="681">
        <f t="array" aca="1" ref="BH46" ca="1">IF(U22=C22,SUM(IF(($BR$41:$BR$49=C22)*($BS$40:$CA$40=U$25),$BS$41:$CA$49)),0)</f>
        <v>0</v>
      </c>
      <c r="BI46" s="692">
        <f t="array" aca="1" ref="BI46" ca="1">IF(V22=C22,SUM(IF(($BR$41:$BR$49=C22)*($BS$40:$CA$40=V$18),$BS$41:$CA$49)),0)</f>
        <v>0</v>
      </c>
      <c r="BJ46" s="681">
        <f t="array" aca="1" ref="BJ46" ca="1">IF(V22=C22,SUM(IF(($BR$41:$BR$49=C22)*($BS$40:$CA$40=V$19),$BS$41:$CA$49)),0)</f>
        <v>0</v>
      </c>
      <c r="BK46" s="681">
        <f t="array" aca="1" ref="BK46" ca="1">IF(V22=C22,SUM(IF(($BR$41:$BR$49=C22)*($BS$40:$CA$40=V$20),$BS$41:$CA$49)),0)</f>
        <v>0</v>
      </c>
      <c r="BL46" s="681">
        <f t="array" aca="1" ref="BL46" ca="1">IF(V22=C22,SUM(IF(($BR$41:$BR$49=C22)*($BS$40:$CA$40=V$21),$BS$41:$CA$49)),0)</f>
        <v>0</v>
      </c>
      <c r="BM46" s="681">
        <f t="array" aca="1" ref="BM46" ca="1">IF(V22=C22,SUM(IF(($BR$41:$BR$49=C22)*($BS$40:$CA$40=V$22),$BS$41:$CA$49)),0)</f>
        <v>0</v>
      </c>
      <c r="BN46" s="681">
        <f t="array" aca="1" ref="BN46" ca="1">IF(V22=C22,SUM(IF(($BR$41:$BR$49=C22)*($BS$40:$CA$40=V$23),$BS$41:$CA$49)),0)</f>
        <v>0</v>
      </c>
      <c r="BO46" s="681">
        <f t="array" aca="1" ref="BO46" ca="1">IF(V22=C22,SUM(IF(($BR$41:$BR$49=C22)*($BS$40:$CA$40=V$24),$BS$41:$CA$49)),0)</f>
        <v>0</v>
      </c>
      <c r="BP46" s="701">
        <f t="array" aca="1" ref="BP46" ca="1">IF(V22=C22,SUM(IF(($BR$41:$BR$49=C22)*($BS$40:$CA$40=V$25),$BS$41:$CA$49)),0)</f>
        <v>0</v>
      </c>
      <c r="BQ46" s="681"/>
      <c r="BR46" s="660" t="str">
        <f t="shared" si="41"/>
        <v/>
      </c>
      <c r="BS46" s="704">
        <f ca="1">IF(BX41="","",-1*BX41)</f>
        <v>0</v>
      </c>
      <c r="BT46" s="704">
        <f ca="1">IF(BX42="","",-1*BX42)</f>
        <v>0</v>
      </c>
      <c r="BU46" s="704">
        <f ca="1">IF(BX43="","",-1*BX43)</f>
        <v>0</v>
      </c>
      <c r="BV46" s="704">
        <f ca="1">IF(BX44="","",-1*BX44)</f>
        <v>0</v>
      </c>
      <c r="BW46" s="704">
        <f ca="1">IF(BX45="","",-1*BX45)</f>
        <v>0</v>
      </c>
      <c r="BX46" s="702"/>
      <c r="BY46" s="703">
        <f ca="1">BY35-BX36</f>
        <v>0</v>
      </c>
      <c r="BZ46" s="703">
        <f ca="1">BZ35-BX37</f>
        <v>0</v>
      </c>
      <c r="CA46" s="703">
        <f ca="1">CA35-BX38</f>
        <v>0</v>
      </c>
      <c r="CB46" s="681"/>
    </row>
    <row r="47" spans="1:80" s="1" customFormat="1" x14ac:dyDescent="0.2">
      <c r="A47" s="660"/>
      <c r="B47" s="660"/>
      <c r="C47" s="660"/>
      <c r="D47" s="660"/>
      <c r="E47" s="700">
        <f t="array" aca="1" ref="E47" ca="1">IF(O23=C23,SUM(IF(($BR$41:$BR$49=C23)*($BS$40:$CA$40=O$17),$BS$41:$CA$49)),0)</f>
        <v>0</v>
      </c>
      <c r="F47" s="681">
        <f t="array" aca="1" ref="F47" ca="1">IF(O23=C23,SUM(IF(($BR$41:$BR$49=C23)*($BS$40:$CA$40=O$18),$BS$41:$CA$49)),0)</f>
        <v>0</v>
      </c>
      <c r="G47" s="681">
        <f t="array" aca="1" ref="G47" ca="1">IF(O23=C23,SUM(IF(($BR$41:$BR$49=C23)*($BS$40:$CA$40=O$19),$BS$41:$CA$49)),0)</f>
        <v>0</v>
      </c>
      <c r="H47" s="681">
        <f t="array" aca="1" ref="H47" ca="1">IF(O23=C23,SUM(IF(($BR$41:$BR$49=C23)*($BS$40:$CA$40=O$20),$BS$41:$CA$49)),0)</f>
        <v>0</v>
      </c>
      <c r="I47" s="681">
        <f t="array" aca="1" ref="I47" ca="1">IF(O23=C23,SUM(IF(($BR$41:$BR$49=C23)*($BS$40:$CA$40=O$21),$BS$41:$CA$49)),0)</f>
        <v>0</v>
      </c>
      <c r="J47" s="681">
        <f t="array" aca="1" ref="J47" ca="1">IF(O23=C23,SUM(IF(($BR$41:$BR$49=C23)*($BS$40:$CA$40=O$22),$BS$41:$CA$49)),0)</f>
        <v>0</v>
      </c>
      <c r="K47" s="681">
        <f t="array" aca="1" ref="K47" ca="1">IF(O23=C23,SUM(IF(($BR$41:$BR$49=C23)*($BS$40:$CA$40=O$24),$BS$41:$CA$49)),0)</f>
        <v>0</v>
      </c>
      <c r="L47" s="681">
        <f t="array" aca="1" ref="L47" ca="1">IF(O23=C23,SUM(IF(($BR$41:$BR$49=C23)*($BS$40:$CA$40=O$25),$BS$41:$CA$49)),0)</f>
        <v>0</v>
      </c>
      <c r="M47" s="692">
        <f t="array" aca="1" ref="M47" ca="1">IF(P23=C23,SUM(IF(($BR$41:$BR$49=C23)*($BS$40:$CA$40=P$17),$BS$41:$CA$49)),0)</f>
        <v>0</v>
      </c>
      <c r="N47" s="681">
        <f t="array" aca="1" ref="N47" ca="1">IF(P23=C23,SUM(IF(($BR$41:$BR$49=C23)*($BS$40:$CA$40=P$18),$BS$41:$CA$49)),0)</f>
        <v>0</v>
      </c>
      <c r="O47" s="681">
        <f t="array" aca="1" ref="O47" ca="1">IF(P23=C23,SUM(IF(($BR$41:$BR$49=C23)*($BS$40:$CA$40=P$19),$BS$41:$CA$49)),0)</f>
        <v>0</v>
      </c>
      <c r="P47" s="681">
        <f t="array" aca="1" ref="P47" ca="1">IF(P23=C23,SUM(IF(($BR$41:$BR$49=C23)*($BS$40:$CA$40=P$20),$BS$41:$CA$49)),0)</f>
        <v>0</v>
      </c>
      <c r="Q47" s="681">
        <f t="array" aca="1" ref="Q47" ca="1">IF(P23=C23,SUM(IF(($BR$41:$BR$49=C23)*($BS$40:$CA$40=P$21),$BS$41:$CA$49)),0)</f>
        <v>0</v>
      </c>
      <c r="R47" s="681">
        <f t="array" aca="1" ref="R47" ca="1">IF(P23=C23,SUM(IF(($BR$41:$BR$49=C23)*($BS$40:$CA$40=P$22),$BS$41:$CA$49)),0)</f>
        <v>0</v>
      </c>
      <c r="S47" s="681">
        <f t="array" aca="1" ref="S47" ca="1">IF(P23=C23,SUM(IF(($BR$41:$BR$49=C23)*($BS$40:$CA$40=P$24),$BS$41:$CA$49)),0)</f>
        <v>0</v>
      </c>
      <c r="T47" s="681">
        <f t="array" aca="1" ref="T47" ca="1">IF(P23=C23,SUM(IF(($BR$41:$BR$49=C23)*($BS$40:$CA$40=P$25),$BS$41:$CA$49)),0)</f>
        <v>0</v>
      </c>
      <c r="U47" s="692">
        <f t="array" aca="1" ref="U47" ca="1">IF(Q23=C23,SUM(IF(($BR$41:$BR$49=C23)*($BS$40:$CA$40=Q$17),$BS$41:$CA$49)),0)</f>
        <v>0</v>
      </c>
      <c r="V47" s="681">
        <f t="array" aca="1" ref="V47" ca="1">IF(Q23=C23,SUM(IF(($BR$41:$BR$49=C23)*($BS$40:$CA$40=Q$18),$BS$41:$CA$49)),0)</f>
        <v>0</v>
      </c>
      <c r="W47" s="681">
        <f t="array" aca="1" ref="W47" ca="1">IF(Q23=C23,SUM(IF(($BR$41:$BR$49=C23)*($BS$40:$CA$40=Q$19),$BS$41:$CA$49)),0)</f>
        <v>0</v>
      </c>
      <c r="X47" s="681">
        <f t="array" aca="1" ref="X47" ca="1">IF(Q23=C23,SUM(IF(($BR$41:$BR$49=C23)*($BS$40:$CA$40=Q$20),$BS$41:$CA$49)),0)</f>
        <v>0</v>
      </c>
      <c r="Y47" s="681">
        <f t="array" aca="1" ref="Y47" ca="1">IF(Q23=C23,SUM(IF(($BR$41:$BR$49=C23)*($BS$40:$CA$40=Q$21),$BS$41:$CA$49)),0)</f>
        <v>0</v>
      </c>
      <c r="Z47" s="681">
        <f t="array" aca="1" ref="Z47" ca="1">IF(Q23=C23,SUM(IF(($BR$41:$BR$49=C23)*($BS$40:$CA$40=Q$22),$BS$41:$CA$49)),0)</f>
        <v>0</v>
      </c>
      <c r="AA47" s="681">
        <f t="array" aca="1" ref="AA47" ca="1">IF(Q23=C23,SUM(IF(($BR$41:$BR$49=C23)*($BS$40:$CA$40=Q$24),$BS$41:$CA$49)),0)</f>
        <v>0</v>
      </c>
      <c r="AB47" s="681">
        <f t="array" aca="1" ref="AB47" ca="1">IF(Q23=C23,SUM(IF(($BR$41:$BR$49=C23)*($BS$40:$CA$40=Q$25),$BS$41:$CA$49)),0)</f>
        <v>0</v>
      </c>
      <c r="AC47" s="692">
        <f t="array" aca="1" ref="AC47" ca="1">IF(R23=C23,SUM(IF(($BR$41:$BR$49=C23)*($BS$40:$CA$40=R$17),$BS$41:$CA$49)),0)</f>
        <v>0</v>
      </c>
      <c r="AD47" s="681">
        <f t="array" aca="1" ref="AD47" ca="1">IF(R23=C23,SUM(IF(($BR$41:$BR$49=C23)*($BS$40:$CA$40=R$18),$BS$41:$CA$49)),0)</f>
        <v>0</v>
      </c>
      <c r="AE47" s="681">
        <f t="array" aca="1" ref="AE47" ca="1">IF(R23=C23,SUM(IF(($BR$41:$BR$49=C23)*($BS$40:$CA$40=R$19),$BS$41:$CA$49)),0)</f>
        <v>0</v>
      </c>
      <c r="AF47" s="681">
        <f t="array" aca="1" ref="AF47" ca="1">IF(R23=C23,SUM(IF(($BR$41:$BR$49=C23)*($BS$40:$CA$40=R$20),$BS$41:$CA$49)),0)</f>
        <v>0</v>
      </c>
      <c r="AG47" s="681">
        <f t="array" aca="1" ref="AG47" ca="1">IF(R23=C23,SUM(IF(($BR$41:$BR$49=C23)*($BS$40:$CA$40=R$21),$BS$41:$CA$49)),0)</f>
        <v>0</v>
      </c>
      <c r="AH47" s="681">
        <f t="array" aca="1" ref="AH47" ca="1">IF(R23=C23,SUM(IF(($BR$41:$BR$49=C23)*($BS$40:$CA$40=R$22),$BS$41:$CA$49)),0)</f>
        <v>0</v>
      </c>
      <c r="AI47" s="681">
        <f t="array" aca="1" ref="AI47" ca="1">IF(R23=C23,SUM(IF(($BR$41:$BR$49=C23)*($BS$40:$CA$40=R$24),$BS$41:$CA$49)),0)</f>
        <v>0</v>
      </c>
      <c r="AJ47" s="681">
        <f t="array" aca="1" ref="AJ47" ca="1">IF(R23=C23,SUM(IF(($BR$41:$BR$49=C23)*($BS$40:$CA$40=R$25),$BS$41:$CA$49)),0)</f>
        <v>0</v>
      </c>
      <c r="AK47" s="692">
        <f t="array" aca="1" ref="AK47" ca="1">IF(S23=C23,SUM(IF(($BR$41:$BR$49=C23)*($BS$40:$CA$40=S$17),$BS$41:$CA$49)),0)</f>
        <v>0</v>
      </c>
      <c r="AL47" s="681">
        <f t="array" aca="1" ref="AL47" ca="1">IF(S23=C23,SUM(IF(($BR$41:$BR$49=C23)*($BS$40:$CA$40=S$18),$BS$41:$CA$49)),0)</f>
        <v>0</v>
      </c>
      <c r="AM47" s="681">
        <f t="array" aca="1" ref="AM47" ca="1">IF(S23=C23,SUM(IF(($BR$41:$BR$49=C23)*($BS$40:$CA$40=S$19),$BS$41:$CA$49)),0)</f>
        <v>0</v>
      </c>
      <c r="AN47" s="681">
        <f t="array" aca="1" ref="AN47" ca="1">IF(S23=C23,SUM(IF(($BR$41:$BR$49=C23)*($BS$40:$CA$40=S$20),$BS$41:$CA$49)),0)</f>
        <v>0</v>
      </c>
      <c r="AO47" s="681">
        <f t="array" aca="1" ref="AO47" ca="1">IF(S23=C23,SUM(IF(($BR$41:$BR$49=C23)*($BS$40:$CA$40=S$21),$BS$41:$CA$49)),0)</f>
        <v>0</v>
      </c>
      <c r="AP47" s="681">
        <f t="array" aca="1" ref="AP47" ca="1">IF(S23=C23,SUM(IF(($BR$41:$BR$49=C23)*($BS$40:$CA$40=S$22),$BS$41:$CA$49)),0)</f>
        <v>0</v>
      </c>
      <c r="AQ47" s="681">
        <f t="array" aca="1" ref="AQ47" ca="1">IF(S23=C23,SUM(IF(($BR$41:$BR$49=C23)*($BS$40:$CA$40=S$24),$BS$41:$CA$49)),0)</f>
        <v>0</v>
      </c>
      <c r="AR47" s="681">
        <f t="array" aca="1" ref="AR47" ca="1">IF(S23=C23,SUM(IF(($BR$41:$BR$49=C23)*($BS$40:$CA$40=S$25),$BS$41:$CA$49)),0)</f>
        <v>0</v>
      </c>
      <c r="AS47" s="692">
        <f t="array" aca="1" ref="AS47" ca="1">IF(T23=C23,SUM(IF(($BR$41:$BR$49=C23)*($BS$40:$CA$40=T$17),$BS$41:$CA$49)),0)</f>
        <v>0</v>
      </c>
      <c r="AT47" s="681">
        <f t="array" aca="1" ref="AT47" ca="1">IF(T23=C23,SUM(IF(($BR$41:$BR$49=C23)*($BS$40:$CA$40=T$18),$BS$41:$CA$49)),0)</f>
        <v>0</v>
      </c>
      <c r="AU47" s="681">
        <f t="array" aca="1" ref="AU47" ca="1">IF(T23=C23,SUM(IF(($BR$41:$BR$49=C23)*($BS$40:$CA$40=T$19),$BS$41:$CA$49)),0)</f>
        <v>0</v>
      </c>
      <c r="AV47" s="681">
        <f t="array" aca="1" ref="AV47" ca="1">IF(T23=C23,SUM(IF(($BR$41:$BR$49=C23)*($BS$40:$CA$40=T$20),$BS$41:$CA$49)),0)</f>
        <v>0</v>
      </c>
      <c r="AW47" s="681">
        <f t="array" aca="1" ref="AW47" ca="1">IF(T23=C23,SUM(IF(($BR$41:$BR$49=C23)*($BS$40:$CA$40=T$21),$BS$41:$CA$49)),0)</f>
        <v>0</v>
      </c>
      <c r="AX47" s="681">
        <f t="array" aca="1" ref="AX47" ca="1">IF(T23=C23,SUM(IF(($BR$41:$BR$49=C23)*($BS$40:$CA$40=T$22),$BS$41:$CA$49)),0)</f>
        <v>0</v>
      </c>
      <c r="AY47" s="681">
        <f t="array" aca="1" ref="AY47" ca="1">IF(T23=C23,SUM(IF(($BR$41:$BR$49=C23)*($BS$40:$CA$40=T$24),$BS$41:$CA$49)),0)</f>
        <v>0</v>
      </c>
      <c r="AZ47" s="681">
        <f t="array" aca="1" ref="AZ47" ca="1">IF(T23=C23,SUM(IF(($BR$41:$BR$49=C23)*($BS$40:$CA$40=T$25),$BS$41:$CA$49)),0)</f>
        <v>0</v>
      </c>
      <c r="BA47" s="692">
        <f t="array" aca="1" ref="BA47" ca="1">IF(U23=C23,SUM(IF(($BR$41:$BR$49=C23)*($BS$40:$CA$40=U$17),$BS$41:$CA$49)),0)</f>
        <v>0</v>
      </c>
      <c r="BB47" s="681">
        <f t="array" aca="1" ref="BB47" ca="1">IF(U23=C23,SUM(IF(($BR$41:$BR$49=C23)*($BS$40:$CA$40=U$18),$BS$41:$CA$49)),0)</f>
        <v>0</v>
      </c>
      <c r="BC47" s="681">
        <f t="array" aca="1" ref="BC47" ca="1">IF(U23=C23,SUM(IF(($BR$41:$BR$49=C23)*($BS$40:$CA$40=U$19),$BS$41:$CA$49)),0)</f>
        <v>0</v>
      </c>
      <c r="BD47" s="681">
        <f t="array" aca="1" ref="BD47" ca="1">IF(U23=C23,SUM(IF(($BR$41:$BR$49=C23)*($BS$40:$CA$40=U$20),$BS$41:$CA$49)),0)</f>
        <v>0</v>
      </c>
      <c r="BE47" s="681">
        <f t="array" aca="1" ref="BE47" ca="1">IF(U23=C23,SUM(IF(($BR$41:$BR$49=C23)*($BS$40:$CA$40=U$21),$BS$41:$CA$49)),0)</f>
        <v>0</v>
      </c>
      <c r="BF47" s="681">
        <f t="array" aca="1" ref="BF47" ca="1">IF(U23=C23,SUM(IF(($BR$41:$BR$49=C23)*($BS$40:$CA$40=U$22),$BS$41:$CA$49)),0)</f>
        <v>0</v>
      </c>
      <c r="BG47" s="681">
        <f t="array" aca="1" ref="BG47" ca="1">IF(U23=C23,SUM(IF(($BR$41:$BR$49=C23)*($BS$40:$CA$40=U$24),$BS$41:$CA$49)),0)</f>
        <v>0</v>
      </c>
      <c r="BH47" s="681">
        <f t="array" aca="1" ref="BH47" ca="1">IF(U23=C23,SUM(IF(($BR$41:$BR$49=C23)*($BS$40:$CA$40=U$25),$BS$41:$CA$49)),0)</f>
        <v>0</v>
      </c>
      <c r="BI47" s="692">
        <f t="array" aca="1" ref="BI47" ca="1">IF(V23=C23,SUM(IF(($BR$41:$BR$49=C23)*($BS$40:$CA$40=V$18),$BS$41:$CA$49)),0)</f>
        <v>0</v>
      </c>
      <c r="BJ47" s="681">
        <f t="array" aca="1" ref="BJ47" ca="1">IF(V23=C23,SUM(IF(($BR$41:$BR$49=C23)*($BS$40:$CA$40=V$19),$BS$41:$CA$49)),0)</f>
        <v>0</v>
      </c>
      <c r="BK47" s="681">
        <f t="array" aca="1" ref="BK47" ca="1">IF(V23=C23,SUM(IF(($BR$41:$BR$49=C23)*($BS$40:$CA$40=V$20),$BS$41:$CA$49)),0)</f>
        <v>0</v>
      </c>
      <c r="BL47" s="681">
        <f t="array" aca="1" ref="BL47" ca="1">IF(V23=C23,SUM(IF(($BR$41:$BR$49=C23)*($BS$40:$CA$40=V$21),$BS$41:$CA$49)),0)</f>
        <v>0</v>
      </c>
      <c r="BM47" s="681">
        <f t="array" aca="1" ref="BM47" ca="1">IF(V23=C23,SUM(IF(($BR$41:$BR$49=C23)*($BS$40:$CA$40=V$22),$BS$41:$CA$49)),0)</f>
        <v>0</v>
      </c>
      <c r="BN47" s="681">
        <f t="array" aca="1" ref="BN47" ca="1">IF(V23=C23,SUM(IF(($BR$41:$BR$49=C23)*($BS$40:$CA$40=V$23),$BS$41:$CA$49)),0)</f>
        <v>0</v>
      </c>
      <c r="BO47" s="681">
        <f t="array" aca="1" ref="BO47" ca="1">IF(V23=C23,SUM(IF(($BR$41:$BR$49=C23)*($BS$40:$CA$40=V$24),$BS$41:$CA$49)),0)</f>
        <v>0</v>
      </c>
      <c r="BP47" s="701">
        <f t="array" aca="1" ref="BP47" ca="1">IF(V23=C23,SUM(IF(($BR$41:$BR$49=C23)*($BS$40:$CA$40=V$25),$BS$41:$CA$49)),0)</f>
        <v>0</v>
      </c>
      <c r="BQ47" s="681"/>
      <c r="BR47" s="660" t="str">
        <f t="shared" si="41"/>
        <v/>
      </c>
      <c r="BS47" s="704">
        <f ca="1">IF(BY41="","",-1*BY41)</f>
        <v>0</v>
      </c>
      <c r="BT47" s="704">
        <f ca="1">IF(BY42="","",-1*BY42)</f>
        <v>0</v>
      </c>
      <c r="BU47" s="704">
        <f ca="1">IF(BY43="","",-1*BY43)</f>
        <v>0</v>
      </c>
      <c r="BV47" s="704">
        <f ca="1">IF(BY44="","",-1*BY44)</f>
        <v>0</v>
      </c>
      <c r="BW47" s="704">
        <f ca="1">IF(BY45="","",-1*BY45)</f>
        <v>0</v>
      </c>
      <c r="BX47" s="704">
        <f ca="1">IF(BY46="","",-1*BY46)</f>
        <v>0</v>
      </c>
      <c r="BY47" s="702"/>
      <c r="BZ47" s="703">
        <f ca="1">BZ36-BY37</f>
        <v>0</v>
      </c>
      <c r="CA47" s="703">
        <f ca="1">CA36-BY38</f>
        <v>0</v>
      </c>
      <c r="CB47" s="681"/>
    </row>
    <row r="48" spans="1:80" s="1" customFormat="1" x14ac:dyDescent="0.2">
      <c r="A48" s="660"/>
      <c r="B48" s="660"/>
      <c r="C48" s="660"/>
      <c r="D48" s="660"/>
      <c r="E48" s="700">
        <f t="array" aca="1" ref="E48" ca="1">IF(O24=C24,SUM(IF(($BR$41:$BR$49=C24)*($BS$40:$CA$40=O$17),$BS$41:$CA$49)),0)</f>
        <v>0</v>
      </c>
      <c r="F48" s="681">
        <f t="array" aca="1" ref="F48" ca="1">IF(O24=C24,SUM(IF(($BR$41:$BR$49=C24)*($BS$40:$CA$40=O$18),$BS$41:$CA$49)),0)</f>
        <v>0</v>
      </c>
      <c r="G48" s="681">
        <f t="array" aca="1" ref="G48" ca="1">IF(O24=C24,SUM(IF(($BR$41:$BR$49=C24)*($BS$40:$CA$40=O$19),$BS$41:$CA$49)),0)</f>
        <v>0</v>
      </c>
      <c r="H48" s="681">
        <f t="array" aca="1" ref="H48" ca="1">IF(O24=C24,SUM(IF(($BR$41:$BR$49=C24)*($BS$40:$CA$40=O$20),$BS$41:$CA$49)),0)</f>
        <v>0</v>
      </c>
      <c r="I48" s="681">
        <f t="array" aca="1" ref="I48" ca="1">IF(O24=C24,SUM(IF(($BR$41:$BR$49=C24)*($BS$40:$CA$40=O$21),$BS$41:$CA$49)),0)</f>
        <v>0</v>
      </c>
      <c r="J48" s="681">
        <f t="array" aca="1" ref="J48" ca="1">IF(O24=C24,SUM(IF(($BR$41:$BR$49=C24)*($BS$40:$CA$40=O$22),$BS$41:$CA$49)),0)</f>
        <v>0</v>
      </c>
      <c r="K48" s="681">
        <f t="array" aca="1" ref="K48" ca="1">IF(O24=C24,SUM(IF(($BR$41:$BR$49=C24)*($BS$40:$CA$40=O$23),$BS$41:$CA$49)),0)</f>
        <v>0</v>
      </c>
      <c r="L48" s="681">
        <f t="array" aca="1" ref="L48" ca="1">IF(O24=C24,SUM(IF(($BR$41:$BR$49=C24)*($BS$40:$CA$40=O$25),$BS$41:$CA$49)),0)</f>
        <v>0</v>
      </c>
      <c r="M48" s="692">
        <f t="array" aca="1" ref="M48" ca="1">IF(P24=C24,SUM(IF(($BR$41:$BR$49=C24)*($BS$40:$CA$40=P$17),$BS$41:$CA$49)),0)</f>
        <v>0</v>
      </c>
      <c r="N48" s="681">
        <f t="array" aca="1" ref="N48" ca="1">IF(P24=C24,SUM(IF(($BR$41:$BR$49=C24)*($BS$40:$CA$40=P$18),$BS$41:$CA$49)),0)</f>
        <v>0</v>
      </c>
      <c r="O48" s="681">
        <f t="array" aca="1" ref="O48" ca="1">IF(P24=C24,SUM(IF(($BR$41:$BR$49=C24)*($BS$40:$CA$40=P$19),$BS$41:$CA$49)),0)</f>
        <v>0</v>
      </c>
      <c r="P48" s="681">
        <f t="array" aca="1" ref="P48" ca="1">IF(P24=C24,SUM(IF(($BR$41:$BR$49=C24)*($BS$40:$CA$40=P$20),$BS$41:$CA$49)),0)</f>
        <v>0</v>
      </c>
      <c r="Q48" s="681">
        <f t="array" aca="1" ref="Q48" ca="1">IF(P24=C24,SUM(IF(($BR$41:$BR$49=C24)*($BS$40:$CA$40=P$21),$BS$41:$CA$49)),0)</f>
        <v>0</v>
      </c>
      <c r="R48" s="681">
        <f t="array" aca="1" ref="R48" ca="1">IF(P24=C24,SUM(IF(($BR$41:$BR$49=C24)*($BS$40:$CA$40=P$22),$BS$41:$CA$49)),0)</f>
        <v>0</v>
      </c>
      <c r="S48" s="681">
        <f t="array" aca="1" ref="S48" ca="1">IF(P24=C24,SUM(IF(($BR$41:$BR$49=C24)*($BS$40:$CA$40=P$23),$BS$41:$CA$49)),0)</f>
        <v>0</v>
      </c>
      <c r="T48" s="681">
        <f t="array" aca="1" ref="T48" ca="1">IF(P24=C24,SUM(IF(($BR$41:$BR$49=C24)*($BS$40:$CA$40=P$25),$BS$41:$CA$49)),0)</f>
        <v>0</v>
      </c>
      <c r="U48" s="692">
        <f t="array" aca="1" ref="U48" ca="1">IF(Q24=C24,SUM(IF(($BR$41:$BR$49=C24)*($BS$40:$CA$40=Q$17),$BS$41:$CA$49)),0)</f>
        <v>0</v>
      </c>
      <c r="V48" s="681">
        <f t="array" aca="1" ref="V48" ca="1">IF(Q24=C24,SUM(IF(($BR$41:$BR$49=C24)*($BS$40:$CA$40=Q$18),$BS$41:$CA$49)),0)</f>
        <v>0</v>
      </c>
      <c r="W48" s="681">
        <f t="array" aca="1" ref="W48" ca="1">IF(Q24=C24,SUM(IF(($BR$41:$BR$49=C24)*($BS$40:$CA$40=Q$19),$BS$41:$CA$49)),0)</f>
        <v>0</v>
      </c>
      <c r="X48" s="681">
        <f t="array" aca="1" ref="X48" ca="1">IF(Q24=C24,SUM(IF(($BR$41:$BR$49=C24)*($BS$40:$CA$40=Q$20),$BS$41:$CA$49)),0)</f>
        <v>0</v>
      </c>
      <c r="Y48" s="681">
        <f t="array" aca="1" ref="Y48" ca="1">IF(Q24=C24,SUM(IF(($BR$41:$BR$49=C24)*($BS$40:$CA$40=Q$21),$BS$41:$CA$49)),0)</f>
        <v>0</v>
      </c>
      <c r="Z48" s="681">
        <f t="array" aca="1" ref="Z48" ca="1">IF(Q24=C24,SUM(IF(($BR$41:$BR$49=C24)*($BS$40:$CA$40=Q$22),$BS$41:$CA$49)),0)</f>
        <v>0</v>
      </c>
      <c r="AA48" s="681">
        <f t="array" aca="1" ref="AA48" ca="1">IF(Q24=C24,SUM(IF(($BR$41:$BR$49=C24)*($BS$40:$CA$40=Q$23),$BS$41:$CA$49)),0)</f>
        <v>0</v>
      </c>
      <c r="AB48" s="681">
        <f t="array" aca="1" ref="AB48" ca="1">IF(Q24=C24,SUM(IF(($BR$41:$BR$49=C24)*($BS$40:$CA$40=Q$25),$BS$41:$CA$49)),0)</f>
        <v>0</v>
      </c>
      <c r="AC48" s="692">
        <f t="array" aca="1" ref="AC48" ca="1">IF(R24=C24,SUM(IF(($BR$41:$BR$49=C24)*($BS$40:$CA$40=R$17),$BS$41:$CA$49)),0)</f>
        <v>0</v>
      </c>
      <c r="AD48" s="681">
        <f t="array" aca="1" ref="AD48" ca="1">IF(R24=C24,SUM(IF(($BR$41:$BR$49=C24)*($BS$40:$CA$40=R$18),$BS$41:$CA$49)),0)</f>
        <v>0</v>
      </c>
      <c r="AE48" s="681">
        <f t="array" aca="1" ref="AE48" ca="1">IF(R24=C24,SUM(IF(($BR$41:$BR$49=C24)*($BS$40:$CA$40=R$19),$BS$41:$CA$49)),0)</f>
        <v>0</v>
      </c>
      <c r="AF48" s="681">
        <f t="array" aca="1" ref="AF48" ca="1">IF(R24=C24,SUM(IF(($BR$41:$BR$49=C24)*($BS$40:$CA$40=R$20),$BS$41:$CA$49)),0)</f>
        <v>0</v>
      </c>
      <c r="AG48" s="681">
        <f t="array" aca="1" ref="AG48" ca="1">IF(R24=C24,SUM(IF(($BR$41:$BR$49=C24)*($BS$40:$CA$40=R$21),$BS$41:$CA$49)),0)</f>
        <v>0</v>
      </c>
      <c r="AH48" s="681">
        <f t="array" aca="1" ref="AH48" ca="1">IF(R24=C24,SUM(IF(($BR$41:$BR$49=C24)*($BS$40:$CA$40=R$22),$BS$41:$CA$49)),0)</f>
        <v>0</v>
      </c>
      <c r="AI48" s="681">
        <f t="array" aca="1" ref="AI48" ca="1">IF(R24=C24,SUM(IF(($BR$41:$BR$49=C24)*($BS$40:$CA$40=R$23),$BS$41:$CA$49)),0)</f>
        <v>0</v>
      </c>
      <c r="AJ48" s="681">
        <f t="array" aca="1" ref="AJ48" ca="1">IF(R24=C24,SUM(IF(($BR$41:$BR$49=C24)*($BS$40:$CA$40=R$25),$BS$41:$CA$49)),0)</f>
        <v>0</v>
      </c>
      <c r="AK48" s="692">
        <f t="array" aca="1" ref="AK48" ca="1">IF(S24=C24,SUM(IF(($BR$41:$BR$49=C24)*($BS$40:$CA$40=S$17),$BS$41:$CA$49)),0)</f>
        <v>0</v>
      </c>
      <c r="AL48" s="681">
        <f t="array" aca="1" ref="AL48" ca="1">IF(S24=C24,SUM(IF(($BR$41:$BR$49=C24)*($BS$40:$CA$40=S$18),$BS$41:$CA$49)),0)</f>
        <v>0</v>
      </c>
      <c r="AM48" s="681">
        <f t="array" aca="1" ref="AM48" ca="1">IF(S24=C24,SUM(IF(($BR$41:$BR$49=C24)*($BS$40:$CA$40=S$19),$BS$41:$CA$49)),0)</f>
        <v>0</v>
      </c>
      <c r="AN48" s="681">
        <f t="array" aca="1" ref="AN48" ca="1">IF(S24=C24,SUM(IF(($BR$41:$BR$49=C24)*($BS$40:$CA$40=S$20),$BS$41:$CA$49)),0)</f>
        <v>0</v>
      </c>
      <c r="AO48" s="681">
        <f t="array" aca="1" ref="AO48" ca="1">IF(S24=C24,SUM(IF(($BR$41:$BR$49=C24)*($BS$40:$CA$40=S$21),$BS$41:$CA$49)),0)</f>
        <v>0</v>
      </c>
      <c r="AP48" s="681">
        <f t="array" aca="1" ref="AP48" ca="1">IF(S24=C24,SUM(IF(($BR$41:$BR$49=C24)*($BS$40:$CA$40=S$22),$BS$41:$CA$49)),0)</f>
        <v>0</v>
      </c>
      <c r="AQ48" s="681">
        <f t="array" aca="1" ref="AQ48" ca="1">IF(S24=C24,SUM(IF(($BR$41:$BR$49=C24)*($BS$40:$CA$40=S$23),$BS$41:$CA$49)),0)</f>
        <v>0</v>
      </c>
      <c r="AR48" s="681">
        <f t="array" aca="1" ref="AR48" ca="1">IF(S24=C24,SUM(IF(($BR$41:$BR$49=C24)*($BS$40:$CA$40=S$25),$BS$41:$CA$49)),0)</f>
        <v>0</v>
      </c>
      <c r="AS48" s="692">
        <f t="array" aca="1" ref="AS48" ca="1">IF(T24=C24,SUM(IF(($BR$41:$BR$49=C24)*($BS$40:$CA$40=T$17),$BS$41:$CA$49)),0)</f>
        <v>0</v>
      </c>
      <c r="AT48" s="681">
        <f t="array" aca="1" ref="AT48" ca="1">IF(T24=C24,SUM(IF(($BR$41:$BR$49=C24)*($BS$40:$CA$40=T$18),$BS$41:$CA$49)),0)</f>
        <v>0</v>
      </c>
      <c r="AU48" s="681">
        <f t="array" aca="1" ref="AU48" ca="1">IF(T24=C24,SUM(IF(($BR$41:$BR$49=C24)*($BS$40:$CA$40=T$19),$BS$41:$CA$49)),0)</f>
        <v>0</v>
      </c>
      <c r="AV48" s="681">
        <f t="array" aca="1" ref="AV48" ca="1">IF(T24=C24,SUM(IF(($BR$41:$BR$49=C24)*($BS$40:$CA$40=T$20),$BS$41:$CA$49)),0)</f>
        <v>0</v>
      </c>
      <c r="AW48" s="681">
        <f t="array" aca="1" ref="AW48" ca="1">IF(T24=C24,SUM(IF(($BR$41:$BR$49=C24)*($BS$40:$CA$40=T$21),$BS$41:$CA$49)),0)</f>
        <v>0</v>
      </c>
      <c r="AX48" s="681">
        <f t="array" aca="1" ref="AX48" ca="1">IF(T24=C24,SUM(IF(($BR$41:$BR$49=C24)*($BS$40:$CA$40=T$22),$BS$41:$CA$49)),0)</f>
        <v>0</v>
      </c>
      <c r="AY48" s="681">
        <f t="array" aca="1" ref="AY48" ca="1">IF(T24=C24,SUM(IF(($BR$41:$BR$49=C24)*($BS$40:$CA$40=T$23),$BS$41:$CA$49)),0)</f>
        <v>0</v>
      </c>
      <c r="AZ48" s="681">
        <f t="array" aca="1" ref="AZ48" ca="1">IF(T24=C24,SUM(IF(($BR$41:$BR$49=C24)*($BS$40:$CA$40=T$25),$BS$41:$CA$49)),0)</f>
        <v>0</v>
      </c>
      <c r="BA48" s="692">
        <f t="array" aca="1" ref="BA48" ca="1">IF(U24=C24,SUM(IF(($BR$41:$BR$49=C24)*($BS$40:$CA$40=U$17),$BS$41:$CA$49)),0)</f>
        <v>0</v>
      </c>
      <c r="BB48" s="681">
        <f t="array" aca="1" ref="BB48" ca="1">IF(U24=C24,SUM(IF(($BR$41:$BR$49=C24)*($BS$40:$CA$40=U$18),$BS$41:$CA$49)),0)</f>
        <v>0</v>
      </c>
      <c r="BC48" s="681">
        <f t="array" aca="1" ref="BC48" ca="1">IF(U24=C24,SUM(IF(($BR$41:$BR$49=C24)*($BS$40:$CA$40=U$19),$BS$41:$CA$49)),0)</f>
        <v>0</v>
      </c>
      <c r="BD48" s="681">
        <f t="array" aca="1" ref="BD48" ca="1">IF(U24=C24,SUM(IF(($BR$41:$BR$49=C24)*($BS$40:$CA$40=U$20),$BS$41:$CA$49)),0)</f>
        <v>0</v>
      </c>
      <c r="BE48" s="681">
        <f t="array" aca="1" ref="BE48" ca="1">IF(U24=C24,SUM(IF(($BR$41:$BR$49=C24)*($BS$40:$CA$40=U$21),$BS$41:$CA$49)),0)</f>
        <v>0</v>
      </c>
      <c r="BF48" s="681">
        <f t="array" aca="1" ref="BF48" ca="1">IF(U24=C24,SUM(IF(($BR$41:$BR$49=C24)*($BS$40:$CA$40=U$22),$BS$41:$CA$49)),0)</f>
        <v>0</v>
      </c>
      <c r="BG48" s="681">
        <f t="array" aca="1" ref="BG48" ca="1">IF(U24=C24,SUM(IF(($BR$41:$BR$49=C24)*($BS$40:$CA$40=U$23),$BS$41:$CA$49)),0)</f>
        <v>0</v>
      </c>
      <c r="BH48" s="681">
        <f t="array" aca="1" ref="BH48" ca="1">IF(U24=C24,SUM(IF(($BR$41:$BR$49=C24)*($BS$40:$CA$40=U$25),$BS$41:$CA$49)),0)</f>
        <v>0</v>
      </c>
      <c r="BI48" s="692">
        <f t="array" aca="1" ref="BI48" ca="1">IF(V24=C24,SUM(IF(($BR$41:$BR$49=C24)*($BS$40:$CA$40=V$18),$BS$41:$CA$49)),0)</f>
        <v>0</v>
      </c>
      <c r="BJ48" s="681">
        <f t="array" aca="1" ref="BJ48" ca="1">IF(V24=C24,SUM(IF(($BR$41:$BR$49=C24)*($BS$40:$CA$40=V$19),$BS$41:$CA$49)),0)</f>
        <v>0</v>
      </c>
      <c r="BK48" s="681">
        <f t="array" aca="1" ref="BK48" ca="1">IF(V24=C24,SUM(IF(($BR$41:$BR$49=C24)*($BS$40:$CA$40=V$20),$BS$41:$CA$49)),0)</f>
        <v>0</v>
      </c>
      <c r="BL48" s="681">
        <f t="array" aca="1" ref="BL48" ca="1">IF(V24=C24,SUM(IF(($BR$41:$BR$49=C24)*($BS$40:$CA$40=V$21),$BS$41:$CA$49)),0)</f>
        <v>0</v>
      </c>
      <c r="BM48" s="681">
        <f t="array" aca="1" ref="BM48" ca="1">IF(V24=C24,SUM(IF(($BR$41:$BR$49=C24)*($BS$40:$CA$40=V$22),$BS$41:$CA$49)),0)</f>
        <v>0</v>
      </c>
      <c r="BN48" s="681">
        <f t="array" aca="1" ref="BN48" ca="1">IF(V24=C24,SUM(IF(($BR$41:$BR$49=C24)*($BS$40:$CA$40=V$23),$BS$41:$CA$49)),0)</f>
        <v>0</v>
      </c>
      <c r="BO48" s="681">
        <f t="array" aca="1" ref="BO48" ca="1">IF(V24=C24,SUM(IF(($BR$41:$BR$49=C24)*($BS$40:$CA$40=V$24),$BS$41:$CA$49)),0)</f>
        <v>0</v>
      </c>
      <c r="BP48" s="701">
        <f t="array" aca="1" ref="BP48" ca="1">IF(V24=C24,SUM(IF(($BR$41:$BR$49=C24)*($BS$40:$CA$40=V$25),$BS$41:$CA$49)),0)</f>
        <v>0</v>
      </c>
      <c r="BQ48" s="681"/>
      <c r="BR48" s="660" t="str">
        <f t="shared" si="41"/>
        <v/>
      </c>
      <c r="BS48" s="704">
        <f ca="1">IF(BZ41="","",-1*BZ41)</f>
        <v>0</v>
      </c>
      <c r="BT48" s="704">
        <f ca="1">IF(BZ42="","",-1*BZ42)</f>
        <v>0</v>
      </c>
      <c r="BU48" s="704">
        <f ca="1">IF(BZ43="","",-1*BZ43)</f>
        <v>0</v>
      </c>
      <c r="BV48" s="704">
        <f ca="1">IF(BZ44="","",-1*BZ44)</f>
        <v>0</v>
      </c>
      <c r="BW48" s="704">
        <f ca="1">IF(BZ45="","",-1*BZ45)</f>
        <v>0</v>
      </c>
      <c r="BX48" s="704">
        <f ca="1">IF(BZ46="","",-1*BZ46)</f>
        <v>0</v>
      </c>
      <c r="BY48" s="704">
        <f ca="1">IF(BZ47="","",-1*BZ47)</f>
        <v>0</v>
      </c>
      <c r="BZ48" s="702"/>
      <c r="CA48" s="703">
        <f ca="1">CA37-BZ38</f>
        <v>0</v>
      </c>
      <c r="CB48" s="681"/>
    </row>
    <row r="49" spans="1:80" s="1" customFormat="1" x14ac:dyDescent="0.2">
      <c r="A49" s="660"/>
      <c r="B49" s="660"/>
      <c r="C49" s="660"/>
      <c r="D49" s="660"/>
      <c r="E49" s="700">
        <f t="array" aca="1" ref="E49" ca="1">IF(O25=C25,SUM(IF(($BR$41:$BR$49=C25)*($BS$40:$CA$40=O$17),$BS$41:$CA$49)),0)</f>
        <v>0</v>
      </c>
      <c r="F49" s="681">
        <f t="array" aca="1" ref="F49" ca="1">IF(O25=C25,SUM(IF(($BR$41:$BR$49=C25)*($BS$40:$CA$40=O$18),$BS$41:$CA$49)),0)</f>
        <v>0</v>
      </c>
      <c r="G49" s="681">
        <f t="array" aca="1" ref="G49" ca="1">IF(O25=C25,SUM(IF(($BR$41:$BR$49=C25)*($BS$40:$CA$40=O$19),$BS$41:$CA$49)),0)</f>
        <v>0</v>
      </c>
      <c r="H49" s="681">
        <f t="array" aca="1" ref="H49" ca="1">IF(O25=C25,SUM(IF(($BR$41:$BR$49=C25)*($BS$40:$CA$40=O$20),$BS$41:$CA$49)),0)</f>
        <v>0</v>
      </c>
      <c r="I49" s="681">
        <f t="array" aca="1" ref="I49" ca="1">IF(O25=C25,SUM(IF(($BR$41:$BR$49=C25)*($BS$40:$CA$40=O$21),$BS$41:$CA$49)),0)</f>
        <v>0</v>
      </c>
      <c r="J49" s="681">
        <f t="array" aca="1" ref="J49" ca="1">IF(O25=C25,SUM(IF(($BR$41:$BR$49=C25)*($BS$40:$CA$40=O$22),$BS$41:$CA$49)),0)</f>
        <v>0</v>
      </c>
      <c r="K49" s="681">
        <f t="array" aca="1" ref="K49" ca="1">IF(O25=C25,SUM(IF(($BR$41:$BR$49=C25)*($BS$40:$CA$40=O$23),$BS$41:$CA$49)),0)</f>
        <v>0</v>
      </c>
      <c r="L49" s="681">
        <f t="array" aca="1" ref="L49" ca="1">IF(O25=C25,SUM(IF(($BR$41:$BR$49=C25)*($BS$40:$CA$40=O$24),$BS$41:$CA$49)),0)</f>
        <v>0</v>
      </c>
      <c r="M49" s="692">
        <f t="array" aca="1" ref="M49" ca="1">IF(P25=C25,SUM(IF(($BR$41:$BR$49=C25)*($BS$40:$CA$40=P$17),$BS$41:$CA$49)),0)</f>
        <v>0</v>
      </c>
      <c r="N49" s="681">
        <f t="array" aca="1" ref="N49" ca="1">IF(P25=C25,SUM(IF(($BR$41:$BR$49=C25)*($BS$40:$CA$40=P$18),$BS$41:$CA$49)),0)</f>
        <v>0</v>
      </c>
      <c r="O49" s="681">
        <f t="array" aca="1" ref="O49" ca="1">IF(P25=C25,SUM(IF(($BR$41:$BR$49=C25)*($BS$40:$CA$40=P$19),$BS$41:$CA$49)),0)</f>
        <v>0</v>
      </c>
      <c r="P49" s="681">
        <f t="array" aca="1" ref="P49" ca="1">IF(P25=C25,SUM(IF(($BR$41:$BR$49=C25)*($BS$40:$CA$40=P$20),$BS$41:$CA$49)),0)</f>
        <v>0</v>
      </c>
      <c r="Q49" s="681">
        <f t="array" aca="1" ref="Q49" ca="1">IF(P25=C25,SUM(IF(($BR$41:$BR$49=C25)*($BS$40:$CA$40=P$21),$BS$41:$CA$49)),0)</f>
        <v>0</v>
      </c>
      <c r="R49" s="681">
        <f t="array" aca="1" ref="R49" ca="1">IF(P25=C25,SUM(IF(($BR$41:$BR$49=C25)*($BS$40:$CA$40=P$22),$BS$41:$CA$49)),0)</f>
        <v>0</v>
      </c>
      <c r="S49" s="681">
        <f t="array" aca="1" ref="S49" ca="1">IF(P25=C25,SUM(IF(($BR$41:$BR$49=C25)*($BS$40:$CA$40=P$23),$BS$41:$CA$49)),0)</f>
        <v>0</v>
      </c>
      <c r="T49" s="681">
        <f t="array" aca="1" ref="T49" ca="1">IF(P25=C25,SUM(IF(($BR$41:$BR$49=C25)*($BS$40:$CA$40=P$24),$BS$41:$CA$49)),0)</f>
        <v>0</v>
      </c>
      <c r="U49" s="692">
        <f t="array" aca="1" ref="U49" ca="1">IF(Q25=C25,SUM(IF(($BR$41:$BR$49=C25)*($BS$40:$CA$40=Q$17),$BS$41:$CA$49)),0)</f>
        <v>0</v>
      </c>
      <c r="V49" s="681">
        <f t="array" aca="1" ref="V49" ca="1">IF(Q25=C25,SUM(IF(($BR$41:$BR$49=C25)*($BS$40:$CA$40=Q$18),$BS$41:$CA$49)),0)</f>
        <v>0</v>
      </c>
      <c r="W49" s="681">
        <f t="array" aca="1" ref="W49" ca="1">IF(Q25=C25,SUM(IF(($BR$41:$BR$49=C25)*($BS$40:$CA$40=Q$19),$BS$41:$CA$49)),0)</f>
        <v>0</v>
      </c>
      <c r="X49" s="681">
        <f t="array" aca="1" ref="X49" ca="1">IF(Q25=C25,SUM(IF(($BR$41:$BR$49=C25)*($BS$40:$CA$40=Q$20),$BS$41:$CA$49)),0)</f>
        <v>0</v>
      </c>
      <c r="Y49" s="681">
        <f t="array" aca="1" ref="Y49" ca="1">IF(Q25=C25,SUM(IF(($BR$41:$BR$49=C25)*($BS$40:$CA$40=Q$21),$BS$41:$CA$49)),0)</f>
        <v>0</v>
      </c>
      <c r="Z49" s="681">
        <f t="array" aca="1" ref="Z49" ca="1">IF(Q25=C25,SUM(IF(($BR$41:$BR$49=C25)*($BS$40:$CA$40=Q$22),$BS$41:$CA$49)),0)</f>
        <v>0</v>
      </c>
      <c r="AA49" s="681">
        <f t="array" aca="1" ref="AA49" ca="1">IF(Q25=C25,SUM(IF(($BR$41:$BR$49=C25)*($BS$40:$CA$40=Q$23),$BS$41:$CA$49)),0)</f>
        <v>0</v>
      </c>
      <c r="AB49" s="681">
        <f t="array" aca="1" ref="AB49" ca="1">IF(Q25=C25,SUM(IF(($BR$41:$BR$49=C25)*($BS$40:$CA$40=Q$24),$BS$41:$CA$49)),0)</f>
        <v>0</v>
      </c>
      <c r="AC49" s="692">
        <f t="array" aca="1" ref="AC49" ca="1">IF(R25=C25,SUM(IF(($BR$41:$BR$49=C25)*($BS$40:$CA$40=R$17),$BS$41:$CA$49)),0)</f>
        <v>0</v>
      </c>
      <c r="AD49" s="681">
        <f t="array" aca="1" ref="AD49" ca="1">IF(R25=C25,SUM(IF(($BR$41:$BR$49=C25)*($BS$40:$CA$40=R$18),$BS$41:$CA$49)),0)</f>
        <v>0</v>
      </c>
      <c r="AE49" s="681">
        <f t="array" aca="1" ref="AE49" ca="1">IF(R25=C25,SUM(IF(($BR$41:$BR$49=C25)*($BS$40:$CA$40=R$19),$BS$41:$CA$49)),0)</f>
        <v>0</v>
      </c>
      <c r="AF49" s="681">
        <f t="array" aca="1" ref="AF49" ca="1">IF(R25=C25,SUM(IF(($BR$41:$BR$49=C25)*($BS$40:$CA$40=R$20),$BS$41:$CA$49)),0)</f>
        <v>0</v>
      </c>
      <c r="AG49" s="681">
        <f t="array" aca="1" ref="AG49" ca="1">IF(R25=C25,SUM(IF(($BR$41:$BR$49=C25)*($BS$40:$CA$40=R$21),$BS$41:$CA$49)),0)</f>
        <v>0</v>
      </c>
      <c r="AH49" s="681">
        <f t="array" aca="1" ref="AH49" ca="1">IF(R25=C25,SUM(IF(($BR$41:$BR$49=C25)*($BS$40:$CA$40=R$22),$BS$41:$CA$49)),0)</f>
        <v>0</v>
      </c>
      <c r="AI49" s="681">
        <f t="array" aca="1" ref="AI49" ca="1">IF(R25=C25,SUM(IF(($BR$41:$BR$49=C25)*($BS$40:$CA$40=R$23),$BS$41:$CA$49)),0)</f>
        <v>0</v>
      </c>
      <c r="AJ49" s="681">
        <f t="array" aca="1" ref="AJ49" ca="1">IF(R25=C25,SUM(IF(($BR$41:$BR$49=C25)*($BS$40:$CA$40=R$24),$BS$41:$CA$49)),0)</f>
        <v>0</v>
      </c>
      <c r="AK49" s="692">
        <f t="array" aca="1" ref="AK49" ca="1">IF(S25=C25,SUM(IF(($BR$41:$BR$49=C25)*($BS$40:$CA$40=S$17),$BS$41:$CA$49)),0)</f>
        <v>0</v>
      </c>
      <c r="AL49" s="681">
        <f t="array" aca="1" ref="AL49" ca="1">IF(S25=C25,SUM(IF(($BR$41:$BR$49=C25)*($BS$40:$CA$40=S$18),$BS$41:$CA$49)),0)</f>
        <v>0</v>
      </c>
      <c r="AM49" s="681">
        <f t="array" aca="1" ref="AM49" ca="1">IF(S25=C25,SUM(IF(($BR$41:$BR$49=C25)*($BS$40:$CA$40=S$19),$BS$41:$CA$49)),0)</f>
        <v>0</v>
      </c>
      <c r="AN49" s="681">
        <f t="array" aca="1" ref="AN49" ca="1">IF(S25=C25,SUM(IF(($BR$41:$BR$49=C25)*($BS$40:$CA$40=S$20),$BS$41:$CA$49)),0)</f>
        <v>0</v>
      </c>
      <c r="AO49" s="681">
        <f t="array" aca="1" ref="AO49" ca="1">IF(S25=C25,SUM(IF(($BR$41:$BR$49=C25)*($BS$40:$CA$40=S$21),$BS$41:$CA$49)),0)</f>
        <v>0</v>
      </c>
      <c r="AP49" s="681">
        <f t="array" aca="1" ref="AP49" ca="1">IF(S25=C25,SUM(IF(($BR$41:$BR$49=C25)*($BS$40:$CA$40=S$22),$BS$41:$CA$49)),0)</f>
        <v>0</v>
      </c>
      <c r="AQ49" s="681">
        <f t="array" aca="1" ref="AQ49" ca="1">IF(S25=C25,SUM(IF(($BR$41:$BR$49=C25)*($BS$40:$CA$40=S$23),$BS$41:$CA$49)),0)</f>
        <v>0</v>
      </c>
      <c r="AR49" s="681">
        <f t="array" aca="1" ref="AR49" ca="1">IF(S25=C25,SUM(IF(($BR$41:$BR$49=C25)*($BS$40:$CA$40=S$24),$BS$41:$CA$49)),0)</f>
        <v>0</v>
      </c>
      <c r="AS49" s="692">
        <f t="array" aca="1" ref="AS49" ca="1">IF(T25=C25,SUM(IF(($BR$41:$BR$49=C25)*($BS$40:$CA$40=T$17),$BS$41:$CA$49)),0)</f>
        <v>0</v>
      </c>
      <c r="AT49" s="681">
        <f t="array" aca="1" ref="AT49" ca="1">IF(T25=C25,SUM(IF(($BR$41:$BR$49=C25)*($BS$40:$CA$40=T$18),$BS$41:$CA$49)),0)</f>
        <v>0</v>
      </c>
      <c r="AU49" s="681">
        <f t="array" aca="1" ref="AU49" ca="1">IF(T25=C25,SUM(IF(($BR$41:$BR$49=C25)*($BS$40:$CA$40=T$19),$BS$41:$CA$49)),0)</f>
        <v>0</v>
      </c>
      <c r="AV49" s="681">
        <f t="array" aca="1" ref="AV49" ca="1">IF(T25=C25,SUM(IF(($BR$41:$BR$49=C25)*($BS$40:$CA$40=T$20),$BS$41:$CA$49)),0)</f>
        <v>0</v>
      </c>
      <c r="AW49" s="681">
        <f t="array" aca="1" ref="AW49" ca="1">IF(T25=C25,SUM(IF(($BR$41:$BR$49=C25)*($BS$40:$CA$40=T$21),$BS$41:$CA$49)),0)</f>
        <v>0</v>
      </c>
      <c r="AX49" s="681">
        <f t="array" aca="1" ref="AX49" ca="1">IF(T25=C25,SUM(IF(($BR$41:$BR$49=C25)*($BS$40:$CA$40=T$22),$BS$41:$CA$49)),0)</f>
        <v>0</v>
      </c>
      <c r="AY49" s="681">
        <f t="array" aca="1" ref="AY49" ca="1">IF(T25=C25,SUM(IF(($BR$41:$BR$49=C25)*($BS$40:$CA$40=T$23),$BS$41:$CA$49)),0)</f>
        <v>0</v>
      </c>
      <c r="AZ49" s="681">
        <f t="array" aca="1" ref="AZ49" ca="1">IF(T25=C25,SUM(IF(($BR$41:$BR$49=C25)*($BS$40:$CA$40=T$24),$BS$41:$CA$49)),0)</f>
        <v>0</v>
      </c>
      <c r="BA49" s="692">
        <f t="array" aca="1" ref="BA49" ca="1">IF(U25=C25,SUM(IF(($BR$41:$BR$49=C25)*($BS$40:$CA$40=U$17),$BS$41:$CA$49)),0)</f>
        <v>0</v>
      </c>
      <c r="BB49" s="681">
        <f t="array" aca="1" ref="BB49" ca="1">IF(U25=C25,SUM(IF(($BR$41:$BR$49=C25)*($BS$40:$CA$40=U$18),$BS$41:$CA$49)),0)</f>
        <v>0</v>
      </c>
      <c r="BC49" s="681">
        <f t="array" aca="1" ref="BC49" ca="1">IF(U25=C25,SUM(IF(($BR$41:$BR$49=C25)*($BS$40:$CA$40=U$19),$BS$41:$CA$49)),0)</f>
        <v>0</v>
      </c>
      <c r="BD49" s="681">
        <f t="array" aca="1" ref="BD49" ca="1">IF(U25=C25,SUM(IF(($BR$41:$BR$49=C25)*($BS$40:$CA$40=U$20),$BS$41:$CA$49)),0)</f>
        <v>0</v>
      </c>
      <c r="BE49" s="681">
        <f t="array" aca="1" ref="BE49" ca="1">IF(U25=C25,SUM(IF(($BR$41:$BR$49=C25)*($BS$40:$CA$40=U$21),$BS$41:$CA$49)),0)</f>
        <v>0</v>
      </c>
      <c r="BF49" s="681">
        <f t="array" aca="1" ref="BF49" ca="1">IF(U25=C25,SUM(IF(($BR$41:$BR$49=C25)*($BS$40:$CA$40=U$22),$BS$41:$CA$49)),0)</f>
        <v>0</v>
      </c>
      <c r="BG49" s="681">
        <f t="array" aca="1" ref="BG49" ca="1">IF(U25=C25,SUM(IF(($BR$41:$BR$49=C25)*($BS$40:$CA$40=U$23),$BS$41:$CA$49)),0)</f>
        <v>0</v>
      </c>
      <c r="BH49" s="681">
        <f t="array" aca="1" ref="BH49" ca="1">IF(U25=C25,SUM(IF(($BR$41:$BR$49=C25)*($BS$40:$CA$40=U$24),$BS$41:$CA$49)),0)</f>
        <v>0</v>
      </c>
      <c r="BI49" s="692">
        <f t="array" aca="1" ref="BI49" ca="1">IF(V25=C25,SUM(IF(($BR$41:$BR$49=C25)*($BS$40:$CA$40=V$18),$BS$41:$CA$49)),0)</f>
        <v>0</v>
      </c>
      <c r="BJ49" s="681">
        <f t="array" aca="1" ref="BJ49" ca="1">IF(V25=C25,SUM(IF(($BR$41:$BR$49=C25)*($BS$40:$CA$40=V$19),$BS$41:$CA$49)),0)</f>
        <v>0</v>
      </c>
      <c r="BK49" s="681">
        <f t="array" aca="1" ref="BK49" ca="1">IF(V25=C25,SUM(IF(($BR$41:$BR$49=C25)*($BS$40:$CA$40=V$20),$BS$41:$CA$49)),0)</f>
        <v>0</v>
      </c>
      <c r="BL49" s="681">
        <f t="array" aca="1" ref="BL49" ca="1">IF(V25=C25,SUM(IF(($BR$41:$BR$49=C25)*($BS$40:$CA$40=V$21),$BS$41:$CA$49)),0)</f>
        <v>0</v>
      </c>
      <c r="BM49" s="681">
        <f t="array" aca="1" ref="BM49" ca="1">IF(V25=C25,SUM(IF(($BR$41:$BR$49=C25)*($BS$40:$CA$40=V$22),$BS$41:$CA$49)),0)</f>
        <v>0</v>
      </c>
      <c r="BN49" s="681">
        <f t="array" aca="1" ref="BN49" ca="1">IF(V25=C25,SUM(IF(($BR$41:$BR$49=C25)*($BS$40:$CA$40=V$23),$BS$41:$CA$49)),0)</f>
        <v>0</v>
      </c>
      <c r="BO49" s="681">
        <f t="array" aca="1" ref="BO49" ca="1">IF(V25=C25,SUM(IF(($BR$41:$BR$49=C25)*($BS$40:$CA$40=V$24),$BS$41:$CA$49)),0)</f>
        <v>0</v>
      </c>
      <c r="BP49" s="701">
        <f t="array" aca="1" ref="BP49" ca="1">IF(V25=C25,SUM(IF(($BR$41:$BR$49=C25)*($BS$40:$CA$40=V$25),$BS$41:$CA$49)),0)</f>
        <v>0</v>
      </c>
      <c r="BQ49" s="681"/>
      <c r="BR49" s="660" t="str">
        <f t="shared" si="41"/>
        <v/>
      </c>
      <c r="BS49" s="704">
        <f ca="1">IF(CA41="","",-1*CA41)</f>
        <v>0</v>
      </c>
      <c r="BT49" s="704">
        <f ca="1">IF(CA42="","",-1*CA42)</f>
        <v>0</v>
      </c>
      <c r="BU49" s="704">
        <f ca="1">IF(CA43="","",-1*CA43)</f>
        <v>0</v>
      </c>
      <c r="BV49" s="704">
        <f ca="1">IF(CA44="","",-1*CA44)</f>
        <v>0</v>
      </c>
      <c r="BW49" s="704">
        <f ca="1">IF(CA45="","",-1*CA45)</f>
        <v>0</v>
      </c>
      <c r="BX49" s="704">
        <f ca="1">IF(CA46="","",-1*CA46)</f>
        <v>0</v>
      </c>
      <c r="BY49" s="704">
        <f ca="1">IF(CA47="","",-1*CA47)</f>
        <v>0</v>
      </c>
      <c r="BZ49" s="704">
        <f t="shared" ref="BZ49" ca="1" si="42">IF(CA48="","",-1*CA48)</f>
        <v>0</v>
      </c>
      <c r="CA49" s="702"/>
      <c r="CB49" s="681"/>
    </row>
    <row r="50" spans="1:80" s="1" customFormat="1" x14ac:dyDescent="0.2">
      <c r="A50" s="660"/>
      <c r="B50" s="660"/>
      <c r="C50" s="660"/>
      <c r="D50" s="660"/>
      <c r="E50" s="700"/>
      <c r="F50" s="681"/>
      <c r="G50" s="681"/>
      <c r="H50" s="681"/>
      <c r="I50" s="681"/>
      <c r="J50" s="681"/>
      <c r="K50" s="681"/>
      <c r="L50" s="681"/>
      <c r="M50" s="692"/>
      <c r="N50" s="681"/>
      <c r="O50" s="681"/>
      <c r="P50" s="681"/>
      <c r="Q50" s="681"/>
      <c r="R50" s="681"/>
      <c r="S50" s="681"/>
      <c r="T50" s="681"/>
      <c r="U50" s="692"/>
      <c r="V50" s="681"/>
      <c r="W50" s="681"/>
      <c r="X50" s="681"/>
      <c r="Y50" s="681"/>
      <c r="Z50" s="681"/>
      <c r="AA50" s="681"/>
      <c r="AB50" s="681"/>
      <c r="AC50" s="692"/>
      <c r="AD50" s="681"/>
      <c r="AE50" s="681"/>
      <c r="AF50" s="681"/>
      <c r="AG50" s="681"/>
      <c r="AH50" s="681"/>
      <c r="AI50" s="681"/>
      <c r="AJ50" s="681"/>
      <c r="AK50" s="692"/>
      <c r="AL50" s="681"/>
      <c r="AM50" s="681"/>
      <c r="AN50" s="681"/>
      <c r="AO50" s="681"/>
      <c r="AP50" s="681"/>
      <c r="AQ50" s="681"/>
      <c r="AR50" s="681"/>
      <c r="AS50" s="692"/>
      <c r="AT50" s="681"/>
      <c r="AU50" s="681"/>
      <c r="AV50" s="681"/>
      <c r="AW50" s="681"/>
      <c r="AX50" s="681"/>
      <c r="AY50" s="681"/>
      <c r="AZ50" s="681"/>
      <c r="BA50" s="692"/>
      <c r="BB50" s="681"/>
      <c r="BC50" s="681"/>
      <c r="BD50" s="681"/>
      <c r="BE50" s="681"/>
      <c r="BF50" s="681"/>
      <c r="BG50" s="681"/>
      <c r="BH50" s="681"/>
      <c r="BI50" s="692"/>
      <c r="BJ50" s="681"/>
      <c r="BK50" s="681"/>
      <c r="BL50" s="681"/>
      <c r="BM50" s="681"/>
      <c r="BN50" s="681"/>
      <c r="BO50" s="681"/>
      <c r="BP50" s="701"/>
      <c r="BQ50" s="681"/>
      <c r="BR50" s="660"/>
      <c r="BS50" s="660"/>
      <c r="BT50" s="660"/>
      <c r="BU50" s="660"/>
      <c r="BV50" s="660"/>
      <c r="BW50" s="660"/>
      <c r="BX50" s="660"/>
      <c r="BY50" s="660"/>
      <c r="BZ50" s="660"/>
      <c r="CA50" s="660"/>
      <c r="CB50" s="681"/>
    </row>
    <row r="51" spans="1:80" s="1" customFormat="1" x14ac:dyDescent="0.2">
      <c r="A51" s="660"/>
      <c r="B51" s="660"/>
      <c r="C51" s="660"/>
      <c r="D51" s="660"/>
      <c r="E51" s="700"/>
      <c r="F51" s="681"/>
      <c r="G51" s="681"/>
      <c r="H51" s="681"/>
      <c r="I51" s="681"/>
      <c r="J51" s="681"/>
      <c r="K51" s="681"/>
      <c r="L51" s="681"/>
      <c r="M51" s="692"/>
      <c r="N51" s="681"/>
      <c r="O51" s="681"/>
      <c r="P51" s="681"/>
      <c r="Q51" s="681"/>
      <c r="R51" s="681"/>
      <c r="S51" s="681"/>
      <c r="T51" s="681"/>
      <c r="U51" s="692"/>
      <c r="V51" s="681"/>
      <c r="W51" s="681"/>
      <c r="X51" s="681"/>
      <c r="Y51" s="681"/>
      <c r="Z51" s="681"/>
      <c r="AA51" s="681"/>
      <c r="AB51" s="681"/>
      <c r="AC51" s="692"/>
      <c r="AD51" s="681"/>
      <c r="AE51" s="681"/>
      <c r="AF51" s="681"/>
      <c r="AG51" s="681"/>
      <c r="AH51" s="681"/>
      <c r="AI51" s="681"/>
      <c r="AJ51" s="681"/>
      <c r="AK51" s="692"/>
      <c r="AL51" s="681"/>
      <c r="AM51" s="681"/>
      <c r="AN51" s="681"/>
      <c r="AO51" s="681"/>
      <c r="AP51" s="681"/>
      <c r="AQ51" s="681"/>
      <c r="AR51" s="681"/>
      <c r="AS51" s="692"/>
      <c r="AT51" s="681"/>
      <c r="AU51" s="681"/>
      <c r="AV51" s="681"/>
      <c r="AW51" s="681"/>
      <c r="AX51" s="681"/>
      <c r="AY51" s="681"/>
      <c r="AZ51" s="681"/>
      <c r="BA51" s="692"/>
      <c r="BB51" s="681"/>
      <c r="BC51" s="681"/>
      <c r="BD51" s="681"/>
      <c r="BE51" s="681"/>
      <c r="BF51" s="681"/>
      <c r="BG51" s="681"/>
      <c r="BH51" s="681"/>
      <c r="BI51" s="692"/>
      <c r="BJ51" s="681"/>
      <c r="BK51" s="681"/>
      <c r="BL51" s="681"/>
      <c r="BM51" s="681"/>
      <c r="BN51" s="681"/>
      <c r="BO51" s="681"/>
      <c r="BP51" s="701"/>
      <c r="BQ51" s="681"/>
      <c r="BR51" s="697" t="s">
        <v>396</v>
      </c>
      <c r="BS51" s="660" t="str">
        <f ca="1">$F$4</f>
        <v>FC Barcelona</v>
      </c>
      <c r="BT51" s="660" t="str">
        <f ca="1">$F$5</f>
        <v>Mainz 05</v>
      </c>
      <c r="BU51" s="660" t="str">
        <f ca="1">$F$6</f>
        <v/>
      </c>
      <c r="BV51" s="660" t="str">
        <f ca="1">$F$7</f>
        <v/>
      </c>
      <c r="BW51" s="660" t="str">
        <f>$F$8</f>
        <v/>
      </c>
      <c r="BX51" s="660" t="str">
        <f>$F$9</f>
        <v/>
      </c>
      <c r="BY51" s="660" t="str">
        <f>$F$10</f>
        <v/>
      </c>
      <c r="BZ51" s="660" t="str">
        <f>$F$11</f>
        <v/>
      </c>
      <c r="CA51" s="660" t="str">
        <f>$F$12</f>
        <v/>
      </c>
      <c r="CB51" s="681"/>
    </row>
    <row r="52" spans="1:80" s="1" customFormat="1" x14ac:dyDescent="0.2">
      <c r="A52" s="660"/>
      <c r="B52" s="698" t="s">
        <v>94</v>
      </c>
      <c r="C52" s="660"/>
      <c r="D52" s="660"/>
      <c r="E52" s="700">
        <f t="array" aca="1" ref="E52" ca="1">IF(O17=C17,SUM(IF(($BR$30:$BR$38=C17)*($BS$29:$CA$29=O18),$BS$30:$CA$38)),0)</f>
        <v>0</v>
      </c>
      <c r="F52" s="681">
        <f t="array" aca="1" ref="F52" ca="1">IF(O17=C17,SUM(IF(($BR$30:$BR$38=C17)*($BS$29:$CA$29=O19),$BS$30:$CA$38)),0)</f>
        <v>0</v>
      </c>
      <c r="G52" s="681">
        <f t="array" aca="1" ref="G52" ca="1">IF(O17=C17,SUM(IF(($BR$30:$BR$38=C17)*($BS$29:$CA$29=O20),$BS$30:$CA$38)),0)</f>
        <v>0</v>
      </c>
      <c r="H52" s="681">
        <f t="array" aca="1" ref="H52" ca="1">IF(O17=C17,SUM(IF(($BR$30:$BR$38=C17)*($BS$29:$CA$29=O21),$BS$30:$CA$38)),0)</f>
        <v>0</v>
      </c>
      <c r="I52" s="681">
        <f t="array" aca="1" ref="I52" ca="1">IF(O17=C17,SUM(IF(($BR$30:$BR$38=C17)*($BS$29:$CA$29=O22),$BS$30:$CA$38)),0)</f>
        <v>0</v>
      </c>
      <c r="J52" s="681">
        <f t="array" aca="1" ref="J52" ca="1">IF(O17=C17,SUM(IF(($BR$30:$BR$38=C17)*($BS$29:$CA$29=O23),$BS$30:$CA$38)),0)</f>
        <v>0</v>
      </c>
      <c r="K52" s="681">
        <f t="array" aca="1" ref="K52" ca="1">IF(O17=C17,SUM(IF(($BR$30:$BR$38=C17)*($BS$29:$CA$29=O$24),$BS$30:$CA$38)),0)</f>
        <v>0</v>
      </c>
      <c r="L52" s="681">
        <f t="array" aca="1" ref="L52" ca="1">IF(O17=C17,SUM(IF(($BR$30:$BR$38=C17)*($BS$29:$CA$29=O$25),$BS$30:$CA$38)),0)</f>
        <v>0</v>
      </c>
      <c r="M52" s="692">
        <f t="array" aca="1" ref="M52" ca="1">IF(P17=C17,SUM(IF(($BR$30:$BR$38=C17)*($BS$29:$CA$29=P18),$BS$30:$CA$38)),0)</f>
        <v>0</v>
      </c>
      <c r="N52" s="681">
        <f t="array" aca="1" ref="N52" ca="1">IF(P17=C17,SUM(IF(($BR$30:$BR$38=C17)*($BS$29:$CA$29=P19),$BS$30:$CA$38)),0)</f>
        <v>0</v>
      </c>
      <c r="O52" s="681">
        <f t="array" aca="1" ref="O52" ca="1">IF(P17=C17,SUM(IF(($BR$30:$BR$38=C17)*($BS$29:$CA$29=P20),$BS$30:$CA$38)),0)</f>
        <v>0</v>
      </c>
      <c r="P52" s="681">
        <f t="array" aca="1" ref="P52" ca="1">IF(P17=C17,SUM(IF(($BR$30:$BR$38=C17)*($BS$29:$CA$29=P21),$BS$30:$CA$38)),0)</f>
        <v>0</v>
      </c>
      <c r="Q52" s="681">
        <f t="array" aca="1" ref="Q52" ca="1">IF(P17=C17,SUM(IF(($BR$30:$BR$38=C17)*($BS$29:$CA$29=P22),$BS$30:$CA$38)),0)</f>
        <v>0</v>
      </c>
      <c r="R52" s="681">
        <f t="array" aca="1" ref="R52" ca="1">IF(P17=C17,SUM(IF(($BR$30:$BR$38=C17)*($BS$29:$CA$29=P23),$BS$30:$CA$38)),0)</f>
        <v>0</v>
      </c>
      <c r="S52" s="681">
        <f t="array" aca="1" ref="S52" ca="1">IF(P17=C17,SUM(IF(($BR$30:$BR$38=C17)*($BS$29:$CA$29=P$24),$BS$30:$CA$38)),0)</f>
        <v>0</v>
      </c>
      <c r="T52" s="681">
        <f t="array" aca="1" ref="T52" ca="1">IF(P17=C17,SUM(IF(($BR$30:$BR$38=C17)*($BS$29:$CA$29=P$25),$BS$30:$CA$38)),0)</f>
        <v>0</v>
      </c>
      <c r="U52" s="692">
        <f t="array" aca="1" ref="U52" ca="1">IF(Q17=C17,SUM(IF(($BR$30:$BR$38=C17)*($BS$29:$CA$29=Q18),$BS$30:$CA$38)),0)</f>
        <v>0</v>
      </c>
      <c r="V52" s="681">
        <f t="array" aca="1" ref="V52" ca="1">IF(Q17=C17,SUM(IF(($BR$30:$BR$38=C17)*($BS$29:$CA$29=Q19),$BS$30:$CA$38)),0)</f>
        <v>0</v>
      </c>
      <c r="W52" s="681">
        <f t="array" aca="1" ref="W52" ca="1">IF(Q17=C17,SUM(IF(($BR$30:$BR$38=C17)*($BS$29:$CA$29=Q20),$BS$30:$CA$38)),0)</f>
        <v>0</v>
      </c>
      <c r="X52" s="681">
        <f t="array" aca="1" ref="X52" ca="1">IF(Q17=C17,SUM(IF(($BR$30:$BR$38=C17)*($BS$29:$CA$29=Q21),$BS$30:$CA$38)),0)</f>
        <v>0</v>
      </c>
      <c r="Y52" s="681">
        <f t="array" aca="1" ref="Y52" ca="1">IF(Q17=C17,SUM(IF(($BR$30:$BR$38=C17)*($BS$29:$CA$29=Q22),$BS$30:$CA$38)),0)</f>
        <v>0</v>
      </c>
      <c r="Z52" s="681">
        <f t="array" aca="1" ref="Z52" ca="1">IF(Q17=C17,SUM(IF(($BR$30:$BR$38=C17)*($BS$29:$CA$29=Q23),$BS$30:$CA$38)),0)</f>
        <v>0</v>
      </c>
      <c r="AA52" s="681">
        <f t="array" aca="1" ref="AA52" ca="1">IF(Q17=C17,SUM(IF(($BR$30:$BR$38=C17)*($BS$29:$CA$29=Q$24),$BS$30:$CA$38)),0)</f>
        <v>0</v>
      </c>
      <c r="AB52" s="681">
        <f t="array" aca="1" ref="AB52" ca="1">IF(Q17=C17,SUM(IF(($BR$30:$BR$38=C17)*($BS$29:$CA$29=Q$25),$BS$30:$CA$38)),0)</f>
        <v>0</v>
      </c>
      <c r="AC52" s="692">
        <f t="array" aca="1" ref="AC52" ca="1">IF(R17=C17,SUM(IF(($BR$30:$BR$38=C17)*($BS$29:$CA$29=R18),$BS$30:$CA$38)),0)</f>
        <v>0</v>
      </c>
      <c r="AD52" s="681">
        <f t="array" aca="1" ref="AD52" ca="1">IF(R17=C17,SUM(IF(($BR$30:$BR$38=C17)*($BS$29:$CA$29=R19),$BS$30:$CA$38)),0)</f>
        <v>0</v>
      </c>
      <c r="AE52" s="681">
        <f t="array" aca="1" ref="AE52" ca="1">IF(R17=C17,SUM(IF(($BR$30:$BR$38=C17)*($BS$29:$CA$29=R20),$BS$30:$CA$38)),0)</f>
        <v>0</v>
      </c>
      <c r="AF52" s="681">
        <f t="array" aca="1" ref="AF52" ca="1">IF(R17=C17,SUM(IF(($BR$30:$BR$38=C17)*($BS$29:$CA$29=R21),$BS$30:$CA$38)),0)</f>
        <v>0</v>
      </c>
      <c r="AG52" s="681">
        <f t="array" aca="1" ref="AG52" ca="1">IF(R17=C17,SUM(IF(($BR$30:$BR$38=C17)*($BS$29:$CA$29=R22),$BS$30:$CA$38)),0)</f>
        <v>0</v>
      </c>
      <c r="AH52" s="681">
        <f t="array" aca="1" ref="AH52" ca="1">IF(R17=C17,SUM(IF(($BR$30:$BR$38=C17)*($BS$29:$CA$29=R23),$BS$30:$CA$38)),0)</f>
        <v>0</v>
      </c>
      <c r="AI52" s="681">
        <f t="array" aca="1" ref="AI52" ca="1">IF(R17=C17,SUM(IF(($BR$30:$BR$38=C17)*($BS$29:$CA$29=R$24),$BS$30:$CA$38)),0)</f>
        <v>0</v>
      </c>
      <c r="AJ52" s="681">
        <f t="array" aca="1" ref="AJ52" ca="1">IF(R17=C17,SUM(IF(($BR$30:$BR$38=C17)*($BS$29:$CA$29=R$25),$BS$30:$CA$38)),0)</f>
        <v>0</v>
      </c>
      <c r="AK52" s="692">
        <f t="array" aca="1" ref="AK52" ca="1">IF(S17=C17,SUM(IF(($BR$30:$BR$38=C17)*($BS$29:$CA$29=S18),$BS$30:$CA$38)),0)</f>
        <v>0</v>
      </c>
      <c r="AL52" s="681">
        <f t="array" aca="1" ref="AL52" ca="1">IF(S17=C17,SUM(IF(($BR$30:$BR$38=C17)*($BS$29:$CA$29=S19),$BS$30:$CA$38)),0)</f>
        <v>0</v>
      </c>
      <c r="AM52" s="681">
        <f t="array" aca="1" ref="AM52" ca="1">IF(S17=C17,SUM(IF(($BR$30:$BR$38=C17)*($BS$29:$CA$29=S20),$BS$30:$CA$38)),0)</f>
        <v>0</v>
      </c>
      <c r="AN52" s="681">
        <f t="array" aca="1" ref="AN52" ca="1">IF(S17=C17,SUM(IF(($BR$30:$BR$38=C17)*($BS$29:$CA$29=S21),$BS$30:$CA$38)),0)</f>
        <v>0</v>
      </c>
      <c r="AO52" s="681">
        <f t="array" aca="1" ref="AO52" ca="1">IF(S17=C17,SUM(IF(($BR$30:$BR$38=C17)*($BS$29:$CA$29=S22),$BS$30:$CA$38)),0)</f>
        <v>0</v>
      </c>
      <c r="AP52" s="681">
        <f t="array" aca="1" ref="AP52" ca="1">IF(S17=C17,SUM(IF(($BR$30:$BR$38=C17)*($BS$29:$CA$29=S23),$BS$30:$CA$38)),0)</f>
        <v>0</v>
      </c>
      <c r="AQ52" s="681">
        <f t="array" aca="1" ref="AQ52" ca="1">IF(S17=C17,SUM(IF(($BR$30:$BR$38=C17)*($BS$29:$CA$29=S$24),$BS$30:$CA$38)),0)</f>
        <v>0</v>
      </c>
      <c r="AR52" s="681">
        <f t="array" aca="1" ref="AR52" ca="1">IF(S17=C17,SUM(IF(($BR$30:$BR$38=C17)*($BS$29:$CA$29=S$25),$BS$30:$CA$38)),0)</f>
        <v>0</v>
      </c>
      <c r="AS52" s="692">
        <f t="array" aca="1" ref="AS52" ca="1">IF(T17=C17,SUM(IF(($BR$30:$BR$38=C17)*($BS$29:$CA$29=T18),$BS$30:$CA$38)),0)</f>
        <v>0</v>
      </c>
      <c r="AT52" s="681">
        <f t="array" aca="1" ref="AT52" ca="1">IF(T17=C17,SUM(IF(($BR$30:$BR$38=C17)*($BS$29:$CA$29=T19),$BS$30:$CA$38)),0)</f>
        <v>0</v>
      </c>
      <c r="AU52" s="681">
        <f t="array" aca="1" ref="AU52" ca="1">IF(T17=C17,SUM(IF(($BR$30:$BR$38=C17)*($BS$29:$CA$29=T20),$BS$30:$CA$38)),0)</f>
        <v>0</v>
      </c>
      <c r="AV52" s="681">
        <f t="array" aca="1" ref="AV52" ca="1">IF(T17=C17,SUM(IF(($BR$30:$BR$38=C17)*($BS$29:$CA$29=T21),$BS$30:$CA$38)),0)</f>
        <v>0</v>
      </c>
      <c r="AW52" s="681">
        <f t="array" aca="1" ref="AW52" ca="1">IF(T17=C17,SUM(IF(($BR$30:$BR$38=C17)*($BS$29:$CA$29=T22),$BS$30:$CA$38)),0)</f>
        <v>0</v>
      </c>
      <c r="AX52" s="681">
        <f t="array" aca="1" ref="AX52" ca="1">IF(T17=C17,SUM(IF(($BR$30:$BR$38=C17)*($BS$29:$CA$29=T23),$BS$30:$CA$38)),0)</f>
        <v>0</v>
      </c>
      <c r="AY52" s="681">
        <f t="array" aca="1" ref="AY52" ca="1">IF(T17=C17,SUM(IF(($BR$30:$BR$38=C17)*($BS$29:$CA$29=T$24),$BS$30:$CA$38)),0)</f>
        <v>0</v>
      </c>
      <c r="AZ52" s="681">
        <f t="array" aca="1" ref="AZ52" ca="1">IF(T17=C17,SUM(IF(($BR$30:$BR$38=C17)*($BS$29:$CA$29=T$25),$BS$30:$CA$38)),0)</f>
        <v>0</v>
      </c>
      <c r="BA52" s="692">
        <f t="array" aca="1" ref="BA52" ca="1">IF(U17=C17,SUM(IF(($BR$30:$BR$38=C17)*($BS$29:$CA$29=U$18),$BS$30:$CA$38)),0)</f>
        <v>0</v>
      </c>
      <c r="BB52" s="681">
        <f t="array" aca="1" ref="BB52" ca="1">IF(U17=C17,SUM(IF(($BR$30:$BR$38=C17)*($BS$29:$CA$29=U$19),$BS$30:$CA$38)),0)</f>
        <v>0</v>
      </c>
      <c r="BC52" s="681">
        <f t="array" aca="1" ref="BC52" ca="1">IF(U17=C17,SUM(IF(($BR$30:$BR$38=C17)*($BS$29:$CA$29=U$20),$BS$30:$CA$38)),0)</f>
        <v>0</v>
      </c>
      <c r="BD52" s="681">
        <f t="array" aca="1" ref="BD52" ca="1">IF(U17=C17,SUM(IF(($BR$30:$BR$38=C17)*($BS$29:$CA$29=U$21),$BS$30:$CA$38)),0)</f>
        <v>0</v>
      </c>
      <c r="BE52" s="681">
        <f t="array" aca="1" ref="BE52" ca="1">IF(U17=C17,SUM(IF(($BR$30:$BR$38=C17)*($BS$29:$CA$29=U$22),$BS$30:$CA$38)),0)</f>
        <v>0</v>
      </c>
      <c r="BF52" s="681">
        <f t="array" aca="1" ref="BF52" ca="1">IF(U17=C17,SUM(IF(($BR$30:$BR$38=C17)*($BS$29:$CA$29=U$23),$BS$30:$CA$38)),0)</f>
        <v>0</v>
      </c>
      <c r="BG52" s="681">
        <f t="array" aca="1" ref="BG52" ca="1">IF(U17=C17,SUM(IF(($BR$30:$BR$38=C17)*($BS$29:$CA$29=U$24),$BS$30:$CA$38)),0)</f>
        <v>0</v>
      </c>
      <c r="BH52" s="681">
        <f t="array" aca="1" ref="BH52" ca="1">IF(U17=C17,SUM(IF(($BR$30:$BR$38=C17)*($BS$29:$CA$29=U$25),$BS$30:$CA$38)),0)</f>
        <v>0</v>
      </c>
      <c r="BI52" s="692">
        <f t="array" aca="1" ref="BI52" ca="1">IF(V17=C17,SUM(IF(($BR$30:$BR$38=C17)*($BS$29:$CA$29=V$18),$BS$30:$CA$38)),0)</f>
        <v>0</v>
      </c>
      <c r="BJ52" s="681">
        <f t="array" aca="1" ref="BJ52" ca="1">IF(V17=C17,SUM(IF(($BR$30:$BR$38=C17)*($BS$29:$CA$29=V$19),$BS$30:$CA$38)),0)</f>
        <v>0</v>
      </c>
      <c r="BK52" s="681">
        <f t="array" aca="1" ref="BK52" ca="1">IF(V17=C17,SUM(IF(($BR$30:$BR$38=C17)*($BS$29:$CA$29=V$20),$BS$30:$CA$38)),0)</f>
        <v>0</v>
      </c>
      <c r="BL52" s="681">
        <f t="array" aca="1" ref="BL52" ca="1">IF(V17=C17,SUM(IF(($BR$30:$BR$38=C17)*($BS$29:$CA$29=V$21),$BS$30:$CA$38)),0)</f>
        <v>0</v>
      </c>
      <c r="BM52" s="681">
        <f t="array" aca="1" ref="BM52" ca="1">IF(V17=C17,SUM(IF(($BR$30:$BR$38=C17)*($BS$29:$CA$29=V$22),$BS$30:$CA$38)),0)</f>
        <v>0</v>
      </c>
      <c r="BN52" s="681">
        <f t="array" aca="1" ref="BN52" ca="1">IF(V17=C17,SUM(IF(($BR$30:$BR$38=C17)*($BS$29:$CA$29=V$23),$BS$30:$CA$38)),0)</f>
        <v>0</v>
      </c>
      <c r="BO52" s="681">
        <f t="array" aca="1" ref="BO52" ca="1">IF(V17=C17,SUM(IF(($BR$30:$BR$38=C17)*($BS$29:$CA$29=V$24),$BS$30:$CA$38)),0)</f>
        <v>0</v>
      </c>
      <c r="BP52" s="701">
        <f t="array" aca="1" ref="BP52" ca="1">IF(V17=C17,SUM(IF(($BR$30:$BR$38=C17)*($BS$29:$CA$29=V$25),$BS$30:$CA$38)),0)</f>
        <v>0</v>
      </c>
      <c r="BQ52" s="681"/>
      <c r="BR52" s="660" t="str">
        <f t="shared" ref="BR52:BR60" ca="1" si="43">F4</f>
        <v>FC Barcelona</v>
      </c>
      <c r="BS52" s="702"/>
      <c r="BT52" s="703">
        <f t="shared" ref="BT52:CA54" ca="1" si="44">SUMIFS($AJ$64:$AJ$135,$V$64:$V$135,$BR52,$W$64:$W$135,BT$51)+SUMIFS($AK$64:$AK$135,$W$64:$W$135,$BR52,$V$64:$V$135,BT$51)</f>
        <v>2</v>
      </c>
      <c r="BU52" s="703">
        <f t="shared" ca="1" si="44"/>
        <v>0</v>
      </c>
      <c r="BV52" s="703">
        <f t="shared" ca="1" si="44"/>
        <v>0</v>
      </c>
      <c r="BW52" s="703">
        <f t="shared" ca="1" si="44"/>
        <v>0</v>
      </c>
      <c r="BX52" s="703">
        <f t="shared" ca="1" si="44"/>
        <v>0</v>
      </c>
      <c r="BY52" s="703">
        <f t="shared" ca="1" si="44"/>
        <v>0</v>
      </c>
      <c r="BZ52" s="703">
        <f t="shared" ca="1" si="44"/>
        <v>0</v>
      </c>
      <c r="CA52" s="703">
        <f t="shared" ca="1" si="44"/>
        <v>0</v>
      </c>
      <c r="CB52" s="681"/>
    </row>
    <row r="53" spans="1:80" s="1" customFormat="1" x14ac:dyDescent="0.2">
      <c r="A53" s="660"/>
      <c r="B53" s="660"/>
      <c r="C53" s="660"/>
      <c r="D53" s="660"/>
      <c r="E53" s="700">
        <f t="array" aca="1" ref="E53" ca="1">IF(O18=C18,SUM(IF(($BR$30:$BR$38=C18)*($BS$29:$CA$29=O17),$BS$30:$CA$38)),0)</f>
        <v>0</v>
      </c>
      <c r="F53" s="681">
        <f t="array" aca="1" ref="F53" ca="1">IF(O18=C18,SUM(IF(($BR$30:$BR$38=C18)*($BS$29:$CA$29=O19),$BS$30:$CA$38)),0)</f>
        <v>0</v>
      </c>
      <c r="G53" s="681">
        <f t="array" aca="1" ref="G53" ca="1">IF(O18=C18,SUM(IF(($BR$30:$BR$38=C18)*($BS$29:$CA$29=O20),$BS$30:$CA$38)),0)</f>
        <v>0</v>
      </c>
      <c r="H53" s="681">
        <f t="array" aca="1" ref="H53" ca="1">IF(O18=C18,SUM(IF(($BR$30:$BR$38=C18)*($BS$29:$CA$29=O21),$BS$30:$CA$38)),0)</f>
        <v>0</v>
      </c>
      <c r="I53" s="681">
        <f t="array" aca="1" ref="I53" ca="1">IF(O18=C18,SUM(IF(($BR$30:$BR$38=C18)*($BS$29:$CA$29=O22),$BS$30:$CA$38)),0)</f>
        <v>0</v>
      </c>
      <c r="J53" s="681">
        <f t="array" aca="1" ref="J53" ca="1">IF(O18=C18,SUM(IF(($BR$30:$BR$38=C18)*($BS$29:$CA$29=O23),$BS$30:$CA$38)),0)</f>
        <v>0</v>
      </c>
      <c r="K53" s="681">
        <f t="array" aca="1" ref="K53" ca="1">IF(O18=C18,SUM(IF(($BR$30:$BR$38=C18)*($BS$29:$CA$29=O$24),$BS$30:$CA$38)),0)</f>
        <v>0</v>
      </c>
      <c r="L53" s="681">
        <f t="array" aca="1" ref="L53" ca="1">IF(O18=C18,SUM(IF(($BR$30:$BR$38=C18)*($BS$29:$CA$29=O$25),$BS$30:$CA$38)),0)</f>
        <v>0</v>
      </c>
      <c r="M53" s="692">
        <f t="array" aca="1" ref="M53" ca="1">IF(P18=C18,SUM(IF(($BR$30:$BR$38=C18)*($BS$29:$CA$29=P17),$BS$30:$CA$38)),0)</f>
        <v>0</v>
      </c>
      <c r="N53" s="681">
        <f t="array" aca="1" ref="N53" ca="1">IF(P18=C18,SUM(IF(($BR$30:$BR$38=C18)*($BS$29:$CA$29=P19),$BS$30:$CA$38)),0)</f>
        <v>0</v>
      </c>
      <c r="O53" s="681">
        <f t="array" aca="1" ref="O53" ca="1">IF(P18=C18,SUM(IF(($BR$30:$BR$38=C18)*($BS$29:$CA$29=P20),$BS$30:$CA$38)),0)</f>
        <v>0</v>
      </c>
      <c r="P53" s="681">
        <f t="array" aca="1" ref="P53" ca="1">IF(P18=C18,SUM(IF(($BR$30:$BR$38=C18)*($BS$29:$CA$29=P21),$BS$30:$CA$38)),0)</f>
        <v>0</v>
      </c>
      <c r="Q53" s="681">
        <f t="array" aca="1" ref="Q53" ca="1">IF(P18=C18,SUM(IF(($BR$30:$BR$38=C18)*($BS$29:$CA$29=P22),$BS$30:$CA$38)),0)</f>
        <v>0</v>
      </c>
      <c r="R53" s="681">
        <f t="array" aca="1" ref="R53" ca="1">IF(P18=C18,SUM(IF(($BR$30:$BR$38=C18)*($BS$29:$CA$29=P23),$BS$30:$CA$38)),0)</f>
        <v>0</v>
      </c>
      <c r="S53" s="681">
        <f t="array" aca="1" ref="S53" ca="1">IF(P18=C18,SUM(IF(($BR$30:$BR$38=C18)*($BS$29:$CA$29=P$24),$BS$30:$CA$38)),0)</f>
        <v>0</v>
      </c>
      <c r="T53" s="681">
        <f t="array" aca="1" ref="T53" ca="1">IF(P18=C18,SUM(IF(($BR$30:$BR$38=C18)*($BS$29:$CA$29=P$25),$BS$30:$CA$38)),0)</f>
        <v>0</v>
      </c>
      <c r="U53" s="692">
        <f t="array" aca="1" ref="U53" ca="1">IF(Q18=C18,SUM(IF(($BR$30:$BR$38=C18)*($BS$29:$CA$29=Q17),$BS$30:$CA$38)),0)</f>
        <v>0</v>
      </c>
      <c r="V53" s="681">
        <f t="array" aca="1" ref="V53" ca="1">IF(Q18=C18,SUM(IF(($BR$30:$BR$38=C18)*($BS$29:$CA$29=Q19),$BS$30:$CA$38)),0)</f>
        <v>0</v>
      </c>
      <c r="W53" s="681">
        <f t="array" aca="1" ref="W53" ca="1">IF(Q18=C18,SUM(IF(($BR$30:$BR$38=C18)*($BS$29:$CA$29=Q20),$BS$30:$CA$38)),0)</f>
        <v>0</v>
      </c>
      <c r="X53" s="681">
        <f t="array" aca="1" ref="X53" ca="1">IF(Q18=C18,SUM(IF(($BR$30:$BR$38=C18)*($BS$29:$CA$29=Q21),$BS$30:$CA$38)),0)</f>
        <v>0</v>
      </c>
      <c r="Y53" s="681">
        <f t="array" aca="1" ref="Y53" ca="1">IF(Q18=C18,SUM(IF(($BR$30:$BR$38=C18)*($BS$29:$CA$29=Q22),$BS$30:$CA$38)),0)</f>
        <v>0</v>
      </c>
      <c r="Z53" s="681">
        <f t="array" aca="1" ref="Z53" ca="1">IF(Q18=C18,SUM(IF(($BR$30:$BR$38=C18)*($BS$29:$CA$29=Q23),$BS$30:$CA$38)),0)</f>
        <v>0</v>
      </c>
      <c r="AA53" s="681">
        <f t="array" aca="1" ref="AA53" ca="1">IF(Q18=C18,SUM(IF(($BR$30:$BR$38=C18)*($BS$29:$CA$29=Q$24),$BS$30:$CA$38)),0)</f>
        <v>0</v>
      </c>
      <c r="AB53" s="681">
        <f t="array" aca="1" ref="AB53" ca="1">IF(Q18=C18,SUM(IF(($BR$30:$BR$38=C18)*($BS$29:$CA$29=Q$25),$BS$30:$CA$38)),0)</f>
        <v>0</v>
      </c>
      <c r="AC53" s="692">
        <f t="array" aca="1" ref="AC53" ca="1">IF(R18=C18,SUM(IF(($BR$30:$BR$38=C18)*($BS$29:$CA$29=R17),$BS$30:$CA$38)),0)</f>
        <v>0</v>
      </c>
      <c r="AD53" s="681">
        <f t="array" aca="1" ref="AD53" ca="1">IF(R18=C18,SUM(IF(($BR$30:$BR$38=C18)*($BS$29:$CA$29=R19),$BS$30:$CA$38)),0)</f>
        <v>0</v>
      </c>
      <c r="AE53" s="681">
        <f t="array" aca="1" ref="AE53" ca="1">IF(R18=C18,SUM(IF(($BR$30:$BR$38=C18)*($BS$29:$CA$29=R20),$BS$30:$CA$38)),0)</f>
        <v>0</v>
      </c>
      <c r="AF53" s="681">
        <f t="array" aca="1" ref="AF53" ca="1">IF(R18=C18,SUM(IF(($BR$30:$BR$38=C18)*($BS$29:$CA$29=R21),$BS$30:$CA$38)),0)</f>
        <v>0</v>
      </c>
      <c r="AG53" s="681">
        <f t="array" aca="1" ref="AG53" ca="1">IF(R18=C18,SUM(IF(($BR$30:$BR$38=C18)*($BS$29:$CA$29=R22),$BS$30:$CA$38)),0)</f>
        <v>0</v>
      </c>
      <c r="AH53" s="681">
        <f t="array" aca="1" ref="AH53" ca="1">IF(R18=C18,SUM(IF(($BR$30:$BR$38=C18)*($BS$29:$CA$29=R23),$BS$30:$CA$38)),0)</f>
        <v>0</v>
      </c>
      <c r="AI53" s="681">
        <f t="array" aca="1" ref="AI53" ca="1">IF(R18=C18,SUM(IF(($BR$30:$BR$38=C18)*($BS$29:$CA$29=R$24),$BS$30:$CA$38)),0)</f>
        <v>0</v>
      </c>
      <c r="AJ53" s="681">
        <f t="array" aca="1" ref="AJ53" ca="1">IF(R18=C18,SUM(IF(($BR$30:$BR$38=C18)*($BS$29:$CA$29=R$25),$BS$30:$CA$38)),0)</f>
        <v>0</v>
      </c>
      <c r="AK53" s="692">
        <f t="array" aca="1" ref="AK53" ca="1">IF(S18=C18,SUM(IF(($BR$30:$BR$38=C18)*($BS$29:$CA$29=S17),$BS$30:$CA$38)),0)</f>
        <v>0</v>
      </c>
      <c r="AL53" s="681">
        <f t="array" aca="1" ref="AL53" ca="1">IF(S18=C18,SUM(IF(($BR$30:$BR$38=C18)*($BS$29:$CA$29=S19),$BS$30:$CA$38)),0)</f>
        <v>0</v>
      </c>
      <c r="AM53" s="681">
        <f t="array" aca="1" ref="AM53" ca="1">IF(S18=C18,SUM(IF(($BR$30:$BR$38=C18)*($BS$29:$CA$29=S20),$BS$30:$CA$38)),0)</f>
        <v>0</v>
      </c>
      <c r="AN53" s="681">
        <f t="array" aca="1" ref="AN53" ca="1">IF(S18=C18,SUM(IF(($BR$30:$BR$38=C18)*($BS$29:$CA$29=S21),$BS$30:$CA$38)),0)</f>
        <v>0</v>
      </c>
      <c r="AO53" s="681">
        <f t="array" aca="1" ref="AO53" ca="1">IF(S18=C18,SUM(IF(($BR$30:$BR$38=C18)*($BS$29:$CA$29=S22),$BS$30:$CA$38)),0)</f>
        <v>0</v>
      </c>
      <c r="AP53" s="681">
        <f t="array" aca="1" ref="AP53" ca="1">IF(S18=C18,SUM(IF(($BR$30:$BR$38=C18)*($BS$29:$CA$29=S23),$BS$30:$CA$38)),0)</f>
        <v>0</v>
      </c>
      <c r="AQ53" s="681">
        <f t="array" aca="1" ref="AQ53" ca="1">IF(S18=C18,SUM(IF(($BR$30:$BR$38=C18)*($BS$29:$CA$29=S$24),$BS$30:$CA$38)),0)</f>
        <v>0</v>
      </c>
      <c r="AR53" s="681">
        <f t="array" aca="1" ref="AR53" ca="1">IF(S18=C18,SUM(IF(($BR$30:$BR$38=C18)*($BS$29:$CA$29=S$25),$BS$30:$CA$38)),0)</f>
        <v>0</v>
      </c>
      <c r="AS53" s="692">
        <f t="array" aca="1" ref="AS53" ca="1">IF(T18=C18,SUM(IF(($BR$30:$BR$38=C18)*($BS$29:$CA$29=T17),$BS$30:$CA$38)),0)</f>
        <v>0</v>
      </c>
      <c r="AT53" s="681">
        <f t="array" aca="1" ref="AT53" ca="1">IF(T18=C18,SUM(IF(($BR$30:$BR$38=C18)*($BS$29:$CA$29=T19),$BS$30:$CA$38)),0)</f>
        <v>0</v>
      </c>
      <c r="AU53" s="681">
        <f t="array" aca="1" ref="AU53" ca="1">IF(T18=C18,SUM(IF(($BR$30:$BR$38=C18)*($BS$29:$CA$29=T20),$BS$30:$CA$38)),0)</f>
        <v>0</v>
      </c>
      <c r="AV53" s="681">
        <f t="array" aca="1" ref="AV53" ca="1">IF(T18=C18,SUM(IF(($BR$30:$BR$38=C18)*($BS$29:$CA$29=T21),$BS$30:$CA$38)),0)</f>
        <v>0</v>
      </c>
      <c r="AW53" s="681">
        <f t="array" aca="1" ref="AW53" ca="1">IF(T18=C18,SUM(IF(($BR$30:$BR$38=C18)*($BS$29:$CA$29=T22),$BS$30:$CA$38)),0)</f>
        <v>0</v>
      </c>
      <c r="AX53" s="681">
        <f t="array" aca="1" ref="AX53" ca="1">IF(T18=C18,SUM(IF(($BR$30:$BR$38=C18)*($BS$29:$CA$29=T23),$BS$30:$CA$38)),0)</f>
        <v>0</v>
      </c>
      <c r="AY53" s="681">
        <f t="array" aca="1" ref="AY53" ca="1">IF(T18=C18,SUM(IF(($BR$30:$BR$38=C18)*($BS$29:$CA$29=T$24),$BS$30:$CA$38)),0)</f>
        <v>0</v>
      </c>
      <c r="AZ53" s="681">
        <f t="array" aca="1" ref="AZ53" ca="1">IF(T18=C18,SUM(IF(($BR$30:$BR$38=C18)*($BS$29:$CA$29=T$25),$BS$30:$CA$38)),0)</f>
        <v>0</v>
      </c>
      <c r="BA53" s="692">
        <f t="array" aca="1" ref="BA53" ca="1">IF(U18=C18,SUM(IF(($BR$30:$BR$38=C18)*($BS$29:$CA$29=U$17),$BS$30:$CA$38)),0)</f>
        <v>0</v>
      </c>
      <c r="BB53" s="681">
        <f t="array" aca="1" ref="BB53" ca="1">IF(U18=C18,SUM(IF(($BR$30:$BR$38=C18)*($BS$29:$CA$29=U$19),$BS$30:$CA$38)),0)</f>
        <v>0</v>
      </c>
      <c r="BC53" s="681">
        <f t="array" aca="1" ref="BC53" ca="1">IF(U18=C18,SUM(IF(($BR$30:$BR$38=C18)*($BS$29:$CA$29=U$20),$BS$30:$CA$38)),0)</f>
        <v>0</v>
      </c>
      <c r="BD53" s="681">
        <f t="array" aca="1" ref="BD53" ca="1">IF(U18=C18,SUM(IF(($BR$30:$BR$38=C18)*($BS$29:$CA$29=U$21),$BS$30:$CA$38)),0)</f>
        <v>0</v>
      </c>
      <c r="BE53" s="681">
        <f t="array" aca="1" ref="BE53" ca="1">IF(U18=C18,SUM(IF(($BR$30:$BR$38=C18)*($BS$29:$CA$29=U$22),$BS$30:$CA$38)),0)</f>
        <v>0</v>
      </c>
      <c r="BF53" s="681">
        <f t="array" aca="1" ref="BF53" ca="1">IF(U18=C18,SUM(IF(($BR$30:$BR$38=C18)*($BS$29:$CA$29=U$23),$BS$30:$CA$38)),0)</f>
        <v>0</v>
      </c>
      <c r="BG53" s="681">
        <f t="array" aca="1" ref="BG53" ca="1">IF(U18=C18,SUM(IF(($BR$30:$BR$38=C18)*($BS$29:$CA$29=U$24),$BS$30:$CA$38)),0)</f>
        <v>0</v>
      </c>
      <c r="BH53" s="681">
        <f t="array" aca="1" ref="BH53" ca="1">IF(U18=C18,SUM(IF(($BR$30:$BR$38=C18)*($BS$29:$CA$29=U$25),$BS$30:$CA$38)),0)</f>
        <v>0</v>
      </c>
      <c r="BI53" s="692">
        <f t="array" aca="1" ref="BI53" ca="1">IF(V18=C18,SUM(IF(($BR$30:$BR$38=C18)*($BS$29:$CA$29=V$17),$BS$30:$CA$38)),0)</f>
        <v>0</v>
      </c>
      <c r="BJ53" s="681">
        <f t="array" aca="1" ref="BJ53" ca="1">IF(V18=C18,SUM(IF(($BR$30:$BR$38=C18)*($BS$29:$CA$29=V$19),$BS$30:$CA$38)),0)</f>
        <v>0</v>
      </c>
      <c r="BK53" s="681">
        <f t="array" aca="1" ref="BK53" ca="1">IF(V18=C18,SUM(IF(($BR$30:$BR$38=C18)*($BS$29:$CA$29=V$20),$BS$30:$CA$38)),0)</f>
        <v>0</v>
      </c>
      <c r="BL53" s="681">
        <f t="array" aca="1" ref="BL53" ca="1">IF(V18=C18,SUM(IF(($BR$30:$BR$38=C18)*($BS$29:$CA$29=V$21),$BS$30:$CA$38)),0)</f>
        <v>0</v>
      </c>
      <c r="BM53" s="681">
        <f t="array" aca="1" ref="BM53" ca="1">IF(V18=C18,SUM(IF(($BR$30:$BR$38=C18)*($BS$29:$CA$29=V$22),$BS$30:$CA$38)),0)</f>
        <v>0</v>
      </c>
      <c r="BN53" s="681">
        <f t="array" aca="1" ref="BN53" ca="1">IF(V18=C18,SUM(IF(($BR$30:$BR$38=C18)*($BS$29:$CA$29=V$23),$BS$30:$CA$38)),0)</f>
        <v>0</v>
      </c>
      <c r="BO53" s="681">
        <f t="array" aca="1" ref="BO53" ca="1">IF(V18=C18,SUM(IF(($BR$30:$BR$38=C18)*($BS$29:$CA$29=V$24),$BS$30:$CA$38)),0)</f>
        <v>0</v>
      </c>
      <c r="BP53" s="701">
        <f t="array" aca="1" ref="BP53" ca="1">IF(V18=C18,SUM(IF(($BR$30:$BR$38=C18)*($BS$29:$CA$29=V$25),$BS$30:$CA$38)),0)</f>
        <v>0</v>
      </c>
      <c r="BQ53" s="681"/>
      <c r="BR53" s="660" t="str">
        <f t="shared" ca="1" si="43"/>
        <v>Mainz 05</v>
      </c>
      <c r="BS53" s="704">
        <f t="shared" ref="BS53:BU60" ca="1" si="45">SUMIFS($AJ$64:$AJ$135,$V$64:$V$135,$BR53,$W$64:$W$135,BS$51)+SUMIFS($AK$64:$AK$135,$W$64:$W$135,$BR53,$V$64:$V$135,BS$51)</f>
        <v>1</v>
      </c>
      <c r="BT53" s="702"/>
      <c r="BU53" s="703">
        <f t="shared" ca="1" si="44"/>
        <v>0</v>
      </c>
      <c r="BV53" s="703">
        <f t="shared" ca="1" si="44"/>
        <v>0</v>
      </c>
      <c r="BW53" s="703">
        <f t="shared" ca="1" si="44"/>
        <v>0</v>
      </c>
      <c r="BX53" s="703">
        <f t="shared" ca="1" si="44"/>
        <v>0</v>
      </c>
      <c r="BY53" s="703">
        <f t="shared" ca="1" si="44"/>
        <v>0</v>
      </c>
      <c r="BZ53" s="703">
        <f t="shared" ca="1" si="44"/>
        <v>0</v>
      </c>
      <c r="CA53" s="703">
        <f t="shared" ca="1" si="44"/>
        <v>0</v>
      </c>
      <c r="CB53" s="681"/>
    </row>
    <row r="54" spans="1:80" s="1" customFormat="1" x14ac:dyDescent="0.2">
      <c r="A54" s="660"/>
      <c r="B54" s="660"/>
      <c r="C54" s="660"/>
      <c r="D54" s="660"/>
      <c r="E54" s="700">
        <f t="array" aca="1" ref="E54" ca="1">IF(O19=C19,SUM(IF(($BR$30:$BR$38=C19)*($BS$29:$CA$29=O17),$BS$30:$CA$38)),0)</f>
        <v>0</v>
      </c>
      <c r="F54" s="681">
        <f t="array" aca="1" ref="F54" ca="1">IF(O19=C19,SUM(IF(($BR$30:$BR$38=C19)*($BS$29:$CA$29=O18),$BS$30:$CA$38)),0)</f>
        <v>0</v>
      </c>
      <c r="G54" s="681">
        <f t="array" aca="1" ref="G54" ca="1">IF(O19=C19,SUM(IF(($BR$30:$BR$38=C19)*($BS$29:$CA$29=O20),$BS$30:$CA$38)),0)</f>
        <v>0</v>
      </c>
      <c r="H54" s="681">
        <f t="array" aca="1" ref="H54" ca="1">IF(O19=C19,SUM(IF(($BR$30:$BR$38=C19)*($BS$29:$CA$29=O21),$BS$30:$CA$38)),0)</f>
        <v>0</v>
      </c>
      <c r="I54" s="681">
        <f t="array" aca="1" ref="I54" ca="1">IF(O19=C19,SUM(IF(($BR$30:$BR$38=C19)*($BS$29:$CA$29=O22),$BS$30:$CA$38)),0)</f>
        <v>0</v>
      </c>
      <c r="J54" s="681">
        <f t="array" aca="1" ref="J54" ca="1">IF(O19=C19,SUM(IF(($BR$30:$BR$38=C19)*($BS$29:$CA$29=O23),$BS$30:$CA$38)),0)</f>
        <v>0</v>
      </c>
      <c r="K54" s="681">
        <f t="array" aca="1" ref="K54" ca="1">IF(O19=C19,SUM(IF(($BR$30:$BR$38=C19)*($BS$29:$CA$29=O$24),$BS$30:$CA$38)),0)</f>
        <v>0</v>
      </c>
      <c r="L54" s="681">
        <f t="array" aca="1" ref="L54" ca="1">IF(O19=C19,SUM(IF(($BR$30:$BR$38=C19)*($BS$29:$CA$29=O$25),$BS$30:$CA$38)),0)</f>
        <v>0</v>
      </c>
      <c r="M54" s="692">
        <f t="array" aca="1" ref="M54" ca="1">IF(P19=C19,SUM(IF(($BR$30:$BR$38=C19)*($BS$29:$CA$29=P17),$BS$30:$CA$38)),0)</f>
        <v>0</v>
      </c>
      <c r="N54" s="681">
        <f t="array" aca="1" ref="N54" ca="1">IF(P19=C19,SUM(IF(($BR$30:$BR$38=C19)*($BS$29:$CA$29=P18),$BS$30:$CA$38)),0)</f>
        <v>0</v>
      </c>
      <c r="O54" s="681">
        <f t="array" aca="1" ref="O54" ca="1">IF(P19=C19,SUM(IF(($BR$30:$BR$38=C19)*($BS$29:$CA$29=P20),$BS$30:$CA$38)),0)</f>
        <v>0</v>
      </c>
      <c r="P54" s="681">
        <f t="array" aca="1" ref="P54" ca="1">IF(P19=C19,SUM(IF(($BR$30:$BR$38=C19)*($BS$29:$CA$29=P21),$BS$30:$CA$38)),0)</f>
        <v>0</v>
      </c>
      <c r="Q54" s="681">
        <f t="array" aca="1" ref="Q54" ca="1">IF(P19=C19,SUM(IF(($BR$30:$BR$38=C19)*($BS$29:$CA$29=P22),$BS$30:$CA$38)),0)</f>
        <v>0</v>
      </c>
      <c r="R54" s="681">
        <f t="array" aca="1" ref="R54" ca="1">IF(P19=C19,SUM(IF(($BR$30:$BR$38=C19)*($BS$29:$CA$29=P23),$BS$30:$CA$38)),0)</f>
        <v>0</v>
      </c>
      <c r="S54" s="681">
        <f t="array" aca="1" ref="S54" ca="1">IF(P19=C19,SUM(IF(($BR$30:$BR$38=C19)*($BS$29:$CA$29=P$24),$BS$30:$CA$38)),0)</f>
        <v>0</v>
      </c>
      <c r="T54" s="681">
        <f t="array" aca="1" ref="T54" ca="1">IF(P19=C19,SUM(IF(($BR$30:$BR$38=C19)*($BS$29:$CA$29=P$25),$BS$30:$CA$38)),0)</f>
        <v>0</v>
      </c>
      <c r="U54" s="692">
        <f t="array" aca="1" ref="U54" ca="1">IF(Q19=C19,SUM(IF(($BR$30:$BR$38=C19)*($BS$29:$CA$29=Q17),$BS$30:$CA$38)),0)</f>
        <v>0</v>
      </c>
      <c r="V54" s="681">
        <f t="array" aca="1" ref="V54" ca="1">IF(Q19=C19,SUM(IF(($BR$30:$BR$38=C19)*($BS$29:$CA$29=Q18),$BS$30:$CA$38)),0)</f>
        <v>0</v>
      </c>
      <c r="W54" s="681">
        <f t="array" aca="1" ref="W54" ca="1">IF(Q19=C19,SUM(IF(($BR$30:$BR$38=C19)*($BS$29:$CA$29=Q20),$BS$30:$CA$38)),0)</f>
        <v>0</v>
      </c>
      <c r="X54" s="681">
        <f t="array" aca="1" ref="X54" ca="1">IF(Q19=C19,SUM(IF(($BR$30:$BR$38=C19)*($BS$29:$CA$29=Q21),$BS$30:$CA$38)),0)</f>
        <v>0</v>
      </c>
      <c r="Y54" s="681">
        <f t="array" aca="1" ref="Y54" ca="1">IF(Q19=C19,SUM(IF(($BR$30:$BR$38=C19)*($BS$29:$CA$29=Q22),$BS$30:$CA$38)),0)</f>
        <v>0</v>
      </c>
      <c r="Z54" s="681">
        <f t="array" aca="1" ref="Z54" ca="1">IF(Q19=C19,SUM(IF(($BR$30:$BR$38=C19)*($BS$29:$CA$29=Q23),$BS$30:$CA$38)),0)</f>
        <v>0</v>
      </c>
      <c r="AA54" s="681">
        <f t="array" aca="1" ref="AA54" ca="1">IF(Q19=C19,SUM(IF(($BR$30:$BR$38=C19)*($BS$29:$CA$29=Q$24),$BS$30:$CA$38)),0)</f>
        <v>0</v>
      </c>
      <c r="AB54" s="681">
        <f t="array" aca="1" ref="AB54" ca="1">IF(Q19=C19,SUM(IF(($BR$30:$BR$38=C19)*($BS$29:$CA$29=Q$25),$BS$30:$CA$38)),0)</f>
        <v>0</v>
      </c>
      <c r="AC54" s="692">
        <f t="array" aca="1" ref="AC54" ca="1">IF(R19=C19,SUM(IF(($BR$30:$BR$38=C19)*($BS$29:$CA$29=R17),$BS$30:$CA$38)),0)</f>
        <v>0</v>
      </c>
      <c r="AD54" s="681">
        <f t="array" aca="1" ref="AD54" ca="1">IF(R19=C19,SUM(IF(($BR$30:$BR$38=C19)*($BS$29:$CA$29=R18),$BS$30:$CA$38)),0)</f>
        <v>0</v>
      </c>
      <c r="AE54" s="681">
        <f t="array" aca="1" ref="AE54" ca="1">IF(R19=C19,SUM(IF(($BR$30:$BR$38=C19)*($BS$29:$CA$29=R20),$BS$30:$CA$38)),0)</f>
        <v>0</v>
      </c>
      <c r="AF54" s="681">
        <f t="array" aca="1" ref="AF54" ca="1">IF(R19=C19,SUM(IF(($BR$30:$BR$38=C19)*($BS$29:$CA$29=R21),$BS$30:$CA$38)),0)</f>
        <v>0</v>
      </c>
      <c r="AG54" s="681">
        <f t="array" aca="1" ref="AG54" ca="1">IF(R19=C19,SUM(IF(($BR$30:$BR$38=C19)*($BS$29:$CA$29=R22),$BS$30:$CA$38)),0)</f>
        <v>0</v>
      </c>
      <c r="AH54" s="681">
        <f t="array" aca="1" ref="AH54" ca="1">IF(R19=C19,SUM(IF(($BR$30:$BR$38=C19)*($BS$29:$CA$29=R23),$BS$30:$CA$38)),0)</f>
        <v>0</v>
      </c>
      <c r="AI54" s="681">
        <f t="array" aca="1" ref="AI54" ca="1">IF(R19=C19,SUM(IF(($BR$30:$BR$38=C19)*($BS$29:$CA$29=R$24),$BS$30:$CA$38)),0)</f>
        <v>0</v>
      </c>
      <c r="AJ54" s="681">
        <f t="array" aca="1" ref="AJ54" ca="1">IF(R19=C19,SUM(IF(($BR$30:$BR$38=C19)*($BS$29:$CA$29=R$25),$BS$30:$CA$38)),0)</f>
        <v>0</v>
      </c>
      <c r="AK54" s="692">
        <f t="array" aca="1" ref="AK54" ca="1">IF(S19=C19,SUM(IF(($BR$30:$BR$38=C19)*($BS$29:$CA$29=S17),$BS$30:$CA$38)),0)</f>
        <v>0</v>
      </c>
      <c r="AL54" s="681">
        <f t="array" aca="1" ref="AL54" ca="1">IF(S19=C19,SUM(IF(($BR$30:$BR$38=C19)*($BS$29:$CA$29=S18),$BS$30:$CA$38)),0)</f>
        <v>0</v>
      </c>
      <c r="AM54" s="681">
        <f t="array" aca="1" ref="AM54" ca="1">IF(S19=C19,SUM(IF(($BR$30:$BR$38=C19)*($BS$29:$CA$29=S20),$BS$30:$CA$38)),0)</f>
        <v>0</v>
      </c>
      <c r="AN54" s="681">
        <f t="array" aca="1" ref="AN54" ca="1">IF(S19=C19,SUM(IF(($BR$30:$BR$38=C19)*($BS$29:$CA$29=S21),$BS$30:$CA$38)),0)</f>
        <v>0</v>
      </c>
      <c r="AO54" s="681">
        <f t="array" aca="1" ref="AO54" ca="1">IF(S19=C19,SUM(IF(($BR$30:$BR$38=C19)*($BS$29:$CA$29=S22),$BS$30:$CA$38)),0)</f>
        <v>0</v>
      </c>
      <c r="AP54" s="681">
        <f t="array" aca="1" ref="AP54" ca="1">IF(S19=C19,SUM(IF(($BR$30:$BR$38=C19)*($BS$29:$CA$29=S23),$BS$30:$CA$38)),0)</f>
        <v>0</v>
      </c>
      <c r="AQ54" s="681">
        <f t="array" aca="1" ref="AQ54" ca="1">IF(S19=C19,SUM(IF(($BR$30:$BR$38=C19)*($BS$29:$CA$29=S$24),$BS$30:$CA$38)),0)</f>
        <v>0</v>
      </c>
      <c r="AR54" s="681">
        <f t="array" aca="1" ref="AR54" ca="1">IF(S19=C19,SUM(IF(($BR$30:$BR$38=C19)*($BS$29:$CA$29=S$25),$BS$30:$CA$38)),0)</f>
        <v>0</v>
      </c>
      <c r="AS54" s="692">
        <f t="array" aca="1" ref="AS54" ca="1">IF(T19=C19,SUM(IF(($BR$30:$BR$38=C19)*($BS$29:$CA$29=T17),$BS$30:$CA$38)),0)</f>
        <v>0</v>
      </c>
      <c r="AT54" s="681">
        <f t="array" aca="1" ref="AT54" ca="1">IF(T19=C19,SUM(IF(($BR$30:$BR$38=C19)*($BS$29:$CA$29=T18),$BS$30:$CA$38)),0)</f>
        <v>0</v>
      </c>
      <c r="AU54" s="681">
        <f t="array" aca="1" ref="AU54" ca="1">IF(T19=C19,SUM(IF(($BR$30:$BR$38=C19)*($BS$29:$CA$29=T20),$BS$30:$CA$38)),0)</f>
        <v>0</v>
      </c>
      <c r="AV54" s="681">
        <f t="array" aca="1" ref="AV54" ca="1">IF(T19=C19,SUM(IF(($BR$30:$BR$38=C19)*($BS$29:$CA$29=T21),$BS$30:$CA$38)),0)</f>
        <v>0</v>
      </c>
      <c r="AW54" s="681">
        <f t="array" aca="1" ref="AW54" ca="1">IF(T19=C19,SUM(IF(($BR$30:$BR$38=C19)*($BS$29:$CA$29=T22),$BS$30:$CA$38)),0)</f>
        <v>0</v>
      </c>
      <c r="AX54" s="681">
        <f t="array" aca="1" ref="AX54" ca="1">IF(T19=C19,SUM(IF(($BR$30:$BR$38=C19)*($BS$29:$CA$29=T23),$BS$30:$CA$38)),0)</f>
        <v>0</v>
      </c>
      <c r="AY54" s="681">
        <f t="array" aca="1" ref="AY54" ca="1">IF(T19=C19,SUM(IF(($BR$30:$BR$38=C19)*($BS$29:$CA$29=T$24),$BS$30:$CA$38)),0)</f>
        <v>0</v>
      </c>
      <c r="AZ54" s="681">
        <f t="array" aca="1" ref="AZ54" ca="1">IF(T19=C19,SUM(IF(($BR$30:$BR$38=C19)*($BS$29:$CA$29=T$25),$BS$30:$CA$38)),0)</f>
        <v>0</v>
      </c>
      <c r="BA54" s="692">
        <f t="array" aca="1" ref="BA54" ca="1">IF(U19=C19,SUM(IF(($BR$30:$BR$38=C19)*($BS$29:$CA$29=U$17),$BS$30:$CA$38)),0)</f>
        <v>0</v>
      </c>
      <c r="BB54" s="681">
        <f t="array" aca="1" ref="BB54" ca="1">IF(U19=C19,SUM(IF(($BR$30:$BR$38=C19)*($BS$29:$CA$29=U$18),$BS$30:$CA$38)),0)</f>
        <v>0</v>
      </c>
      <c r="BC54" s="681">
        <f t="array" aca="1" ref="BC54" ca="1">IF(U19=C19,SUM(IF(($BR$30:$BR$38=C19)*($BS$29:$CA$29=U$20),$BS$30:$CA$38)),0)</f>
        <v>0</v>
      </c>
      <c r="BD54" s="681">
        <f t="array" aca="1" ref="BD54" ca="1">IF(U19=C19,SUM(IF(($BR$30:$BR$38=C19)*($BS$29:$CA$29=U$21),$BS$30:$CA$38)),0)</f>
        <v>0</v>
      </c>
      <c r="BE54" s="681">
        <f t="array" aca="1" ref="BE54" ca="1">IF(U19=C19,SUM(IF(($BR$30:$BR$38=C19)*($BS$29:$CA$29=U$22),$BS$30:$CA$38)),0)</f>
        <v>0</v>
      </c>
      <c r="BF54" s="681">
        <f t="array" aca="1" ref="BF54" ca="1">IF(U19=C19,SUM(IF(($BR$30:$BR$38=C19)*($BS$29:$CA$29=U$23),$BS$30:$CA$38)),0)</f>
        <v>0</v>
      </c>
      <c r="BG54" s="681">
        <f t="array" aca="1" ref="BG54" ca="1">IF(U19=C19,SUM(IF(($BR$30:$BR$38=C19)*($BS$29:$CA$29=U$24),$BS$30:$CA$38)),0)</f>
        <v>0</v>
      </c>
      <c r="BH54" s="681">
        <f t="array" aca="1" ref="BH54" ca="1">IF(U19=C19,SUM(IF(($BR$30:$BR$38=C19)*($BS$29:$CA$29=U$25),$BS$30:$CA$38)),0)</f>
        <v>0</v>
      </c>
      <c r="BI54" s="692">
        <f t="array" aca="1" ref="BI54" ca="1">IF(V19=C19,SUM(IF(($BR$30:$BR$38=C19)*($BS$29:$CA$29=V$17),$BS$30:$CA$38)),0)</f>
        <v>0</v>
      </c>
      <c r="BJ54" s="681">
        <f t="array" aca="1" ref="BJ54" ca="1">IF(V19=C19,SUM(IF(($BR$30:$BR$38=C19)*($BS$29:$CA$29=V$18),$BS$30:$CA$38)),0)</f>
        <v>0</v>
      </c>
      <c r="BK54" s="681">
        <f t="array" aca="1" ref="BK54" ca="1">IF(V19=C19,SUM(IF(($BR$30:$BR$38=C19)*($BS$29:$CA$29=V$20),$BS$30:$CA$38)),0)</f>
        <v>0</v>
      </c>
      <c r="BL54" s="681">
        <f t="array" aca="1" ref="BL54" ca="1">IF(V19=C19,SUM(IF(($BR$30:$BR$38=C19)*($BS$29:$CA$29=V$21),$BS$30:$CA$38)),0)</f>
        <v>0</v>
      </c>
      <c r="BM54" s="681">
        <f t="array" aca="1" ref="BM54" ca="1">IF(V19=C19,SUM(IF(($BR$30:$BR$38=C19)*($BS$29:$CA$29=V$22),$BS$30:$CA$38)),0)</f>
        <v>0</v>
      </c>
      <c r="BN54" s="681">
        <f t="array" aca="1" ref="BN54" ca="1">IF(V19=C19,SUM(IF(($BR$30:$BR$38=C19)*($BS$29:$CA$29=V$23),$BS$30:$CA$38)),0)</f>
        <v>0</v>
      </c>
      <c r="BO54" s="681">
        <f t="array" aca="1" ref="BO54" ca="1">IF(V19=C19,SUM(IF(($BR$30:$BR$38=C19)*($BS$29:$CA$29=V$24),$BS$30:$CA$38)),0)</f>
        <v>0</v>
      </c>
      <c r="BP54" s="701">
        <f t="array" aca="1" ref="BP54" ca="1">IF(V19=C19,SUM(IF(($BR$30:$BR$38=C19)*($BS$29:$CA$29=V$25),$BS$30:$CA$38)),0)</f>
        <v>0</v>
      </c>
      <c r="BQ54" s="681"/>
      <c r="BR54" s="660" t="str">
        <f t="shared" ca="1" si="43"/>
        <v/>
      </c>
      <c r="BS54" s="704">
        <f t="shared" ca="1" si="45"/>
        <v>0</v>
      </c>
      <c r="BT54" s="704">
        <f t="shared" ca="1" si="45"/>
        <v>0</v>
      </c>
      <c r="BU54" s="702"/>
      <c r="BV54" s="703">
        <f t="shared" ca="1" si="44"/>
        <v>0</v>
      </c>
      <c r="BW54" s="703">
        <f t="shared" ca="1" si="44"/>
        <v>0</v>
      </c>
      <c r="BX54" s="703">
        <f t="shared" ca="1" si="44"/>
        <v>0</v>
      </c>
      <c r="BY54" s="703">
        <f t="shared" ca="1" si="44"/>
        <v>0</v>
      </c>
      <c r="BZ54" s="703">
        <f t="shared" ca="1" si="44"/>
        <v>0</v>
      </c>
      <c r="CA54" s="703">
        <f t="shared" ca="1" si="44"/>
        <v>0</v>
      </c>
      <c r="CB54" s="681"/>
    </row>
    <row r="55" spans="1:80" s="1" customFormat="1" x14ac:dyDescent="0.2">
      <c r="A55" s="660"/>
      <c r="B55" s="660"/>
      <c r="C55" s="660"/>
      <c r="D55" s="660"/>
      <c r="E55" s="700">
        <f t="array" aca="1" ref="E55" ca="1">IF(O20=C20,SUM(IF(($BR$30:$BR$38=C20)*($BS$29:$CA$29=O17),$BS$30:$CA$38)),0)</f>
        <v>0</v>
      </c>
      <c r="F55" s="681">
        <f t="array" aca="1" ref="F55" ca="1">IF(O20=C20,SUM(IF(($BR$30:$BR$38=C20)*($BS$29:$CA$29=O18),$BS$30:$CA$38)),0)</f>
        <v>0</v>
      </c>
      <c r="G55" s="681">
        <f t="array" aca="1" ref="G55" ca="1">IF(O20=C20,SUM(IF(($BR$30:$BR$38=C20)*($BS$29:$CA$29=O19),$BS$30:$CA$38)),0)</f>
        <v>0</v>
      </c>
      <c r="H55" s="681">
        <f t="array" aca="1" ref="H55" ca="1">IF(O20=C20,SUM(IF(($BR$30:$BR$38=C20)*($BS$29:$CA$29=O21),$BS$30:$CA$38)),0)</f>
        <v>0</v>
      </c>
      <c r="I55" s="681">
        <f t="array" aca="1" ref="I55" ca="1">IF(O20=C20,SUM(IF(($BR$30:$BR$38=C20)*($BS$29:$CA$29=O22),$BS$30:$CA$38)),0)</f>
        <v>0</v>
      </c>
      <c r="J55" s="681">
        <f t="array" aca="1" ref="J55" ca="1">IF(O20=C20,SUM(IF(($BR$30:$BR$38=C20)*($BS$29:$CA$29=O23),$BS$30:$CA$38)),0)</f>
        <v>0</v>
      </c>
      <c r="K55" s="681">
        <f t="array" aca="1" ref="K55" ca="1">IF(O20=C20,SUM(IF(($BR$30:$BR$38=C20)*($BS$29:$CA$29=O$24),$BS$30:$CA$38)),0)</f>
        <v>0</v>
      </c>
      <c r="L55" s="681">
        <f t="array" aca="1" ref="L55" ca="1">IF(O20=C20,SUM(IF(($BR$30:$BR$38=C20)*($BS$29:$CA$29=O$25),$BS$30:$CA$38)),0)</f>
        <v>0</v>
      </c>
      <c r="M55" s="692">
        <f t="array" aca="1" ref="M55" ca="1">IF(P20=C20,SUM(IF(($BR$30:$BR$38=C20)*($BS$29:$CA$29=P17),$BS$30:$CA$38)),0)</f>
        <v>0</v>
      </c>
      <c r="N55" s="681">
        <f t="array" aca="1" ref="N55" ca="1">IF(P20=C20,SUM(IF(($BR$30:$BR$38=C20)*($BS$29:$CA$29=P18),$BS$30:$CA$38)),0)</f>
        <v>0</v>
      </c>
      <c r="O55" s="681">
        <f t="array" aca="1" ref="O55" ca="1">IF(P20=C20,SUM(IF(($BR$30:$BR$38=C20)*($BS$29:$CA$29=P19),$BS$30:$CA$38)),0)</f>
        <v>0</v>
      </c>
      <c r="P55" s="681">
        <f t="array" aca="1" ref="P55" ca="1">IF(P20=C20,SUM(IF(($BR$30:$BR$38=C20)*($BS$29:$CA$29=P21),$BS$30:$CA$38)),0)</f>
        <v>0</v>
      </c>
      <c r="Q55" s="681">
        <f t="array" aca="1" ref="Q55" ca="1">IF(P20=C20,SUM(IF(($BR$30:$BR$38=C20)*($BS$29:$CA$29=P22),$BS$30:$CA$38)),0)</f>
        <v>0</v>
      </c>
      <c r="R55" s="681">
        <f t="array" aca="1" ref="R55" ca="1">IF(P20=C20,SUM(IF(($BR$30:$BR$38=C20)*($BS$29:$CA$29=P23),$BS$30:$CA$38)),0)</f>
        <v>0</v>
      </c>
      <c r="S55" s="681">
        <f t="array" aca="1" ref="S55" ca="1">IF(P20=C20,SUM(IF(($BR$30:$BR$38=C20)*($BS$29:$CA$29=P$24),$BS$30:$CA$38)),0)</f>
        <v>0</v>
      </c>
      <c r="T55" s="681">
        <f t="array" aca="1" ref="T55" ca="1">IF(P20=C20,SUM(IF(($BR$30:$BR$38=C20)*($BS$29:$CA$29=P$25),$BS$30:$CA$38)),0)</f>
        <v>0</v>
      </c>
      <c r="U55" s="692">
        <f t="array" aca="1" ref="U55" ca="1">IF(Q20=C20,SUM(IF(($BR$30:$BR$38=C20)*($BS$29:$CA$29=Q17),$BS$30:$CA$38)),0)</f>
        <v>0</v>
      </c>
      <c r="V55" s="681">
        <f t="array" aca="1" ref="V55" ca="1">IF(Q20=C20,SUM(IF(($BR$30:$BR$38=C20)*($BS$29:$CA$29=Q18),$BS$30:$CA$38)),0)</f>
        <v>0</v>
      </c>
      <c r="W55" s="681">
        <f t="array" aca="1" ref="W55" ca="1">IF(Q20=C20,SUM(IF(($BR$30:$BR$38=C20)*($BS$29:$CA$29=Q19),$BS$30:$CA$38)),0)</f>
        <v>0</v>
      </c>
      <c r="X55" s="681">
        <f t="array" aca="1" ref="X55" ca="1">IF(Q20=C20,SUM(IF(($BR$30:$BR$38=C20)*($BS$29:$CA$29=Q21),$BS$30:$CA$38)),0)</f>
        <v>0</v>
      </c>
      <c r="Y55" s="681">
        <f t="array" aca="1" ref="Y55" ca="1">IF(Q20=C20,SUM(IF(($BR$30:$BR$38=C20)*($BS$29:$CA$29=Q22),$BS$30:$CA$38)),0)</f>
        <v>0</v>
      </c>
      <c r="Z55" s="681">
        <f t="array" aca="1" ref="Z55" ca="1">IF(Q20=C20,SUM(IF(($BR$30:$BR$38=C20)*($BS$29:$CA$29=Q23),$BS$30:$CA$38)),0)</f>
        <v>0</v>
      </c>
      <c r="AA55" s="681">
        <f t="array" aca="1" ref="AA55" ca="1">IF(Q20=C20,SUM(IF(($BR$30:$BR$38=C20)*($BS$29:$CA$29=Q$24),$BS$30:$CA$38)),0)</f>
        <v>0</v>
      </c>
      <c r="AB55" s="681">
        <f t="array" aca="1" ref="AB55" ca="1">IF(Q20=C20,SUM(IF(($BR$30:$BR$38=C20)*($BS$29:$CA$29=Q$25),$BS$30:$CA$38)),0)</f>
        <v>0</v>
      </c>
      <c r="AC55" s="692">
        <f t="array" aca="1" ref="AC55" ca="1">IF(R20=C20,SUM(IF(($BR$30:$BR$38=C20)*($BS$29:$CA$29=R17),$BS$30:$CA$38)),0)</f>
        <v>0</v>
      </c>
      <c r="AD55" s="681">
        <f t="array" aca="1" ref="AD55" ca="1">IF(R20=C20,SUM(IF(($BR$30:$BR$38=C20)*($BS$29:$CA$29=R18),$BS$30:$CA$38)),0)</f>
        <v>0</v>
      </c>
      <c r="AE55" s="681">
        <f t="array" aca="1" ref="AE55" ca="1">IF(R20=C20,SUM(IF(($BR$30:$BR$38=C20)*($BS$29:$CA$29=R19),$BS$30:$CA$38)),0)</f>
        <v>0</v>
      </c>
      <c r="AF55" s="681">
        <f t="array" aca="1" ref="AF55" ca="1">IF(R20=C20,SUM(IF(($BR$30:$BR$38=C20)*($BS$29:$CA$29=R21),$BS$30:$CA$38)),0)</f>
        <v>0</v>
      </c>
      <c r="AG55" s="681">
        <f t="array" aca="1" ref="AG55" ca="1">IF(R20=C20,SUM(IF(($BR$30:$BR$38=C20)*($BS$29:$CA$29=R22),$BS$30:$CA$38)),0)</f>
        <v>0</v>
      </c>
      <c r="AH55" s="681">
        <f t="array" aca="1" ref="AH55" ca="1">IF(R20=C20,SUM(IF(($BR$30:$BR$38=C20)*($BS$29:$CA$29=R23),$BS$30:$CA$38)),0)</f>
        <v>0</v>
      </c>
      <c r="AI55" s="681">
        <f t="array" aca="1" ref="AI55" ca="1">IF(R20=C20,SUM(IF(($BR$30:$BR$38=C20)*($BS$29:$CA$29=R$24),$BS$30:$CA$38)),0)</f>
        <v>0</v>
      </c>
      <c r="AJ55" s="681">
        <f t="array" aca="1" ref="AJ55" ca="1">IF(R20=C20,SUM(IF(($BR$30:$BR$38=C20)*($BS$29:$CA$29=R$25),$BS$30:$CA$38)),0)</f>
        <v>0</v>
      </c>
      <c r="AK55" s="692">
        <f t="array" aca="1" ref="AK55" ca="1">IF(S20=C20,SUM(IF(($BR$30:$BR$38=C20)*($BS$29:$CA$29=S17),$BS$30:$CA$38)),0)</f>
        <v>0</v>
      </c>
      <c r="AL55" s="681">
        <f t="array" aca="1" ref="AL55" ca="1">IF(S20=C20,SUM(IF(($BR$30:$BR$38=C20)*($BS$29:$CA$29=S18),$BS$30:$CA$38)),0)</f>
        <v>0</v>
      </c>
      <c r="AM55" s="681">
        <f t="array" aca="1" ref="AM55" ca="1">IF(S20=C20,SUM(IF(($BR$30:$BR$38=C20)*($BS$29:$CA$29=S19),$BS$30:$CA$38)),0)</f>
        <v>0</v>
      </c>
      <c r="AN55" s="681">
        <f t="array" aca="1" ref="AN55" ca="1">IF(S20=C20,SUM(IF(($BR$30:$BR$38=C20)*($BS$29:$CA$29=S21),$BS$30:$CA$38)),0)</f>
        <v>0</v>
      </c>
      <c r="AO55" s="681">
        <f t="array" aca="1" ref="AO55" ca="1">IF(S20=C20,SUM(IF(($BR$30:$BR$38=C20)*($BS$29:$CA$29=S22),$BS$30:$CA$38)),0)</f>
        <v>0</v>
      </c>
      <c r="AP55" s="681">
        <f t="array" aca="1" ref="AP55" ca="1">IF(S20=C20,SUM(IF(($BR$30:$BR$38=C20)*($BS$29:$CA$29=S23),$BS$30:$CA$38)),0)</f>
        <v>0</v>
      </c>
      <c r="AQ55" s="681">
        <f t="array" aca="1" ref="AQ55" ca="1">IF(S20=C20,SUM(IF(($BR$30:$BR$38=C20)*($BS$29:$CA$29=S$24),$BS$30:$CA$38)),0)</f>
        <v>0</v>
      </c>
      <c r="AR55" s="681">
        <f t="array" aca="1" ref="AR55" ca="1">IF(S20=C20,SUM(IF(($BR$30:$BR$38=C20)*($BS$29:$CA$29=S$25),$BS$30:$CA$38)),0)</f>
        <v>0</v>
      </c>
      <c r="AS55" s="692">
        <f t="array" aca="1" ref="AS55" ca="1">IF(T20=C20,SUM(IF(($BR$30:$BR$38=C20)*($BS$29:$CA$29=T17),$BS$30:$CA$38)),0)</f>
        <v>0</v>
      </c>
      <c r="AT55" s="681">
        <f t="array" aca="1" ref="AT55" ca="1">IF(T20=C20,SUM(IF(($BR$30:$BR$38=C20)*($BS$29:$CA$29=T18),$BS$30:$CA$38)),0)</f>
        <v>0</v>
      </c>
      <c r="AU55" s="681">
        <f t="array" aca="1" ref="AU55" ca="1">IF(T20=C20,SUM(IF(($BR$30:$BR$38=C20)*($BS$29:$CA$29=T19),$BS$30:$CA$38)),0)</f>
        <v>0</v>
      </c>
      <c r="AV55" s="681">
        <f t="array" aca="1" ref="AV55" ca="1">IF(T20=C20,SUM(IF(($BR$30:$BR$38=C20)*($BS$29:$CA$29=T21),$BS$30:$CA$38)),0)</f>
        <v>0</v>
      </c>
      <c r="AW55" s="681">
        <f t="array" aca="1" ref="AW55" ca="1">IF(T20=C20,SUM(IF(($BR$30:$BR$38=C20)*($BS$29:$CA$29=T22),$BS$30:$CA$38)),0)</f>
        <v>0</v>
      </c>
      <c r="AX55" s="681">
        <f t="array" aca="1" ref="AX55" ca="1">IF(T20=C20,SUM(IF(($BR$30:$BR$38=C20)*($BS$29:$CA$29=T23),$BS$30:$CA$38)),0)</f>
        <v>0</v>
      </c>
      <c r="AY55" s="681">
        <f t="array" aca="1" ref="AY55" ca="1">IF(T20=C20,SUM(IF(($BR$30:$BR$38=C20)*($BS$29:$CA$29=T$24),$BS$30:$CA$38)),0)</f>
        <v>0</v>
      </c>
      <c r="AZ55" s="681">
        <f t="array" aca="1" ref="AZ55" ca="1">IF(T20=C20,SUM(IF(($BR$30:$BR$38=C20)*($BS$29:$CA$29=T$25),$BS$30:$CA$38)),0)</f>
        <v>0</v>
      </c>
      <c r="BA55" s="692">
        <f t="array" aca="1" ref="BA55" ca="1">IF(U20=C20,SUM(IF(($BR$30:$BR$38=C20)*($BS$29:$CA$29=U$17),$BS$30:$CA$38)),0)</f>
        <v>0</v>
      </c>
      <c r="BB55" s="681">
        <f t="array" aca="1" ref="BB55" ca="1">IF(U20=C20,SUM(IF(($BR$30:$BR$38=C20)*($BS$29:$CA$29=U$18),$BS$30:$CA$38)),0)</f>
        <v>0</v>
      </c>
      <c r="BC55" s="681">
        <f t="array" aca="1" ref="BC55" ca="1">IF(U20=C20,SUM(IF(($BR$30:$BR$38=C20)*($BS$29:$CA$29=U$19),$BS$30:$CA$38)),0)</f>
        <v>0</v>
      </c>
      <c r="BD55" s="681">
        <f t="array" aca="1" ref="BD55" ca="1">IF(U20=C20,SUM(IF(($BR$30:$BR$38=C20)*($BS$29:$CA$29=U$21),$BS$30:$CA$38)),0)</f>
        <v>0</v>
      </c>
      <c r="BE55" s="681">
        <f t="array" aca="1" ref="BE55" ca="1">IF(U20=C20,SUM(IF(($BR$30:$BR$38=C20)*($BS$29:$CA$29=U$22),$BS$30:$CA$38)),0)</f>
        <v>0</v>
      </c>
      <c r="BF55" s="681">
        <f t="array" aca="1" ref="BF55" ca="1">IF(U20=C20,SUM(IF(($BR$30:$BR$38=C20)*($BS$29:$CA$29=U$23),$BS$30:$CA$38)),0)</f>
        <v>0</v>
      </c>
      <c r="BG55" s="681">
        <f t="array" aca="1" ref="BG55" ca="1">IF(U20=C20,SUM(IF(($BR$30:$BR$38=C20)*($BS$29:$CA$29=U$24),$BS$30:$CA$38)),0)</f>
        <v>0</v>
      </c>
      <c r="BH55" s="681">
        <f t="array" aca="1" ref="BH55" ca="1">IF(U20=C20,SUM(IF(($BR$30:$BR$38=C20)*($BS$29:$CA$29=U$25),$BS$30:$CA$38)),0)</f>
        <v>0</v>
      </c>
      <c r="BI55" s="692">
        <f t="array" aca="1" ref="BI55" ca="1">IF(V20=C20,SUM(IF(($BR$30:$BR$38=C20)*($BS$29:$CA$29=V$17),$BS$30:$CA$38)),0)</f>
        <v>0</v>
      </c>
      <c r="BJ55" s="681">
        <f t="array" aca="1" ref="BJ55" ca="1">IF(V20=C20,SUM(IF(($BR$30:$BR$38=C20)*($BS$29:$CA$29=V$18),$BS$30:$CA$38)),0)</f>
        <v>0</v>
      </c>
      <c r="BK55" s="681">
        <f t="array" aca="1" ref="BK55" ca="1">IF(V20=C20,SUM(IF(($BR$30:$BR$38=C20)*($BS$29:$CA$29=V$19),$BS$30:$CA$38)),0)</f>
        <v>0</v>
      </c>
      <c r="BL55" s="681">
        <f t="array" aca="1" ref="BL55" ca="1">IF(V20=C20,SUM(IF(($BR$30:$BR$38=C20)*($BS$29:$CA$29=V$21),$BS$30:$CA$38)),0)</f>
        <v>0</v>
      </c>
      <c r="BM55" s="681">
        <f t="array" aca="1" ref="BM55" ca="1">IF(V20=C20,SUM(IF(($BR$30:$BR$38=C20)*($BS$29:$CA$29=V$22),$BS$30:$CA$38)),0)</f>
        <v>0</v>
      </c>
      <c r="BN55" s="681">
        <f t="array" aca="1" ref="BN55" ca="1">IF(V20=C20,SUM(IF(($BR$30:$BR$38=C20)*($BS$29:$CA$29=V$23),$BS$30:$CA$38)),0)</f>
        <v>0</v>
      </c>
      <c r="BO55" s="681">
        <f t="array" aca="1" ref="BO55" ca="1">IF(V20=C20,SUM(IF(($BR$30:$BR$38=C20)*($BS$29:$CA$29=V$24),$BS$30:$CA$38)),0)</f>
        <v>0</v>
      </c>
      <c r="BP55" s="701">
        <f t="array" aca="1" ref="BP55" ca="1">IF(V20=C20,SUM(IF(($BR$30:$BR$38=C20)*($BS$29:$CA$29=V$25),$BS$30:$CA$38)),0)</f>
        <v>0</v>
      </c>
      <c r="BQ55" s="681"/>
      <c r="BR55" s="660" t="str">
        <f t="shared" ca="1" si="43"/>
        <v/>
      </c>
      <c r="BS55" s="704">
        <f t="shared" ca="1" si="45"/>
        <v>0</v>
      </c>
      <c r="BT55" s="704">
        <f t="shared" ca="1" si="45"/>
        <v>0</v>
      </c>
      <c r="BU55" s="704">
        <f t="shared" ca="1" si="45"/>
        <v>0</v>
      </c>
      <c r="BV55" s="702"/>
      <c r="BW55" s="703">
        <f ca="1">SUMIFS($AJ$64:$AJ$135,$V$64:$V$135,$BR55,$W$64:$W$135,BW$51)+SUMIFS($AK$64:$AK$135,$W$64:$W$135,$BR55,$V$64:$V$135,BW$51)</f>
        <v>0</v>
      </c>
      <c r="BX55" s="703">
        <f ca="1">SUMIFS($AJ$64:$AJ$135,$V$64:$V$135,$BR55,$W$64:$W$135,BX$51)+SUMIFS($AK$64:$AK$135,$W$64:$W$135,$BR55,$V$64:$V$135,BX$51)</f>
        <v>0</v>
      </c>
      <c r="BY55" s="703">
        <f ca="1">SUMIFS($AJ$64:$AJ$135,$V$64:$V$135,$BR55,$W$64:$W$135,BY$51)+SUMIFS($AK$64:$AK$135,$W$64:$W$135,$BR55,$V$64:$V$135,BY$51)</f>
        <v>0</v>
      </c>
      <c r="BZ55" s="703">
        <f ca="1">SUMIFS($AJ$64:$AJ$135,$V$64:$V$135,$BR55,$W$64:$W$135,BZ$51)+SUMIFS($AK$64:$AK$135,$W$64:$W$135,$BR55,$V$64:$V$135,BZ$51)</f>
        <v>0</v>
      </c>
      <c r="CA55" s="703">
        <f ca="1">SUMIFS($AJ$64:$AJ$135,$V$64:$V$135,$BR55,$W$64:$W$135,CA$51)+SUMIFS($AK$64:$AK$135,$W$64:$W$135,$BR55,$V$64:$V$135,CA$51)</f>
        <v>0</v>
      </c>
      <c r="CB55" s="681"/>
    </row>
    <row r="56" spans="1:80" s="1" customFormat="1" x14ac:dyDescent="0.2">
      <c r="A56" s="660"/>
      <c r="B56" s="660"/>
      <c r="C56" s="660"/>
      <c r="D56" s="660"/>
      <c r="E56" s="700">
        <f t="array" aca="1" ref="E56" ca="1">IF(O21=C21,SUM(IF(($BR$30:$BR$38=C21)*($BS$29:$CA$29=O17),$BS$30:$CA$38)),0)</f>
        <v>0</v>
      </c>
      <c r="F56" s="681">
        <f t="array" aca="1" ref="F56" ca="1">IF(O21=C21,SUM(IF(($BR$30:$BR$38=C21)*($BS$29:$CA$29=O18),$BS$30:$CA$38)),0)</f>
        <v>0</v>
      </c>
      <c r="G56" s="681">
        <f t="array" aca="1" ref="G56" ca="1">IF(O21=C21,SUM(IF(($BR$30:$BR$38=C21)*($BS$29:$CA$29=O19),$BS$30:$CA$38)),0)</f>
        <v>0</v>
      </c>
      <c r="H56" s="681">
        <f t="array" aca="1" ref="H56" ca="1">IF(O21=C21,SUM(IF(($BR$30:$BR$38=C21)*($BS$29:$CA$29=O20),$BS$30:$CA$38)),0)</f>
        <v>0</v>
      </c>
      <c r="I56" s="681">
        <f t="array" aca="1" ref="I56" ca="1">IF(O21=C21,SUM(IF(($BR$30:$BR$38=C21)*($BS$29:$CA$29=O22),$BS$30:$CA$38)),0)</f>
        <v>0</v>
      </c>
      <c r="J56" s="681">
        <f t="array" aca="1" ref="J56" ca="1">IF(O21=C21,SUM(IF(($BR$30:$BR$38=C21)*($BS$29:$CA$29=O23),$BS$30:$CA$38)),0)</f>
        <v>0</v>
      </c>
      <c r="K56" s="681">
        <f t="array" aca="1" ref="K56" ca="1">IF(O21=C21,SUM(IF(($BR$30:$BR$38=C21)*($BS$29:$CA$29=O$24),$BS$30:$CA$38)),0)</f>
        <v>0</v>
      </c>
      <c r="L56" s="681">
        <f t="array" aca="1" ref="L56" ca="1">IF(O21=C21,SUM(IF(($BR$30:$BR$38=C21)*($BS$29:$CA$29=O$25),$BS$30:$CA$38)),0)</f>
        <v>0</v>
      </c>
      <c r="M56" s="692">
        <f t="array" aca="1" ref="M56" ca="1">IF(P21=C21,SUM(IF(($BR$30:$BR$38=C21)*($BS$29:$CA$29=P17),$BS$30:$CA$38)),0)</f>
        <v>0</v>
      </c>
      <c r="N56" s="681">
        <f t="array" aca="1" ref="N56" ca="1">IF(P21=C21,SUM(IF(($BR$30:$BR$38=C21)*($BS$29:$CA$29=P18),$BS$30:$CA$38)),0)</f>
        <v>0</v>
      </c>
      <c r="O56" s="681">
        <f t="array" aca="1" ref="O56" ca="1">IF(P21=C21,SUM(IF(($BR$30:$BR$38=C21)*($BS$29:$CA$29=P19),$BS$30:$CA$38)),0)</f>
        <v>0</v>
      </c>
      <c r="P56" s="681">
        <f t="array" aca="1" ref="P56" ca="1">IF(P21=C21,SUM(IF(($BR$30:$BR$38=C21)*($BS$29:$CA$29=P20),$BS$30:$CA$38)),0)</f>
        <v>0</v>
      </c>
      <c r="Q56" s="681">
        <f t="array" aca="1" ref="Q56" ca="1">IF(P21=C21,SUM(IF(($BR$30:$BR$38=C21)*($BS$29:$CA$29=P22),$BS$30:$CA$38)),0)</f>
        <v>0</v>
      </c>
      <c r="R56" s="681">
        <f t="array" aca="1" ref="R56" ca="1">IF(P21=C21,SUM(IF(($BR$30:$BR$38=C21)*($BS$29:$CA$29=P23),$BS$30:$CA$38)),0)</f>
        <v>0</v>
      </c>
      <c r="S56" s="681">
        <f t="array" aca="1" ref="S56" ca="1">IF(P21=C21,SUM(IF(($BR$30:$BR$38=C21)*($BS$29:$CA$29=P$24),$BS$30:$CA$38)),0)</f>
        <v>0</v>
      </c>
      <c r="T56" s="681">
        <f t="array" aca="1" ref="T56" ca="1">IF(P21=C21,SUM(IF(($BR$30:$BR$38=C21)*($BS$29:$CA$29=P$25),$BS$30:$CA$38)),0)</f>
        <v>0</v>
      </c>
      <c r="U56" s="692">
        <f t="array" aca="1" ref="U56" ca="1">IF(Q21=C21,SUM(IF(($BR$30:$BR$38=C21)*($BS$29:$CA$29=Q17),$BS$30:$CA$38)),0)</f>
        <v>0</v>
      </c>
      <c r="V56" s="681">
        <f t="array" aca="1" ref="V56" ca="1">IF(Q21=C21,SUM(IF(($BR$30:$BR$38=C21)*($BS$29:$CA$29=Q18),$BS$30:$CA$38)),0)</f>
        <v>0</v>
      </c>
      <c r="W56" s="681">
        <f t="array" aca="1" ref="W56" ca="1">IF(Q21=C21,SUM(IF(($BR$30:$BR$38=C21)*($BS$29:$CA$29=Q19),$BS$30:$CA$38)),0)</f>
        <v>0</v>
      </c>
      <c r="X56" s="681">
        <f t="array" aca="1" ref="X56" ca="1">IF(Q21=C21,SUM(IF(($BR$30:$BR$38=C21)*($BS$29:$CA$29=Q20),$BS$30:$CA$38)),0)</f>
        <v>0</v>
      </c>
      <c r="Y56" s="681">
        <f t="array" aca="1" ref="Y56" ca="1">IF(Q21=C21,SUM(IF(($BR$30:$BR$38=C21)*($BS$29:$CA$29=Q22),$BS$30:$CA$38)),0)</f>
        <v>0</v>
      </c>
      <c r="Z56" s="681">
        <f t="array" aca="1" ref="Z56" ca="1">IF(Q21=C21,SUM(IF(($BR$30:$BR$38=C21)*($BS$29:$CA$29=Q23),$BS$30:$CA$38)),0)</f>
        <v>0</v>
      </c>
      <c r="AA56" s="681">
        <f t="array" aca="1" ref="AA56" ca="1">IF(Q21=C21,SUM(IF(($BR$30:$BR$38=C21)*($BS$29:$CA$29=Q$24),$BS$30:$CA$38)),0)</f>
        <v>0</v>
      </c>
      <c r="AB56" s="681">
        <f t="array" aca="1" ref="AB56" ca="1">IF(Q21=C21,SUM(IF(($BR$30:$BR$38=C21)*($BS$29:$CA$29=Q$25),$BS$30:$CA$38)),0)</f>
        <v>0</v>
      </c>
      <c r="AC56" s="692">
        <f t="array" aca="1" ref="AC56" ca="1">IF(R21=C21,SUM(IF(($BR$30:$BR$38=C21)*($BS$29:$CA$29=R17),$BS$30:$CA$38)),0)</f>
        <v>0</v>
      </c>
      <c r="AD56" s="681">
        <f t="array" aca="1" ref="AD56" ca="1">IF(R21=C21,SUM(IF(($BR$30:$BR$38=C21)*($BS$29:$CA$29=R18),$BS$30:$CA$38)),0)</f>
        <v>0</v>
      </c>
      <c r="AE56" s="681">
        <f t="array" aca="1" ref="AE56" ca="1">IF(R21=C21,SUM(IF(($BR$30:$BR$38=C21)*($BS$29:$CA$29=R19),$BS$30:$CA$38)),0)</f>
        <v>0</v>
      </c>
      <c r="AF56" s="681">
        <f t="array" aca="1" ref="AF56" ca="1">IF(R21=C21,SUM(IF(($BR$30:$BR$38=C21)*($BS$29:$CA$29=R20),$BS$30:$CA$38)),0)</f>
        <v>0</v>
      </c>
      <c r="AG56" s="681">
        <f t="array" aca="1" ref="AG56" ca="1">IF(R21=C21,SUM(IF(($BR$30:$BR$38=C21)*($BS$29:$CA$29=R22),$BS$30:$CA$38)),0)</f>
        <v>0</v>
      </c>
      <c r="AH56" s="681">
        <f t="array" aca="1" ref="AH56" ca="1">IF(R21=C21,SUM(IF(($BR$30:$BR$38=C21)*($BS$29:$CA$29=R23),$BS$30:$CA$38)),0)</f>
        <v>0</v>
      </c>
      <c r="AI56" s="681">
        <f t="array" aca="1" ref="AI56" ca="1">IF(R21=C21,SUM(IF(($BR$30:$BR$38=C21)*($BS$29:$CA$29=R$24),$BS$30:$CA$38)),0)</f>
        <v>0</v>
      </c>
      <c r="AJ56" s="681">
        <f t="array" aca="1" ref="AJ56" ca="1">IF(R21=C21,SUM(IF(($BR$30:$BR$38=C21)*($BS$29:$CA$29=R$25),$BS$30:$CA$38)),0)</f>
        <v>0</v>
      </c>
      <c r="AK56" s="692">
        <f t="array" aca="1" ref="AK56" ca="1">IF(S21=C21,SUM(IF(($BR$30:$BR$38=C21)*($BS$29:$CA$29=S17),$BS$30:$CA$38)),0)</f>
        <v>0</v>
      </c>
      <c r="AL56" s="681">
        <f t="array" aca="1" ref="AL56" ca="1">IF(S21=C21,SUM(IF(($BR$30:$BR$38=C21)*($BS$29:$CA$29=S18),$BS$30:$CA$38)),0)</f>
        <v>0</v>
      </c>
      <c r="AM56" s="681">
        <f t="array" aca="1" ref="AM56" ca="1">IF(S21=C21,SUM(IF(($BR$30:$BR$38=C21)*($BS$29:$CA$29=S19),$BS$30:$CA$38)),0)</f>
        <v>0</v>
      </c>
      <c r="AN56" s="681">
        <f t="array" aca="1" ref="AN56" ca="1">IF(S21=C21,SUM(IF(($BR$30:$BR$38=C21)*($BS$29:$CA$29=S20),$BS$30:$CA$38)),0)</f>
        <v>0</v>
      </c>
      <c r="AO56" s="681">
        <f t="array" aca="1" ref="AO56" ca="1">IF(S21=C21,SUM(IF(($BR$30:$BR$38=C21)*($BS$29:$CA$29=S22),$BS$30:$CA$38)),0)</f>
        <v>0</v>
      </c>
      <c r="AP56" s="681">
        <f t="array" aca="1" ref="AP56" ca="1">IF(S21=C21,SUM(IF(($BR$30:$BR$38=C21)*($BS$29:$CA$29=S23),$BS$30:$CA$38)),0)</f>
        <v>0</v>
      </c>
      <c r="AQ56" s="681">
        <f t="array" aca="1" ref="AQ56" ca="1">IF(S21=C21,SUM(IF(($BR$30:$BR$38=C21)*($BS$29:$CA$29=S$24),$BS$30:$CA$38)),0)</f>
        <v>0</v>
      </c>
      <c r="AR56" s="681">
        <f t="array" aca="1" ref="AR56" ca="1">IF(S21=C21,SUM(IF(($BR$30:$BR$38=C21)*($BS$29:$CA$29=S$25),$BS$30:$CA$38)),0)</f>
        <v>0</v>
      </c>
      <c r="AS56" s="692">
        <f t="array" aca="1" ref="AS56" ca="1">IF(T21=C21,SUM(IF(($BR$30:$BR$38=C21)*($BS$29:$CA$29=T17),$BS$30:$CA$38)),0)</f>
        <v>0</v>
      </c>
      <c r="AT56" s="681">
        <f t="array" aca="1" ref="AT56" ca="1">IF(T21=C21,SUM(IF(($BR$30:$BR$38=C21)*($BS$29:$CA$29=T18),$BS$30:$CA$38)),0)</f>
        <v>0</v>
      </c>
      <c r="AU56" s="681">
        <f t="array" aca="1" ref="AU56" ca="1">IF(T21=C21,SUM(IF(($BR$30:$BR$38=C21)*($BS$29:$CA$29=T19),$BS$30:$CA$38)),0)</f>
        <v>0</v>
      </c>
      <c r="AV56" s="681">
        <f t="array" aca="1" ref="AV56" ca="1">IF(T21=C21,SUM(IF(($BR$30:$BR$38=C21)*($BS$29:$CA$29=T20),$BS$30:$CA$38)),0)</f>
        <v>0</v>
      </c>
      <c r="AW56" s="681">
        <f t="array" aca="1" ref="AW56" ca="1">IF(T21=C21,SUM(IF(($BR$30:$BR$38=C21)*($BS$29:$CA$29=T22),$BS$30:$CA$38)),0)</f>
        <v>0</v>
      </c>
      <c r="AX56" s="681">
        <f t="array" aca="1" ref="AX56" ca="1">IF(T21=C21,SUM(IF(($BR$30:$BR$38=C21)*($BS$29:$CA$29=T23),$BS$30:$CA$38)),0)</f>
        <v>0</v>
      </c>
      <c r="AY56" s="681">
        <f t="array" aca="1" ref="AY56" ca="1">IF(T21=C21,SUM(IF(($BR$30:$BR$38=C21)*($BS$29:$CA$29=T$24),$BS$30:$CA$38)),0)</f>
        <v>0</v>
      </c>
      <c r="AZ56" s="681">
        <f t="array" aca="1" ref="AZ56" ca="1">IF(T21=C21,SUM(IF(($BR$30:$BR$38=C21)*($BS$29:$CA$29=T$25),$BS$30:$CA$38)),0)</f>
        <v>0</v>
      </c>
      <c r="BA56" s="692">
        <f t="array" aca="1" ref="BA56" ca="1">IF(U21=C21,SUM(IF(($BR$30:$BR$38=C21)*($BS$29:$CA$29=U$17),$BS$30:$CA$38)),0)</f>
        <v>0</v>
      </c>
      <c r="BB56" s="681">
        <f t="array" aca="1" ref="BB56" ca="1">IF(U21=C21,SUM(IF(($BR$30:$BR$38=C21)*($BS$29:$CA$29=U$18),$BS$30:$CA$38)),0)</f>
        <v>0</v>
      </c>
      <c r="BC56" s="681">
        <f t="array" aca="1" ref="BC56" ca="1">IF(U21=C21,SUM(IF(($BR$30:$BR$38=C21)*($BS$29:$CA$29=U$19),$BS$30:$CA$38)),0)</f>
        <v>0</v>
      </c>
      <c r="BD56" s="681">
        <f t="array" aca="1" ref="BD56" ca="1">IF(U21=C21,SUM(IF(($BR$30:$BR$38=C21)*($BS$29:$CA$29=U$20),$BS$30:$CA$38)),0)</f>
        <v>0</v>
      </c>
      <c r="BE56" s="681">
        <f t="array" aca="1" ref="BE56" ca="1">IF(U21=C21,SUM(IF(($BR$30:$BR$38=C21)*($BS$29:$CA$29=U$22),$BS$30:$CA$38)),0)</f>
        <v>0</v>
      </c>
      <c r="BF56" s="681">
        <f t="array" aca="1" ref="BF56" ca="1">IF(U21=C21,SUM(IF(($BR$30:$BR$38=C21)*($BS$29:$CA$29=U$23),$BS$30:$CA$38)),0)</f>
        <v>0</v>
      </c>
      <c r="BG56" s="681">
        <f t="array" aca="1" ref="BG56" ca="1">IF(U21=C21,SUM(IF(($BR$30:$BR$38=C21)*($BS$29:$CA$29=U$24),$BS$30:$CA$38)),0)</f>
        <v>0</v>
      </c>
      <c r="BH56" s="681">
        <f t="array" aca="1" ref="BH56" ca="1">IF(U21=C21,SUM(IF(($BR$30:$BR$38=C21)*($BS$29:$CA$29=U$25),$BS$30:$CA$38)),0)</f>
        <v>0</v>
      </c>
      <c r="BI56" s="692">
        <f t="array" aca="1" ref="BI56" ca="1">IF(V21=C21,SUM(IF(($BR$30:$BR$38=C21)*($BS$29:$CA$29=V$17),$BS$30:$CA$38)),0)</f>
        <v>0</v>
      </c>
      <c r="BJ56" s="681">
        <f t="array" aca="1" ref="BJ56" ca="1">IF(V21=C21,SUM(IF(($BR$30:$BR$38=C21)*($BS$29:$CA$29=V$18),$BS$30:$CA$38)),0)</f>
        <v>0</v>
      </c>
      <c r="BK56" s="681">
        <f t="array" aca="1" ref="BK56" ca="1">IF(V21=C21,SUM(IF(($BR$30:$BR$38=C21)*($BS$29:$CA$29=V$19),$BS$30:$CA$38)),0)</f>
        <v>0</v>
      </c>
      <c r="BL56" s="681">
        <f t="array" aca="1" ref="BL56" ca="1">IF(V21=C21,SUM(IF(($BR$30:$BR$38=C21)*($BS$29:$CA$29=V$20),$BS$30:$CA$38)),0)</f>
        <v>0</v>
      </c>
      <c r="BM56" s="681">
        <f t="array" aca="1" ref="BM56" ca="1">IF(V21=C21,SUM(IF(($BR$30:$BR$38=C21)*($BS$29:$CA$29=V$22),$BS$30:$CA$38)),0)</f>
        <v>0</v>
      </c>
      <c r="BN56" s="681">
        <f t="array" aca="1" ref="BN56" ca="1">IF(V21=C21,SUM(IF(($BR$30:$BR$38=C21)*($BS$29:$CA$29=V$23),$BS$30:$CA$38)),0)</f>
        <v>0</v>
      </c>
      <c r="BO56" s="681">
        <f t="array" aca="1" ref="BO56" ca="1">IF(V21=C21,SUM(IF(($BR$30:$BR$38=C21)*($BS$29:$CA$29=V$24),$BS$30:$CA$38)),0)</f>
        <v>0</v>
      </c>
      <c r="BP56" s="701">
        <f t="array" aca="1" ref="BP56" ca="1">IF(V21=C21,SUM(IF(($BR$30:$BR$38=C21)*($BS$29:$CA$29=V$25),$BS$30:$CA$38)),0)</f>
        <v>0</v>
      </c>
      <c r="BQ56" s="681"/>
      <c r="BR56" s="660" t="str">
        <f t="shared" si="43"/>
        <v/>
      </c>
      <c r="BS56" s="704">
        <f t="shared" ca="1" si="45"/>
        <v>0</v>
      </c>
      <c r="BT56" s="704">
        <f t="shared" ca="1" si="45"/>
        <v>0</v>
      </c>
      <c r="BU56" s="704">
        <f t="shared" ca="1" si="45"/>
        <v>0</v>
      </c>
      <c r="BV56" s="704">
        <f ca="1">SUMIFS($AJ$64:$AJ$135,$V$64:$V$135,$BR56,$W$64:$W$135,BV$51)+SUMIFS($AK$64:$AK$135,$W$64:$W$135,$BR56,$V$64:$V$135,BV$51)</f>
        <v>0</v>
      </c>
      <c r="BW56" s="702"/>
      <c r="BX56" s="703">
        <f ca="1">SUMIFS($AJ$64:$AJ$135,$V$64:$V$135,$BR56,$W$64:$W$135,BX$51)+SUMIFS($AK$64:$AK$135,$W$64:$W$135,$BR56,$V$64:$V$135,BX$51)</f>
        <v>0</v>
      </c>
      <c r="BY56" s="703">
        <f ca="1">SUMIFS($AJ$64:$AJ$135,$V$64:$V$135,$BR56,$W$64:$W$135,BY$51)+SUMIFS($AK$64:$AK$135,$W$64:$W$135,$BR56,$V$64:$V$135,BY$51)</f>
        <v>0</v>
      </c>
      <c r="BZ56" s="703">
        <f ca="1">SUMIFS($AJ$64:$AJ$135,$V$64:$V$135,$BR56,$W$64:$W$135,BZ$51)+SUMIFS($AK$64:$AK$135,$W$64:$W$135,$BR56,$V$64:$V$135,BZ$51)</f>
        <v>0</v>
      </c>
      <c r="CA56" s="703">
        <f ca="1">SUMIFS($AJ$64:$AJ$135,$V$64:$V$135,$BR56,$W$64:$W$135,CA$51)+SUMIFS($AK$64:$AK$135,$W$64:$W$135,$BR56,$V$64:$V$135,CA$51)</f>
        <v>0</v>
      </c>
      <c r="CB56" s="681"/>
    </row>
    <row r="57" spans="1:80" s="1" customFormat="1" x14ac:dyDescent="0.2">
      <c r="A57" s="660"/>
      <c r="B57" s="660"/>
      <c r="C57" s="660"/>
      <c r="D57" s="660"/>
      <c r="E57" s="700">
        <f t="array" aca="1" ref="E57" ca="1">IF(O22=C22,SUM(IF(($BR$30:$BR$38=C22)*($BS$29:$CA$29=O17),$BS$30:$CA$38)),0)</f>
        <v>0</v>
      </c>
      <c r="F57" s="681">
        <f t="array" aca="1" ref="F57" ca="1">IF(O22=C22,SUM(IF(($BR$30:$BR$38=C22)*($BS$29:$CA$29=O18),$BS$30:$CA$38)),0)</f>
        <v>0</v>
      </c>
      <c r="G57" s="681">
        <f t="array" aca="1" ref="G57" ca="1">IF(O22=C22,SUM(IF(($BR$30:$BR$38=C22)*($BS$29:$CA$29=O19),$BS$30:$CA$38)),0)</f>
        <v>0</v>
      </c>
      <c r="H57" s="681">
        <f t="array" aca="1" ref="H57" ca="1">IF(O22=C22,SUM(IF(($BR$30:$BR$38=C22)*($BS$29:$CA$29=O20),$BS$30:$CA$38)),0)</f>
        <v>0</v>
      </c>
      <c r="I57" s="681">
        <f t="array" aca="1" ref="I57" ca="1">IF(O22=C22,SUM(IF(($BR$30:$BR$38=C22)*($BS$29:$CA$29=O21),$BS$30:$CA$38)),0)</f>
        <v>0</v>
      </c>
      <c r="J57" s="681">
        <f t="array" aca="1" ref="J57" ca="1">IF(O22=C22,SUM(IF(($BR$30:$BR$38=C22)*($BS$29:$CA$29=O23),$BS$30:$CA$38)),0)</f>
        <v>0</v>
      </c>
      <c r="K57" s="681">
        <f t="array" aca="1" ref="K57" ca="1">IF(O22=C22,SUM(IF(($BR$30:$BR$38=C22)*($BS$29:$CA$29=O$24),$BS$30:$CA$38)),0)</f>
        <v>0</v>
      </c>
      <c r="L57" s="681">
        <f t="array" aca="1" ref="L57" ca="1">IF(O22=C22,SUM(IF(($BR$30:$BR$38=C22)*($BS$29:$CA$29=O$25),$BS$30:$CA$38)),0)</f>
        <v>0</v>
      </c>
      <c r="M57" s="692">
        <f t="array" aca="1" ref="M57" ca="1">IF(P22=C22,SUM(IF(($BR$30:$BR$38=C22)*($BS$29:$CA$29=P17),$BS$30:$CA$38)),0)</f>
        <v>0</v>
      </c>
      <c r="N57" s="681">
        <f t="array" aca="1" ref="N57" ca="1">IF(P22=C22,SUM(IF(($BR$30:$BR$38=C22)*($BS$29:$CA$29=P18),$BS$30:$CA$38)),0)</f>
        <v>0</v>
      </c>
      <c r="O57" s="681">
        <f t="array" aca="1" ref="O57" ca="1">IF(P22=C22,SUM(IF(($BR$30:$BR$38=C22)*($BS$29:$CA$29=P19),$BS$30:$CA$38)),0)</f>
        <v>0</v>
      </c>
      <c r="P57" s="681">
        <f t="array" aca="1" ref="P57" ca="1">IF(P22=C22,SUM(IF(($BR$30:$BR$38=C22)*($BS$29:$CA$29=P20),$BS$30:$CA$38)),0)</f>
        <v>0</v>
      </c>
      <c r="Q57" s="681">
        <f t="array" aca="1" ref="Q57" ca="1">IF(P22=C22,SUM(IF(($BR$30:$BR$38=C22)*($BS$29:$CA$29=P21),$BS$30:$CA$38)),0)</f>
        <v>0</v>
      </c>
      <c r="R57" s="681">
        <f t="array" aca="1" ref="R57" ca="1">IF(P22=C22,SUM(IF(($BR$30:$BR$38=C22)*($BS$29:$CA$29=P23),$BS$30:$CA$38)),0)</f>
        <v>0</v>
      </c>
      <c r="S57" s="681">
        <f t="array" aca="1" ref="S57" ca="1">IF(P22=C22,SUM(IF(($BR$30:$BR$38=C22)*($BS$29:$CA$29=P$24),$BS$30:$CA$38)),0)</f>
        <v>0</v>
      </c>
      <c r="T57" s="681">
        <f t="array" aca="1" ref="T57" ca="1">IF(P22=C22,SUM(IF(($BR$30:$BR$38=C22)*($BS$29:$CA$29=P$25),$BS$30:$CA$38)),0)</f>
        <v>0</v>
      </c>
      <c r="U57" s="692">
        <f t="array" aca="1" ref="U57" ca="1">IF(Q22=C22,SUM(IF(($BR$30:$BR$38=C22)*($BS$29:$CA$29=Q17),$BS$30:$CA$38)),0)</f>
        <v>0</v>
      </c>
      <c r="V57" s="681">
        <f t="array" aca="1" ref="V57" ca="1">IF(Q22=C22,SUM(IF(($BR$30:$BR$38=C22)*($BS$29:$CA$29=Q18),$BS$30:$CA$38)),0)</f>
        <v>0</v>
      </c>
      <c r="W57" s="681">
        <f t="array" aca="1" ref="W57" ca="1">IF(Q22=C22,SUM(IF(($BR$30:$BR$38=C22)*($BS$29:$CA$29=Q19),$BS$30:$CA$38)),0)</f>
        <v>0</v>
      </c>
      <c r="X57" s="681">
        <f t="array" aca="1" ref="X57" ca="1">IF(Q22=C22,SUM(IF(($BR$30:$BR$38=C22)*($BS$29:$CA$29=Q20),$BS$30:$CA$38)),0)</f>
        <v>0</v>
      </c>
      <c r="Y57" s="681">
        <f t="array" aca="1" ref="Y57" ca="1">IF(Q22=C22,SUM(IF(($BR$30:$BR$38=C22)*($BS$29:$CA$29=Q21),$BS$30:$CA$38)),0)</f>
        <v>0</v>
      </c>
      <c r="Z57" s="681">
        <f t="array" aca="1" ref="Z57" ca="1">IF(Q22=C22,SUM(IF(($BR$30:$BR$38=C22)*($BS$29:$CA$29=Q23),$BS$30:$CA$38)),0)</f>
        <v>0</v>
      </c>
      <c r="AA57" s="681">
        <f t="array" aca="1" ref="AA57" ca="1">IF(Q22=C22,SUM(IF(($BR$30:$BR$38=C22)*($BS$29:$CA$29=Q$24),$BS$30:$CA$38)),0)</f>
        <v>0</v>
      </c>
      <c r="AB57" s="681">
        <f t="array" aca="1" ref="AB57" ca="1">IF(Q22=C22,SUM(IF(($BR$30:$BR$38=C22)*($BS$29:$CA$29=Q$25),$BS$30:$CA$38)),0)</f>
        <v>0</v>
      </c>
      <c r="AC57" s="692">
        <f t="array" aca="1" ref="AC57" ca="1">IF(R22=C22,SUM(IF(($BR$30:$BR$38=C22)*($BS$29:$CA$29=R17),$BS$30:$CA$38)),0)</f>
        <v>0</v>
      </c>
      <c r="AD57" s="681">
        <f t="array" aca="1" ref="AD57" ca="1">IF(R22=C22,SUM(IF(($BR$30:$BR$38=C22)*($BS$29:$CA$29=R18),$BS$30:$CA$38)),0)</f>
        <v>0</v>
      </c>
      <c r="AE57" s="681">
        <f t="array" aca="1" ref="AE57" ca="1">IF(R22=C22,SUM(IF(($BR$30:$BR$38=C22)*($BS$29:$CA$29=R19),$BS$30:$CA$38)),0)</f>
        <v>0</v>
      </c>
      <c r="AF57" s="681">
        <f t="array" aca="1" ref="AF57" ca="1">IF(R22=C22,SUM(IF(($BR$30:$BR$38=C22)*($BS$29:$CA$29=R20),$BS$30:$CA$38)),0)</f>
        <v>0</v>
      </c>
      <c r="AG57" s="681">
        <f t="array" aca="1" ref="AG57" ca="1">IF(R22=C22,SUM(IF(($BR$30:$BR$38=C22)*($BS$29:$CA$29=R21),$BS$30:$CA$38)),0)</f>
        <v>0</v>
      </c>
      <c r="AH57" s="681">
        <f t="array" aca="1" ref="AH57" ca="1">IF(R22=C22,SUM(IF(($BR$30:$BR$38=C22)*($BS$29:$CA$29=R23),$BS$30:$CA$38)),0)</f>
        <v>0</v>
      </c>
      <c r="AI57" s="681">
        <f t="array" aca="1" ref="AI57" ca="1">IF(R22=C22,SUM(IF(($BR$30:$BR$38=C22)*($BS$29:$CA$29=R$24),$BS$30:$CA$38)),0)</f>
        <v>0</v>
      </c>
      <c r="AJ57" s="681">
        <f t="array" aca="1" ref="AJ57" ca="1">IF(R22=C22,SUM(IF(($BR$30:$BR$38=C22)*($BS$29:$CA$29=R$25),$BS$30:$CA$38)),0)</f>
        <v>0</v>
      </c>
      <c r="AK57" s="692">
        <f t="array" aca="1" ref="AK57" ca="1">IF(S22=C22,SUM(IF(($BR$30:$BR$38=C22)*($BS$29:$CA$29=S17),$BS$30:$CA$38)),0)</f>
        <v>0</v>
      </c>
      <c r="AL57" s="681">
        <f t="array" aca="1" ref="AL57" ca="1">IF(S22=C22,SUM(IF(($BR$30:$BR$38=C22)*($BS$29:$CA$29=S18),$BS$30:$CA$38)),0)</f>
        <v>0</v>
      </c>
      <c r="AM57" s="681">
        <f t="array" aca="1" ref="AM57" ca="1">IF(S22=C22,SUM(IF(($BR$30:$BR$38=C22)*($BS$29:$CA$29=S19),$BS$30:$CA$38)),0)</f>
        <v>0</v>
      </c>
      <c r="AN57" s="681">
        <f t="array" aca="1" ref="AN57" ca="1">IF(S22=C22,SUM(IF(($BR$30:$BR$38=C22)*($BS$29:$CA$29=S20),$BS$30:$CA$38)),0)</f>
        <v>0</v>
      </c>
      <c r="AO57" s="681">
        <f t="array" aca="1" ref="AO57" ca="1">IF(S22=C22,SUM(IF(($BR$30:$BR$38=C22)*($BS$29:$CA$29=S21),$BS$30:$CA$38)),0)</f>
        <v>0</v>
      </c>
      <c r="AP57" s="681">
        <f t="array" aca="1" ref="AP57" ca="1">IF(S22=C22,SUM(IF(($BR$30:$BR$38=C22)*($BS$29:$CA$29=S23),$BS$30:$CA$38)),0)</f>
        <v>0</v>
      </c>
      <c r="AQ57" s="681">
        <f t="array" aca="1" ref="AQ57" ca="1">IF(S22=C22,SUM(IF(($BR$30:$BR$38=C22)*($BS$29:$CA$29=S$24),$BS$30:$CA$38)),0)</f>
        <v>0</v>
      </c>
      <c r="AR57" s="681">
        <f t="array" aca="1" ref="AR57" ca="1">IF(S22=C22,SUM(IF(($BR$30:$BR$38=C22)*($BS$29:$CA$29=S$25),$BS$30:$CA$38)),0)</f>
        <v>0</v>
      </c>
      <c r="AS57" s="692">
        <f t="array" aca="1" ref="AS57" ca="1">IF(T22=C22,SUM(IF(($BR$30:$BR$38=C22)*($BS$29:$CA$29=T17),$BS$30:$CA$38)),0)</f>
        <v>0</v>
      </c>
      <c r="AT57" s="681">
        <f t="array" aca="1" ref="AT57" ca="1">IF(T22=C22,SUM(IF(($BR$30:$BR$38=C22)*($BS$29:$CA$29=T18),$BS$30:$CA$38)),0)</f>
        <v>0</v>
      </c>
      <c r="AU57" s="681">
        <f t="array" aca="1" ref="AU57" ca="1">IF(T22=C22,SUM(IF(($BR$30:$BR$38=C22)*($BS$29:$CA$29=T19),$BS$30:$CA$38)),0)</f>
        <v>0</v>
      </c>
      <c r="AV57" s="681">
        <f t="array" aca="1" ref="AV57" ca="1">IF(T22=C22,SUM(IF(($BR$30:$BR$38=C22)*($BS$29:$CA$29=T20),$BS$30:$CA$38)),0)</f>
        <v>0</v>
      </c>
      <c r="AW57" s="681">
        <f t="array" aca="1" ref="AW57" ca="1">IF(T22=C22,SUM(IF(($BR$30:$BR$38=C22)*($BS$29:$CA$29=T21),$BS$30:$CA$38)),0)</f>
        <v>0</v>
      </c>
      <c r="AX57" s="681">
        <f t="array" aca="1" ref="AX57" ca="1">IF(T22=C22,SUM(IF(($BR$30:$BR$38=C22)*($BS$29:$CA$29=T23),$BS$30:$CA$38)),0)</f>
        <v>0</v>
      </c>
      <c r="AY57" s="681">
        <f t="array" aca="1" ref="AY57" ca="1">IF(T22=C22,SUM(IF(($BR$30:$BR$38=C22)*($BS$29:$CA$29=T$24),$BS$30:$CA$38)),0)</f>
        <v>0</v>
      </c>
      <c r="AZ57" s="681">
        <f t="array" aca="1" ref="AZ57" ca="1">IF(T22=C22,SUM(IF(($BR$30:$BR$38=C22)*($BS$29:$CA$29=T$25),$BS$30:$CA$38)),0)</f>
        <v>0</v>
      </c>
      <c r="BA57" s="692">
        <f t="array" aca="1" ref="BA57" ca="1">IF(U22=C22,SUM(IF(($BR$30:$BR$38=C22)*($BS$29:$CA$29=U$17),$BS$30:$CA$38)),0)</f>
        <v>0</v>
      </c>
      <c r="BB57" s="681">
        <f t="array" aca="1" ref="BB57" ca="1">IF(U22=C22,SUM(IF(($BR$30:$BR$38=C22)*($BS$29:$CA$29=U$18),$BS$30:$CA$38)),0)</f>
        <v>0</v>
      </c>
      <c r="BC57" s="681">
        <f t="array" aca="1" ref="BC57" ca="1">IF(U22=C22,SUM(IF(($BR$30:$BR$38=C22)*($BS$29:$CA$29=U$19),$BS$30:$CA$38)),0)</f>
        <v>0</v>
      </c>
      <c r="BD57" s="681">
        <f t="array" aca="1" ref="BD57" ca="1">IF(U22=C22,SUM(IF(($BR$30:$BR$38=C22)*($BS$29:$CA$29=U$20),$BS$30:$CA$38)),0)</f>
        <v>0</v>
      </c>
      <c r="BE57" s="681">
        <f t="array" aca="1" ref="BE57" ca="1">IF(U22=C22,SUM(IF(($BR$30:$BR$38=C22)*($BS$29:$CA$29=U$21),$BS$30:$CA$38)),0)</f>
        <v>0</v>
      </c>
      <c r="BF57" s="681">
        <f t="array" aca="1" ref="BF57" ca="1">IF(U22=C22,SUM(IF(($BR$30:$BR$38=C22)*($BS$29:$CA$29=U$23),$BS$30:$CA$38)),0)</f>
        <v>0</v>
      </c>
      <c r="BG57" s="681">
        <f t="array" aca="1" ref="BG57" ca="1">IF(U22=C22,SUM(IF(($BR$30:$BR$38=C22)*($BS$29:$CA$29=U$24),$BS$30:$CA$38)),0)</f>
        <v>0</v>
      </c>
      <c r="BH57" s="681">
        <f t="array" aca="1" ref="BH57" ca="1">IF(U22=C22,SUM(IF(($BR$30:$BR$38=C22)*($BS$29:$CA$29=U$25),$BS$30:$CA$38)),0)</f>
        <v>0</v>
      </c>
      <c r="BI57" s="692">
        <f t="array" aca="1" ref="BI57" ca="1">IF(V22=C22,SUM(IF(($BR$30:$BR$38=C22)*($BS$29:$CA$29=V$17),$BS$30:$CA$38)),0)</f>
        <v>0</v>
      </c>
      <c r="BJ57" s="681">
        <f t="array" aca="1" ref="BJ57" ca="1">IF(V22=C22,SUM(IF(($BR$30:$BR$38=C22)*($BS$29:$CA$29=V$18),$BS$30:$CA$38)),0)</f>
        <v>0</v>
      </c>
      <c r="BK57" s="681">
        <f t="array" aca="1" ref="BK57" ca="1">IF(V22=C22,SUM(IF(($BR$30:$BR$38=C22)*($BS$29:$CA$29=V$19),$BS$30:$CA$38)),0)</f>
        <v>0</v>
      </c>
      <c r="BL57" s="681">
        <f t="array" aca="1" ref="BL57" ca="1">IF(V22=C22,SUM(IF(($BR$30:$BR$38=C22)*($BS$29:$CA$29=V$20),$BS$30:$CA$38)),0)</f>
        <v>0</v>
      </c>
      <c r="BM57" s="681">
        <f t="array" aca="1" ref="BM57" ca="1">IF(V22=C22,SUM(IF(($BR$30:$BR$38=C22)*($BS$29:$CA$29=V$21),$BS$30:$CA$38)),0)</f>
        <v>0</v>
      </c>
      <c r="BN57" s="681">
        <f t="array" aca="1" ref="BN57" ca="1">IF(V22=C22,SUM(IF(($BR$30:$BR$38=C22)*($BS$29:$CA$29=V$23),$BS$30:$CA$38)),0)</f>
        <v>0</v>
      </c>
      <c r="BO57" s="681">
        <f t="array" aca="1" ref="BO57" ca="1">IF(V22=C22,SUM(IF(($BR$30:$BR$38=C22)*($BS$29:$CA$29=V$24),$BS$30:$CA$38)),0)</f>
        <v>0</v>
      </c>
      <c r="BP57" s="701">
        <f t="array" aca="1" ref="BP57" ca="1">IF(V22=C22,SUM(IF(($BR$30:$BR$38=C22)*($BS$29:$CA$29=V$25),$BS$30:$CA$38)),0)</f>
        <v>0</v>
      </c>
      <c r="BQ57" s="681"/>
      <c r="BR57" s="660" t="str">
        <f t="shared" si="43"/>
        <v/>
      </c>
      <c r="BS57" s="704">
        <f t="shared" ca="1" si="45"/>
        <v>0</v>
      </c>
      <c r="BT57" s="704">
        <f t="shared" ca="1" si="45"/>
        <v>0</v>
      </c>
      <c r="BU57" s="704">
        <f t="shared" ca="1" si="45"/>
        <v>0</v>
      </c>
      <c r="BV57" s="704">
        <f ca="1">SUMIFS($AJ$64:$AJ$135,$V$64:$V$135,$BR57,$W$64:$W$135,BV$51)+SUMIFS($AK$64:$AK$135,$W$64:$W$135,$BR57,$V$64:$V$135,BV$51)</f>
        <v>0</v>
      </c>
      <c r="BW57" s="704">
        <f ca="1">SUMIFS($AJ$64:$AJ$135,$V$64:$V$135,$BR57,$W$64:$W$135,BW$51)+SUMIFS($AK$64:$AK$135,$W$64:$W$135,$BR57,$V$64:$V$135,BW$51)</f>
        <v>0</v>
      </c>
      <c r="BX57" s="702"/>
      <c r="BY57" s="703">
        <f ca="1">SUMIFS($AJ$64:$AJ$135,$V$64:$V$135,$BR57,$W$64:$W$135,BY$51)+SUMIFS($AK$64:$AK$135,$W$64:$W$135,$BR57,$V$64:$V$135,BY$51)</f>
        <v>0</v>
      </c>
      <c r="BZ57" s="703">
        <f ca="1">SUMIFS($AJ$64:$AJ$135,$V$64:$V$135,$BR57,$W$64:$W$135,BZ$51)+SUMIFS($AK$64:$AK$135,$W$64:$W$135,$BR57,$V$64:$V$135,BZ$51)</f>
        <v>0</v>
      </c>
      <c r="CA57" s="703">
        <f ca="1">SUMIFS($AJ$64:$AJ$135,$V$64:$V$135,$BR57,$W$64:$W$135,CA$51)+SUMIFS($AK$64:$AK$135,$W$64:$W$135,$BR57,$V$64:$V$135,CA$51)</f>
        <v>0</v>
      </c>
      <c r="CB57" s="681"/>
    </row>
    <row r="58" spans="1:80" s="1" customFormat="1" x14ac:dyDescent="0.2">
      <c r="A58" s="660"/>
      <c r="B58" s="660"/>
      <c r="C58" s="660"/>
      <c r="D58" s="660"/>
      <c r="E58" s="700">
        <f t="array" aca="1" ref="E58" ca="1">IF(O23=C23,SUM(IF(($BR$30:$BR$38=C23)*($BS$29:$CA$29=O$17),$BS$30:$CA$38)),0)</f>
        <v>0</v>
      </c>
      <c r="F58" s="681">
        <f t="array" aca="1" ref="F58" ca="1">IF(O23=C23,SUM(IF(($BR$30:$BR$38=C23)*($BS$29:$CA$29=O$18),$BS$30:$CA$38)),0)</f>
        <v>0</v>
      </c>
      <c r="G58" s="681">
        <f t="array" aca="1" ref="G58" ca="1">IF(O23=C23,SUM(IF(($BR$30:$BR$38=C23)*($BS$29:$CA$29=O$19),$BS$30:$CA$38)),0)</f>
        <v>0</v>
      </c>
      <c r="H58" s="681">
        <f t="array" aca="1" ref="H58" ca="1">IF(O23=C23,SUM(IF(($BR$30:$BR$38=C23)*($BS$29:$CA$29=O$20),$BS$30:$CA$38)),0)</f>
        <v>0</v>
      </c>
      <c r="I58" s="681">
        <f t="array" aca="1" ref="I58" ca="1">IF(O23=C23,SUM(IF(($BR$30:$BR$38=C23)*($BS$29:$CA$29=O$21),$BS$30:$CA$38)),0)</f>
        <v>0</v>
      </c>
      <c r="J58" s="681">
        <f t="array" aca="1" ref="J58" ca="1">IF(O23=C23,SUM(IF(($BR$30:$BR$38=C23)*($BS$29:$CA$29=O$22),$BS$30:$CA$38)),0)</f>
        <v>0</v>
      </c>
      <c r="K58" s="681">
        <f t="array" aca="1" ref="K58" ca="1">IF(O23=C23,SUM(IF(($BR$30:$BR$38=C23)*($BS$29:$CA$29=O$24),$BS$30:$CA$38)),0)</f>
        <v>0</v>
      </c>
      <c r="L58" s="681">
        <f t="array" aca="1" ref="L58" ca="1">IF(O23=C23,SUM(IF(($BR$30:$BR$38=C23)*($BS$29:$CA$29=O$25),$BS$30:$CA$38)),0)</f>
        <v>0</v>
      </c>
      <c r="M58" s="692">
        <f t="array" aca="1" ref="M58" ca="1">IF(P23=C23,SUM(IF(($BR$30:$BR$38=C23)*($BS$29:$CA$29=P$17),$BS$30:$CA$38)),0)</f>
        <v>0</v>
      </c>
      <c r="N58" s="681">
        <f t="array" aca="1" ref="N58" ca="1">IF(P23=C23,SUM(IF(($BR$30:$BR$38=C23)*($BS$29:$CA$29=P$18),$BS$30:$CA$38)),0)</f>
        <v>0</v>
      </c>
      <c r="O58" s="681">
        <f t="array" aca="1" ref="O58" ca="1">IF(P23=C23,SUM(IF(($BR$30:$BR$38=C23)*($BS$29:$CA$29=P$19),$BS$30:$CA$38)),0)</f>
        <v>0</v>
      </c>
      <c r="P58" s="681">
        <f t="array" aca="1" ref="P58" ca="1">IF(P23=C23,SUM(IF(($BR$30:$BR$38=C23)*($BS$29:$CA$29=P$20),$BS$30:$CA$38)),0)</f>
        <v>0</v>
      </c>
      <c r="Q58" s="681">
        <f t="array" aca="1" ref="Q58" ca="1">IF(P23=C23,SUM(IF(($BR$30:$BR$38=C23)*($BS$29:$CA$29=P$21),$BS$30:$CA$38)),0)</f>
        <v>0</v>
      </c>
      <c r="R58" s="681">
        <f t="array" aca="1" ref="R58" ca="1">IF(P23=C23,SUM(IF(($BR$30:$BR$38=C23)*($BS$29:$CA$29=P$22),$BS$30:$CA$38)),0)</f>
        <v>0</v>
      </c>
      <c r="S58" s="681">
        <f t="array" aca="1" ref="S58" ca="1">IF(P23=C23,SUM(IF(($BR$30:$BR$38=C23)*($BS$29:$CA$29=P$24),$BS$30:$CA$38)),0)</f>
        <v>0</v>
      </c>
      <c r="T58" s="681">
        <f t="array" aca="1" ref="T58" ca="1">IF(P23=C23,SUM(IF(($BR$30:$BR$38=C23)*($BS$29:$CA$29=P$25),$BS$30:$CA$38)),0)</f>
        <v>0</v>
      </c>
      <c r="U58" s="692">
        <f t="array" aca="1" ref="U58" ca="1">IF(Q23=C23,SUM(IF(($BR$30:$BR$38=C23)*($BS$29:$CA$29=Q$17),$BS$30:$CA$38)),0)</f>
        <v>0</v>
      </c>
      <c r="V58" s="681">
        <f t="array" aca="1" ref="V58" ca="1">IF(Q23=C23,SUM(IF(($BR$30:$BR$38=C23)*($BS$29:$CA$29=Q$18),$BS$30:$CA$38)),0)</f>
        <v>0</v>
      </c>
      <c r="W58" s="681">
        <f t="array" aca="1" ref="W58" ca="1">IF(Q23=C23,SUM(IF(($BR$30:$BR$38=C23)*($BS$29:$CA$29=Q$19),$BS$30:$CA$38)),0)</f>
        <v>0</v>
      </c>
      <c r="X58" s="681">
        <f t="array" aca="1" ref="X58" ca="1">IF(Q23=C23,SUM(IF(($BR$30:$BR$38=C23)*($BS$29:$CA$29=Q$20),$BS$30:$CA$38)),0)</f>
        <v>0</v>
      </c>
      <c r="Y58" s="681">
        <f t="array" aca="1" ref="Y58" ca="1">IF(Q23=C23,SUM(IF(($BR$30:$BR$38=C23)*($BS$29:$CA$29=Q$21),$BS$30:$CA$38)),0)</f>
        <v>0</v>
      </c>
      <c r="Z58" s="681">
        <f t="array" aca="1" ref="Z58" ca="1">IF(Q23=C23,SUM(IF(($BR$30:$BR$38=C23)*($BS$29:$CA$29=Q$22),$BS$30:$CA$38)),0)</f>
        <v>0</v>
      </c>
      <c r="AA58" s="681">
        <f t="array" aca="1" ref="AA58" ca="1">IF(Q23=C23,SUM(IF(($BR$30:$BR$38=C23)*($BS$29:$CA$29=Q$24),$BS$30:$CA$38)),0)</f>
        <v>0</v>
      </c>
      <c r="AB58" s="681">
        <f t="array" aca="1" ref="AB58" ca="1">IF(Q23=C23,SUM(IF(($BR$30:$BR$38=C23)*($BS$29:$CA$29=Q$25),$BS$30:$CA$38)),0)</f>
        <v>0</v>
      </c>
      <c r="AC58" s="692">
        <f t="array" aca="1" ref="AC58" ca="1">IF(R23=C23,SUM(IF(($BR$30:$BR$38=C23)*($BS$29:$CA$29=R$17),$BS$30:$CA$38)),0)</f>
        <v>0</v>
      </c>
      <c r="AD58" s="681">
        <f t="array" aca="1" ref="AD58" ca="1">IF(R23=C23,SUM(IF(($BR$30:$BR$38=C23)*($BS$29:$CA$29=R$18),$BS$30:$CA$38)),0)</f>
        <v>0</v>
      </c>
      <c r="AE58" s="681">
        <f t="array" aca="1" ref="AE58" ca="1">IF(R23=C23,SUM(IF(($BR$30:$BR$38=C23)*($BS$29:$CA$29=R$19),$BS$30:$CA$38)),0)</f>
        <v>0</v>
      </c>
      <c r="AF58" s="681">
        <f t="array" aca="1" ref="AF58" ca="1">IF(R23=C23,SUM(IF(($BR$30:$BR$38=C23)*($BS$29:$CA$29=R$20),$BS$30:$CA$38)),0)</f>
        <v>0</v>
      </c>
      <c r="AG58" s="681">
        <f t="array" aca="1" ref="AG58" ca="1">IF(R23=C23,SUM(IF(($BR$30:$BR$38=C23)*($BS$29:$CA$29=R$21),$BS$30:$CA$38)),0)</f>
        <v>0</v>
      </c>
      <c r="AH58" s="681">
        <f t="array" aca="1" ref="AH58" ca="1">IF(R23=C23,SUM(IF(($BR$30:$BR$38=C23)*($BS$29:$CA$29=R$22),$BS$30:$CA$38)),0)</f>
        <v>0</v>
      </c>
      <c r="AI58" s="681">
        <f t="array" aca="1" ref="AI58" ca="1">IF(R23=C23,SUM(IF(($BR$30:$BR$38=C23)*($BS$29:$CA$29=R$24),$BS$30:$CA$38)),0)</f>
        <v>0</v>
      </c>
      <c r="AJ58" s="681">
        <f t="array" aca="1" ref="AJ58" ca="1">IF(R23=C23,SUM(IF(($BR$30:$BR$38=C23)*($BS$29:$CA$29=R$25),$BS$30:$CA$38)),0)</f>
        <v>0</v>
      </c>
      <c r="AK58" s="692">
        <f t="array" aca="1" ref="AK58" ca="1">IF(S23=C23,SUM(IF(($BR$30:$BR$38=C23)*($BS$29:$CA$29=S$17),$BS$30:$CA$38)),0)</f>
        <v>0</v>
      </c>
      <c r="AL58" s="681">
        <f t="array" aca="1" ref="AL58" ca="1">IF(S23=C23,SUM(IF(($BR$30:$BR$38=C23)*($BS$29:$CA$29=S$18),$BS$30:$CA$38)),0)</f>
        <v>0</v>
      </c>
      <c r="AM58" s="681">
        <f t="array" aca="1" ref="AM58" ca="1">IF(S23=C23,SUM(IF(($BR$30:$BR$38=C23)*($BS$29:$CA$29=S$19),$BS$30:$CA$38)),0)</f>
        <v>0</v>
      </c>
      <c r="AN58" s="681">
        <f t="array" aca="1" ref="AN58" ca="1">IF(S23=C23,SUM(IF(($BR$30:$BR$38=C23)*($BS$29:$CA$29=S$20),$BS$30:$CA$38)),0)</f>
        <v>0</v>
      </c>
      <c r="AO58" s="681">
        <f t="array" aca="1" ref="AO58" ca="1">IF(S23=C23,SUM(IF(($BR$30:$BR$38=C23)*($BS$29:$CA$29=S$21),$BS$30:$CA$38)),0)</f>
        <v>0</v>
      </c>
      <c r="AP58" s="681">
        <f t="array" aca="1" ref="AP58" ca="1">IF(S23=C23,SUM(IF(($BR$30:$BR$38=C23)*($BS$29:$CA$29=S$22),$BS$30:$CA$38)),0)</f>
        <v>0</v>
      </c>
      <c r="AQ58" s="681">
        <f t="array" aca="1" ref="AQ58" ca="1">IF(S23=C23,SUM(IF(($BR$30:$BR$38=C23)*($BS$29:$CA$29=S$24),$BS$30:$CA$38)),0)</f>
        <v>0</v>
      </c>
      <c r="AR58" s="681">
        <f t="array" aca="1" ref="AR58" ca="1">IF(S23=C23,SUM(IF(($BR$30:$BR$38=C23)*($BS$29:$CA$29=S$25),$BS$30:$CA$38)),0)</f>
        <v>0</v>
      </c>
      <c r="AS58" s="692">
        <f t="array" aca="1" ref="AS58" ca="1">IF(T23=C23,SUM(IF(($BR$30:$BR$38=C23)*($BS$29:$CA$29=T$17),$BS$30:$CA$38)),0)</f>
        <v>0</v>
      </c>
      <c r="AT58" s="681">
        <f t="array" aca="1" ref="AT58" ca="1">IF(T23=C23,SUM(IF(($BR$30:$BR$38=C23)*($BS$29:$CA$29=T$18),$BS$30:$CA$38)),0)</f>
        <v>0</v>
      </c>
      <c r="AU58" s="681">
        <f t="array" aca="1" ref="AU58" ca="1">IF(T23=C23,SUM(IF(($BR$30:$BR$38=C23)*($BS$29:$CA$29=T$19),$BS$30:$CA$38)),0)</f>
        <v>0</v>
      </c>
      <c r="AV58" s="681">
        <f t="array" aca="1" ref="AV58" ca="1">IF(T23=C23,SUM(IF(($BR$30:$BR$38=C23)*($BS$29:$CA$29=T$20),$BS$30:$CA$38)),0)</f>
        <v>0</v>
      </c>
      <c r="AW58" s="681">
        <f t="array" aca="1" ref="AW58" ca="1">IF(T23=C23,SUM(IF(($BR$30:$BR$38=C23)*($BS$29:$CA$29=T$21),$BS$30:$CA$38)),0)</f>
        <v>0</v>
      </c>
      <c r="AX58" s="681">
        <f t="array" aca="1" ref="AX58" ca="1">IF(T23=C23,SUM(IF(($BR$30:$BR$38=C23)*($BS$29:$CA$29=T$22),$BS$30:$CA$38)),0)</f>
        <v>0</v>
      </c>
      <c r="AY58" s="681">
        <f t="array" aca="1" ref="AY58" ca="1">IF(T23=C23,SUM(IF(($BR$30:$BR$38=C23)*($BS$29:$CA$29=T$24),$BS$30:$CA$38)),0)</f>
        <v>0</v>
      </c>
      <c r="AZ58" s="681">
        <f t="array" aca="1" ref="AZ58" ca="1">IF(T23=C23,SUM(IF(($BR$30:$BR$38=C23)*($BS$29:$CA$29=T$25),$BS$30:$CA$38)),0)</f>
        <v>0</v>
      </c>
      <c r="BA58" s="692">
        <f t="array" aca="1" ref="BA58" ca="1">IF(U23=C23,SUM(IF(($BR$30:$BR$38=C23)*($BS$29:$CA$29=U$17),$BS$30:$CA$38)),0)</f>
        <v>0</v>
      </c>
      <c r="BB58" s="681">
        <f t="array" aca="1" ref="BB58" ca="1">IF(U23=C23,SUM(IF(($BR$30:$BR$38=C23)*($BS$29:$CA$29=U$18),$BS$30:$CA$38)),0)</f>
        <v>0</v>
      </c>
      <c r="BC58" s="681">
        <f t="array" aca="1" ref="BC58" ca="1">IF(U23=C23,SUM(IF(($BR$30:$BR$38=C23)*($BS$29:$CA$29=U$19),$BS$30:$CA$38)),0)</f>
        <v>0</v>
      </c>
      <c r="BD58" s="681">
        <f t="array" aca="1" ref="BD58" ca="1">IF(U23=C23,SUM(IF(($BR$30:$BR$38=C23)*($BS$29:$CA$29=U$20),$BS$30:$CA$38)),0)</f>
        <v>0</v>
      </c>
      <c r="BE58" s="681">
        <f t="array" aca="1" ref="BE58" ca="1">IF(U23=C23,SUM(IF(($BR$30:$BR$38=C23)*($BS$29:$CA$29=U$21),$BS$30:$CA$38)),0)</f>
        <v>0</v>
      </c>
      <c r="BF58" s="681">
        <f t="array" aca="1" ref="BF58" ca="1">IF(U23=C23,SUM(IF(($BR$30:$BR$38=C23)*($BS$29:$CA$29=U$22),$BS$30:$CA$38)),0)</f>
        <v>0</v>
      </c>
      <c r="BG58" s="681">
        <f t="array" aca="1" ref="BG58" ca="1">IF(U23=C23,SUM(IF(($BR$30:$BR$38=C23)*($BS$29:$CA$29=U$24),$BS$30:$CA$38)),0)</f>
        <v>0</v>
      </c>
      <c r="BH58" s="681">
        <f t="array" aca="1" ref="BH58" ca="1">IF(U23=C23,SUM(IF(($BR$30:$BR$38=C23)*($BS$29:$CA$29=U$25),$BS$30:$CA$38)),0)</f>
        <v>0</v>
      </c>
      <c r="BI58" s="692">
        <f t="array" aca="1" ref="BI58" ca="1">IF(V23=C23,SUM(IF(($BR$30:$BR$38=C23)*($BS$29:$CA$29=V$17),$BS$30:$CA$38)),0)</f>
        <v>0</v>
      </c>
      <c r="BJ58" s="681">
        <f t="array" aca="1" ref="BJ58" ca="1">IF(V23=C23,SUM(IF(($BR$30:$BR$38=C23)*($BS$29:$CA$29=V$18),$BS$30:$CA$38)),0)</f>
        <v>0</v>
      </c>
      <c r="BK58" s="681">
        <f t="array" aca="1" ref="BK58" ca="1">IF(V23=C23,SUM(IF(($BR$30:$BR$38=C23)*($BS$29:$CA$29=V$19),$BS$30:$CA$38)),0)</f>
        <v>0</v>
      </c>
      <c r="BL58" s="681">
        <f t="array" aca="1" ref="BL58" ca="1">IF(V23=C23,SUM(IF(($BR$30:$BR$38=C23)*($BS$29:$CA$29=V$20),$BS$30:$CA$38)),0)</f>
        <v>0</v>
      </c>
      <c r="BM58" s="681">
        <f t="array" aca="1" ref="BM58" ca="1">IF(V23=C23,SUM(IF(($BR$30:$BR$38=C23)*($BS$29:$CA$29=V$21),$BS$30:$CA$38)),0)</f>
        <v>0</v>
      </c>
      <c r="BN58" s="681">
        <f t="array" aca="1" ref="BN58" ca="1">IF(V23=C23,SUM(IF(($BR$30:$BR$38=C23)*($BS$29:$CA$29=V$22),$BS$30:$CA$38)),0)</f>
        <v>0</v>
      </c>
      <c r="BO58" s="681">
        <f t="array" aca="1" ref="BO58" ca="1">IF(V23=C23,SUM(IF(($BR$30:$BR$38=C23)*($BS$29:$CA$29=V$24),$BS$30:$CA$38)),0)</f>
        <v>0</v>
      </c>
      <c r="BP58" s="701">
        <f t="array" aca="1" ref="BP58" ca="1">IF(V23=C23,SUM(IF(($BR$30:$BR$38=C23)*($BS$29:$CA$29=V$25),$BS$30:$CA$38)),0)</f>
        <v>0</v>
      </c>
      <c r="BQ58" s="681"/>
      <c r="BR58" s="660" t="str">
        <f t="shared" si="43"/>
        <v/>
      </c>
      <c r="BS58" s="704">
        <f t="shared" ca="1" si="45"/>
        <v>0</v>
      </c>
      <c r="BT58" s="704">
        <f t="shared" ca="1" si="45"/>
        <v>0</v>
      </c>
      <c r="BU58" s="704">
        <f t="shared" ca="1" si="45"/>
        <v>0</v>
      </c>
      <c r="BV58" s="704">
        <f ca="1">SUMIFS($AJ$64:$AJ$135,$V$64:$V$135,$BR58,$W$64:$W$135,BV$51)+SUMIFS($AK$64:$AK$135,$W$64:$W$135,$BR58,$V$64:$V$135,BV$51)</f>
        <v>0</v>
      </c>
      <c r="BW58" s="704">
        <f ca="1">SUMIFS($AJ$64:$AJ$135,$V$64:$V$135,$BR58,$W$64:$W$135,BW$51)+SUMIFS($AK$64:$AK$135,$W$64:$W$135,$BR58,$V$64:$V$135,BW$51)</f>
        <v>0</v>
      </c>
      <c r="BX58" s="704">
        <f ca="1">SUMIFS($AJ$64:$AJ$135,$V$64:$V$135,$BR58,$W$64:$W$135,BX$51)+SUMIFS($AK$64:$AK$135,$W$64:$W$135,$BR58,$V$64:$V$135,BX$51)</f>
        <v>0</v>
      </c>
      <c r="BY58" s="702"/>
      <c r="BZ58" s="703">
        <f ca="1">SUMIFS($AJ$64:$AJ$135,$V$64:$V$135,$BR58,$W$64:$W$135,BZ$51)+SUMIFS($AK$64:$AK$135,$W$64:$W$135,$BR58,$V$64:$V$135,BZ$51)</f>
        <v>0</v>
      </c>
      <c r="CA58" s="703">
        <f ca="1">SUMIFS($AJ$64:$AJ$135,$V$64:$V$135,$BR58,$W$64:$W$135,CA$51)+SUMIFS($AK$64:$AK$135,$W$64:$W$135,$BR58,$V$64:$V$135,CA$51)</f>
        <v>0</v>
      </c>
      <c r="CB58" s="681"/>
    </row>
    <row r="59" spans="1:80" s="1" customFormat="1" x14ac:dyDescent="0.2">
      <c r="A59" s="660"/>
      <c r="B59" s="660"/>
      <c r="C59" s="660"/>
      <c r="D59" s="660"/>
      <c r="E59" s="700">
        <f t="array" aca="1" ref="E59" ca="1">IF(O24=C24,SUM(IF(($BR$30:$BR$38=C24)*($BS$29:$CA$29=O$17),$BS$30:$CA$38)),0)</f>
        <v>0</v>
      </c>
      <c r="F59" s="681">
        <f t="array" aca="1" ref="F59" ca="1">IF(O24=C24,SUM(IF(($BR$30:$BR$38=C24)*($BS$29:$CA$29=O$18),$BS$30:$CA$38)),0)</f>
        <v>0</v>
      </c>
      <c r="G59" s="681">
        <f t="array" aca="1" ref="G59" ca="1">IF(O24=C24,SUM(IF(($BR$30:$BR$38=C24)*($BS$29:$CA$29=O$19),$BS$30:$CA$38)),0)</f>
        <v>0</v>
      </c>
      <c r="H59" s="681">
        <f t="array" aca="1" ref="H59" ca="1">IF(O24=C24,SUM(IF(($BR$30:$BR$38=C24)*($BS$29:$CA$29=O$20),$BS$30:$CA$38)),0)</f>
        <v>0</v>
      </c>
      <c r="I59" s="681">
        <f t="array" aca="1" ref="I59" ca="1">IF(O24=C24,SUM(IF(($BR$30:$BR$38=C24)*($BS$29:$CA$29=O$21),$BS$30:$CA$38)),0)</f>
        <v>0</v>
      </c>
      <c r="J59" s="681">
        <f t="array" aca="1" ref="J59" ca="1">IF(O24=C24,SUM(IF(($BR$30:$BR$38=C24)*($BS$29:$CA$29=O$22),$BS$30:$CA$38)),0)</f>
        <v>0</v>
      </c>
      <c r="K59" s="681">
        <f t="array" aca="1" ref="K59" ca="1">IF(O24=C24,SUM(IF(($BR$30:$BR$38=C24)*($BS$29:$CA$29=O$23),$BS$30:$CA$38)),0)</f>
        <v>0</v>
      </c>
      <c r="L59" s="681">
        <f t="array" aca="1" ref="L59" ca="1">IF(O24=C24,SUM(IF(($BR$30:$BR$38=C24)*($BS$29:$CA$29=O$25),$BS$30:$CA$38)),0)</f>
        <v>0</v>
      </c>
      <c r="M59" s="692">
        <f t="array" aca="1" ref="M59" ca="1">IF(P24=C24,SUM(IF(($BR$30:$BR$38=C24)*($BS$29:$CA$29=P$17),$BS$30:$CA$38)),0)</f>
        <v>0</v>
      </c>
      <c r="N59" s="681">
        <f t="array" aca="1" ref="N59" ca="1">IF(P24=C24,SUM(IF(($BR$30:$BR$38=C24)*($BS$29:$CA$29=P$18),$BS$30:$CA$38)),0)</f>
        <v>0</v>
      </c>
      <c r="O59" s="681">
        <f t="array" aca="1" ref="O59" ca="1">IF(P24=C24,SUM(IF(($BR$30:$BR$38=C24)*($BS$29:$CA$29=P$19),$BS$30:$CA$38)),0)</f>
        <v>0</v>
      </c>
      <c r="P59" s="681">
        <f t="array" aca="1" ref="P59" ca="1">IF(P24=C24,SUM(IF(($BR$30:$BR$38=C24)*($BS$29:$CA$29=P$20),$BS$30:$CA$38)),0)</f>
        <v>0</v>
      </c>
      <c r="Q59" s="681">
        <f t="array" aca="1" ref="Q59" ca="1">IF(P24=C24,SUM(IF(($BR$30:$BR$38=C24)*($BS$29:$CA$29=P$21),$BS$30:$CA$38)),0)</f>
        <v>0</v>
      </c>
      <c r="R59" s="681">
        <f t="array" aca="1" ref="R59" ca="1">IF(P24=C24,SUM(IF(($BR$30:$BR$38=C24)*($BS$29:$CA$29=P$22),$BS$30:$CA$38)),0)</f>
        <v>0</v>
      </c>
      <c r="S59" s="681">
        <f t="array" aca="1" ref="S59" ca="1">IF(P24=C24,SUM(IF(($BR$30:$BR$38=C24)*($BS$29:$CA$29=P$23),$BS$30:$CA$38)),0)</f>
        <v>0</v>
      </c>
      <c r="T59" s="681">
        <f t="array" aca="1" ref="T59" ca="1">IF(P24=C24,SUM(IF(($BR$30:$BR$38=C24)*($BS$29:$CA$29=P$25),$BS$30:$CA$38)),0)</f>
        <v>0</v>
      </c>
      <c r="U59" s="692">
        <f t="array" aca="1" ref="U59" ca="1">IF(Q24=C24,SUM(IF(($BR$30:$BR$38=C24)*($BS$29:$CA$29=Q$17),$BS$30:$CA$38)),0)</f>
        <v>0</v>
      </c>
      <c r="V59" s="681">
        <f t="array" aca="1" ref="V59" ca="1">IF(Q24=C24,SUM(IF(($BR$30:$BR$38=C24)*($BS$29:$CA$29=Q$18),$BS$30:$CA$38)),0)</f>
        <v>0</v>
      </c>
      <c r="W59" s="681">
        <f t="array" aca="1" ref="W59" ca="1">IF(Q24=C24,SUM(IF(($BR$30:$BR$38=C24)*($BS$29:$CA$29=Q$19),$BS$30:$CA$38)),0)</f>
        <v>0</v>
      </c>
      <c r="X59" s="681">
        <f t="array" aca="1" ref="X59" ca="1">IF(Q24=C24,SUM(IF(($BR$30:$BR$38=C24)*($BS$29:$CA$29=Q$20),$BS$30:$CA$38)),0)</f>
        <v>0</v>
      </c>
      <c r="Y59" s="681">
        <f t="array" aca="1" ref="Y59" ca="1">IF(Q24=C24,SUM(IF(($BR$30:$BR$38=C24)*($BS$29:$CA$29=Q$21),$BS$30:$CA$38)),0)</f>
        <v>0</v>
      </c>
      <c r="Z59" s="681">
        <f t="array" aca="1" ref="Z59" ca="1">IF(Q24=C24,SUM(IF(($BR$30:$BR$38=C24)*($BS$29:$CA$29=Q$22),$BS$30:$CA$38)),0)</f>
        <v>0</v>
      </c>
      <c r="AA59" s="681">
        <f t="array" aca="1" ref="AA59" ca="1">IF(Q24=C24,SUM(IF(($BR$30:$BR$38=C24)*($BS$29:$CA$29=Q$23),$BS$30:$CA$38)),0)</f>
        <v>0</v>
      </c>
      <c r="AB59" s="681">
        <f t="array" aca="1" ref="AB59" ca="1">IF(Q24=C24,SUM(IF(($BR$30:$BR$38=C24)*($BS$29:$CA$29=Q$25),$BS$30:$CA$38)),0)</f>
        <v>0</v>
      </c>
      <c r="AC59" s="692">
        <f t="array" aca="1" ref="AC59" ca="1">IF(R24=C24,SUM(IF(($BR$30:$BR$38=C24)*($BS$29:$CA$29=R$17),$BS$30:$CA$38)),0)</f>
        <v>0</v>
      </c>
      <c r="AD59" s="681">
        <f t="array" aca="1" ref="AD59" ca="1">IF(R24=C24,SUM(IF(($BR$30:$BR$38=C24)*($BS$29:$CA$29=R$18),$BS$30:$CA$38)),0)</f>
        <v>0</v>
      </c>
      <c r="AE59" s="681">
        <f t="array" aca="1" ref="AE59" ca="1">IF(R24=C24,SUM(IF(($BR$30:$BR$38=C24)*($BS$29:$CA$29=R$19),$BS$30:$CA$38)),0)</f>
        <v>0</v>
      </c>
      <c r="AF59" s="681">
        <f t="array" aca="1" ref="AF59" ca="1">IF(R24=C24,SUM(IF(($BR$30:$BR$38=C24)*($BS$29:$CA$29=R$20),$BS$30:$CA$38)),0)</f>
        <v>0</v>
      </c>
      <c r="AG59" s="681">
        <f t="array" aca="1" ref="AG59" ca="1">IF(R24=C24,SUM(IF(($BR$30:$BR$38=C24)*($BS$29:$CA$29=R$21),$BS$30:$CA$38)),0)</f>
        <v>0</v>
      </c>
      <c r="AH59" s="681">
        <f t="array" aca="1" ref="AH59" ca="1">IF(R24=C24,SUM(IF(($BR$30:$BR$38=C24)*($BS$29:$CA$29=R$22),$BS$30:$CA$38)),0)</f>
        <v>0</v>
      </c>
      <c r="AI59" s="681">
        <f t="array" aca="1" ref="AI59" ca="1">IF(R24=C24,SUM(IF(($BR$30:$BR$38=C24)*($BS$29:$CA$29=R$23),$BS$30:$CA$38)),0)</f>
        <v>0</v>
      </c>
      <c r="AJ59" s="681">
        <f t="array" aca="1" ref="AJ59" ca="1">IF(R24=C24,SUM(IF(($BR$30:$BR$38=C24)*($BS$29:$CA$29=R$25),$BS$30:$CA$38)),0)</f>
        <v>0</v>
      </c>
      <c r="AK59" s="692">
        <f t="array" aca="1" ref="AK59" ca="1">IF(S24=C24,SUM(IF(($BR$30:$BR$38=C24)*($BS$29:$CA$29=S$17),$BS$30:$CA$38)),0)</f>
        <v>0</v>
      </c>
      <c r="AL59" s="681">
        <f t="array" aca="1" ref="AL59" ca="1">IF(S24=C24,SUM(IF(($BR$30:$BR$38=C24)*($BS$29:$CA$29=S$18),$BS$30:$CA$38)),0)</f>
        <v>0</v>
      </c>
      <c r="AM59" s="681">
        <f t="array" aca="1" ref="AM59" ca="1">IF(S24=C24,SUM(IF(($BR$30:$BR$38=C24)*($BS$29:$CA$29=S$19),$BS$30:$CA$38)),0)</f>
        <v>0</v>
      </c>
      <c r="AN59" s="681">
        <f t="array" aca="1" ref="AN59" ca="1">IF(S24=C24,SUM(IF(($BR$30:$BR$38=C24)*($BS$29:$CA$29=S$20),$BS$30:$CA$38)),0)</f>
        <v>0</v>
      </c>
      <c r="AO59" s="681">
        <f t="array" aca="1" ref="AO59" ca="1">IF(S24=C24,SUM(IF(($BR$30:$BR$38=C24)*($BS$29:$CA$29=S$21),$BS$30:$CA$38)),0)</f>
        <v>0</v>
      </c>
      <c r="AP59" s="681">
        <f t="array" aca="1" ref="AP59" ca="1">IF(S24=C24,SUM(IF(($BR$30:$BR$38=C24)*($BS$29:$CA$29=S$22),$BS$30:$CA$38)),0)</f>
        <v>0</v>
      </c>
      <c r="AQ59" s="681">
        <f t="array" aca="1" ref="AQ59" ca="1">IF(S24=C24,SUM(IF(($BR$30:$BR$38=C24)*($BS$29:$CA$29=S$23),$BS$30:$CA$38)),0)</f>
        <v>0</v>
      </c>
      <c r="AR59" s="681">
        <f t="array" aca="1" ref="AR59" ca="1">IF(S24=C24,SUM(IF(($BR$30:$BR$38=C24)*($BS$29:$CA$29=S$25),$BS$30:$CA$38)),0)</f>
        <v>0</v>
      </c>
      <c r="AS59" s="692">
        <f t="array" aca="1" ref="AS59" ca="1">IF(T24=C24,SUM(IF(($BR$30:$BR$38=C24)*($BS$29:$CA$29=T$17),$BS$30:$CA$38)),0)</f>
        <v>0</v>
      </c>
      <c r="AT59" s="681">
        <f t="array" aca="1" ref="AT59" ca="1">IF(T24=C24,SUM(IF(($BR$30:$BR$38=C24)*($BS$29:$CA$29=T$18),$BS$30:$CA$38)),0)</f>
        <v>0</v>
      </c>
      <c r="AU59" s="681">
        <f t="array" aca="1" ref="AU59" ca="1">IF(T24=C24,SUM(IF(($BR$30:$BR$38=C24)*($BS$29:$CA$29=T$19),$BS$30:$CA$38)),0)</f>
        <v>0</v>
      </c>
      <c r="AV59" s="681">
        <f t="array" aca="1" ref="AV59" ca="1">IF(T24=C24,SUM(IF(($BR$30:$BR$38=C24)*($BS$29:$CA$29=T$20),$BS$30:$CA$38)),0)</f>
        <v>0</v>
      </c>
      <c r="AW59" s="681">
        <f t="array" aca="1" ref="AW59" ca="1">IF(T24=C24,SUM(IF(($BR$30:$BR$38=C24)*($BS$29:$CA$29=T$21),$BS$30:$CA$38)),0)</f>
        <v>0</v>
      </c>
      <c r="AX59" s="681">
        <f t="array" aca="1" ref="AX59" ca="1">IF(T24=C24,SUM(IF(($BR$30:$BR$38=C24)*($BS$29:$CA$29=T$22),$BS$30:$CA$38)),0)</f>
        <v>0</v>
      </c>
      <c r="AY59" s="681">
        <f t="array" aca="1" ref="AY59" ca="1">IF(T24=C24,SUM(IF(($BR$30:$BR$38=C24)*($BS$29:$CA$29=T$23),$BS$30:$CA$38)),0)</f>
        <v>0</v>
      </c>
      <c r="AZ59" s="681">
        <f t="array" aca="1" ref="AZ59" ca="1">IF(T24=C24,SUM(IF(($BR$30:$BR$38=C24)*($BS$29:$CA$29=T$25),$BS$30:$CA$38)),0)</f>
        <v>0</v>
      </c>
      <c r="BA59" s="692">
        <f t="array" aca="1" ref="BA59" ca="1">IF(U24=C24,SUM(IF(($BR$30:$BR$38=C24)*($BS$29:$CA$29=U$17),$BS$30:$CA$38)),0)</f>
        <v>0</v>
      </c>
      <c r="BB59" s="681">
        <f t="array" aca="1" ref="BB59" ca="1">IF(U24=C24,SUM(IF(($BR$30:$BR$38=C24)*($BS$29:$CA$29=U$18),$BS$30:$CA$38)),0)</f>
        <v>0</v>
      </c>
      <c r="BC59" s="681">
        <f t="array" aca="1" ref="BC59" ca="1">IF(U24=C24,SUM(IF(($BR$30:$BR$38=C24)*($BS$29:$CA$29=U$19),$BS$30:$CA$38)),0)</f>
        <v>0</v>
      </c>
      <c r="BD59" s="681">
        <f t="array" aca="1" ref="BD59" ca="1">IF(U24=C24,SUM(IF(($BR$30:$BR$38=C24)*($BS$29:$CA$29=U$20),$BS$30:$CA$38)),0)</f>
        <v>0</v>
      </c>
      <c r="BE59" s="681">
        <f t="array" aca="1" ref="BE59" ca="1">IF(U24=C24,SUM(IF(($BR$30:$BR$38=C24)*($BS$29:$CA$29=U$21),$BS$30:$CA$38)),0)</f>
        <v>0</v>
      </c>
      <c r="BF59" s="681">
        <f t="array" aca="1" ref="BF59" ca="1">IF(U24=C24,SUM(IF(($BR$30:$BR$38=C24)*($BS$29:$CA$29=U$22),$BS$30:$CA$38)),0)</f>
        <v>0</v>
      </c>
      <c r="BG59" s="681">
        <f t="array" aca="1" ref="BG59" ca="1">IF(U24=C24,SUM(IF(($BR$30:$BR$38=C24)*($BS$29:$CA$29=U$23),$BS$30:$CA$38)),0)</f>
        <v>0</v>
      </c>
      <c r="BH59" s="681">
        <f t="array" aca="1" ref="BH59" ca="1">IF(U24=C24,SUM(IF(($BR$30:$BR$38=C24)*($BS$29:$CA$29=U$25),$BS$30:$CA$38)),0)</f>
        <v>0</v>
      </c>
      <c r="BI59" s="692">
        <f t="array" aca="1" ref="BI59" ca="1">IF(V24=C24,SUM(IF(($BR$30:$BR$38=C24)*($BS$29:$CA$29=V$17),$BS$30:$CA$38)),0)</f>
        <v>0</v>
      </c>
      <c r="BJ59" s="681">
        <f t="array" aca="1" ref="BJ59" ca="1">IF(V24=C24,SUM(IF(($BR$30:$BR$38=C24)*($BS$29:$CA$29=V$18),$BS$30:$CA$38)),0)</f>
        <v>0</v>
      </c>
      <c r="BK59" s="681">
        <f t="array" aca="1" ref="BK59" ca="1">IF(V24=C24,SUM(IF(($BR$30:$BR$38=C24)*($BS$29:$CA$29=V$19),$BS$30:$CA$38)),0)</f>
        <v>0</v>
      </c>
      <c r="BL59" s="681">
        <f t="array" aca="1" ref="BL59" ca="1">IF(V24=C24,SUM(IF(($BR$30:$BR$38=C24)*($BS$29:$CA$29=V$20),$BS$30:$CA$38)),0)</f>
        <v>0</v>
      </c>
      <c r="BM59" s="681">
        <f t="array" aca="1" ref="BM59" ca="1">IF(V24=C24,SUM(IF(($BR$30:$BR$38=C24)*($BS$29:$CA$29=V$21),$BS$30:$CA$38)),0)</f>
        <v>0</v>
      </c>
      <c r="BN59" s="681">
        <f t="array" aca="1" ref="BN59" ca="1">IF(V24=C24,SUM(IF(($BR$30:$BR$38=C24)*($BS$29:$CA$29=V$22),$BS$30:$CA$38)),0)</f>
        <v>0</v>
      </c>
      <c r="BO59" s="681">
        <f t="array" aca="1" ref="BO59" ca="1">IF(V24=C24,SUM(IF(($BR$30:$BR$38=C24)*($BS$29:$CA$29=V$23),$BS$30:$CA$38)),0)</f>
        <v>0</v>
      </c>
      <c r="BP59" s="701">
        <f t="array" aca="1" ref="BP59" ca="1">IF(V24=C24,SUM(IF(($BR$30:$BR$38=C24)*($BS$29:$CA$29=V$25),$BS$30:$CA$38)),0)</f>
        <v>0</v>
      </c>
      <c r="BQ59" s="681"/>
      <c r="BR59" s="660" t="str">
        <f t="shared" si="43"/>
        <v/>
      </c>
      <c r="BS59" s="704">
        <f t="shared" ca="1" si="45"/>
        <v>0</v>
      </c>
      <c r="BT59" s="704">
        <f t="shared" ca="1" si="45"/>
        <v>0</v>
      </c>
      <c r="BU59" s="704">
        <f t="shared" ca="1" si="45"/>
        <v>0</v>
      </c>
      <c r="BV59" s="704">
        <f ca="1">SUMIFS($AJ$64:$AJ$135,$V$64:$V$135,$BR59,$W$64:$W$135,BV$51)+SUMIFS($AK$64:$AK$135,$W$64:$W$135,$BR59,$V$64:$V$135,BV$51)</f>
        <v>0</v>
      </c>
      <c r="BW59" s="704">
        <f ca="1">SUMIFS($AJ$64:$AJ$135,$V$64:$V$135,$BR59,$W$64:$W$135,BW$51)+SUMIFS($AK$64:$AK$135,$W$64:$W$135,$BR59,$V$64:$V$135,BW$51)</f>
        <v>0</v>
      </c>
      <c r="BX59" s="704">
        <f ca="1">SUMIFS($AJ$64:$AJ$135,$V$64:$V$135,$BR59,$W$64:$W$135,BX$51)+SUMIFS($AK$64:$AK$135,$W$64:$W$135,$BR59,$V$64:$V$135,BX$51)</f>
        <v>0</v>
      </c>
      <c r="BY59" s="704">
        <f ca="1">SUMIFS($AJ$64:$AJ$135,$V$64:$V$135,$BR59,$W$64:$W$135,BY$51)+SUMIFS($AK$64:$AK$135,$W$64:$W$135,$BR59,$V$64:$V$135,BY$51)</f>
        <v>0</v>
      </c>
      <c r="BZ59" s="702"/>
      <c r="CA59" s="703">
        <f ca="1">SUMIFS($AJ$64:$AJ$135,$V$64:$V$135,$BR59,$W$64:$W$135,CA$51)+SUMIFS($AK$64:$AK$135,$W$64:$W$135,$BR59,$V$64:$V$135,CA$51)</f>
        <v>0</v>
      </c>
      <c r="CB59" s="681"/>
    </row>
    <row r="60" spans="1:80" s="1" customFormat="1" ht="12.75" thickBot="1" x14ac:dyDescent="0.25">
      <c r="A60" s="660"/>
      <c r="B60" s="660"/>
      <c r="C60" s="660"/>
      <c r="D60" s="660"/>
      <c r="E60" s="705">
        <f t="array" aca="1" ref="E60" ca="1">IF(O25=C25,SUM(IF(($BR$30:$BR$38=C25)*($BS$29:$CA$29=O$17),$BS$30:$CA$38)),0)</f>
        <v>0</v>
      </c>
      <c r="F60" s="706">
        <f t="array" aca="1" ref="F60" ca="1">IF(O25=C25,SUM(IF(($BR$30:$BR$38=C25)*($BS$29:$CA$29=O$18),$BS$30:$CA$38)),0)</f>
        <v>0</v>
      </c>
      <c r="G60" s="706">
        <f t="array" aca="1" ref="G60" ca="1">IF(O25=C25,SUM(IF(($BR$30:$BR$38=C25)*($BS$29:$CA$29=O$19),$BS$30:$CA$38)),0)</f>
        <v>0</v>
      </c>
      <c r="H60" s="706">
        <f t="array" aca="1" ref="H60" ca="1">IF(O25=C25,SUM(IF(($BR$30:$BR$38=C25)*($BS$29:$CA$29=O$20),$BS$30:$CA$38)),0)</f>
        <v>0</v>
      </c>
      <c r="I60" s="706">
        <f t="array" aca="1" ref="I60" ca="1">IF(O25=C25,SUM(IF(($BR$30:$BR$38=C25)*($BS$29:$CA$29=O$21),$BS$30:$CA$38)),0)</f>
        <v>0</v>
      </c>
      <c r="J60" s="706">
        <f t="array" aca="1" ref="J60" ca="1">IF(O25=C25,SUM(IF(($BR$30:$BR$38=C25)*($BS$29:$CA$29=O$22),$BS$30:$CA$38)),0)</f>
        <v>0</v>
      </c>
      <c r="K60" s="706">
        <f t="array" aca="1" ref="K60" ca="1">IF(O25=C25,SUM(IF(($BR$30:$BR$38=C25)*($BS$29:$CA$29=O$23),$BS$30:$CA$38)),0)</f>
        <v>0</v>
      </c>
      <c r="L60" s="706">
        <f t="array" aca="1" ref="L60" ca="1">IF(O25=C25,SUM(IF(($BR$30:$BR$38=C25)*($BS$29:$CA$29=O$24),$BS$30:$CA$38)),0)</f>
        <v>0</v>
      </c>
      <c r="M60" s="707">
        <f t="array" aca="1" ref="M60" ca="1">IF(P25=C25,SUM(IF(($BR$30:$BR$38=C25)*($BS$29:$CA$29=P$17),$BS$30:$CA$38)),0)</f>
        <v>0</v>
      </c>
      <c r="N60" s="706">
        <f t="array" aca="1" ref="N60" ca="1">IF(P25=C25,SUM(IF(($BR$30:$BR$38=C25)*($BS$29:$CA$29=P$18),$BS$30:$CA$38)),0)</f>
        <v>0</v>
      </c>
      <c r="O60" s="706">
        <f t="array" aca="1" ref="O60" ca="1">IF(P25=C25,SUM(IF(($BR$30:$BR$38=C25)*($BS$29:$CA$29=P$19),$BS$30:$CA$38)),0)</f>
        <v>0</v>
      </c>
      <c r="P60" s="706">
        <f t="array" aca="1" ref="P60" ca="1">IF(P25=C25,SUM(IF(($BR$30:$BR$38=C25)*($BS$29:$CA$29=P$20),$BS$30:$CA$38)),0)</f>
        <v>0</v>
      </c>
      <c r="Q60" s="706">
        <f t="array" aca="1" ref="Q60" ca="1">IF(P25=C25,SUM(IF(($BR$30:$BR$38=C25)*($BS$29:$CA$29=P$21),$BS$30:$CA$38)),0)</f>
        <v>0</v>
      </c>
      <c r="R60" s="706">
        <f t="array" aca="1" ref="R60" ca="1">IF(P25=C25,SUM(IF(($BR$30:$BR$38=C25)*($BS$29:$CA$29=P$22),$BS$30:$CA$38)),0)</f>
        <v>0</v>
      </c>
      <c r="S60" s="706">
        <f t="array" aca="1" ref="S60" ca="1">IF(P25=C25,SUM(IF(($BR$30:$BR$38=C25)*($BS$29:$CA$29=P$23),$BS$30:$CA$38)),0)</f>
        <v>0</v>
      </c>
      <c r="T60" s="706">
        <f t="array" aca="1" ref="T60" ca="1">IF(P25=C25,SUM(IF(($BR$30:$BR$38=C25)*($BS$29:$CA$29=P$24),$BS$30:$CA$38)),0)</f>
        <v>0</v>
      </c>
      <c r="U60" s="707">
        <f t="array" aca="1" ref="U60" ca="1">IF(Q25=C25,SUM(IF(($BR$30:$BR$38=C25)*($BS$29:$CA$29=Q$17),$BS$30:$CA$38)),0)</f>
        <v>0</v>
      </c>
      <c r="V60" s="706">
        <f t="array" aca="1" ref="V60" ca="1">IF(Q25=C25,SUM(IF(($BR$30:$BR$38=C25)*($BS$29:$CA$29=Q$18),$BS$30:$CA$38)),0)</f>
        <v>0</v>
      </c>
      <c r="W60" s="706">
        <f t="array" aca="1" ref="W60" ca="1">IF(Q25=C25,SUM(IF(($BR$30:$BR$38=C25)*($BS$29:$CA$29=Q$19),$BS$30:$CA$38)),0)</f>
        <v>0</v>
      </c>
      <c r="X60" s="706">
        <f t="array" aca="1" ref="X60" ca="1">IF(Q25=C25,SUM(IF(($BR$30:$BR$38=C25)*($BS$29:$CA$29=Q$20),$BS$30:$CA$38)),0)</f>
        <v>0</v>
      </c>
      <c r="Y60" s="706">
        <f t="array" aca="1" ref="Y60" ca="1">IF(Q25=C25,SUM(IF(($BR$30:$BR$38=C25)*($BS$29:$CA$29=Q$21),$BS$30:$CA$38)),0)</f>
        <v>0</v>
      </c>
      <c r="Z60" s="706">
        <f t="array" aca="1" ref="Z60" ca="1">IF(Q25=C25,SUM(IF(($BR$30:$BR$38=C25)*($BS$29:$CA$29=Q$22),$BS$30:$CA$38)),0)</f>
        <v>0</v>
      </c>
      <c r="AA60" s="706">
        <f t="array" aca="1" ref="AA60" ca="1">IF(Q25=C25,SUM(IF(($BR$30:$BR$38=C25)*($BS$29:$CA$29=Q$23),$BS$30:$CA$38)),0)</f>
        <v>0</v>
      </c>
      <c r="AB60" s="706">
        <f t="array" aca="1" ref="AB60" ca="1">IF(Q25=C25,SUM(IF(($BR$30:$BR$38=C25)*($BS$29:$CA$29=Q$24),$BS$30:$CA$38)),0)</f>
        <v>0</v>
      </c>
      <c r="AC60" s="707">
        <f t="array" aca="1" ref="AC60" ca="1">IF(R25=C25,SUM(IF(($BR$30:$BR$38=C25)*($BS$29:$CA$29=R$17),$BS$30:$CA$38)),0)</f>
        <v>0</v>
      </c>
      <c r="AD60" s="706">
        <f t="array" aca="1" ref="AD60" ca="1">IF(R25=C25,SUM(IF(($BR$30:$BR$38=C25)*($BS$29:$CA$29=R$18),$BS$30:$CA$38)),0)</f>
        <v>0</v>
      </c>
      <c r="AE60" s="706">
        <f t="array" aca="1" ref="AE60" ca="1">IF(R25=C25,SUM(IF(($BR$30:$BR$38=C25)*($BS$29:$CA$29=R$19),$BS$30:$CA$38)),0)</f>
        <v>0</v>
      </c>
      <c r="AF60" s="706">
        <f t="array" aca="1" ref="AF60" ca="1">IF(R25=C25,SUM(IF(($BR$30:$BR$38=C25)*($BS$29:$CA$29=R$20),$BS$30:$CA$38)),0)</f>
        <v>0</v>
      </c>
      <c r="AG60" s="706">
        <f t="array" aca="1" ref="AG60" ca="1">IF(R25=C25,SUM(IF(($BR$30:$BR$38=C25)*($BS$29:$CA$29=R$21),$BS$30:$CA$38)),0)</f>
        <v>0</v>
      </c>
      <c r="AH60" s="706">
        <f t="array" aca="1" ref="AH60" ca="1">IF(R25=C25,SUM(IF(($BR$30:$BR$38=C25)*($BS$29:$CA$29=R$22),$BS$30:$CA$38)),0)</f>
        <v>0</v>
      </c>
      <c r="AI60" s="706">
        <f t="array" aca="1" ref="AI60" ca="1">IF(R25=C25,SUM(IF(($BR$30:$BR$38=C25)*($BS$29:$CA$29=R$23),$BS$30:$CA$38)),0)</f>
        <v>0</v>
      </c>
      <c r="AJ60" s="706">
        <f t="array" aca="1" ref="AJ60" ca="1">IF(R25=C25,SUM(IF(($BR$30:$BR$38=C25)*($BS$29:$CA$29=R$24),$BS$30:$CA$38)),0)</f>
        <v>0</v>
      </c>
      <c r="AK60" s="707">
        <f t="array" aca="1" ref="AK60" ca="1">IF(S25=C25,SUM(IF(($BR$30:$BR$38=C25)*($BS$29:$CA$29=S$17),$BS$30:$CA$38)),0)</f>
        <v>0</v>
      </c>
      <c r="AL60" s="706">
        <f t="array" aca="1" ref="AL60" ca="1">IF(S25=C25,SUM(IF(($BR$30:$BR$38=C25)*($BS$29:$CA$29=S$18),$BS$30:$CA$38)),0)</f>
        <v>0</v>
      </c>
      <c r="AM60" s="706">
        <f t="array" aca="1" ref="AM60" ca="1">IF(S25=C25,SUM(IF(($BR$30:$BR$38=C25)*($BS$29:$CA$29=S$19),$BS$30:$CA$38)),0)</f>
        <v>0</v>
      </c>
      <c r="AN60" s="706">
        <f t="array" aca="1" ref="AN60" ca="1">IF(S25=C25,SUM(IF(($BR$30:$BR$38=C25)*($BS$29:$CA$29=S$20),$BS$30:$CA$38)),0)</f>
        <v>0</v>
      </c>
      <c r="AO60" s="706">
        <f t="array" aca="1" ref="AO60" ca="1">IF(S25=C25,SUM(IF(($BR$30:$BR$38=C25)*($BS$29:$CA$29=S$21),$BS$30:$CA$38)),0)</f>
        <v>0</v>
      </c>
      <c r="AP60" s="706">
        <f t="array" aca="1" ref="AP60" ca="1">IF(S25=C25,SUM(IF(($BR$30:$BR$38=C25)*($BS$29:$CA$29=S$22),$BS$30:$CA$38)),0)</f>
        <v>0</v>
      </c>
      <c r="AQ60" s="706">
        <f t="array" aca="1" ref="AQ60" ca="1">IF(S25=C25,SUM(IF(($BR$30:$BR$38=C25)*($BS$29:$CA$29=S$23),$BS$30:$CA$38)),0)</f>
        <v>0</v>
      </c>
      <c r="AR60" s="706">
        <f t="array" aca="1" ref="AR60" ca="1">IF(S25=C25,SUM(IF(($BR$30:$BR$38=C25)*($BS$29:$CA$29=S$24),$BS$30:$CA$38)),0)</f>
        <v>0</v>
      </c>
      <c r="AS60" s="707">
        <f t="array" aca="1" ref="AS60" ca="1">IF(T25=C25,SUM(IF(($BR$30:$BR$38=C25)*($BS$29:$CA$29=T$17),$BS$30:$CA$38)),0)</f>
        <v>0</v>
      </c>
      <c r="AT60" s="706">
        <f t="array" aca="1" ref="AT60" ca="1">IF(T25=C25,SUM(IF(($BR$30:$BR$38=C25)*($BS$29:$CA$29=T$18),$BS$30:$CA$38)),0)</f>
        <v>0</v>
      </c>
      <c r="AU60" s="706">
        <f t="array" aca="1" ref="AU60" ca="1">IF(T25=C25,SUM(IF(($BR$30:$BR$38=C25)*($BS$29:$CA$29=T$19),$BS$30:$CA$38)),0)</f>
        <v>0</v>
      </c>
      <c r="AV60" s="706">
        <f t="array" aca="1" ref="AV60" ca="1">IF(T25=C25,SUM(IF(($BR$30:$BR$38=C25)*($BS$29:$CA$29=T$20),$BS$30:$CA$38)),0)</f>
        <v>0</v>
      </c>
      <c r="AW60" s="706">
        <f t="array" aca="1" ref="AW60" ca="1">IF(T25=C25,SUM(IF(($BR$30:$BR$38=C25)*($BS$29:$CA$29=T$21),$BS$30:$CA$38)),0)</f>
        <v>0</v>
      </c>
      <c r="AX60" s="706">
        <f t="array" aca="1" ref="AX60" ca="1">IF(T25=C25,SUM(IF(($BR$30:$BR$38=C25)*($BS$29:$CA$29=T$22),$BS$30:$CA$38)),0)</f>
        <v>0</v>
      </c>
      <c r="AY60" s="706">
        <f t="array" aca="1" ref="AY60" ca="1">IF(T25=C25,SUM(IF(($BR$30:$BR$38=C25)*($BS$29:$CA$29=T$23),$BS$30:$CA$38)),0)</f>
        <v>0</v>
      </c>
      <c r="AZ60" s="706">
        <f t="array" aca="1" ref="AZ60" ca="1">IF(T25=C25,SUM(IF(($BR$30:$BR$38=C25)*($BS$29:$CA$29=T$24),$BS$30:$CA$38)),0)</f>
        <v>0</v>
      </c>
      <c r="BA60" s="707">
        <f t="array" aca="1" ref="BA60" ca="1">IF(U25=C25,SUM(IF(($BR$30:$BR$38=C25)*($BS$29:$CA$29=U$17),$BS$30:$CA$38)),0)</f>
        <v>0</v>
      </c>
      <c r="BB60" s="706">
        <f t="array" aca="1" ref="BB60" ca="1">IF(U25=C25,SUM(IF(($BR$30:$BR$38=C25)*($BS$29:$CA$29=U$18),$BS$30:$CA$38)),0)</f>
        <v>0</v>
      </c>
      <c r="BC60" s="706">
        <f t="array" aca="1" ref="BC60" ca="1">IF(U25=C25,SUM(IF(($BR$30:$BR$38=C25)*($BS$29:$CA$29=U$19),$BS$30:$CA$38)),0)</f>
        <v>0</v>
      </c>
      <c r="BD60" s="706">
        <f t="array" aca="1" ref="BD60" ca="1">IF(U25=C25,SUM(IF(($BR$30:$BR$38=C25)*($BS$29:$CA$29=U$20),$BS$30:$CA$38)),0)</f>
        <v>0</v>
      </c>
      <c r="BE60" s="706">
        <f t="array" aca="1" ref="BE60" ca="1">IF(U25=C25,SUM(IF(($BR$30:$BR$38=C25)*($BS$29:$CA$29=U$21),$BS$30:$CA$38)),0)</f>
        <v>0</v>
      </c>
      <c r="BF60" s="706">
        <f t="array" aca="1" ref="BF60" ca="1">IF(U25=C25,SUM(IF(($BR$30:$BR$38=C25)*($BS$29:$CA$29=U$22),$BS$30:$CA$38)),0)</f>
        <v>0</v>
      </c>
      <c r="BG60" s="706">
        <f t="array" aca="1" ref="BG60" ca="1">IF(U25=C25,SUM(IF(($BR$30:$BR$38=C25)*($BS$29:$CA$29=U$23),$BS$30:$CA$38)),0)</f>
        <v>0</v>
      </c>
      <c r="BH60" s="706">
        <f t="array" aca="1" ref="BH60" ca="1">IF(U25=C25,SUM(IF(($BR$30:$BR$38=C25)*($BS$29:$CA$29=U$24),$BS$30:$CA$38)),0)</f>
        <v>0</v>
      </c>
      <c r="BI60" s="707">
        <f t="array" aca="1" ref="BI60" ca="1">IF(V25=C25,SUM(IF(($BR$30:$BR$38=C25)*($BS$29:$CA$29=V$17),$BS$30:$CA$38)),0)</f>
        <v>0</v>
      </c>
      <c r="BJ60" s="706">
        <f t="array" aca="1" ref="BJ60" ca="1">IF(V25=C25,SUM(IF(($BR$30:$BR$38=C25)*($BS$29:$CA$29=V$18),$BS$30:$CA$38)),0)</f>
        <v>0</v>
      </c>
      <c r="BK60" s="706">
        <f t="array" aca="1" ref="BK60" ca="1">IF(V25=C25,SUM(IF(($BR$30:$BR$38=C25)*($BS$29:$CA$29=V$19),$BS$30:$CA$38)),0)</f>
        <v>0</v>
      </c>
      <c r="BL60" s="706">
        <f t="array" aca="1" ref="BL60" ca="1">IF(V25=C25,SUM(IF(($BR$30:$BR$38=C25)*($BS$29:$CA$29=V$20),$BS$30:$CA$38)),0)</f>
        <v>0</v>
      </c>
      <c r="BM60" s="706">
        <f t="array" aca="1" ref="BM60" ca="1">IF(V25=C25,SUM(IF(($BR$30:$BR$38=C25)*($BS$29:$CA$29=V$21),$BS$30:$CA$38)),0)</f>
        <v>0</v>
      </c>
      <c r="BN60" s="706">
        <f t="array" aca="1" ref="BN60" ca="1">IF(V25=C25,SUM(IF(($BR$30:$BR$38=C25)*($BS$29:$CA$29=V$22),$BS$30:$CA$38)),0)</f>
        <v>0</v>
      </c>
      <c r="BO60" s="706">
        <f t="array" aca="1" ref="BO60" ca="1">IF(V25=C25,SUM(IF(($BR$30:$BR$38=C25)*($BS$29:$CA$29=V$23),$BS$30:$CA$38)),0)</f>
        <v>0</v>
      </c>
      <c r="BP60" s="708">
        <f t="array" aca="1" ref="BP60" ca="1">IF(V25=C25,SUM(IF(($BR$30:$BR$38=C25)*($BS$29:$CA$29=V$24),$BS$30:$CA$38)),0)</f>
        <v>0</v>
      </c>
      <c r="BQ60" s="681"/>
      <c r="BR60" s="660" t="str">
        <f t="shared" si="43"/>
        <v/>
      </c>
      <c r="BS60" s="704">
        <f t="shared" ca="1" si="45"/>
        <v>0</v>
      </c>
      <c r="BT60" s="704">
        <f t="shared" ca="1" si="45"/>
        <v>0</v>
      </c>
      <c r="BU60" s="704">
        <f t="shared" ca="1" si="45"/>
        <v>0</v>
      </c>
      <c r="BV60" s="704">
        <f ca="1">SUMIFS($AJ$64:$AJ$135,$V$64:$V$135,$BR60,$W$64:$W$135,BV$51)+SUMIFS($AK$64:$AK$135,$W$64:$W$135,$BR60,$V$64:$V$135,BV$51)</f>
        <v>0</v>
      </c>
      <c r="BW60" s="704">
        <f ca="1">SUMIFS($AJ$64:$AJ$135,$V$64:$V$135,$BR60,$W$64:$W$135,BW$51)+SUMIFS($AK$64:$AK$135,$W$64:$W$135,$BR60,$V$64:$V$135,BW$51)</f>
        <v>0</v>
      </c>
      <c r="BX60" s="704">
        <f ca="1">SUMIFS($AJ$64:$AJ$135,$V$64:$V$135,$BR60,$W$64:$W$135,BX$51)+SUMIFS($AK$64:$AK$135,$W$64:$W$135,$BR60,$V$64:$V$135,BX$51)</f>
        <v>0</v>
      </c>
      <c r="BY60" s="704">
        <f ca="1">SUMIFS($AJ$64:$AJ$135,$V$64:$V$135,$BR60,$W$64:$W$135,BY$51)+SUMIFS($AK$64:$AK$135,$W$64:$W$135,$BR60,$V$64:$V$135,BY$51)</f>
        <v>0</v>
      </c>
      <c r="BZ60" s="704">
        <f ca="1">SUMIFS($AJ$64:$AJ$135,$V$64:$V$135,$BR60,$W$64:$W$135,BZ$51)+SUMIFS($AK$64:$AK$135,$W$64:$W$135,$BR60,$V$64:$V$135,BZ$51)</f>
        <v>0</v>
      </c>
      <c r="CA60" s="702"/>
      <c r="CB60" s="681"/>
    </row>
    <row r="61" spans="1:80" s="1" customFormat="1" ht="12.75" thickTop="1" x14ac:dyDescent="0.2">
      <c r="A61" s="660"/>
      <c r="B61" s="660"/>
      <c r="C61" s="660"/>
      <c r="D61" s="660"/>
      <c r="E61" s="660"/>
      <c r="F61" s="660"/>
      <c r="G61" s="660"/>
      <c r="H61" s="660"/>
      <c r="I61" s="660"/>
      <c r="J61" s="660"/>
      <c r="K61" s="660"/>
      <c r="L61" s="660"/>
      <c r="M61" s="660"/>
      <c r="N61" s="660"/>
      <c r="O61" s="660"/>
      <c r="P61" s="660"/>
      <c r="Q61" s="660"/>
      <c r="R61" s="660"/>
      <c r="S61" s="660"/>
      <c r="T61" s="660"/>
      <c r="U61" s="660"/>
      <c r="V61" s="660"/>
      <c r="W61" s="660"/>
      <c r="X61" s="660"/>
      <c r="Y61" s="660"/>
      <c r="Z61" s="660"/>
      <c r="AA61" s="660"/>
      <c r="AB61" s="660"/>
      <c r="AC61" s="681"/>
      <c r="AD61" s="681"/>
      <c r="AE61" s="681"/>
      <c r="AF61" s="681"/>
      <c r="AG61" s="681"/>
      <c r="AH61" s="681"/>
      <c r="AI61" s="681"/>
      <c r="AJ61" s="681"/>
      <c r="AK61" s="681"/>
      <c r="AL61" s="681"/>
      <c r="AM61" s="681"/>
      <c r="AN61" s="681"/>
      <c r="AO61" s="681"/>
      <c r="AP61" s="681"/>
      <c r="AQ61" s="681"/>
      <c r="AR61" s="681"/>
      <c r="AS61" s="660"/>
      <c r="AT61" s="660"/>
      <c r="AU61" s="660"/>
      <c r="AV61" s="660"/>
      <c r="AW61" s="660"/>
      <c r="AX61" s="660"/>
      <c r="AY61" s="660"/>
      <c r="AZ61" s="660"/>
      <c r="BA61" s="660"/>
      <c r="BB61" s="660"/>
      <c r="BC61" s="660"/>
      <c r="BD61" s="660"/>
      <c r="BE61" s="660"/>
      <c r="BF61" s="660"/>
      <c r="BG61" s="660"/>
      <c r="BH61" s="660"/>
      <c r="BI61" s="660"/>
      <c r="BJ61" s="660"/>
      <c r="BK61" s="660"/>
      <c r="BL61" s="660"/>
      <c r="BM61" s="660"/>
      <c r="BN61" s="660"/>
      <c r="BO61" s="660"/>
      <c r="BP61" s="660"/>
      <c r="BQ61" s="660"/>
      <c r="BR61" s="660"/>
      <c r="BS61" s="660"/>
      <c r="BT61" s="660"/>
      <c r="BU61" s="660"/>
      <c r="BV61" s="660"/>
      <c r="BW61" s="660"/>
      <c r="BX61" s="660"/>
      <c r="BY61" s="660"/>
      <c r="BZ61" s="660"/>
      <c r="CA61" s="660"/>
      <c r="CB61" s="660"/>
    </row>
    <row r="62" spans="1:80" s="1" customFormat="1" x14ac:dyDescent="0.2">
      <c r="A62" s="660"/>
      <c r="B62" s="660"/>
      <c r="C62" s="660"/>
      <c r="D62" s="660"/>
      <c r="E62" s="660"/>
      <c r="F62" s="660"/>
      <c r="G62" s="660"/>
      <c r="H62" s="660"/>
      <c r="I62" s="660"/>
      <c r="J62" s="660"/>
      <c r="K62" s="660"/>
      <c r="L62" s="660"/>
      <c r="M62" s="660"/>
      <c r="N62" s="660"/>
      <c r="O62" s="660"/>
      <c r="P62" s="660"/>
      <c r="Q62" s="660"/>
      <c r="R62" s="660"/>
      <c r="S62" s="660"/>
      <c r="T62" s="660"/>
      <c r="U62" s="660"/>
      <c r="V62" s="660"/>
      <c r="W62" s="660"/>
      <c r="X62" s="660"/>
      <c r="Y62" s="660"/>
      <c r="Z62" s="660"/>
      <c r="AA62" s="660"/>
      <c r="AB62" s="660"/>
      <c r="AC62" s="681"/>
      <c r="AD62" s="681"/>
      <c r="AE62" s="681"/>
      <c r="AF62" s="681"/>
      <c r="AG62" s="681"/>
      <c r="AH62" s="681"/>
      <c r="AI62" s="681"/>
      <c r="AJ62" s="681"/>
      <c r="AK62" s="681"/>
      <c r="AL62" s="681"/>
      <c r="AM62" s="681"/>
      <c r="AN62" s="681"/>
      <c r="AO62" s="681"/>
      <c r="AP62" s="681"/>
      <c r="AQ62" s="681"/>
      <c r="AR62" s="681"/>
      <c r="AS62" s="660"/>
      <c r="AT62" s="660"/>
      <c r="AU62" s="660"/>
      <c r="AV62" s="660"/>
      <c r="AW62" s="660"/>
      <c r="AX62" s="660"/>
      <c r="AY62" s="660"/>
      <c r="AZ62" s="660"/>
      <c r="BA62" s="660"/>
      <c r="BB62" s="660"/>
      <c r="BC62" s="660"/>
      <c r="BD62" s="660"/>
      <c r="BE62" s="660"/>
      <c r="BF62" s="660"/>
      <c r="BG62" s="660"/>
      <c r="BH62" s="660"/>
      <c r="BI62" s="660"/>
      <c r="BJ62" s="660"/>
      <c r="BK62" s="660"/>
      <c r="BL62" s="660"/>
      <c r="BM62" s="660"/>
      <c r="BN62" s="660"/>
      <c r="BO62" s="660"/>
      <c r="BP62" s="660"/>
      <c r="BQ62" s="660"/>
      <c r="BR62" s="660"/>
      <c r="BS62" s="660"/>
      <c r="BT62" s="660"/>
      <c r="BU62" s="660"/>
      <c r="BV62" s="660"/>
      <c r="BW62" s="660"/>
      <c r="BX62" s="660"/>
      <c r="BY62" s="660"/>
      <c r="BZ62" s="660"/>
      <c r="CA62" s="660"/>
      <c r="CB62" s="660"/>
    </row>
    <row r="63" spans="1:80" s="1" customFormat="1" ht="12.75" thickBot="1" x14ac:dyDescent="0.25">
      <c r="A63" s="660"/>
      <c r="B63" s="660"/>
      <c r="C63" s="660"/>
      <c r="D63" s="660"/>
      <c r="E63" s="660"/>
      <c r="F63" s="651" t="s">
        <v>164</v>
      </c>
      <c r="G63" s="660"/>
      <c r="H63" s="660"/>
      <c r="I63" s="660"/>
      <c r="J63" s="660"/>
      <c r="K63" s="660"/>
      <c r="L63" s="660"/>
      <c r="M63" s="660"/>
      <c r="N63" s="660"/>
      <c r="O63" s="660"/>
      <c r="P63" s="660"/>
      <c r="Q63" s="660"/>
      <c r="R63" s="660"/>
      <c r="S63" s="660"/>
      <c r="T63" s="660"/>
      <c r="U63" s="660"/>
      <c r="V63" s="660"/>
      <c r="W63" s="660"/>
      <c r="X63" s="1036" t="s">
        <v>309</v>
      </c>
      <c r="Y63" s="1036"/>
      <c r="Z63" s="664" t="s">
        <v>150</v>
      </c>
      <c r="AA63" s="664" t="s">
        <v>15</v>
      </c>
      <c r="AB63" s="664" t="s">
        <v>397</v>
      </c>
      <c r="AC63" s="772" t="s">
        <v>396</v>
      </c>
      <c r="AD63" s="1037" t="s">
        <v>311</v>
      </c>
      <c r="AE63" s="1037"/>
      <c r="AF63" s="1037" t="s">
        <v>315</v>
      </c>
      <c r="AG63" s="1037"/>
      <c r="AH63" s="1037" t="s">
        <v>397</v>
      </c>
      <c r="AI63" s="1037"/>
      <c r="AJ63" s="1038" t="s">
        <v>396</v>
      </c>
      <c r="AK63" s="1038"/>
      <c r="AL63" s="1037" t="s">
        <v>108</v>
      </c>
      <c r="AM63" s="1037"/>
      <c r="AN63" s="712"/>
      <c r="AO63" s="660"/>
      <c r="AP63" s="660"/>
      <c r="AQ63" s="660"/>
      <c r="AR63" s="660"/>
      <c r="AS63" s="660"/>
      <c r="AT63" s="660"/>
      <c r="AU63" s="660"/>
      <c r="AV63" s="660"/>
      <c r="AW63" s="660"/>
      <c r="AX63" s="660"/>
      <c r="AY63" s="660"/>
      <c r="AZ63" s="660"/>
      <c r="BA63" s="660"/>
      <c r="BB63" s="660"/>
      <c r="BC63" s="660"/>
      <c r="BD63" s="660"/>
      <c r="BE63" s="660"/>
      <c r="BF63" s="660"/>
      <c r="BG63" s="660"/>
      <c r="BH63" s="660"/>
      <c r="BI63" s="660"/>
      <c r="BJ63" s="660"/>
      <c r="BK63" s="660"/>
      <c r="BL63" s="660"/>
      <c r="BM63" s="660"/>
      <c r="BN63" s="660"/>
      <c r="BO63" s="660"/>
      <c r="BP63" s="660"/>
      <c r="BQ63" s="660"/>
      <c r="BR63" s="660"/>
      <c r="BS63" s="660"/>
      <c r="BT63" s="660"/>
      <c r="BU63" s="660"/>
      <c r="BV63" s="660"/>
      <c r="BW63" s="660"/>
      <c r="BX63" s="660"/>
      <c r="BY63" s="660"/>
      <c r="BZ63" s="660"/>
      <c r="CA63" s="660"/>
      <c r="CB63" s="660"/>
    </row>
    <row r="64" spans="1:80" s="1" customFormat="1" ht="14.25" thickTop="1" thickBot="1" x14ac:dyDescent="0.25">
      <c r="A64" s="660"/>
      <c r="B64" s="660"/>
      <c r="C64" s="660"/>
      <c r="D64" s="660"/>
      <c r="E64" s="660"/>
      <c r="F64" s="713">
        <v>1000000</v>
      </c>
      <c r="G64" s="714" t="s">
        <v>398</v>
      </c>
      <c r="H64" s="660"/>
      <c r="I64" s="660"/>
      <c r="J64" s="660"/>
      <c r="K64" s="660"/>
      <c r="L64" s="715"/>
      <c r="M64" s="660"/>
      <c r="N64" s="660"/>
      <c r="O64" s="660"/>
      <c r="P64" s="716" t="s">
        <v>6</v>
      </c>
      <c r="Q64" s="717" t="str">
        <f ca="1">IF('Finals 4'!$AS26="","",'Finals 4'!$AS26)</f>
        <v>FC Barcelona</v>
      </c>
      <c r="R64" s="660"/>
      <c r="S64" s="660"/>
      <c r="T64" s="660"/>
      <c r="U64" s="718" t="s">
        <v>6</v>
      </c>
      <c r="V64" s="6" t="str">
        <f ca="1">'Finals 4'!$I12</f>
        <v>FC Barcelona</v>
      </c>
      <c r="W64" s="4" t="str">
        <f ca="1">'Finals 4'!$K12</f>
        <v/>
      </c>
      <c r="X64" s="4" t="str">
        <f ca="1">IF(AND($AA64=1,'Finals 4'!$L12&lt;&gt;"",'Finals 4'!$N12&lt;&gt;"",ABS('Finals 4'!$L12-'Finals 4'!$N12)&gt;1),'Finals 4'!$L12,"")</f>
        <v/>
      </c>
      <c r="Y64" s="5" t="str">
        <f ca="1">IF(AND($AA64=1,'Finals 4'!$L12&lt;&gt;"",'Finals 4'!$N12&lt;&gt;"",ABS('Finals 4'!$L12-'Finals 4'!$N12)&gt;1),'Finals 4'!$N12,"")</f>
        <v/>
      </c>
      <c r="Z64" s="722" t="str">
        <f ca="1">V64&amp;W64</f>
        <v>FC Barcelona</v>
      </c>
      <c r="AA64" s="720">
        <f ca="1">IF(AND(V64&lt;&gt;"",W64&lt;&gt;"",V64&lt;&gt;W64,'Finals 4'!$U12&lt;&gt;"",'Finals 4'!$W12&lt;&gt;""),1,0)</f>
        <v>0</v>
      </c>
      <c r="AB64" s="723" t="str">
        <f ca="1">IF(AA64&gt;0,AH64&amp;Language!$E$99&amp;AI64,"")</f>
        <v/>
      </c>
      <c r="AC64" s="724" t="str">
        <f ca="1">IF(AA64&gt;0,AJ64&amp;Language!$E$99&amp;AK64,"")</f>
        <v/>
      </c>
      <c r="AD64" s="83" t="str">
        <f ca="1">IF(AND($AA64=1,'Finals 4'!$O12&lt;&gt;"",'Finals 4'!$Q12&lt;&gt;"",ABS('Finals 4'!$O12-'Finals 4'!$Q12)&gt;1),'Finals 4'!$O12,"")</f>
        <v/>
      </c>
      <c r="AE64" s="82" t="str">
        <f ca="1">IF(AND($AA64=1,'Finals 4'!$O12&lt;&gt;"",'Finals 4'!$Q12&lt;&gt;"",ABS('Finals 4'!$O12-'Finals 4'!$Q12)&gt;1),'Finals 4'!$Q12,"")</f>
        <v/>
      </c>
      <c r="AF64" s="83" t="str">
        <f ca="1">IF(AND($AA64=1,'Finals 4'!$R12&lt;&gt;"",'Finals 4'!$T12&lt;&gt;"",ABS('Finals 4'!$R12-'Finals 4'!$T12)&gt;1),'Finals 4'!$R12,"")</f>
        <v/>
      </c>
      <c r="AG64" s="82" t="str">
        <f ca="1">IF(AND($AA64=1,'Finals 4'!$R12&lt;&gt;"",'Finals 4'!$T12&lt;&gt;"",ABS('Finals 4'!$R12-'Finals 4'!$T12)&gt;1),'Finals 4'!$T12,"")</f>
        <v/>
      </c>
      <c r="AH64" s="725" t="str">
        <f ca="1">IF(AA64&gt;0,SUM(X64,AD64,AF64),"")</f>
        <v/>
      </c>
      <c r="AI64" s="724" t="str">
        <f ca="1">IF(AA64&gt;0,SUM(Y64,AE64,AG64),"")</f>
        <v/>
      </c>
      <c r="AJ64" s="725">
        <f ca="1">IF('Finals 4'!$U12="",0,'Finals 4'!$U12)</f>
        <v>0</v>
      </c>
      <c r="AK64" s="724">
        <f ca="1">IF('Finals 4'!$W12="",0,'Finals 4'!$W12)</f>
        <v>0</v>
      </c>
      <c r="AL64" s="725" t="str">
        <f ca="1">IF($AA64=0,"",IF($AJ64&gt;$AK64,Settings!$C$4,IF($AJ64=$AK64,1,0)))</f>
        <v/>
      </c>
      <c r="AM64" s="724" t="str">
        <f ca="1">IF($AA64=0,"",IF($AJ64&lt;$AK64,Settings!$C$4,IF($AJ64=$AK64,1,0)))</f>
        <v/>
      </c>
      <c r="AN64" s="661"/>
      <c r="AO64" s="660"/>
      <c r="AP64" s="660"/>
      <c r="AQ64" s="660"/>
      <c r="AR64" s="660"/>
      <c r="AS64" s="660"/>
      <c r="AT64" s="660"/>
      <c r="AU64" s="660"/>
      <c r="AV64" s="660"/>
      <c r="AW64" s="660"/>
      <c r="AX64" s="660"/>
      <c r="AY64" s="660"/>
      <c r="AZ64" s="660"/>
      <c r="BA64" s="660"/>
      <c r="BB64" s="660"/>
      <c r="BC64" s="660"/>
      <c r="BD64" s="660"/>
      <c r="BE64" s="660"/>
      <c r="BF64" s="660"/>
      <c r="BG64" s="660"/>
      <c r="BH64" s="660"/>
      <c r="BI64" s="660"/>
      <c r="BJ64" s="660"/>
      <c r="BK64" s="660"/>
      <c r="BL64" s="660"/>
      <c r="BM64" s="660"/>
      <c r="BN64" s="660"/>
      <c r="BO64" s="660"/>
      <c r="BP64" s="660"/>
      <c r="BQ64" s="660"/>
      <c r="BR64" s="660"/>
      <c r="BS64" s="660"/>
      <c r="BT64" s="660"/>
      <c r="BU64" s="660"/>
      <c r="BV64" s="660"/>
      <c r="BW64" s="660"/>
      <c r="BX64" s="660"/>
      <c r="BY64" s="660"/>
      <c r="BZ64" s="660"/>
      <c r="CA64" s="660"/>
      <c r="CB64" s="660"/>
    </row>
    <row r="65" spans="1:80" s="1" customFormat="1" ht="13.5" thickBot="1" x14ac:dyDescent="0.25">
      <c r="A65" s="660"/>
      <c r="B65" s="660"/>
      <c r="C65" s="660"/>
      <c r="D65" s="660"/>
      <c r="E65" s="660"/>
      <c r="F65" s="726">
        <v>1000</v>
      </c>
      <c r="G65" s="727" t="s">
        <v>399</v>
      </c>
      <c r="H65" s="728">
        <v>500</v>
      </c>
      <c r="I65" s="729" t="s">
        <v>400</v>
      </c>
      <c r="J65" s="660"/>
      <c r="K65" s="660"/>
      <c r="L65" s="715"/>
      <c r="M65" s="660"/>
      <c r="N65" s="660"/>
      <c r="O65" s="660"/>
      <c r="P65" s="730" t="s">
        <v>7</v>
      </c>
      <c r="Q65" s="731" t="str">
        <f ca="1">IF('Finals 4'!$AS27="","",'Finals 4'!$AS27)</f>
        <v>Mainz 05</v>
      </c>
      <c r="R65" s="660"/>
      <c r="S65" s="660"/>
      <c r="T65" s="660"/>
      <c r="U65" s="732" t="s">
        <v>7</v>
      </c>
      <c r="V65" s="733" t="str">
        <f ca="1">'Finals 4'!$I13</f>
        <v>1. FC Riedwald</v>
      </c>
      <c r="W65" s="661" t="str">
        <f ca="1">'Finals 4'!$K13</f>
        <v>FC Grönlingen</v>
      </c>
      <c r="X65" s="661">
        <f ca="1">IF(AND($AA65=1,'Finals 4'!$L13&lt;&gt;"",'Finals 4'!$N13&lt;&gt;"",ABS('Finals 4'!$L13-'Finals 4'!$N13)&gt;1),'Finals 4'!$L13,"")</f>
        <v>25</v>
      </c>
      <c r="Y65" s="734">
        <f ca="1">IF(AND($AA65=1,'Finals 4'!$L13&lt;&gt;"",'Finals 4'!$N13&lt;&gt;"",ABS('Finals 4'!$L13-'Finals 4'!$N13)&gt;1),'Finals 4'!$N13,"")</f>
        <v>20</v>
      </c>
      <c r="Z65" s="735" t="str">
        <f t="shared" ref="Z65:Z73" ca="1" si="46">V65&amp;W65</f>
        <v>1. FC RiedwaldFC Grönlingen</v>
      </c>
      <c r="AA65" s="661">
        <f ca="1">IF(AND(V65&lt;&gt;"",W65&lt;&gt;"",V65&lt;&gt;W65,'Finals 4'!$U13&lt;&gt;"",'Finals 4'!$W13&lt;&gt;""),1,0)</f>
        <v>1</v>
      </c>
      <c r="AB65" s="661" t="str">
        <f ca="1">IF(AA65&gt;0,AH65&amp;Language!$E$99&amp;AI65,"")</f>
        <v>57 - 56</v>
      </c>
      <c r="AC65" s="736" t="str">
        <f ca="1">IF(AA65&gt;0,AJ65&amp;Language!$E$99&amp;AK65,"")</f>
        <v>2 - 1</v>
      </c>
      <c r="AD65" s="737">
        <f ca="1">IF(AND($AA65=1,'Finals 4'!$O13&lt;&gt;"",'Finals 4'!$Q13&lt;&gt;"",ABS('Finals 4'!$O13-'Finals 4'!$Q13)&gt;1),'Finals 4'!$O13,"")</f>
        <v>17</v>
      </c>
      <c r="AE65" s="736">
        <f ca="1">IF(AND($AA65=1,'Finals 4'!$O13&lt;&gt;"",'Finals 4'!$Q13&lt;&gt;"",ABS('Finals 4'!$O13-'Finals 4'!$Q13)&gt;1),'Finals 4'!$Q13,"")</f>
        <v>25</v>
      </c>
      <c r="AF65" s="737">
        <f ca="1">IF(AND($AA65=1,'Finals 4'!$R13&lt;&gt;"",'Finals 4'!$T13&lt;&gt;"",ABS('Finals 4'!$R13-'Finals 4'!$T13)&gt;1),'Finals 4'!$R13,"")</f>
        <v>15</v>
      </c>
      <c r="AG65" s="736">
        <f ca="1">IF(AND($AA65=1,'Finals 4'!$R13&lt;&gt;"",'Finals 4'!$T13&lt;&gt;"",ABS('Finals 4'!$R13-'Finals 4'!$T13)&gt;1),'Finals 4'!$T13,"")</f>
        <v>11</v>
      </c>
      <c r="AH65" s="737">
        <f t="shared" ref="AH65:AH81" ca="1" si="47">IF(AA65&gt;0,SUM(X65,AD65,AF65),"")</f>
        <v>57</v>
      </c>
      <c r="AI65" s="736">
        <f t="shared" ref="AI65:AI81" ca="1" si="48">IF(AA65&gt;0,SUM(Y65,AE65,AG65),"")</f>
        <v>56</v>
      </c>
      <c r="AJ65" s="737">
        <f ca="1">IF('Finals 4'!$U13="",0,'Finals 4'!$U13)</f>
        <v>2</v>
      </c>
      <c r="AK65" s="736">
        <f ca="1">IF('Finals 4'!$W13="",0,'Finals 4'!$W13)</f>
        <v>1</v>
      </c>
      <c r="AL65" s="737">
        <f ca="1">IF($AA65=0,"",IF($AJ65&gt;$AK65,Settings!$C$4,IF($AJ65=$AK65,1,0)))</f>
        <v>2</v>
      </c>
      <c r="AM65" s="736">
        <f ca="1">IF($AA65=0,"",IF($AJ65&lt;$AK65,Settings!$C$4,IF($AJ65=$AK65,1,0)))</f>
        <v>0</v>
      </c>
      <c r="AN65" s="661"/>
      <c r="AO65" s="660"/>
      <c r="AP65" s="660"/>
      <c r="AQ65" s="660"/>
      <c r="AR65" s="660"/>
      <c r="AS65" s="660"/>
      <c r="AT65" s="660"/>
      <c r="AU65" s="660"/>
      <c r="AV65" s="660"/>
      <c r="AW65" s="660"/>
      <c r="AX65" s="660"/>
      <c r="AY65" s="660"/>
      <c r="AZ65" s="660"/>
      <c r="BA65" s="660"/>
      <c r="BB65" s="660"/>
      <c r="BC65" s="660"/>
      <c r="BD65" s="660"/>
      <c r="BE65" s="660"/>
      <c r="BF65" s="660"/>
      <c r="BG65" s="660"/>
      <c r="BH65" s="660"/>
      <c r="BI65" s="660"/>
      <c r="BJ65" s="660"/>
      <c r="BK65" s="660"/>
      <c r="BL65" s="660"/>
      <c r="BM65" s="660"/>
      <c r="BN65" s="660"/>
      <c r="BO65" s="660"/>
      <c r="BP65" s="660"/>
      <c r="BQ65" s="660"/>
      <c r="BR65" s="660"/>
      <c r="BS65" s="660"/>
      <c r="BT65" s="660"/>
      <c r="BU65" s="660"/>
      <c r="BV65" s="660"/>
      <c r="BW65" s="660"/>
      <c r="BX65" s="660"/>
      <c r="BY65" s="660"/>
      <c r="BZ65" s="660"/>
      <c r="CA65" s="660"/>
      <c r="CB65" s="660"/>
    </row>
    <row r="66" spans="1:80" s="1" customFormat="1" ht="12.75" x14ac:dyDescent="0.2">
      <c r="A66" s="660"/>
      <c r="B66" s="660"/>
      <c r="C66" s="660"/>
      <c r="D66" s="660"/>
      <c r="E66" s="660"/>
      <c r="F66" s="726">
        <v>1</v>
      </c>
      <c r="G66" s="727" t="s">
        <v>401</v>
      </c>
      <c r="H66" s="660"/>
      <c r="I66" s="660"/>
      <c r="J66" s="660"/>
      <c r="K66" s="660"/>
      <c r="L66" s="715"/>
      <c r="M66" s="660"/>
      <c r="N66" s="660"/>
      <c r="O66" s="660"/>
      <c r="P66" s="730" t="s">
        <v>8</v>
      </c>
      <c r="Q66" s="731" t="str">
        <f ca="1">IF('Finals 4'!$AS28="","",'Finals 4'!$AS28)</f>
        <v/>
      </c>
      <c r="R66" s="660"/>
      <c r="S66" s="660"/>
      <c r="T66" s="660"/>
      <c r="U66" s="732" t="s">
        <v>8</v>
      </c>
      <c r="V66" s="733" t="str">
        <f ca="1">'Finals 4'!$I14</f>
        <v>Maibach 1822 eV</v>
      </c>
      <c r="W66" s="661" t="str">
        <f ca="1">'Finals 4'!$K14</f>
        <v>Manchester City</v>
      </c>
      <c r="X66" s="661">
        <f ca="1">IF(AND($AA66=1,'Finals 4'!$L14&lt;&gt;"",'Finals 4'!$N14&lt;&gt;"",ABS('Finals 4'!$L14-'Finals 4'!$N14)&gt;1),'Finals 4'!$L14,"")</f>
        <v>19</v>
      </c>
      <c r="Y66" s="734">
        <f ca="1">IF(AND($AA66=1,'Finals 4'!$L14&lt;&gt;"",'Finals 4'!$N14&lt;&gt;"",ABS('Finals 4'!$L14-'Finals 4'!$N14)&gt;1),'Finals 4'!$N14,"")</f>
        <v>25</v>
      </c>
      <c r="Z66" s="735" t="str">
        <f t="shared" ca="1" si="46"/>
        <v>Maibach 1822 eVManchester City</v>
      </c>
      <c r="AA66" s="661">
        <f ca="1">IF(AND(V66&lt;&gt;"",W66&lt;&gt;"",V66&lt;&gt;W66,'Finals 4'!$U14&lt;&gt;"",'Finals 4'!$W14&lt;&gt;""),1,0)</f>
        <v>1</v>
      </c>
      <c r="AB66" s="661" t="str">
        <f ca="1">IF(AA66&gt;0,AH66&amp;Language!$E$99&amp;AI66,"")</f>
        <v>35 - 50</v>
      </c>
      <c r="AC66" s="736" t="str">
        <f ca="1">IF(AA66&gt;0,AJ66&amp;Language!$E$99&amp;AK66,"")</f>
        <v>0 - 2</v>
      </c>
      <c r="AD66" s="737">
        <f ca="1">IF(AND($AA66=1,'Finals 4'!$O14&lt;&gt;"",'Finals 4'!$Q14&lt;&gt;"",ABS('Finals 4'!$O14-'Finals 4'!$Q14)&gt;1),'Finals 4'!$O14,"")</f>
        <v>16</v>
      </c>
      <c r="AE66" s="736">
        <f ca="1">IF(AND($AA66=1,'Finals 4'!$O14&lt;&gt;"",'Finals 4'!$Q14&lt;&gt;"",ABS('Finals 4'!$O14-'Finals 4'!$Q14)&gt;1),'Finals 4'!$Q14,"")</f>
        <v>25</v>
      </c>
      <c r="AF66" s="737" t="str">
        <f ca="1">IF(AND($AA66=1,'Finals 4'!$R14&lt;&gt;"",'Finals 4'!$T14&lt;&gt;"",ABS('Finals 4'!$R14-'Finals 4'!$T14)&gt;1),'Finals 4'!$R14,"")</f>
        <v/>
      </c>
      <c r="AG66" s="736" t="str">
        <f ca="1">IF(AND($AA66=1,'Finals 4'!$R14&lt;&gt;"",'Finals 4'!$T14&lt;&gt;"",ABS('Finals 4'!$R14-'Finals 4'!$T14)&gt;1),'Finals 4'!$T14,"")</f>
        <v/>
      </c>
      <c r="AH66" s="737">
        <f t="shared" ca="1" si="47"/>
        <v>35</v>
      </c>
      <c r="AI66" s="736">
        <f t="shared" ca="1" si="48"/>
        <v>50</v>
      </c>
      <c r="AJ66" s="737">
        <f ca="1">IF('Finals 4'!$U14="",0,'Finals 4'!$U14)</f>
        <v>0</v>
      </c>
      <c r="AK66" s="736">
        <f ca="1">IF('Finals 4'!$W14="",0,'Finals 4'!$W14)</f>
        <v>2</v>
      </c>
      <c r="AL66" s="737">
        <f ca="1">IF($AA66=0,"",IF($AJ66&gt;$AK66,Settings!$C$4,IF($AJ66=$AK66,1,0)))</f>
        <v>0</v>
      </c>
      <c r="AM66" s="736">
        <f ca="1">IF($AA66=0,"",IF($AJ66&lt;$AK66,Settings!$C$4,IF($AJ66=$AK66,1,0)))</f>
        <v>2</v>
      </c>
      <c r="AN66" s="661"/>
      <c r="AO66" s="660"/>
      <c r="AP66" s="660"/>
      <c r="AQ66" s="660"/>
      <c r="AR66" s="660"/>
      <c r="AS66" s="660"/>
      <c r="AT66" s="660"/>
      <c r="AU66" s="660"/>
      <c r="AV66" s="660"/>
      <c r="AW66" s="660"/>
      <c r="AX66" s="660"/>
      <c r="AY66" s="660"/>
      <c r="AZ66" s="660"/>
      <c r="BA66" s="660"/>
      <c r="BB66" s="660"/>
      <c r="BC66" s="660"/>
      <c r="BD66" s="660"/>
      <c r="BE66" s="660"/>
      <c r="BF66" s="660"/>
      <c r="BG66" s="660"/>
      <c r="BH66" s="660"/>
      <c r="BI66" s="660"/>
      <c r="BJ66" s="660"/>
      <c r="BK66" s="660"/>
      <c r="BL66" s="660"/>
      <c r="BM66" s="660"/>
      <c r="BN66" s="660"/>
      <c r="BO66" s="660"/>
      <c r="BP66" s="660"/>
      <c r="BQ66" s="660"/>
      <c r="BR66" s="660"/>
      <c r="BS66" s="660"/>
      <c r="BT66" s="660"/>
      <c r="BU66" s="660"/>
      <c r="BV66" s="660"/>
      <c r="BW66" s="660"/>
      <c r="BX66" s="660"/>
      <c r="BY66" s="660"/>
      <c r="BZ66" s="660"/>
      <c r="CA66" s="660"/>
      <c r="CB66" s="660"/>
    </row>
    <row r="67" spans="1:80" s="1" customFormat="1" ht="12.75" thickBot="1" x14ac:dyDescent="0.25">
      <c r="A67" s="660"/>
      <c r="B67" s="660"/>
      <c r="C67" s="660"/>
      <c r="D67" s="660"/>
      <c r="E67" s="660"/>
      <c r="F67" s="738">
        <v>1E-3</v>
      </c>
      <c r="G67" s="739" t="s">
        <v>402</v>
      </c>
      <c r="H67" s="660"/>
      <c r="I67" s="660"/>
      <c r="J67" s="660"/>
      <c r="K67" s="660"/>
      <c r="L67" s="660"/>
      <c r="M67" s="660"/>
      <c r="N67" s="660"/>
      <c r="O67" s="660"/>
      <c r="P67" s="730" t="s">
        <v>9</v>
      </c>
      <c r="Q67" s="731" t="str">
        <f ca="1">IF('Finals 4'!$AS29="","",'Finals 4'!$AS29)</f>
        <v/>
      </c>
      <c r="R67" s="660"/>
      <c r="S67" s="660"/>
      <c r="T67" s="660"/>
      <c r="U67" s="732" t="s">
        <v>9</v>
      </c>
      <c r="V67" s="733" t="str">
        <f ca="1">'Finals 4'!$I15</f>
        <v>Mainz 05</v>
      </c>
      <c r="W67" s="661" t="str">
        <f ca="1">'Finals 4'!$K15</f>
        <v/>
      </c>
      <c r="X67" s="661" t="str">
        <f ca="1">IF(AND($AA67=1,'Finals 4'!$L15&lt;&gt;"",'Finals 4'!$N15&lt;&gt;"",ABS('Finals 4'!$L15-'Finals 4'!$N15)&gt;1),'Finals 4'!$L15,"")</f>
        <v/>
      </c>
      <c r="Y67" s="734" t="str">
        <f ca="1">IF(AND($AA67=1,'Finals 4'!$L15&lt;&gt;"",'Finals 4'!$N15&lt;&gt;"",ABS('Finals 4'!$L15-'Finals 4'!$N15)&gt;1),'Finals 4'!$N15,"")</f>
        <v/>
      </c>
      <c r="Z67" s="735" t="str">
        <f t="shared" ca="1" si="46"/>
        <v>Mainz 05</v>
      </c>
      <c r="AA67" s="661">
        <f ca="1">IF(AND(V67&lt;&gt;"",W67&lt;&gt;"",V67&lt;&gt;W67,'Finals 4'!$U15&lt;&gt;"",'Finals 4'!$W15&lt;&gt;""),1,0)</f>
        <v>0</v>
      </c>
      <c r="AB67" s="661" t="str">
        <f ca="1">IF(AA67&gt;0,AH67&amp;Language!$E$99&amp;AI67,"")</f>
        <v/>
      </c>
      <c r="AC67" s="736" t="str">
        <f ca="1">IF(AA67&gt;0,AJ67&amp;Language!$E$99&amp;AK67,"")</f>
        <v/>
      </c>
      <c r="AD67" s="737" t="str">
        <f ca="1">IF(AND($AA67=1,'Finals 4'!$O15&lt;&gt;"",'Finals 4'!$Q15&lt;&gt;"",ABS('Finals 4'!$O15-'Finals 4'!$Q15)&gt;1),'Finals 4'!$O15,"")</f>
        <v/>
      </c>
      <c r="AE67" s="736" t="str">
        <f ca="1">IF(AND($AA67=1,'Finals 4'!$O15&lt;&gt;"",'Finals 4'!$Q15&lt;&gt;"",ABS('Finals 4'!$O15-'Finals 4'!$Q15)&gt;1),'Finals 4'!$Q15,"")</f>
        <v/>
      </c>
      <c r="AF67" s="737" t="str">
        <f ca="1">IF(AND($AA67=1,'Finals 4'!$R15&lt;&gt;"",'Finals 4'!$T15&lt;&gt;"",ABS('Finals 4'!$R15-'Finals 4'!$T15)&gt;1),'Finals 4'!$R15,"")</f>
        <v/>
      </c>
      <c r="AG67" s="736" t="str">
        <f ca="1">IF(AND($AA67=1,'Finals 4'!$R15&lt;&gt;"",'Finals 4'!$T15&lt;&gt;"",ABS('Finals 4'!$R15-'Finals 4'!$T15)&gt;1),'Finals 4'!$T15,"")</f>
        <v/>
      </c>
      <c r="AH67" s="737" t="str">
        <f t="shared" ca="1" si="47"/>
        <v/>
      </c>
      <c r="AI67" s="736" t="str">
        <f t="shared" ca="1" si="48"/>
        <v/>
      </c>
      <c r="AJ67" s="737">
        <f ca="1">IF('Finals 4'!$U15="",0,'Finals 4'!$U15)</f>
        <v>0</v>
      </c>
      <c r="AK67" s="736">
        <f ca="1">IF('Finals 4'!$W15="",0,'Finals 4'!$W15)</f>
        <v>0</v>
      </c>
      <c r="AL67" s="737" t="str">
        <f ca="1">IF($AA67=0,"",IF($AJ67&gt;$AK67,Settings!$C$4,IF($AJ67=$AK67,1,0)))</f>
        <v/>
      </c>
      <c r="AM67" s="736" t="str">
        <f ca="1">IF($AA67=0,"",IF($AJ67&lt;$AK67,Settings!$C$4,IF($AJ67=$AK67,1,0)))</f>
        <v/>
      </c>
      <c r="AN67" s="661"/>
      <c r="AO67" s="660"/>
      <c r="AP67" s="660"/>
      <c r="AQ67" s="660"/>
      <c r="AR67" s="660"/>
      <c r="AS67" s="660"/>
      <c r="AT67" s="660"/>
      <c r="AU67" s="660"/>
      <c r="AV67" s="660"/>
      <c r="AW67" s="660"/>
      <c r="AX67" s="660"/>
      <c r="AY67" s="660"/>
      <c r="AZ67" s="660"/>
      <c r="BA67" s="660"/>
      <c r="BB67" s="660"/>
      <c r="BC67" s="660"/>
      <c r="BD67" s="660"/>
      <c r="BE67" s="660"/>
      <c r="BF67" s="660"/>
      <c r="BG67" s="660"/>
      <c r="BH67" s="660"/>
      <c r="BI67" s="660"/>
      <c r="BJ67" s="660"/>
      <c r="BK67" s="660"/>
      <c r="BL67" s="660"/>
      <c r="BM67" s="660"/>
      <c r="BN67" s="660"/>
      <c r="BO67" s="660"/>
      <c r="BP67" s="660"/>
      <c r="BQ67" s="660"/>
      <c r="BR67" s="660"/>
      <c r="BS67" s="660"/>
      <c r="BT67" s="660"/>
      <c r="BU67" s="660"/>
      <c r="BV67" s="660"/>
      <c r="BW67" s="660"/>
      <c r="BX67" s="660"/>
      <c r="BY67" s="660"/>
      <c r="BZ67" s="660"/>
      <c r="CA67" s="660"/>
      <c r="CB67" s="660"/>
    </row>
    <row r="68" spans="1:80" s="1" customFormat="1" x14ac:dyDescent="0.2">
      <c r="A68" s="660"/>
      <c r="B68" s="660"/>
      <c r="C68" s="660"/>
      <c r="D68" s="660"/>
      <c r="E68" s="660"/>
      <c r="F68" s="660"/>
      <c r="G68" s="660"/>
      <c r="H68" s="660"/>
      <c r="I68" s="660"/>
      <c r="J68" s="660"/>
      <c r="K68" s="660"/>
      <c r="L68" s="660"/>
      <c r="M68" s="660"/>
      <c r="N68" s="660"/>
      <c r="O68" s="660"/>
      <c r="P68" s="730"/>
      <c r="Q68" s="731" t="str">
        <f>""</f>
        <v/>
      </c>
      <c r="R68" s="660"/>
      <c r="S68" s="660"/>
      <c r="T68" s="660"/>
      <c r="U68" s="732" t="s">
        <v>10</v>
      </c>
      <c r="V68" s="733" t="str">
        <f ca="1">'Finals 4'!$I16</f>
        <v>SSV Wildbach</v>
      </c>
      <c r="W68" s="661" t="str">
        <f ca="1">'Finals 4'!$K16</f>
        <v>Eintracht Frankfurt</v>
      </c>
      <c r="X68" s="661">
        <f ca="1">IF(AND($AA68=1,'Finals 4'!$L16&lt;&gt;"",'Finals 4'!$N16&lt;&gt;"",ABS('Finals 4'!$L16-'Finals 4'!$N16)&gt;1),'Finals 4'!$L16,"")</f>
        <v>25</v>
      </c>
      <c r="Y68" s="734">
        <f ca="1">IF(AND($AA68=1,'Finals 4'!$L16&lt;&gt;"",'Finals 4'!$N16&lt;&gt;"",ABS('Finals 4'!$L16-'Finals 4'!$N16)&gt;1),'Finals 4'!$N16,"")</f>
        <v>23</v>
      </c>
      <c r="Z68" s="735" t="str">
        <f t="shared" ca="1" si="46"/>
        <v>SSV WildbachEintracht Frankfurt</v>
      </c>
      <c r="AA68" s="661">
        <f ca="1">IF(AND(V68&lt;&gt;"",W68&lt;&gt;"",V68&lt;&gt;W68,'Finals 4'!$U16&lt;&gt;"",'Finals 4'!$W16&lt;&gt;""),1,0)</f>
        <v>1</v>
      </c>
      <c r="AB68" s="661" t="str">
        <f ca="1">IF(AA68&gt;0,AH68&amp;Language!$E$99&amp;AI68,"")</f>
        <v>50 - 44</v>
      </c>
      <c r="AC68" s="736" t="str">
        <f ca="1">IF(AA68&gt;0,AJ68&amp;Language!$E$99&amp;AK68,"")</f>
        <v>2 - 0</v>
      </c>
      <c r="AD68" s="737">
        <f ca="1">IF(AND($AA68=1,'Finals 4'!$O16&lt;&gt;"",'Finals 4'!$Q16&lt;&gt;"",ABS('Finals 4'!$O16-'Finals 4'!$Q16)&gt;1),'Finals 4'!$O16,"")</f>
        <v>25</v>
      </c>
      <c r="AE68" s="736">
        <f ca="1">IF(AND($AA68=1,'Finals 4'!$O16&lt;&gt;"",'Finals 4'!$Q16&lt;&gt;"",ABS('Finals 4'!$O16-'Finals 4'!$Q16)&gt;1),'Finals 4'!$Q16,"")</f>
        <v>21</v>
      </c>
      <c r="AF68" s="737" t="str">
        <f ca="1">IF(AND($AA68=1,'Finals 4'!$R16&lt;&gt;"",'Finals 4'!$T16&lt;&gt;"",ABS('Finals 4'!$R16-'Finals 4'!$T16)&gt;1),'Finals 4'!$R16,"")</f>
        <v/>
      </c>
      <c r="AG68" s="736" t="str">
        <f ca="1">IF(AND($AA68=1,'Finals 4'!$R16&lt;&gt;"",'Finals 4'!$T16&lt;&gt;"",ABS('Finals 4'!$R16-'Finals 4'!$T16)&gt;1),'Finals 4'!$T16,"")</f>
        <v/>
      </c>
      <c r="AH68" s="737">
        <f t="shared" ca="1" si="47"/>
        <v>50</v>
      </c>
      <c r="AI68" s="736">
        <f t="shared" ca="1" si="48"/>
        <v>44</v>
      </c>
      <c r="AJ68" s="737">
        <f ca="1">IF('Finals 4'!$U16="",0,'Finals 4'!$U16)</f>
        <v>2</v>
      </c>
      <c r="AK68" s="736">
        <f ca="1">IF('Finals 4'!$W16="",0,'Finals 4'!$W16)</f>
        <v>0</v>
      </c>
      <c r="AL68" s="737">
        <f ca="1">IF($AA68=0,"",IF($AJ68&gt;$AK68,Settings!$C$4,IF($AJ68=$AK68,1,0)))</f>
        <v>2</v>
      </c>
      <c r="AM68" s="736">
        <f ca="1">IF($AA68=0,"",IF($AJ68&lt;$AK68,Settings!$C$4,IF($AJ68=$AK68,1,0)))</f>
        <v>0</v>
      </c>
      <c r="AN68" s="661"/>
      <c r="AO68" s="660"/>
      <c r="AP68" s="660"/>
      <c r="AQ68" s="660"/>
      <c r="AR68" s="660"/>
      <c r="AS68" s="660"/>
      <c r="AT68" s="660"/>
      <c r="AU68" s="660"/>
      <c r="AV68" s="660"/>
      <c r="AW68" s="660"/>
      <c r="AX68" s="660"/>
      <c r="AY68" s="660"/>
      <c r="AZ68" s="660"/>
      <c r="BA68" s="660"/>
      <c r="BB68" s="660"/>
      <c r="BC68" s="660"/>
      <c r="BD68" s="660"/>
      <c r="BE68" s="660"/>
      <c r="BF68" s="660"/>
      <c r="BG68" s="660"/>
      <c r="BH68" s="660"/>
      <c r="BI68" s="660"/>
      <c r="BJ68" s="660"/>
      <c r="BK68" s="660"/>
      <c r="BL68" s="660"/>
      <c r="BM68" s="660"/>
      <c r="BN68" s="660"/>
      <c r="BO68" s="660"/>
      <c r="BP68" s="660"/>
      <c r="BQ68" s="660"/>
      <c r="BR68" s="660"/>
      <c r="BS68" s="660"/>
      <c r="BT68" s="660"/>
      <c r="BU68" s="660"/>
      <c r="BV68" s="660"/>
      <c r="BW68" s="660"/>
      <c r="BX68" s="660"/>
      <c r="BY68" s="660"/>
      <c r="BZ68" s="660"/>
      <c r="CA68" s="660"/>
      <c r="CB68" s="660"/>
    </row>
    <row r="69" spans="1:80" s="1" customFormat="1" x14ac:dyDescent="0.2">
      <c r="A69" s="660"/>
      <c r="B69" s="660"/>
      <c r="C69" s="660"/>
      <c r="D69" s="660"/>
      <c r="E69" s="660"/>
      <c r="F69" s="660"/>
      <c r="G69" s="660"/>
      <c r="H69" s="660"/>
      <c r="I69" s="660"/>
      <c r="J69" s="660"/>
      <c r="K69" s="660"/>
      <c r="L69" s="660"/>
      <c r="M69" s="660"/>
      <c r="N69" s="660"/>
      <c r="O69" s="660"/>
      <c r="P69" s="730"/>
      <c r="Q69" s="731" t="str">
        <f>""</f>
        <v/>
      </c>
      <c r="R69" s="660"/>
      <c r="S69" s="660"/>
      <c r="T69" s="660"/>
      <c r="U69" s="732" t="s">
        <v>11</v>
      </c>
      <c r="V69" s="733" t="str">
        <f ca="1">'Finals 4'!$I17</f>
        <v>Inter Mailand</v>
      </c>
      <c r="W69" s="661" t="str">
        <f ca="1">'Finals 4'!$K17</f>
        <v>VFB Essenheim</v>
      </c>
      <c r="X69" s="661">
        <f ca="1">IF(AND($AA69=1,'Finals 4'!$L17&lt;&gt;"",'Finals 4'!$N17&lt;&gt;"",ABS('Finals 4'!$L17-'Finals 4'!$N17)&gt;1),'Finals 4'!$L17,"")</f>
        <v>25</v>
      </c>
      <c r="Y69" s="734">
        <f ca="1">IF(AND($AA69=1,'Finals 4'!$L17&lt;&gt;"",'Finals 4'!$N17&lt;&gt;"",ABS('Finals 4'!$L17-'Finals 4'!$N17)&gt;1),'Finals 4'!$N17,"")</f>
        <v>17</v>
      </c>
      <c r="Z69" s="735" t="str">
        <f t="shared" ca="1" si="46"/>
        <v>Inter MailandVFB Essenheim</v>
      </c>
      <c r="AA69" s="661">
        <f ca="1">IF(AND(V69&lt;&gt;"",W69&lt;&gt;"",V69&lt;&gt;W69,'Finals 4'!$U17&lt;&gt;"",'Finals 4'!$W17&lt;&gt;""),1,0)</f>
        <v>1</v>
      </c>
      <c r="AB69" s="661" t="str">
        <f ca="1">IF(AA69&gt;0,AH69&amp;Language!$E$99&amp;AI69,"")</f>
        <v>50 - 39</v>
      </c>
      <c r="AC69" s="736" t="str">
        <f ca="1">IF(AA69&gt;0,AJ69&amp;Language!$E$99&amp;AK69,"")</f>
        <v>2 - 0</v>
      </c>
      <c r="AD69" s="737">
        <f ca="1">IF(AND($AA69=1,'Finals 4'!$O17&lt;&gt;"",'Finals 4'!$Q17&lt;&gt;"",ABS('Finals 4'!$O17-'Finals 4'!$Q17)&gt;1),'Finals 4'!$O17,"")</f>
        <v>25</v>
      </c>
      <c r="AE69" s="736">
        <f ca="1">IF(AND($AA69=1,'Finals 4'!$O17&lt;&gt;"",'Finals 4'!$Q17&lt;&gt;"",ABS('Finals 4'!$O17-'Finals 4'!$Q17)&gt;1),'Finals 4'!$Q17,"")</f>
        <v>22</v>
      </c>
      <c r="AF69" s="737" t="str">
        <f ca="1">IF(AND($AA69=1,'Finals 4'!$R17&lt;&gt;"",'Finals 4'!$T17&lt;&gt;"",ABS('Finals 4'!$R17-'Finals 4'!$T17)&gt;1),'Finals 4'!$R17,"")</f>
        <v/>
      </c>
      <c r="AG69" s="736" t="str">
        <f ca="1">IF(AND($AA69=1,'Finals 4'!$R17&lt;&gt;"",'Finals 4'!$T17&lt;&gt;"",ABS('Finals 4'!$R17-'Finals 4'!$T17)&gt;1),'Finals 4'!$T17,"")</f>
        <v/>
      </c>
      <c r="AH69" s="737">
        <f t="shared" ca="1" si="47"/>
        <v>50</v>
      </c>
      <c r="AI69" s="736">
        <f t="shared" ca="1" si="48"/>
        <v>39</v>
      </c>
      <c r="AJ69" s="737">
        <f ca="1">IF('Finals 4'!$U17="",0,'Finals 4'!$U17)</f>
        <v>2</v>
      </c>
      <c r="AK69" s="736">
        <f ca="1">IF('Finals 4'!$W17="",0,'Finals 4'!$W17)</f>
        <v>0</v>
      </c>
      <c r="AL69" s="737">
        <f ca="1">IF($AA69=0,"",IF($AJ69&gt;$AK69,Settings!$C$4,IF($AJ69=$AK69,1,0)))</f>
        <v>2</v>
      </c>
      <c r="AM69" s="736">
        <f ca="1">IF($AA69=0,"",IF($AJ69&lt;$AK69,Settings!$C$4,IF($AJ69=$AK69,1,0)))</f>
        <v>0</v>
      </c>
      <c r="AN69" s="661"/>
      <c r="AO69" s="660"/>
      <c r="AP69" s="660"/>
      <c r="AQ69" s="660"/>
      <c r="AR69" s="660"/>
      <c r="AS69" s="660"/>
      <c r="AT69" s="660"/>
      <c r="AU69" s="660"/>
      <c r="AV69" s="660"/>
      <c r="AW69" s="660"/>
      <c r="AX69" s="660"/>
      <c r="AY69" s="660"/>
      <c r="AZ69" s="660"/>
      <c r="BA69" s="660"/>
      <c r="BB69" s="660"/>
      <c r="BC69" s="660"/>
      <c r="BD69" s="660"/>
      <c r="BE69" s="660"/>
      <c r="BF69" s="660"/>
      <c r="BG69" s="660"/>
      <c r="BH69" s="660"/>
      <c r="BI69" s="660"/>
      <c r="BJ69" s="660"/>
      <c r="BK69" s="660"/>
      <c r="BL69" s="660"/>
      <c r="BM69" s="660"/>
      <c r="BN69" s="660"/>
      <c r="BO69" s="660"/>
      <c r="BP69" s="660"/>
      <c r="BQ69" s="660"/>
      <c r="BR69" s="660"/>
      <c r="BS69" s="660"/>
      <c r="BT69" s="660"/>
      <c r="BU69" s="660"/>
      <c r="BV69" s="660"/>
      <c r="BW69" s="660"/>
      <c r="BX69" s="660"/>
      <c r="BY69" s="660"/>
      <c r="BZ69" s="660"/>
      <c r="CA69" s="660"/>
      <c r="CB69" s="660"/>
    </row>
    <row r="70" spans="1:80" s="1" customFormat="1" x14ac:dyDescent="0.2">
      <c r="A70" s="660"/>
      <c r="B70" s="660"/>
      <c r="C70" s="660"/>
      <c r="D70" s="660"/>
      <c r="E70" s="660"/>
      <c r="F70" s="660"/>
      <c r="G70" s="660"/>
      <c r="H70" s="660"/>
      <c r="I70" s="660"/>
      <c r="J70" s="660"/>
      <c r="K70" s="660"/>
      <c r="L70" s="660"/>
      <c r="M70" s="660"/>
      <c r="N70" s="660"/>
      <c r="O70" s="660"/>
      <c r="P70" s="730"/>
      <c r="Q70" s="731" t="str">
        <f>""</f>
        <v/>
      </c>
      <c r="R70" s="660"/>
      <c r="S70" s="660"/>
      <c r="T70" s="660"/>
      <c r="U70" s="732" t="s">
        <v>16</v>
      </c>
      <c r="V70" s="733" t="str">
        <f ca="1">'Finals 4'!$I18</f>
        <v>FC Barcelona</v>
      </c>
      <c r="W70" s="661" t="str">
        <f ca="1">'Finals 4'!$K18</f>
        <v/>
      </c>
      <c r="X70" s="661" t="str">
        <f ca="1">IF(AND($AA70=1,'Finals 4'!$L18&lt;&gt;"",'Finals 4'!$N18&lt;&gt;"",ABS('Finals 4'!$L18-'Finals 4'!$N18)&gt;1),'Finals 4'!$L18,"")</f>
        <v/>
      </c>
      <c r="Y70" s="734" t="str">
        <f ca="1">IF(AND($AA70=1,'Finals 4'!$L18&lt;&gt;"",'Finals 4'!$N18&lt;&gt;"",ABS('Finals 4'!$L18-'Finals 4'!$N18)&gt;1),'Finals 4'!$N18,"")</f>
        <v/>
      </c>
      <c r="Z70" s="735" t="str">
        <f t="shared" ca="1" si="46"/>
        <v>FC Barcelona</v>
      </c>
      <c r="AA70" s="661">
        <f ca="1">IF(AND(V70&lt;&gt;"",W70&lt;&gt;"",V70&lt;&gt;W70,'Finals 4'!$U18&lt;&gt;"",'Finals 4'!$W18&lt;&gt;""),1,0)</f>
        <v>0</v>
      </c>
      <c r="AB70" s="661" t="str">
        <f ca="1">IF(AA70&gt;0,AH70&amp;Language!$E$99&amp;AI70,"")</f>
        <v/>
      </c>
      <c r="AC70" s="736" t="str">
        <f ca="1">IF(AA70&gt;0,AJ70&amp;Language!$E$99&amp;AK70,"")</f>
        <v/>
      </c>
      <c r="AD70" s="737" t="str">
        <f ca="1">IF(AND($AA70=1,'Finals 4'!$O18&lt;&gt;"",'Finals 4'!$Q18&lt;&gt;"",ABS('Finals 4'!$O18-'Finals 4'!$Q18)&gt;1),'Finals 4'!$O18,"")</f>
        <v/>
      </c>
      <c r="AE70" s="736" t="str">
        <f ca="1">IF(AND($AA70=1,'Finals 4'!$O18&lt;&gt;"",'Finals 4'!$Q18&lt;&gt;"",ABS('Finals 4'!$O18-'Finals 4'!$Q18)&gt;1),'Finals 4'!$Q18,"")</f>
        <v/>
      </c>
      <c r="AF70" s="737" t="str">
        <f ca="1">IF(AND($AA70=1,'Finals 4'!$R18&lt;&gt;"",'Finals 4'!$T18&lt;&gt;"",ABS('Finals 4'!$R18-'Finals 4'!$T18)&gt;1),'Finals 4'!$R18,"")</f>
        <v/>
      </c>
      <c r="AG70" s="736" t="str">
        <f ca="1">IF(AND($AA70=1,'Finals 4'!$R18&lt;&gt;"",'Finals 4'!$T18&lt;&gt;"",ABS('Finals 4'!$R18-'Finals 4'!$T18)&gt;1),'Finals 4'!$T18,"")</f>
        <v/>
      </c>
      <c r="AH70" s="737" t="str">
        <f t="shared" ca="1" si="47"/>
        <v/>
      </c>
      <c r="AI70" s="736" t="str">
        <f t="shared" ca="1" si="48"/>
        <v/>
      </c>
      <c r="AJ70" s="737">
        <f ca="1">IF('Finals 4'!$U18="",0,'Finals 4'!$U18)</f>
        <v>0</v>
      </c>
      <c r="AK70" s="736">
        <f ca="1">IF('Finals 4'!$W18="",0,'Finals 4'!$W18)</f>
        <v>0</v>
      </c>
      <c r="AL70" s="737" t="str">
        <f ca="1">IF($AA70=0,"",IF($AJ70&gt;$AK70,Settings!$C$4,IF($AJ70=$AK70,1,0)))</f>
        <v/>
      </c>
      <c r="AM70" s="736" t="str">
        <f ca="1">IF($AA70=0,"",IF($AJ70&lt;$AK70,Settings!$C$4,IF($AJ70=$AK70,1,0)))</f>
        <v/>
      </c>
      <c r="AN70" s="681"/>
      <c r="AO70" s="660"/>
      <c r="AP70" s="660"/>
      <c r="AQ70" s="660"/>
      <c r="AR70" s="660"/>
      <c r="AS70" s="660"/>
      <c r="AT70" s="660"/>
      <c r="AU70" s="660"/>
      <c r="AV70" s="660"/>
      <c r="AW70" s="660"/>
      <c r="AX70" s="660"/>
      <c r="AY70" s="660"/>
      <c r="AZ70" s="660"/>
      <c r="BA70" s="660"/>
      <c r="BB70" s="660"/>
      <c r="BC70" s="660"/>
      <c r="BD70" s="660"/>
      <c r="BE70" s="660"/>
      <c r="BF70" s="660"/>
      <c r="BG70" s="660"/>
      <c r="BH70" s="660"/>
      <c r="BI70" s="660"/>
      <c r="BJ70" s="660"/>
      <c r="BK70" s="660"/>
      <c r="BL70" s="660"/>
      <c r="BM70" s="660"/>
      <c r="BN70" s="660"/>
      <c r="BO70" s="660"/>
      <c r="BP70" s="660"/>
      <c r="BQ70" s="660"/>
      <c r="BR70" s="660"/>
      <c r="BS70" s="660"/>
      <c r="BT70" s="660"/>
      <c r="BU70" s="660"/>
      <c r="BV70" s="660"/>
      <c r="BW70" s="660"/>
      <c r="BX70" s="660"/>
      <c r="BY70" s="660"/>
      <c r="BZ70" s="660"/>
      <c r="CA70" s="660"/>
      <c r="CB70" s="660"/>
    </row>
    <row r="71" spans="1:80" s="1" customFormat="1" x14ac:dyDescent="0.2">
      <c r="A71" s="660"/>
      <c r="B71" s="681"/>
      <c r="C71" s="681"/>
      <c r="D71" s="681"/>
      <c r="E71" s="681"/>
      <c r="F71" s="681"/>
      <c r="G71" s="681"/>
      <c r="H71" s="681"/>
      <c r="I71" s="681"/>
      <c r="J71" s="681"/>
      <c r="K71" s="681"/>
      <c r="L71" s="681"/>
      <c r="M71" s="681"/>
      <c r="N71" s="660"/>
      <c r="O71" s="660"/>
      <c r="P71" s="730"/>
      <c r="Q71" s="731" t="str">
        <f>""</f>
        <v/>
      </c>
      <c r="R71" s="660"/>
      <c r="S71" s="660"/>
      <c r="T71" s="660"/>
      <c r="U71" s="732" t="s">
        <v>17</v>
      </c>
      <c r="V71" s="733" t="str">
        <f ca="1">'Finals 4'!$I19</f>
        <v>1. FC Riedwald</v>
      </c>
      <c r="W71" s="661" t="str">
        <f ca="1">'Finals 4'!$K19</f>
        <v>Eintracht Frankfurt</v>
      </c>
      <c r="X71" s="661">
        <f ca="1">IF(AND($AA71=1,'Finals 4'!$L19&lt;&gt;"",'Finals 4'!$N19&lt;&gt;"",ABS('Finals 4'!$L19-'Finals 4'!$N19)&gt;1),'Finals 4'!$L19,"")</f>
        <v>19</v>
      </c>
      <c r="Y71" s="734">
        <f ca="1">IF(AND($AA71=1,'Finals 4'!$L19&lt;&gt;"",'Finals 4'!$N19&lt;&gt;"",ABS('Finals 4'!$L19-'Finals 4'!$N19)&gt;1),'Finals 4'!$N19,"")</f>
        <v>25</v>
      </c>
      <c r="Z71" s="735" t="str">
        <f t="shared" ca="1" si="46"/>
        <v>1. FC RiedwaldEintracht Frankfurt</v>
      </c>
      <c r="AA71" s="661">
        <f ca="1">IF(AND(V71&lt;&gt;"",W71&lt;&gt;"",V71&lt;&gt;W71,'Finals 4'!$U19&lt;&gt;"",'Finals 4'!$W19&lt;&gt;""),1,0)</f>
        <v>1</v>
      </c>
      <c r="AB71" s="661" t="str">
        <f ca="1">IF(AA71&gt;0,AH71&amp;Language!$E$99&amp;AI71,"")</f>
        <v>44 - 37</v>
      </c>
      <c r="AC71" s="736" t="str">
        <f ca="1">IF(AA71&gt;0,AJ71&amp;Language!$E$99&amp;AK71,"")</f>
        <v>1 - 1</v>
      </c>
      <c r="AD71" s="737">
        <f ca="1">IF(AND($AA71=1,'Finals 4'!$O19&lt;&gt;"",'Finals 4'!$Q19&lt;&gt;"",ABS('Finals 4'!$O19-'Finals 4'!$Q19)&gt;1),'Finals 4'!$O19,"")</f>
        <v>25</v>
      </c>
      <c r="AE71" s="736">
        <f ca="1">IF(AND($AA71=1,'Finals 4'!$O19&lt;&gt;"",'Finals 4'!$Q19&lt;&gt;"",ABS('Finals 4'!$O19-'Finals 4'!$Q19)&gt;1),'Finals 4'!$Q19,"")</f>
        <v>12</v>
      </c>
      <c r="AF71" s="737" t="str">
        <f ca="1">IF(AND($AA71=1,'Finals 4'!$R19&lt;&gt;"",'Finals 4'!$T19&lt;&gt;"",ABS('Finals 4'!$R19-'Finals 4'!$T19)&gt;1),'Finals 4'!$R19,"")</f>
        <v/>
      </c>
      <c r="AG71" s="736" t="str">
        <f ca="1">IF(AND($AA71=1,'Finals 4'!$R19&lt;&gt;"",'Finals 4'!$T19&lt;&gt;"",ABS('Finals 4'!$R19-'Finals 4'!$T19)&gt;1),'Finals 4'!$T19,"")</f>
        <v/>
      </c>
      <c r="AH71" s="737">
        <f t="shared" ca="1" si="47"/>
        <v>44</v>
      </c>
      <c r="AI71" s="736">
        <f t="shared" ca="1" si="48"/>
        <v>37</v>
      </c>
      <c r="AJ71" s="737">
        <f ca="1">IF('Finals 4'!$U19="",0,'Finals 4'!$U19)</f>
        <v>1</v>
      </c>
      <c r="AK71" s="736">
        <f ca="1">IF('Finals 4'!$W19="",0,'Finals 4'!$W19)</f>
        <v>1</v>
      </c>
      <c r="AL71" s="737">
        <f ca="1">IF($AA71=0,"",IF($AJ71&gt;$AK71,Settings!$C$4,IF($AJ71=$AK71,1,0)))</f>
        <v>1</v>
      </c>
      <c r="AM71" s="736">
        <f ca="1">IF($AA71=0,"",IF($AJ71&lt;$AK71,Settings!$C$4,IF($AJ71=$AK71,1,0)))</f>
        <v>1</v>
      </c>
      <c r="AN71" s="661"/>
      <c r="AO71" s="660"/>
      <c r="AP71" s="660"/>
      <c r="AQ71" s="660"/>
      <c r="AR71" s="660"/>
      <c r="AS71" s="660"/>
      <c r="AT71" s="660"/>
      <c r="AU71" s="660"/>
      <c r="AV71" s="660"/>
      <c r="AW71" s="660"/>
      <c r="AX71" s="660"/>
      <c r="AY71" s="660"/>
      <c r="AZ71" s="660"/>
      <c r="BA71" s="660"/>
      <c r="BB71" s="660"/>
      <c r="BC71" s="660"/>
      <c r="BD71" s="660"/>
      <c r="BE71" s="660"/>
      <c r="BF71" s="660"/>
      <c r="BG71" s="660"/>
      <c r="BH71" s="660"/>
      <c r="BI71" s="660"/>
      <c r="BJ71" s="660"/>
      <c r="BK71" s="660"/>
      <c r="BL71" s="660"/>
      <c r="BM71" s="660"/>
      <c r="BN71" s="660"/>
      <c r="BO71" s="660"/>
      <c r="BP71" s="660"/>
      <c r="BQ71" s="660"/>
      <c r="BR71" s="660"/>
      <c r="BS71" s="660"/>
      <c r="BT71" s="660"/>
      <c r="BU71" s="660"/>
      <c r="BV71" s="660"/>
      <c r="BW71" s="660"/>
      <c r="BX71" s="660"/>
      <c r="BY71" s="660"/>
      <c r="BZ71" s="660"/>
      <c r="CA71" s="660"/>
      <c r="CB71" s="660"/>
    </row>
    <row r="72" spans="1:80" s="1" customFormat="1" ht="12.75" thickBot="1" x14ac:dyDescent="0.25">
      <c r="A72" s="660"/>
      <c r="B72" s="681"/>
      <c r="C72" s="681"/>
      <c r="D72" s="681"/>
      <c r="E72" s="681"/>
      <c r="F72" s="661"/>
      <c r="G72" s="661"/>
      <c r="H72" s="661"/>
      <c r="I72" s="661"/>
      <c r="J72" s="661"/>
      <c r="K72" s="661"/>
      <c r="L72" s="661"/>
      <c r="M72" s="661"/>
      <c r="N72" s="660"/>
      <c r="O72" s="660"/>
      <c r="P72" s="740"/>
      <c r="Q72" s="741" t="str">
        <f>""</f>
        <v/>
      </c>
      <c r="R72" s="660"/>
      <c r="S72" s="660"/>
      <c r="T72" s="660"/>
      <c r="U72" s="732" t="s">
        <v>18</v>
      </c>
      <c r="V72" s="733" t="str">
        <f ca="1">'Finals 4'!$I20</f>
        <v>Maibach 1822 eV</v>
      </c>
      <c r="W72" s="661" t="str">
        <f ca="1">'Finals 4'!$K20</f>
        <v>VFB Essenheim</v>
      </c>
      <c r="X72" s="661">
        <f ca="1">IF(AND($AA72=1,'Finals 4'!$L20&lt;&gt;"",'Finals 4'!$N20&lt;&gt;"",ABS('Finals 4'!$L20-'Finals 4'!$N20)&gt;1),'Finals 4'!$L20,"")</f>
        <v>13</v>
      </c>
      <c r="Y72" s="734">
        <f ca="1">IF(AND($AA72=1,'Finals 4'!$L20&lt;&gt;"",'Finals 4'!$N20&lt;&gt;"",ABS('Finals 4'!$L20-'Finals 4'!$N20)&gt;1),'Finals 4'!$N20,"")</f>
        <v>25</v>
      </c>
      <c r="Z72" s="735" t="str">
        <f t="shared" ca="1" si="46"/>
        <v>Maibach 1822 eVVFB Essenheim</v>
      </c>
      <c r="AA72" s="661">
        <f ca="1">IF(AND(V72&lt;&gt;"",W72&lt;&gt;"",V72&lt;&gt;W72,'Finals 4'!$U20&lt;&gt;"",'Finals 4'!$W20&lt;&gt;""),1,0)</f>
        <v>1</v>
      </c>
      <c r="AB72" s="661" t="str">
        <f ca="1">IF(AA72&gt;0,AH72&amp;Language!$E$99&amp;AI72,"")</f>
        <v>31 - 50</v>
      </c>
      <c r="AC72" s="736" t="str">
        <f ca="1">IF(AA72&gt;0,AJ72&amp;Language!$E$99&amp;AK72,"")</f>
        <v>0 - 2</v>
      </c>
      <c r="AD72" s="737">
        <f ca="1">IF(AND($AA72=1,'Finals 4'!$O20&lt;&gt;"",'Finals 4'!$Q20&lt;&gt;"",ABS('Finals 4'!$O20-'Finals 4'!$Q20)&gt;1),'Finals 4'!$O20,"")</f>
        <v>18</v>
      </c>
      <c r="AE72" s="736">
        <f ca="1">IF(AND($AA72=1,'Finals 4'!$O20&lt;&gt;"",'Finals 4'!$Q20&lt;&gt;"",ABS('Finals 4'!$O20-'Finals 4'!$Q20)&gt;1),'Finals 4'!$Q20,"")</f>
        <v>25</v>
      </c>
      <c r="AF72" s="737" t="str">
        <f ca="1">IF(AND($AA72=1,'Finals 4'!$R20&lt;&gt;"",'Finals 4'!$T20&lt;&gt;"",ABS('Finals 4'!$R20-'Finals 4'!$T20)&gt;1),'Finals 4'!$R20,"")</f>
        <v/>
      </c>
      <c r="AG72" s="736" t="str">
        <f ca="1">IF(AND($AA72=1,'Finals 4'!$R20&lt;&gt;"",'Finals 4'!$T20&lt;&gt;"",ABS('Finals 4'!$R20-'Finals 4'!$T20)&gt;1),'Finals 4'!$T20,"")</f>
        <v/>
      </c>
      <c r="AH72" s="737">
        <f t="shared" ca="1" si="47"/>
        <v>31</v>
      </c>
      <c r="AI72" s="736">
        <f t="shared" ca="1" si="48"/>
        <v>50</v>
      </c>
      <c r="AJ72" s="737">
        <f ca="1">IF('Finals 4'!$U20="",0,'Finals 4'!$U20)</f>
        <v>0</v>
      </c>
      <c r="AK72" s="736">
        <f ca="1">IF('Finals 4'!$W20="",0,'Finals 4'!$W20)</f>
        <v>2</v>
      </c>
      <c r="AL72" s="737">
        <f ca="1">IF($AA72=0,"",IF($AJ72&gt;$AK72,Settings!$C$4,IF($AJ72=$AK72,1,0)))</f>
        <v>0</v>
      </c>
      <c r="AM72" s="736">
        <f ca="1">IF($AA72=0,"",IF($AJ72&lt;$AK72,Settings!$C$4,IF($AJ72=$AK72,1,0)))</f>
        <v>2</v>
      </c>
      <c r="AN72" s="661"/>
      <c r="AO72" s="660"/>
      <c r="AP72" s="660"/>
      <c r="AQ72" s="660"/>
      <c r="AR72" s="660"/>
      <c r="AS72" s="660"/>
      <c r="AT72" s="660"/>
      <c r="AU72" s="660"/>
      <c r="AV72" s="660"/>
      <c r="AW72" s="660"/>
      <c r="AX72" s="660"/>
      <c r="AY72" s="660"/>
      <c r="AZ72" s="660"/>
      <c r="BA72" s="660"/>
      <c r="BB72" s="660"/>
      <c r="BC72" s="660"/>
      <c r="BD72" s="660"/>
      <c r="BE72" s="660"/>
      <c r="BF72" s="660"/>
      <c r="BG72" s="660"/>
      <c r="BH72" s="660"/>
      <c r="BI72" s="660"/>
      <c r="BJ72" s="660"/>
      <c r="BK72" s="660"/>
      <c r="BL72" s="660"/>
      <c r="BM72" s="660"/>
      <c r="BN72" s="660"/>
      <c r="BO72" s="660"/>
      <c r="BP72" s="660"/>
      <c r="BQ72" s="660"/>
      <c r="BR72" s="660"/>
      <c r="BS72" s="660"/>
      <c r="BT72" s="660"/>
      <c r="BU72" s="660"/>
      <c r="BV72" s="660"/>
      <c r="BW72" s="660"/>
      <c r="BX72" s="660"/>
      <c r="BY72" s="660"/>
      <c r="BZ72" s="660"/>
      <c r="CA72" s="660"/>
      <c r="CB72" s="660"/>
    </row>
    <row r="73" spans="1:80" s="1" customFormat="1" ht="12.75" thickTop="1" x14ac:dyDescent="0.2">
      <c r="A73" s="660"/>
      <c r="B73" s="681"/>
      <c r="C73" s="681"/>
      <c r="D73" s="681"/>
      <c r="E73" s="681"/>
      <c r="F73" s="661"/>
      <c r="G73" s="661"/>
      <c r="H73" s="661"/>
      <c r="I73" s="661"/>
      <c r="J73" s="661"/>
      <c r="K73" s="661"/>
      <c r="L73" s="661"/>
      <c r="M73" s="661"/>
      <c r="N73" s="660"/>
      <c r="O73" s="660"/>
      <c r="P73" s="660"/>
      <c r="Q73" s="660"/>
      <c r="R73" s="660"/>
      <c r="S73" s="660"/>
      <c r="T73" s="660"/>
      <c r="U73" s="732" t="s">
        <v>24</v>
      </c>
      <c r="V73" s="733" t="str">
        <f ca="1">'Finals 4'!$I21</f>
        <v>Mainz 05</v>
      </c>
      <c r="W73" s="661" t="str">
        <f ca="1">'Finals 4'!$K21</f>
        <v/>
      </c>
      <c r="X73" s="661" t="str">
        <f ca="1">IF(AND($AA73=1,'Finals 4'!$L21&lt;&gt;"",'Finals 4'!$N21&lt;&gt;"",ABS('Finals 4'!$L21-'Finals 4'!$N21)&gt;1),'Finals 4'!$L21,"")</f>
        <v/>
      </c>
      <c r="Y73" s="734" t="str">
        <f ca="1">IF(AND($AA73=1,'Finals 4'!$L21&lt;&gt;"",'Finals 4'!$N21&lt;&gt;"",ABS('Finals 4'!$L21-'Finals 4'!$N21)&gt;1),'Finals 4'!$N21,"")</f>
        <v/>
      </c>
      <c r="Z73" s="735" t="str">
        <f t="shared" ca="1" si="46"/>
        <v>Mainz 05</v>
      </c>
      <c r="AA73" s="661">
        <f ca="1">IF(AND(V73&lt;&gt;"",W73&lt;&gt;"",V73&lt;&gt;W73,'Finals 4'!$U21&lt;&gt;"",'Finals 4'!$W21&lt;&gt;""),1,0)</f>
        <v>0</v>
      </c>
      <c r="AB73" s="661" t="str">
        <f ca="1">IF(AA73&gt;0,AH73&amp;Language!$E$99&amp;AI73,"")</f>
        <v/>
      </c>
      <c r="AC73" s="736" t="str">
        <f ca="1">IF(AA73&gt;0,AJ73&amp;Language!$E$99&amp;AK73,"")</f>
        <v/>
      </c>
      <c r="AD73" s="737" t="str">
        <f ca="1">IF(AND($AA73=1,'Finals 4'!$O21&lt;&gt;"",'Finals 4'!$Q21&lt;&gt;"",ABS('Finals 4'!$O21-'Finals 4'!$Q21)&gt;1),'Finals 4'!$O21,"")</f>
        <v/>
      </c>
      <c r="AE73" s="736" t="str">
        <f ca="1">IF(AND($AA73=1,'Finals 4'!$O21&lt;&gt;"",'Finals 4'!$Q21&lt;&gt;"",ABS('Finals 4'!$O21-'Finals 4'!$Q21)&gt;1),'Finals 4'!$Q21,"")</f>
        <v/>
      </c>
      <c r="AF73" s="737" t="str">
        <f ca="1">IF(AND($AA73=1,'Finals 4'!$R21&lt;&gt;"",'Finals 4'!$T21&lt;&gt;"",ABS('Finals 4'!$R21-'Finals 4'!$T21)&gt;1),'Finals 4'!$R21,"")</f>
        <v/>
      </c>
      <c r="AG73" s="736" t="str">
        <f ca="1">IF(AND($AA73=1,'Finals 4'!$R21&lt;&gt;"",'Finals 4'!$T21&lt;&gt;"",ABS('Finals 4'!$R21-'Finals 4'!$T21)&gt;1),'Finals 4'!$T21,"")</f>
        <v/>
      </c>
      <c r="AH73" s="737" t="str">
        <f t="shared" ca="1" si="47"/>
        <v/>
      </c>
      <c r="AI73" s="736" t="str">
        <f t="shared" ca="1" si="48"/>
        <v/>
      </c>
      <c r="AJ73" s="737">
        <f ca="1">IF('Finals 4'!$U21="",0,'Finals 4'!$U21)</f>
        <v>0</v>
      </c>
      <c r="AK73" s="736">
        <f ca="1">IF('Finals 4'!$W21="",0,'Finals 4'!$W21)</f>
        <v>0</v>
      </c>
      <c r="AL73" s="737" t="str">
        <f ca="1">IF($AA73=0,"",IF($AJ73&gt;$AK73,Settings!$C$4,IF($AJ73=$AK73,1,0)))</f>
        <v/>
      </c>
      <c r="AM73" s="736" t="str">
        <f ca="1">IF($AA73=0,"",IF($AJ73&lt;$AK73,Settings!$C$4,IF($AJ73=$AK73,1,0)))</f>
        <v/>
      </c>
      <c r="AN73" s="661"/>
      <c r="AO73" s="660"/>
      <c r="AP73" s="660"/>
      <c r="AQ73" s="660"/>
      <c r="AR73" s="660"/>
      <c r="AS73" s="660"/>
      <c r="AT73" s="660"/>
      <c r="AU73" s="660"/>
      <c r="AV73" s="660"/>
      <c r="AW73" s="660"/>
      <c r="AX73" s="660"/>
      <c r="AY73" s="660"/>
      <c r="AZ73" s="660"/>
      <c r="BA73" s="660"/>
      <c r="BB73" s="660"/>
      <c r="BC73" s="660"/>
      <c r="BD73" s="660"/>
      <c r="BE73" s="660"/>
      <c r="BF73" s="660"/>
      <c r="BG73" s="660"/>
      <c r="BH73" s="660"/>
      <c r="BI73" s="660"/>
      <c r="BJ73" s="660"/>
      <c r="BK73" s="660"/>
      <c r="BL73" s="660"/>
      <c r="BM73" s="660"/>
      <c r="BN73" s="660"/>
      <c r="BO73" s="660"/>
      <c r="BP73" s="660"/>
      <c r="BQ73" s="660"/>
      <c r="BR73" s="660"/>
      <c r="BS73" s="660"/>
      <c r="BT73" s="660"/>
      <c r="BU73" s="660"/>
      <c r="BV73" s="660"/>
      <c r="BW73" s="660"/>
      <c r="BX73" s="660"/>
      <c r="BY73" s="660"/>
      <c r="BZ73" s="660"/>
      <c r="CA73" s="660"/>
      <c r="CB73" s="660"/>
    </row>
    <row r="74" spans="1:80" s="1" customFormat="1" x14ac:dyDescent="0.2">
      <c r="A74" s="660"/>
      <c r="B74" s="681"/>
      <c r="C74" s="681"/>
      <c r="D74" s="681"/>
      <c r="E74" s="681"/>
      <c r="F74" s="661"/>
      <c r="G74" s="661"/>
      <c r="H74" s="661"/>
      <c r="I74" s="661"/>
      <c r="J74" s="661"/>
      <c r="K74" s="661"/>
      <c r="L74" s="661"/>
      <c r="M74" s="661"/>
      <c r="N74" s="660"/>
      <c r="O74" s="660"/>
      <c r="P74" s="660"/>
      <c r="Q74" s="660"/>
      <c r="R74" s="660"/>
      <c r="S74" s="660"/>
      <c r="T74" s="660"/>
      <c r="U74" s="732" t="s">
        <v>25</v>
      </c>
      <c r="V74" s="733" t="str">
        <f ca="1">'Finals 4'!$I22</f>
        <v>SSV Wildbach</v>
      </c>
      <c r="W74" s="661" t="str">
        <f ca="1">'Finals 4'!$K22</f>
        <v>FC Grönlingen</v>
      </c>
      <c r="X74" s="661">
        <f ca="1">IF(AND($AA74=1,'Finals 4'!$L22&lt;&gt;"",'Finals 4'!$N22&lt;&gt;"",ABS('Finals 4'!$L22-'Finals 4'!$N22)&gt;1),'Finals 4'!$L22,"")</f>
        <v>22</v>
      </c>
      <c r="Y74" s="734">
        <f ca="1">IF(AND($AA74=1,'Finals 4'!$L22&lt;&gt;"",'Finals 4'!$N22&lt;&gt;"",ABS('Finals 4'!$L22-'Finals 4'!$N22)&gt;1),'Finals 4'!$N22,"")</f>
        <v>25</v>
      </c>
      <c r="Z74" s="735" t="str">
        <f ca="1">V74&amp;W74</f>
        <v>SSV WildbachFC Grönlingen</v>
      </c>
      <c r="AA74" s="661">
        <f ca="1">IF(AND(V74&lt;&gt;"",W74&lt;&gt;"",V74&lt;&gt;W74,'Finals 4'!$U22&lt;&gt;"",'Finals 4'!$W22&lt;&gt;""),1,0)</f>
        <v>1</v>
      </c>
      <c r="AB74" s="661" t="str">
        <f ca="1">IF(AA74&gt;0,AH74&amp;Language!$E$99&amp;AI74,"")</f>
        <v>47 - 45</v>
      </c>
      <c r="AC74" s="736" t="str">
        <f ca="1">IF(AA74&gt;0,AJ74&amp;Language!$E$99&amp;AK74,"")</f>
        <v>1 - 1</v>
      </c>
      <c r="AD74" s="737">
        <f ca="1">IF(AND($AA74=1,'Finals 4'!$O22&lt;&gt;"",'Finals 4'!$Q22&lt;&gt;"",ABS('Finals 4'!$O22-'Finals 4'!$Q22)&gt;1),'Finals 4'!$O22,"")</f>
        <v>25</v>
      </c>
      <c r="AE74" s="736">
        <f ca="1">IF(AND($AA74=1,'Finals 4'!$O22&lt;&gt;"",'Finals 4'!$Q22&lt;&gt;"",ABS('Finals 4'!$O22-'Finals 4'!$Q22)&gt;1),'Finals 4'!$Q22,"")</f>
        <v>20</v>
      </c>
      <c r="AF74" s="737" t="str">
        <f ca="1">IF(AND($AA74=1,'Finals 4'!$R22&lt;&gt;"",'Finals 4'!$T22&lt;&gt;"",ABS('Finals 4'!$R22-'Finals 4'!$T22)&gt;1),'Finals 4'!$R22,"")</f>
        <v/>
      </c>
      <c r="AG74" s="736" t="str">
        <f ca="1">IF(AND($AA74=1,'Finals 4'!$R22&lt;&gt;"",'Finals 4'!$T22&lt;&gt;"",ABS('Finals 4'!$R22-'Finals 4'!$T22)&gt;1),'Finals 4'!$T22,"")</f>
        <v/>
      </c>
      <c r="AH74" s="737">
        <f t="shared" ca="1" si="47"/>
        <v>47</v>
      </c>
      <c r="AI74" s="736">
        <f t="shared" ca="1" si="48"/>
        <v>45</v>
      </c>
      <c r="AJ74" s="737">
        <f ca="1">IF('Finals 4'!$U22="",0,'Finals 4'!$U22)</f>
        <v>1</v>
      </c>
      <c r="AK74" s="736">
        <f ca="1">IF('Finals 4'!$W22="",0,'Finals 4'!$W22)</f>
        <v>1</v>
      </c>
      <c r="AL74" s="737">
        <f ca="1">IF($AA74=0,"",IF($AJ74&gt;$AK74,Settings!$C$4,IF($AJ74=$AK74,1,0)))</f>
        <v>1</v>
      </c>
      <c r="AM74" s="736">
        <f ca="1">IF($AA74=0,"",IF($AJ74&lt;$AK74,Settings!$C$4,IF($AJ74=$AK74,1,0)))</f>
        <v>1</v>
      </c>
      <c r="AN74" s="660"/>
      <c r="AO74" s="660"/>
      <c r="AP74" s="660"/>
      <c r="AQ74" s="660"/>
      <c r="AR74" s="660"/>
      <c r="AS74" s="660"/>
      <c r="AT74" s="660"/>
      <c r="AU74" s="660"/>
      <c r="AV74" s="660"/>
      <c r="AW74" s="660"/>
      <c r="AX74" s="660"/>
      <c r="AY74" s="660"/>
      <c r="AZ74" s="660"/>
      <c r="BA74" s="660"/>
      <c r="BB74" s="660"/>
      <c r="BC74" s="660"/>
      <c r="BD74" s="660"/>
      <c r="BE74" s="660"/>
      <c r="BF74" s="660"/>
      <c r="BG74" s="660"/>
      <c r="BH74" s="660"/>
      <c r="BI74" s="660"/>
      <c r="BJ74" s="660"/>
      <c r="BK74" s="660"/>
      <c r="BL74" s="660"/>
      <c r="BM74" s="660"/>
      <c r="BN74" s="660"/>
      <c r="BO74" s="660"/>
      <c r="BP74" s="660"/>
      <c r="BQ74" s="660"/>
      <c r="BR74" s="660"/>
      <c r="BS74" s="660"/>
      <c r="BT74" s="660"/>
      <c r="BU74" s="660"/>
      <c r="BV74" s="660"/>
      <c r="BW74" s="660"/>
      <c r="BX74" s="660"/>
      <c r="BY74" s="660"/>
      <c r="BZ74" s="660"/>
      <c r="CA74" s="660"/>
      <c r="CB74" s="660"/>
    </row>
    <row r="75" spans="1:80" s="1" customFormat="1" x14ac:dyDescent="0.2">
      <c r="A75" s="660"/>
      <c r="B75" s="681"/>
      <c r="C75" s="681"/>
      <c r="D75" s="681"/>
      <c r="E75" s="681"/>
      <c r="F75" s="661"/>
      <c r="G75" s="661"/>
      <c r="H75" s="661"/>
      <c r="I75" s="661"/>
      <c r="J75" s="661"/>
      <c r="K75" s="661"/>
      <c r="L75" s="661"/>
      <c r="M75" s="661"/>
      <c r="N75" s="660"/>
      <c r="O75" s="660"/>
      <c r="P75" s="660"/>
      <c r="Q75" s="660"/>
      <c r="R75" s="660"/>
      <c r="S75" s="660"/>
      <c r="T75" s="660"/>
      <c r="U75" s="732" t="s">
        <v>26</v>
      </c>
      <c r="V75" s="733" t="str">
        <f ca="1">'Finals 4'!$I23</f>
        <v>Inter Mailand</v>
      </c>
      <c r="W75" s="661" t="str">
        <f ca="1">'Finals 4'!$K23</f>
        <v>Manchester City</v>
      </c>
      <c r="X75" s="661">
        <f ca="1">IF(AND($AA75=1,'Finals 4'!$L23&lt;&gt;"",'Finals 4'!$N23&lt;&gt;"",ABS('Finals 4'!$L23-'Finals 4'!$N23)&gt;1),'Finals 4'!$L23,"")</f>
        <v>19</v>
      </c>
      <c r="Y75" s="734">
        <f ca="1">IF(AND($AA75=1,'Finals 4'!$L23&lt;&gt;"",'Finals 4'!$N23&lt;&gt;"",ABS('Finals 4'!$L23-'Finals 4'!$N23)&gt;1),'Finals 4'!$N23,"")</f>
        <v>25</v>
      </c>
      <c r="Z75" s="735" t="str">
        <f t="shared" ref="Z75:Z81" ca="1" si="49">V75&amp;W75</f>
        <v>Inter MailandManchester City</v>
      </c>
      <c r="AA75" s="661">
        <f ca="1">IF(AND(V75&lt;&gt;"",W75&lt;&gt;"",V75&lt;&gt;W75,'Finals 4'!$U23&lt;&gt;"",'Finals 4'!$W23&lt;&gt;""),1,0)</f>
        <v>1</v>
      </c>
      <c r="AB75" s="661" t="str">
        <f ca="1">IF(AA75&gt;0,AH75&amp;Language!$E$99&amp;AI75,"")</f>
        <v>44 - 44</v>
      </c>
      <c r="AC75" s="736" t="str">
        <f ca="1">IF(AA75&gt;0,AJ75&amp;Language!$E$99&amp;AK75,"")</f>
        <v>1 - 1</v>
      </c>
      <c r="AD75" s="737">
        <f ca="1">IF(AND($AA75=1,'Finals 4'!$O23&lt;&gt;"",'Finals 4'!$Q23&lt;&gt;"",ABS('Finals 4'!$O23-'Finals 4'!$Q23)&gt;1),'Finals 4'!$O23,"")</f>
        <v>25</v>
      </c>
      <c r="AE75" s="736">
        <f ca="1">IF(AND($AA75=1,'Finals 4'!$O23&lt;&gt;"",'Finals 4'!$Q23&lt;&gt;"",ABS('Finals 4'!$O23-'Finals 4'!$Q23)&gt;1),'Finals 4'!$Q23,"")</f>
        <v>19</v>
      </c>
      <c r="AF75" s="737" t="str">
        <f ca="1">IF(AND($AA75=1,'Finals 4'!$R23&lt;&gt;"",'Finals 4'!$T23&lt;&gt;"",ABS('Finals 4'!$R23-'Finals 4'!$T23)&gt;1),'Finals 4'!$R23,"")</f>
        <v/>
      </c>
      <c r="AG75" s="736" t="str">
        <f ca="1">IF(AND($AA75=1,'Finals 4'!$R23&lt;&gt;"",'Finals 4'!$T23&lt;&gt;"",ABS('Finals 4'!$R23-'Finals 4'!$T23)&gt;1),'Finals 4'!$T23,"")</f>
        <v/>
      </c>
      <c r="AH75" s="737">
        <f t="shared" ca="1" si="47"/>
        <v>44</v>
      </c>
      <c r="AI75" s="736">
        <f t="shared" ca="1" si="48"/>
        <v>44</v>
      </c>
      <c r="AJ75" s="737">
        <f ca="1">IF('Finals 4'!$U23="",0,'Finals 4'!$U23)</f>
        <v>1</v>
      </c>
      <c r="AK75" s="736">
        <f ca="1">IF('Finals 4'!$W23="",0,'Finals 4'!$W23)</f>
        <v>1</v>
      </c>
      <c r="AL75" s="737">
        <f ca="1">IF($AA75=0,"",IF($AJ75&gt;$AK75,Settings!$C$4,IF($AJ75=$AK75,1,0)))</f>
        <v>1</v>
      </c>
      <c r="AM75" s="736">
        <f ca="1">IF($AA75=0,"",IF($AJ75&lt;$AK75,Settings!$C$4,IF($AJ75=$AK75,1,0)))</f>
        <v>1</v>
      </c>
      <c r="AN75" s="660"/>
      <c r="AO75" s="660"/>
      <c r="AP75" s="660"/>
      <c r="AQ75" s="660"/>
      <c r="AR75" s="660"/>
      <c r="AS75" s="660"/>
      <c r="AT75" s="660"/>
      <c r="AU75" s="660"/>
      <c r="AV75" s="660"/>
      <c r="AW75" s="660"/>
      <c r="AX75" s="660"/>
      <c r="AY75" s="660"/>
      <c r="AZ75" s="660"/>
      <c r="BA75" s="660"/>
      <c r="BB75" s="660"/>
      <c r="BC75" s="660"/>
      <c r="BD75" s="660"/>
      <c r="BE75" s="660"/>
      <c r="BF75" s="660"/>
      <c r="BG75" s="660"/>
      <c r="BH75" s="660"/>
      <c r="BI75" s="660"/>
      <c r="BJ75" s="660"/>
      <c r="BK75" s="660"/>
      <c r="BL75" s="660"/>
      <c r="BM75" s="660"/>
      <c r="BN75" s="660"/>
      <c r="BO75" s="660"/>
      <c r="BP75" s="660"/>
      <c r="BQ75" s="660"/>
      <c r="BR75" s="660"/>
      <c r="BS75" s="660"/>
      <c r="BT75" s="660"/>
      <c r="BU75" s="660"/>
      <c r="BV75" s="660"/>
      <c r="BW75" s="660"/>
      <c r="BX75" s="660"/>
      <c r="BY75" s="660"/>
      <c r="BZ75" s="660"/>
      <c r="CA75" s="660"/>
      <c r="CB75" s="660"/>
    </row>
    <row r="76" spans="1:80" s="1" customFormat="1" x14ac:dyDescent="0.2">
      <c r="A76" s="660"/>
      <c r="B76" s="681"/>
      <c r="C76" s="681"/>
      <c r="D76" s="681"/>
      <c r="E76" s="681"/>
      <c r="F76" s="661"/>
      <c r="G76" s="661"/>
      <c r="H76" s="661"/>
      <c r="I76" s="661"/>
      <c r="J76" s="661"/>
      <c r="K76" s="661"/>
      <c r="L76" s="661"/>
      <c r="M76" s="661"/>
      <c r="N76" s="660"/>
      <c r="O76" s="660"/>
      <c r="P76" s="660"/>
      <c r="Q76" s="660"/>
      <c r="R76" s="660"/>
      <c r="S76" s="660"/>
      <c r="T76" s="660"/>
      <c r="U76" s="732" t="s">
        <v>27</v>
      </c>
      <c r="V76" s="733" t="str">
        <f ca="1">'Finals 4'!$I24</f>
        <v/>
      </c>
      <c r="W76" s="661" t="str">
        <f ca="1">'Finals 4'!$K24</f>
        <v/>
      </c>
      <c r="X76" s="661" t="str">
        <f ca="1">IF(AND($AA76=1,'Finals 4'!$L24&lt;&gt;"",'Finals 4'!$N24&lt;&gt;"",ABS('Finals 4'!$L24-'Finals 4'!$N24)&gt;1),'Finals 4'!$L24,"")</f>
        <v/>
      </c>
      <c r="Y76" s="734" t="str">
        <f ca="1">IF(AND($AA76=1,'Finals 4'!$L24&lt;&gt;"",'Finals 4'!$N24&lt;&gt;"",ABS('Finals 4'!$L24-'Finals 4'!$N24)&gt;1),'Finals 4'!$N24,"")</f>
        <v/>
      </c>
      <c r="Z76" s="735" t="str">
        <f t="shared" ca="1" si="49"/>
        <v/>
      </c>
      <c r="AA76" s="661">
        <f ca="1">IF(AND(V76&lt;&gt;"",W76&lt;&gt;"",V76&lt;&gt;W76,'Finals 4'!$U24&lt;&gt;"",'Finals 4'!$W24&lt;&gt;""),1,0)</f>
        <v>0</v>
      </c>
      <c r="AB76" s="661" t="str">
        <f ca="1">IF(AA76&gt;0,AH76&amp;Language!$E$99&amp;AI76,"")</f>
        <v/>
      </c>
      <c r="AC76" s="736" t="str">
        <f ca="1">IF(AA76&gt;0,AJ76&amp;Language!$E$99&amp;AK76,"")</f>
        <v/>
      </c>
      <c r="AD76" s="737" t="str">
        <f ca="1">IF(AND($AA76=1,'Finals 4'!$O24&lt;&gt;"",'Finals 4'!$Q24&lt;&gt;"",ABS('Finals 4'!$O24-'Finals 4'!$Q24)&gt;1),'Finals 4'!$O24,"")</f>
        <v/>
      </c>
      <c r="AE76" s="736" t="str">
        <f ca="1">IF(AND($AA76=1,'Finals 4'!$O24&lt;&gt;"",'Finals 4'!$Q24&lt;&gt;"",ABS('Finals 4'!$O24-'Finals 4'!$Q24)&gt;1),'Finals 4'!$Q24,"")</f>
        <v/>
      </c>
      <c r="AF76" s="737" t="str">
        <f ca="1">IF(AND($AA76=1,'Finals 4'!$R24&lt;&gt;"",'Finals 4'!$T24&lt;&gt;"",ABS('Finals 4'!$R24-'Finals 4'!$T24)&gt;1),'Finals 4'!$R24,"")</f>
        <v/>
      </c>
      <c r="AG76" s="736" t="str">
        <f ca="1">IF(AND($AA76=1,'Finals 4'!$R24&lt;&gt;"",'Finals 4'!$T24&lt;&gt;"",ABS('Finals 4'!$R24-'Finals 4'!$T24)&gt;1),'Finals 4'!$T24,"")</f>
        <v/>
      </c>
      <c r="AH76" s="737" t="str">
        <f t="shared" ca="1" si="47"/>
        <v/>
      </c>
      <c r="AI76" s="736" t="str">
        <f t="shared" ca="1" si="48"/>
        <v/>
      </c>
      <c r="AJ76" s="737">
        <f ca="1">IF('Finals 4'!$U24="",0,'Finals 4'!$U24)</f>
        <v>0</v>
      </c>
      <c r="AK76" s="736">
        <f ca="1">IF('Finals 4'!$W24="",0,'Finals 4'!$W24)</f>
        <v>0</v>
      </c>
      <c r="AL76" s="737" t="str">
        <f ca="1">IF($AA76=0,"",IF($AJ76&gt;$AK76,Settings!$C$4,IF($AJ76=$AK76,1,0)))</f>
        <v/>
      </c>
      <c r="AM76" s="736" t="str">
        <f ca="1">IF($AA76=0,"",IF($AJ76&lt;$AK76,Settings!$C$4,IF($AJ76=$AK76,1,0)))</f>
        <v/>
      </c>
      <c r="AN76" s="660"/>
      <c r="AO76" s="660"/>
      <c r="AP76" s="660"/>
      <c r="AQ76" s="660"/>
      <c r="AR76" s="660"/>
      <c r="AS76" s="660"/>
      <c r="AT76" s="660"/>
      <c r="AU76" s="660"/>
      <c r="AV76" s="660"/>
      <c r="AW76" s="660"/>
      <c r="AX76" s="660"/>
      <c r="AY76" s="660"/>
      <c r="AZ76" s="660"/>
      <c r="BA76" s="660"/>
      <c r="BB76" s="660"/>
      <c r="BC76" s="660"/>
      <c r="BD76" s="660"/>
      <c r="BE76" s="660"/>
      <c r="BF76" s="660"/>
      <c r="BG76" s="660"/>
      <c r="BH76" s="660"/>
      <c r="BI76" s="660"/>
      <c r="BJ76" s="660"/>
      <c r="BK76" s="660"/>
      <c r="BL76" s="660"/>
      <c r="BM76" s="660"/>
      <c r="BN76" s="660"/>
      <c r="BO76" s="660"/>
      <c r="BP76" s="660"/>
      <c r="BQ76" s="660"/>
      <c r="BR76" s="660"/>
      <c r="BS76" s="660"/>
      <c r="BT76" s="660"/>
      <c r="BU76" s="660"/>
      <c r="BV76" s="660"/>
      <c r="BW76" s="660"/>
      <c r="BX76" s="660"/>
      <c r="BY76" s="660"/>
      <c r="BZ76" s="660"/>
      <c r="CA76" s="660"/>
      <c r="CB76" s="660"/>
    </row>
    <row r="77" spans="1:80" s="1" customFormat="1" x14ac:dyDescent="0.2">
      <c r="A77" s="660"/>
      <c r="B77" s="681"/>
      <c r="C77" s="681"/>
      <c r="D77" s="681"/>
      <c r="E77" s="681"/>
      <c r="F77" s="661"/>
      <c r="G77" s="661"/>
      <c r="H77" s="661"/>
      <c r="I77" s="661"/>
      <c r="J77" s="661"/>
      <c r="K77" s="661"/>
      <c r="L77" s="661"/>
      <c r="M77" s="661"/>
      <c r="N77" s="660"/>
      <c r="O77" s="660"/>
      <c r="P77" s="660"/>
      <c r="Q77" s="660"/>
      <c r="R77" s="660"/>
      <c r="S77" s="660"/>
      <c r="T77" s="660"/>
      <c r="U77" s="732" t="s">
        <v>28</v>
      </c>
      <c r="V77" s="733" t="str">
        <f ca="1">'Finals 4'!$I25</f>
        <v>Eintracht Frankfurt</v>
      </c>
      <c r="W77" s="661" t="str">
        <f ca="1">'Finals 4'!$K25</f>
        <v>FC Grönlingen</v>
      </c>
      <c r="X77" s="661">
        <f ca="1">IF(AND($AA77=1,'Finals 4'!$L25&lt;&gt;"",'Finals 4'!$N25&lt;&gt;"",ABS('Finals 4'!$L25-'Finals 4'!$N25)&gt;1),'Finals 4'!$L25,"")</f>
        <v>14</v>
      </c>
      <c r="Y77" s="734">
        <f ca="1">IF(AND($AA77=1,'Finals 4'!$L25&lt;&gt;"",'Finals 4'!$N25&lt;&gt;"",ABS('Finals 4'!$L25-'Finals 4'!$N25)&gt;1),'Finals 4'!$N25,"")</f>
        <v>25</v>
      </c>
      <c r="Z77" s="735" t="str">
        <f t="shared" ca="1" si="49"/>
        <v>Eintracht FrankfurtFC Grönlingen</v>
      </c>
      <c r="AA77" s="661">
        <f ca="1">IF(AND(V77&lt;&gt;"",W77&lt;&gt;"",V77&lt;&gt;W77,'Finals 4'!$U25&lt;&gt;"",'Finals 4'!$W25&lt;&gt;""),1,0)</f>
        <v>1</v>
      </c>
      <c r="AB77" s="661" t="str">
        <f ca="1">IF(AA77&gt;0,AH77&amp;Language!$E$99&amp;AI77,"")</f>
        <v>39 - 48</v>
      </c>
      <c r="AC77" s="736" t="str">
        <f ca="1">IF(AA77&gt;0,AJ77&amp;Language!$E$99&amp;AK77,"")</f>
        <v>1 - 1</v>
      </c>
      <c r="AD77" s="737">
        <f ca="1">IF(AND($AA77=1,'Finals 4'!$O25&lt;&gt;"",'Finals 4'!$Q25&lt;&gt;"",ABS('Finals 4'!$O25-'Finals 4'!$Q25)&gt;1),'Finals 4'!$O25,"")</f>
        <v>25</v>
      </c>
      <c r="AE77" s="736">
        <f ca="1">IF(AND($AA77=1,'Finals 4'!$O25&lt;&gt;"",'Finals 4'!$Q25&lt;&gt;"",ABS('Finals 4'!$O25-'Finals 4'!$Q25)&gt;1),'Finals 4'!$Q25,"")</f>
        <v>23</v>
      </c>
      <c r="AF77" s="737" t="str">
        <f ca="1">IF(AND($AA77=1,'Finals 4'!$R25&lt;&gt;"",'Finals 4'!$T25&lt;&gt;"",ABS('Finals 4'!$R25-'Finals 4'!$T25)&gt;1),'Finals 4'!$R25,"")</f>
        <v/>
      </c>
      <c r="AG77" s="736" t="str">
        <f ca="1">IF(AND($AA77=1,'Finals 4'!$R25&lt;&gt;"",'Finals 4'!$T25&lt;&gt;"",ABS('Finals 4'!$R25-'Finals 4'!$T25)&gt;1),'Finals 4'!$T25,"")</f>
        <v/>
      </c>
      <c r="AH77" s="737">
        <f t="shared" ca="1" si="47"/>
        <v>39</v>
      </c>
      <c r="AI77" s="736">
        <f t="shared" ca="1" si="48"/>
        <v>48</v>
      </c>
      <c r="AJ77" s="737">
        <f ca="1">IF('Finals 4'!$U25="",0,'Finals 4'!$U25)</f>
        <v>1</v>
      </c>
      <c r="AK77" s="736">
        <f ca="1">IF('Finals 4'!$W25="",0,'Finals 4'!$W25)</f>
        <v>1</v>
      </c>
      <c r="AL77" s="737">
        <f ca="1">IF($AA77=0,"",IF($AJ77&gt;$AK77,Settings!$C$4,IF($AJ77=$AK77,1,0)))</f>
        <v>1</v>
      </c>
      <c r="AM77" s="736">
        <f ca="1">IF($AA77=0,"",IF($AJ77&lt;$AK77,Settings!$C$4,IF($AJ77=$AK77,1,0)))</f>
        <v>1</v>
      </c>
      <c r="AN77" s="660"/>
      <c r="AO77" s="660"/>
      <c r="AP77" s="660"/>
      <c r="AQ77" s="660"/>
      <c r="AR77" s="660"/>
      <c r="AS77" s="660"/>
      <c r="AT77" s="660"/>
      <c r="AU77" s="660"/>
      <c r="AV77" s="660"/>
      <c r="AW77" s="660"/>
      <c r="AX77" s="660"/>
      <c r="AY77" s="660"/>
      <c r="AZ77" s="660"/>
      <c r="BA77" s="660"/>
      <c r="BB77" s="660"/>
      <c r="BC77" s="660"/>
      <c r="BD77" s="660"/>
      <c r="BE77" s="660"/>
      <c r="BF77" s="660"/>
      <c r="BG77" s="660"/>
      <c r="BH77" s="660"/>
      <c r="BI77" s="660"/>
      <c r="BJ77" s="660"/>
      <c r="BK77" s="660"/>
      <c r="BL77" s="660"/>
      <c r="BM77" s="660"/>
      <c r="BN77" s="660"/>
      <c r="BO77" s="660"/>
      <c r="BP77" s="660"/>
      <c r="BQ77" s="660"/>
      <c r="BR77" s="660"/>
      <c r="BS77" s="660"/>
      <c r="BT77" s="660"/>
      <c r="BU77" s="660"/>
      <c r="BV77" s="660"/>
      <c r="BW77" s="660"/>
      <c r="BX77" s="660"/>
      <c r="BY77" s="660"/>
      <c r="BZ77" s="660"/>
      <c r="CA77" s="660"/>
      <c r="CB77" s="660"/>
    </row>
    <row r="78" spans="1:80" s="1" customFormat="1" x14ac:dyDescent="0.2">
      <c r="A78" s="660"/>
      <c r="B78" s="681"/>
      <c r="C78" s="681"/>
      <c r="D78" s="681"/>
      <c r="E78" s="681"/>
      <c r="F78" s="661"/>
      <c r="G78" s="661"/>
      <c r="H78" s="661"/>
      <c r="I78" s="661"/>
      <c r="J78" s="661"/>
      <c r="K78" s="661"/>
      <c r="L78" s="661"/>
      <c r="M78" s="661"/>
      <c r="N78" s="660"/>
      <c r="O78" s="660"/>
      <c r="P78" s="660"/>
      <c r="Q78" s="660"/>
      <c r="R78" s="660"/>
      <c r="S78" s="660"/>
      <c r="T78" s="660"/>
      <c r="U78" s="732" t="s">
        <v>29</v>
      </c>
      <c r="V78" s="733" t="str">
        <f ca="1">'Finals 4'!$I26</f>
        <v>VFB Essenheim</v>
      </c>
      <c r="W78" s="661" t="str">
        <f ca="1">'Finals 4'!$K26</f>
        <v>Manchester City</v>
      </c>
      <c r="X78" s="661">
        <f ca="1">IF(AND($AA78=1,'Finals 4'!$L26&lt;&gt;"",'Finals 4'!$N26&lt;&gt;"",ABS('Finals 4'!$L26-'Finals 4'!$N26)&gt;1),'Finals 4'!$L26,"")</f>
        <v>21</v>
      </c>
      <c r="Y78" s="734">
        <f ca="1">IF(AND($AA78=1,'Finals 4'!$L26&lt;&gt;"",'Finals 4'!$N26&lt;&gt;"",ABS('Finals 4'!$L26-'Finals 4'!$N26)&gt;1),'Finals 4'!$N26,"")</f>
        <v>25</v>
      </c>
      <c r="Z78" s="735" t="str">
        <f t="shared" ca="1" si="49"/>
        <v>VFB EssenheimManchester City</v>
      </c>
      <c r="AA78" s="661">
        <f ca="1">IF(AND(V78&lt;&gt;"",W78&lt;&gt;"",V78&lt;&gt;W78,'Finals 4'!$U26&lt;&gt;"",'Finals 4'!$W26&lt;&gt;""),1,0)</f>
        <v>1</v>
      </c>
      <c r="AB78" s="661" t="str">
        <f ca="1">IF(AA78&gt;0,AH78&amp;Language!$E$99&amp;AI78,"")</f>
        <v>46 - 42</v>
      </c>
      <c r="AC78" s="736" t="str">
        <f ca="1">IF(AA78&gt;0,AJ78&amp;Language!$E$99&amp;AK78,"")</f>
        <v>1 - 1</v>
      </c>
      <c r="AD78" s="737">
        <f ca="1">IF(AND($AA78=1,'Finals 4'!$O26&lt;&gt;"",'Finals 4'!$Q26&lt;&gt;"",ABS('Finals 4'!$O26-'Finals 4'!$Q26)&gt;1),'Finals 4'!$O26,"")</f>
        <v>25</v>
      </c>
      <c r="AE78" s="736">
        <f ca="1">IF(AND($AA78=1,'Finals 4'!$O26&lt;&gt;"",'Finals 4'!$Q26&lt;&gt;"",ABS('Finals 4'!$O26-'Finals 4'!$Q26)&gt;1),'Finals 4'!$Q26,"")</f>
        <v>17</v>
      </c>
      <c r="AF78" s="737" t="str">
        <f ca="1">IF(AND($AA78=1,'Finals 4'!$R26&lt;&gt;"",'Finals 4'!$T26&lt;&gt;"",ABS('Finals 4'!$R26-'Finals 4'!$T26)&gt;1),'Finals 4'!$R26,"")</f>
        <v/>
      </c>
      <c r="AG78" s="736" t="str">
        <f ca="1">IF(AND($AA78=1,'Finals 4'!$R26&lt;&gt;"",'Finals 4'!$T26&lt;&gt;"",ABS('Finals 4'!$R26-'Finals 4'!$T26)&gt;1),'Finals 4'!$T26,"")</f>
        <v/>
      </c>
      <c r="AH78" s="737">
        <f t="shared" ca="1" si="47"/>
        <v>46</v>
      </c>
      <c r="AI78" s="736">
        <f t="shared" ca="1" si="48"/>
        <v>42</v>
      </c>
      <c r="AJ78" s="737">
        <f ca="1">IF('Finals 4'!$U26="",0,'Finals 4'!$U26)</f>
        <v>1</v>
      </c>
      <c r="AK78" s="736">
        <f ca="1">IF('Finals 4'!$W26="",0,'Finals 4'!$W26)</f>
        <v>1</v>
      </c>
      <c r="AL78" s="737">
        <f ca="1">IF($AA78=0,"",IF($AJ78&gt;$AK78,Settings!$C$4,IF($AJ78=$AK78,1,0)))</f>
        <v>1</v>
      </c>
      <c r="AM78" s="736">
        <f ca="1">IF($AA78=0,"",IF($AJ78&lt;$AK78,Settings!$C$4,IF($AJ78=$AK78,1,0)))</f>
        <v>1</v>
      </c>
      <c r="AN78" s="660"/>
      <c r="AO78" s="660"/>
      <c r="AP78" s="660"/>
      <c r="AQ78" s="660"/>
      <c r="AR78" s="660"/>
      <c r="AS78" s="660"/>
      <c r="AT78" s="660"/>
      <c r="AU78" s="660"/>
      <c r="AV78" s="660"/>
      <c r="AW78" s="660"/>
      <c r="AX78" s="660"/>
      <c r="AY78" s="660"/>
      <c r="AZ78" s="660"/>
      <c r="BA78" s="660"/>
      <c r="BB78" s="660"/>
      <c r="BC78" s="660"/>
      <c r="BD78" s="660"/>
      <c r="BE78" s="660"/>
      <c r="BF78" s="660"/>
      <c r="BG78" s="660"/>
      <c r="BH78" s="660"/>
      <c r="BI78" s="660"/>
      <c r="BJ78" s="660"/>
      <c r="BK78" s="660"/>
      <c r="BL78" s="660"/>
      <c r="BM78" s="660"/>
      <c r="BN78" s="660"/>
      <c r="BO78" s="660"/>
      <c r="BP78" s="660"/>
      <c r="BQ78" s="660"/>
      <c r="BR78" s="660"/>
      <c r="BS78" s="660"/>
      <c r="BT78" s="660"/>
      <c r="BU78" s="660"/>
      <c r="BV78" s="660"/>
      <c r="BW78" s="660"/>
      <c r="BX78" s="660"/>
      <c r="BY78" s="660"/>
      <c r="BZ78" s="660"/>
      <c r="CA78" s="660"/>
      <c r="CB78" s="660"/>
    </row>
    <row r="79" spans="1:80" s="1" customFormat="1" x14ac:dyDescent="0.2">
      <c r="A79" s="660"/>
      <c r="B79" s="681"/>
      <c r="C79" s="681"/>
      <c r="D79" s="681"/>
      <c r="E79" s="681"/>
      <c r="F79" s="661"/>
      <c r="G79" s="661"/>
      <c r="H79" s="661"/>
      <c r="I79" s="661"/>
      <c r="J79" s="661"/>
      <c r="K79" s="661"/>
      <c r="L79" s="661"/>
      <c r="M79" s="661"/>
      <c r="N79" s="660"/>
      <c r="O79" s="660"/>
      <c r="P79" s="660"/>
      <c r="Q79" s="660"/>
      <c r="R79" s="660"/>
      <c r="S79" s="660"/>
      <c r="T79" s="660"/>
      <c r="U79" s="732" t="s">
        <v>30</v>
      </c>
      <c r="V79" s="733" t="str">
        <f ca="1">'Finals 4'!$I27</f>
        <v>FC Barcelona</v>
      </c>
      <c r="W79" s="661" t="str">
        <f ca="1">'Finals 4'!$K27</f>
        <v>Mainz 05</v>
      </c>
      <c r="X79" s="661">
        <f ca="1">IF(AND($AA79=1,'Finals 4'!$L27&lt;&gt;"",'Finals 4'!$N27&lt;&gt;"",ABS('Finals 4'!$L27-'Finals 4'!$N27)&gt;1),'Finals 4'!$L27,"")</f>
        <v>20</v>
      </c>
      <c r="Y79" s="734">
        <f ca="1">IF(AND($AA79=1,'Finals 4'!$L27&lt;&gt;"",'Finals 4'!$N27&lt;&gt;"",ABS('Finals 4'!$L27-'Finals 4'!$N27)&gt;1),'Finals 4'!$N27,"")</f>
        <v>25</v>
      </c>
      <c r="Z79" s="735" t="str">
        <f t="shared" ca="1" si="49"/>
        <v>FC BarcelonaMainz 05</v>
      </c>
      <c r="AA79" s="661">
        <f ca="1">IF(AND(V79&lt;&gt;"",W79&lt;&gt;"",V79&lt;&gt;W79,'Finals 4'!$U27&lt;&gt;"",'Finals 4'!$W27&lt;&gt;""),1,0)</f>
        <v>1</v>
      </c>
      <c r="AB79" s="661" t="str">
        <f ca="1">IF(AA79&gt;0,AH79&amp;Language!$E$99&amp;AI79,"")</f>
        <v>70 - 65</v>
      </c>
      <c r="AC79" s="736" t="str">
        <f ca="1">IF(AA79&gt;0,AJ79&amp;Language!$E$99&amp;AK79,"")</f>
        <v>2 - 1</v>
      </c>
      <c r="AD79" s="737">
        <f ca="1">IF(AND($AA79=1,'Finals 4'!$O27&lt;&gt;"",'Finals 4'!$Q27&lt;&gt;"",ABS('Finals 4'!$O27-'Finals 4'!$Q27)&gt;1),'Finals 4'!$O27,"")</f>
        <v>25</v>
      </c>
      <c r="AE79" s="736">
        <f ca="1">IF(AND($AA79=1,'Finals 4'!$O27&lt;&gt;"",'Finals 4'!$Q27&lt;&gt;"",ABS('Finals 4'!$O27-'Finals 4'!$Q27)&gt;1),'Finals 4'!$Q27,"")</f>
        <v>18</v>
      </c>
      <c r="AF79" s="737">
        <f ca="1">IF(AND($AA79=1,'Finals 4'!$R27&lt;&gt;"",'Finals 4'!$T27&lt;&gt;"",ABS('Finals 4'!$R27-'Finals 4'!$T27)&gt;1),'Finals 4'!$R27,"")</f>
        <v>25</v>
      </c>
      <c r="AG79" s="736">
        <f ca="1">IF(AND($AA79=1,'Finals 4'!$R27&lt;&gt;"",'Finals 4'!$T27&lt;&gt;"",ABS('Finals 4'!$R27-'Finals 4'!$T27)&gt;1),'Finals 4'!$T27,"")</f>
        <v>22</v>
      </c>
      <c r="AH79" s="737">
        <f t="shared" ca="1" si="47"/>
        <v>70</v>
      </c>
      <c r="AI79" s="736">
        <f t="shared" ca="1" si="48"/>
        <v>65</v>
      </c>
      <c r="AJ79" s="737">
        <f ca="1">IF('Finals 4'!$U27="",0,'Finals 4'!$U27)</f>
        <v>2</v>
      </c>
      <c r="AK79" s="736">
        <f ca="1">IF('Finals 4'!$W27="",0,'Finals 4'!$W27)</f>
        <v>1</v>
      </c>
      <c r="AL79" s="737">
        <f ca="1">IF($AA79=0,"",IF($AJ79&gt;$AK79,Settings!$C$4,IF($AJ79=$AK79,1,0)))</f>
        <v>2</v>
      </c>
      <c r="AM79" s="736">
        <f ca="1">IF($AA79=0,"",IF($AJ79&lt;$AK79,Settings!$C$4,IF($AJ79=$AK79,1,0)))</f>
        <v>0</v>
      </c>
      <c r="AN79" s="660"/>
      <c r="AO79" s="660"/>
      <c r="AP79" s="660"/>
      <c r="AQ79" s="660"/>
      <c r="AR79" s="660"/>
      <c r="AS79" s="660"/>
      <c r="AT79" s="660"/>
      <c r="AU79" s="660"/>
      <c r="AV79" s="660"/>
      <c r="AW79" s="660"/>
      <c r="AX79" s="660"/>
      <c r="AY79" s="660"/>
      <c r="AZ79" s="660"/>
      <c r="BA79" s="660"/>
      <c r="BB79" s="660"/>
      <c r="BC79" s="660"/>
      <c r="BD79" s="660"/>
      <c r="BE79" s="660"/>
      <c r="BF79" s="660"/>
      <c r="BG79" s="660"/>
      <c r="BH79" s="660"/>
      <c r="BI79" s="660"/>
      <c r="BJ79" s="660"/>
      <c r="BK79" s="660"/>
      <c r="BL79" s="660"/>
      <c r="BM79" s="660"/>
      <c r="BN79" s="660"/>
      <c r="BO79" s="660"/>
      <c r="BP79" s="660"/>
      <c r="BQ79" s="660"/>
      <c r="BR79" s="660"/>
      <c r="BS79" s="660"/>
      <c r="BT79" s="660"/>
      <c r="BU79" s="660"/>
      <c r="BV79" s="660"/>
      <c r="BW79" s="660"/>
      <c r="BX79" s="660"/>
      <c r="BY79" s="660"/>
      <c r="BZ79" s="660"/>
      <c r="CA79" s="660"/>
      <c r="CB79" s="660"/>
    </row>
    <row r="80" spans="1:80" s="1" customFormat="1" x14ac:dyDescent="0.2">
      <c r="A80" s="660"/>
      <c r="B80" s="681"/>
      <c r="C80" s="681"/>
      <c r="D80" s="681"/>
      <c r="E80" s="681"/>
      <c r="F80" s="661"/>
      <c r="G80" s="661"/>
      <c r="H80" s="661"/>
      <c r="I80" s="661"/>
      <c r="J80" s="661"/>
      <c r="K80" s="661"/>
      <c r="L80" s="661"/>
      <c r="M80" s="661"/>
      <c r="N80" s="660"/>
      <c r="O80" s="660"/>
      <c r="P80" s="660"/>
      <c r="Q80" s="660"/>
      <c r="R80" s="660"/>
      <c r="S80" s="660"/>
      <c r="T80" s="660"/>
      <c r="U80" s="732" t="s">
        <v>31</v>
      </c>
      <c r="V80" s="733" t="str">
        <f ca="1">'Finals 4'!$I28</f>
        <v>1. FC Riedwald</v>
      </c>
      <c r="W80" s="661" t="str">
        <f ca="1">'Finals 4'!$K28</f>
        <v>SSV Wildbach</v>
      </c>
      <c r="X80" s="661">
        <f ca="1">IF(AND($AA80=1,'Finals 4'!$L28&lt;&gt;"",'Finals 4'!$N28&lt;&gt;"",ABS('Finals 4'!$L28-'Finals 4'!$N28)&gt;1),'Finals 4'!$L28,"")</f>
        <v>25</v>
      </c>
      <c r="Y80" s="734">
        <f ca="1">IF(AND($AA80=1,'Finals 4'!$L28&lt;&gt;"",'Finals 4'!$N28&lt;&gt;"",ABS('Finals 4'!$L28-'Finals 4'!$N28)&gt;1),'Finals 4'!$N28,"")</f>
        <v>20</v>
      </c>
      <c r="Z80" s="735" t="str">
        <f t="shared" ca="1" si="49"/>
        <v>1. FC RiedwaldSSV Wildbach</v>
      </c>
      <c r="AA80" s="661">
        <f ca="1">IF(AND(V80&lt;&gt;"",W80&lt;&gt;"",V80&lt;&gt;W80,'Finals 4'!$U28&lt;&gt;"",'Finals 4'!$W28&lt;&gt;""),1,0)</f>
        <v>1</v>
      </c>
      <c r="AB80" s="661" t="str">
        <f ca="1">IF(AA80&gt;0,AH80&amp;Language!$E$99&amp;AI80,"")</f>
        <v>50 - 39</v>
      </c>
      <c r="AC80" s="736" t="str">
        <f ca="1">IF(AA80&gt;0,AJ80&amp;Language!$E$99&amp;AK80,"")</f>
        <v>2 - 0</v>
      </c>
      <c r="AD80" s="737">
        <f ca="1">IF(AND($AA80=1,'Finals 4'!$O28&lt;&gt;"",'Finals 4'!$Q28&lt;&gt;"",ABS('Finals 4'!$O28-'Finals 4'!$Q28)&gt;1),'Finals 4'!$O28,"")</f>
        <v>25</v>
      </c>
      <c r="AE80" s="736">
        <f ca="1">IF(AND($AA80=1,'Finals 4'!$O28&lt;&gt;"",'Finals 4'!$Q28&lt;&gt;"",ABS('Finals 4'!$O28-'Finals 4'!$Q28)&gt;1),'Finals 4'!$Q28,"")</f>
        <v>19</v>
      </c>
      <c r="AF80" s="737" t="str">
        <f ca="1">IF(AND($AA80=1,'Finals 4'!$R28&lt;&gt;"",'Finals 4'!$T28&lt;&gt;"",ABS('Finals 4'!$R28-'Finals 4'!$T28)&gt;1),'Finals 4'!$R28,"")</f>
        <v/>
      </c>
      <c r="AG80" s="736" t="str">
        <f ca="1">IF(AND($AA80=1,'Finals 4'!$R28&lt;&gt;"",'Finals 4'!$T28&lt;&gt;"",ABS('Finals 4'!$R28-'Finals 4'!$T28)&gt;1),'Finals 4'!$T28,"")</f>
        <v/>
      </c>
      <c r="AH80" s="737">
        <f t="shared" ca="1" si="47"/>
        <v>50</v>
      </c>
      <c r="AI80" s="736">
        <f t="shared" ca="1" si="48"/>
        <v>39</v>
      </c>
      <c r="AJ80" s="737">
        <f ca="1">IF('Finals 4'!$U28="",0,'Finals 4'!$U28)</f>
        <v>2</v>
      </c>
      <c r="AK80" s="736">
        <f ca="1">IF('Finals 4'!$W28="",0,'Finals 4'!$W28)</f>
        <v>0</v>
      </c>
      <c r="AL80" s="737">
        <f ca="1">IF($AA80=0,"",IF($AJ80&gt;$AK80,Settings!$C$4,IF($AJ80=$AK80,1,0)))</f>
        <v>2</v>
      </c>
      <c r="AM80" s="736">
        <f ca="1">IF($AA80=0,"",IF($AJ80&lt;$AK80,Settings!$C$4,IF($AJ80=$AK80,1,0)))</f>
        <v>0</v>
      </c>
      <c r="AN80" s="660"/>
      <c r="AO80" s="660"/>
      <c r="AP80" s="660"/>
      <c r="AQ80" s="660"/>
      <c r="AR80" s="660"/>
      <c r="AS80" s="660"/>
      <c r="AT80" s="660"/>
      <c r="AU80" s="660"/>
      <c r="AV80" s="660"/>
      <c r="AW80" s="660"/>
      <c r="AX80" s="660"/>
      <c r="AY80" s="660"/>
      <c r="AZ80" s="660"/>
      <c r="BA80" s="660"/>
      <c r="BB80" s="660"/>
      <c r="BC80" s="660"/>
      <c r="BD80" s="660"/>
      <c r="BE80" s="660"/>
      <c r="BF80" s="660"/>
      <c r="BG80" s="660"/>
      <c r="BH80" s="660"/>
      <c r="BI80" s="660"/>
      <c r="BJ80" s="660"/>
      <c r="BK80" s="660"/>
      <c r="BL80" s="660"/>
      <c r="BM80" s="660"/>
      <c r="BN80" s="660"/>
      <c r="BO80" s="660"/>
      <c r="BP80" s="660"/>
      <c r="BQ80" s="660"/>
      <c r="BR80" s="660"/>
      <c r="BS80" s="660"/>
      <c r="BT80" s="660"/>
      <c r="BU80" s="660"/>
      <c r="BV80" s="660"/>
      <c r="BW80" s="660"/>
      <c r="BX80" s="660"/>
      <c r="BY80" s="660"/>
      <c r="BZ80" s="660"/>
      <c r="CA80" s="660"/>
      <c r="CB80" s="660"/>
    </row>
    <row r="81" spans="1:80" s="1" customFormat="1" ht="12.75" thickBot="1" x14ac:dyDescent="0.25">
      <c r="A81" s="660"/>
      <c r="B81" s="681"/>
      <c r="C81" s="681"/>
      <c r="D81" s="681"/>
      <c r="E81" s="681"/>
      <c r="F81" s="661"/>
      <c r="G81" s="661"/>
      <c r="H81" s="661"/>
      <c r="I81" s="661"/>
      <c r="J81" s="661"/>
      <c r="K81" s="661"/>
      <c r="L81" s="661"/>
      <c r="M81" s="661"/>
      <c r="N81" s="660"/>
      <c r="O81" s="660"/>
      <c r="P81" s="660"/>
      <c r="Q81" s="660"/>
      <c r="R81" s="660"/>
      <c r="S81" s="660"/>
      <c r="T81" s="660"/>
      <c r="U81" s="732" t="s">
        <v>32</v>
      </c>
      <c r="V81" s="733" t="str">
        <f ca="1">'Finals 4'!$I29</f>
        <v>Maibach 1822 eV</v>
      </c>
      <c r="W81" s="661" t="str">
        <f ca="1">'Finals 4'!$K29</f>
        <v>Inter Mailand</v>
      </c>
      <c r="X81" s="661">
        <f ca="1">IF(AND($AA81=1,'Finals 4'!$L29&lt;&gt;"",'Finals 4'!$N29&lt;&gt;"",ABS('Finals 4'!$L29-'Finals 4'!$N29)&gt;1),'Finals 4'!$L29,"")</f>
        <v>25</v>
      </c>
      <c r="Y81" s="734">
        <f ca="1">IF(AND($AA81=1,'Finals 4'!$L29&lt;&gt;"",'Finals 4'!$N29&lt;&gt;"",ABS('Finals 4'!$L29-'Finals 4'!$N29)&gt;1),'Finals 4'!$N29,"")</f>
        <v>13</v>
      </c>
      <c r="Z81" s="735" t="str">
        <f t="shared" ca="1" si="49"/>
        <v>Maibach 1822 eVInter Mailand</v>
      </c>
      <c r="AA81" s="661">
        <f ca="1">IF(AND(V81&lt;&gt;"",W81&lt;&gt;"",V81&lt;&gt;W81,'Finals 4'!$U29&lt;&gt;"",'Finals 4'!$W29&lt;&gt;""),1,0)</f>
        <v>1</v>
      </c>
      <c r="AB81" s="661" t="str">
        <f ca="1">IF(AA81&gt;0,AH81&amp;Language!$E$99&amp;AI81,"")</f>
        <v>50 - 33</v>
      </c>
      <c r="AC81" s="736" t="str">
        <f ca="1">IF(AA81&gt;0,AJ81&amp;Language!$E$99&amp;AK81,"")</f>
        <v>2 - 0</v>
      </c>
      <c r="AD81" s="737">
        <f ca="1">IF(AND($AA81=1,'Finals 4'!$O29&lt;&gt;"",'Finals 4'!$Q29&lt;&gt;"",ABS('Finals 4'!$O29-'Finals 4'!$Q29)&gt;1),'Finals 4'!$O29,"")</f>
        <v>25</v>
      </c>
      <c r="AE81" s="736">
        <f ca="1">IF(AND($AA81=1,'Finals 4'!$O29&lt;&gt;"",'Finals 4'!$Q29&lt;&gt;"",ABS('Finals 4'!$O29-'Finals 4'!$Q29)&gt;1),'Finals 4'!$Q29,"")</f>
        <v>20</v>
      </c>
      <c r="AF81" s="737" t="str">
        <f ca="1">IF(AND($AA81=1,'Finals 4'!$R29&lt;&gt;"",'Finals 4'!$T29&lt;&gt;"",ABS('Finals 4'!$R29-'Finals 4'!$T29)&gt;1),'Finals 4'!$R29,"")</f>
        <v/>
      </c>
      <c r="AG81" s="736" t="str">
        <f ca="1">IF(AND($AA81=1,'Finals 4'!$R29&lt;&gt;"",'Finals 4'!$T29&lt;&gt;"",ABS('Finals 4'!$R29-'Finals 4'!$T29)&gt;1),'Finals 4'!$T29,"")</f>
        <v/>
      </c>
      <c r="AH81" s="737">
        <f t="shared" ca="1" si="47"/>
        <v>50</v>
      </c>
      <c r="AI81" s="736">
        <f t="shared" ca="1" si="48"/>
        <v>33</v>
      </c>
      <c r="AJ81" s="737">
        <f ca="1">IF('Finals 4'!$U29="",0,'Finals 4'!$U29)</f>
        <v>2</v>
      </c>
      <c r="AK81" s="736">
        <f ca="1">IF('Finals 4'!$W29="",0,'Finals 4'!$W29)</f>
        <v>0</v>
      </c>
      <c r="AL81" s="737">
        <f ca="1">IF($AA81=0,"",IF($AJ81&gt;$AK81,Settings!$C$4,IF($AJ81=$AK81,1,0)))</f>
        <v>2</v>
      </c>
      <c r="AM81" s="736">
        <f ca="1">IF($AA81=0,"",IF($AJ81&lt;$AK81,Settings!$C$4,IF($AJ81=$AK81,1,0)))</f>
        <v>0</v>
      </c>
      <c r="AN81" s="660"/>
      <c r="AO81" s="660"/>
      <c r="AP81" s="660"/>
      <c r="AQ81" s="660"/>
      <c r="AR81" s="660"/>
      <c r="AS81" s="660"/>
      <c r="AT81" s="660"/>
      <c r="AU81" s="660"/>
      <c r="AV81" s="660"/>
      <c r="AW81" s="660"/>
      <c r="AX81" s="660"/>
      <c r="AY81" s="660"/>
      <c r="AZ81" s="660"/>
      <c r="BA81" s="660"/>
      <c r="BB81" s="660"/>
      <c r="BC81" s="660"/>
      <c r="BD81" s="660"/>
      <c r="BE81" s="660"/>
      <c r="BF81" s="660"/>
      <c r="BG81" s="660"/>
      <c r="BH81" s="660"/>
      <c r="BI81" s="660"/>
      <c r="BJ81" s="660"/>
      <c r="BK81" s="660"/>
      <c r="BL81" s="660"/>
      <c r="BM81" s="660"/>
      <c r="BN81" s="660"/>
      <c r="BO81" s="660"/>
      <c r="BP81" s="660"/>
      <c r="BQ81" s="660"/>
      <c r="BR81" s="660"/>
      <c r="BS81" s="660"/>
      <c r="BT81" s="660"/>
      <c r="BU81" s="660"/>
      <c r="BV81" s="660"/>
      <c r="BW81" s="660"/>
      <c r="BX81" s="660"/>
      <c r="BY81" s="660"/>
      <c r="BZ81" s="660"/>
      <c r="CA81" s="660"/>
      <c r="CB81" s="660"/>
    </row>
    <row r="82" spans="1:80" s="1" customFormat="1" ht="12.75" thickTop="1" x14ac:dyDescent="0.2">
      <c r="A82" s="660"/>
      <c r="B82" s="681"/>
      <c r="C82" s="681"/>
      <c r="D82" s="681"/>
      <c r="E82" s="681"/>
      <c r="F82" s="661"/>
      <c r="G82" s="661"/>
      <c r="H82" s="661"/>
      <c r="I82" s="661"/>
      <c r="J82" s="661"/>
      <c r="K82" s="661"/>
      <c r="L82" s="661"/>
      <c r="M82" s="661"/>
      <c r="N82" s="660"/>
      <c r="O82" s="660"/>
      <c r="P82" s="660"/>
      <c r="Q82" s="660"/>
      <c r="R82" s="660"/>
      <c r="S82" s="660"/>
      <c r="T82" s="660"/>
      <c r="U82" s="742" t="s">
        <v>33</v>
      </c>
      <c r="V82" s="743" t="str">
        <f>""</f>
        <v/>
      </c>
      <c r="W82" s="744" t="str">
        <f>""</f>
        <v/>
      </c>
      <c r="X82" s="744" t="str">
        <f>""</f>
        <v/>
      </c>
      <c r="Y82" s="745" t="str">
        <f>""</f>
        <v/>
      </c>
      <c r="Z82" s="746" t="str">
        <f>""</f>
        <v/>
      </c>
      <c r="AA82" s="744">
        <v>0</v>
      </c>
      <c r="AB82" s="744" t="str">
        <f>""</f>
        <v/>
      </c>
      <c r="AC82" s="747"/>
      <c r="AD82" s="748" t="str">
        <f>""</f>
        <v/>
      </c>
      <c r="AE82" s="747" t="str">
        <f>""</f>
        <v/>
      </c>
      <c r="AF82" s="748" t="str">
        <f>""</f>
        <v/>
      </c>
      <c r="AG82" s="747" t="str">
        <f>""</f>
        <v/>
      </c>
      <c r="AH82" s="748" t="str">
        <f>""</f>
        <v/>
      </c>
      <c r="AI82" s="747" t="str">
        <f>""</f>
        <v/>
      </c>
      <c r="AJ82" s="748"/>
      <c r="AK82" s="747"/>
      <c r="AL82" s="748" t="str">
        <f>""</f>
        <v/>
      </c>
      <c r="AM82" s="747" t="str">
        <f>""</f>
        <v/>
      </c>
      <c r="AN82" s="660"/>
      <c r="AO82" s="660"/>
      <c r="AP82" s="660"/>
      <c r="AQ82" s="660"/>
      <c r="AR82" s="660"/>
      <c r="AS82" s="660"/>
      <c r="AT82" s="660"/>
      <c r="AU82" s="660"/>
      <c r="AV82" s="660"/>
      <c r="AW82" s="660"/>
      <c r="AX82" s="660"/>
      <c r="AY82" s="660"/>
      <c r="AZ82" s="660"/>
      <c r="BA82" s="660"/>
      <c r="BB82" s="660"/>
      <c r="BC82" s="660"/>
      <c r="BD82" s="660"/>
      <c r="BE82" s="660"/>
      <c r="BF82" s="660"/>
      <c r="BG82" s="660"/>
      <c r="BH82" s="660"/>
      <c r="BI82" s="660"/>
      <c r="BJ82" s="660"/>
      <c r="BK82" s="660"/>
      <c r="BL82" s="660"/>
      <c r="BM82" s="660"/>
      <c r="BN82" s="660"/>
      <c r="BO82" s="660"/>
      <c r="BP82" s="660"/>
      <c r="BQ82" s="660"/>
      <c r="BR82" s="660"/>
      <c r="BS82" s="660"/>
      <c r="BT82" s="660"/>
      <c r="BU82" s="660"/>
      <c r="BV82" s="660"/>
      <c r="BW82" s="660"/>
      <c r="BX82" s="660"/>
      <c r="BY82" s="660"/>
      <c r="BZ82" s="660"/>
      <c r="CA82" s="660"/>
      <c r="CB82" s="660"/>
    </row>
    <row r="83" spans="1:80" s="1" customFormat="1" x14ac:dyDescent="0.2">
      <c r="A83" s="660"/>
      <c r="B83" s="681"/>
      <c r="C83" s="681"/>
      <c r="D83" s="681"/>
      <c r="E83" s="681"/>
      <c r="F83" s="661"/>
      <c r="G83" s="661"/>
      <c r="H83" s="661"/>
      <c r="I83" s="661"/>
      <c r="J83" s="661"/>
      <c r="K83" s="661"/>
      <c r="L83" s="661"/>
      <c r="M83" s="661"/>
      <c r="N83" s="660"/>
      <c r="O83" s="660"/>
      <c r="P83" s="660"/>
      <c r="Q83" s="660"/>
      <c r="R83" s="660"/>
      <c r="S83" s="660"/>
      <c r="T83" s="660"/>
      <c r="U83" s="732" t="s">
        <v>34</v>
      </c>
      <c r="V83" s="733" t="str">
        <f>""</f>
        <v/>
      </c>
      <c r="W83" s="661" t="str">
        <f>""</f>
        <v/>
      </c>
      <c r="X83" s="661" t="str">
        <f>""</f>
        <v/>
      </c>
      <c r="Y83" s="734" t="str">
        <f>""</f>
        <v/>
      </c>
      <c r="Z83" s="735" t="str">
        <f>""</f>
        <v/>
      </c>
      <c r="AA83" s="661">
        <v>0</v>
      </c>
      <c r="AB83" s="661" t="str">
        <f>""</f>
        <v/>
      </c>
      <c r="AC83" s="736"/>
      <c r="AD83" s="737" t="str">
        <f>""</f>
        <v/>
      </c>
      <c r="AE83" s="736" t="str">
        <f>""</f>
        <v/>
      </c>
      <c r="AF83" s="737" t="str">
        <f>""</f>
        <v/>
      </c>
      <c r="AG83" s="736" t="str">
        <f>""</f>
        <v/>
      </c>
      <c r="AH83" s="737" t="str">
        <f>""</f>
        <v/>
      </c>
      <c r="AI83" s="736" t="str">
        <f>""</f>
        <v/>
      </c>
      <c r="AJ83" s="737"/>
      <c r="AK83" s="736"/>
      <c r="AL83" s="737" t="str">
        <f>""</f>
        <v/>
      </c>
      <c r="AM83" s="736" t="str">
        <f>""</f>
        <v/>
      </c>
      <c r="AN83" s="660"/>
      <c r="AO83" s="660"/>
      <c r="AP83" s="660"/>
      <c r="AQ83" s="660"/>
      <c r="AR83" s="660"/>
      <c r="AS83" s="660"/>
      <c r="AT83" s="660"/>
      <c r="AU83" s="660"/>
      <c r="AV83" s="660"/>
      <c r="AW83" s="660"/>
      <c r="AX83" s="660"/>
      <c r="AY83" s="660"/>
      <c r="AZ83" s="660"/>
      <c r="BA83" s="660"/>
      <c r="BB83" s="660"/>
      <c r="BC83" s="660"/>
      <c r="BD83" s="660"/>
      <c r="BE83" s="660"/>
      <c r="BF83" s="660"/>
      <c r="BG83" s="660"/>
      <c r="BH83" s="660"/>
      <c r="BI83" s="660"/>
      <c r="BJ83" s="660"/>
      <c r="BK83" s="660"/>
      <c r="BL83" s="660"/>
      <c r="BM83" s="660"/>
      <c r="BN83" s="660"/>
      <c r="BO83" s="660"/>
      <c r="BP83" s="660"/>
      <c r="BQ83" s="660"/>
      <c r="BR83" s="660"/>
      <c r="BS83" s="660"/>
      <c r="BT83" s="660"/>
      <c r="BU83" s="660"/>
      <c r="BV83" s="660"/>
      <c r="BW83" s="660"/>
      <c r="BX83" s="660"/>
      <c r="BY83" s="660"/>
      <c r="BZ83" s="660"/>
      <c r="CA83" s="660"/>
      <c r="CB83" s="660"/>
    </row>
    <row r="84" spans="1:80" s="1" customFormat="1" x14ac:dyDescent="0.2">
      <c r="A84" s="660"/>
      <c r="B84" s="681"/>
      <c r="C84" s="681"/>
      <c r="D84" s="681"/>
      <c r="E84" s="681"/>
      <c r="F84" s="661"/>
      <c r="G84" s="661"/>
      <c r="H84" s="661"/>
      <c r="I84" s="661"/>
      <c r="J84" s="661"/>
      <c r="K84" s="661"/>
      <c r="L84" s="661"/>
      <c r="M84" s="661"/>
      <c r="N84" s="660"/>
      <c r="O84" s="660"/>
      <c r="P84" s="660"/>
      <c r="Q84" s="660"/>
      <c r="R84" s="660"/>
      <c r="S84" s="660"/>
      <c r="T84" s="660"/>
      <c r="U84" s="732" t="s">
        <v>35</v>
      </c>
      <c r="V84" s="733" t="str">
        <f>""</f>
        <v/>
      </c>
      <c r="W84" s="661" t="str">
        <f>""</f>
        <v/>
      </c>
      <c r="X84" s="661" t="str">
        <f>""</f>
        <v/>
      </c>
      <c r="Y84" s="734" t="str">
        <f>""</f>
        <v/>
      </c>
      <c r="Z84" s="735" t="str">
        <f>""</f>
        <v/>
      </c>
      <c r="AA84" s="661">
        <v>0</v>
      </c>
      <c r="AB84" s="661" t="str">
        <f>""</f>
        <v/>
      </c>
      <c r="AC84" s="736"/>
      <c r="AD84" s="737" t="str">
        <f>""</f>
        <v/>
      </c>
      <c r="AE84" s="736" t="str">
        <f>""</f>
        <v/>
      </c>
      <c r="AF84" s="737" t="str">
        <f>""</f>
        <v/>
      </c>
      <c r="AG84" s="736" t="str">
        <f>""</f>
        <v/>
      </c>
      <c r="AH84" s="737" t="str">
        <f>""</f>
        <v/>
      </c>
      <c r="AI84" s="736" t="str">
        <f>""</f>
        <v/>
      </c>
      <c r="AJ84" s="737"/>
      <c r="AK84" s="736"/>
      <c r="AL84" s="737" t="str">
        <f>""</f>
        <v/>
      </c>
      <c r="AM84" s="736" t="str">
        <f>""</f>
        <v/>
      </c>
      <c r="AN84" s="660"/>
      <c r="AO84" s="660"/>
      <c r="AP84" s="660"/>
      <c r="AQ84" s="660"/>
      <c r="AR84" s="660"/>
      <c r="AS84" s="660"/>
      <c r="AT84" s="660"/>
      <c r="AU84" s="660"/>
      <c r="AV84" s="660"/>
      <c r="AW84" s="660"/>
      <c r="AX84" s="660"/>
      <c r="AY84" s="660"/>
      <c r="AZ84" s="660"/>
      <c r="BA84" s="660"/>
      <c r="BB84" s="660"/>
      <c r="BC84" s="660"/>
      <c r="BD84" s="660"/>
      <c r="BE84" s="660"/>
      <c r="BF84" s="660"/>
      <c r="BG84" s="660"/>
      <c r="BH84" s="660"/>
      <c r="BI84" s="660"/>
      <c r="BJ84" s="660"/>
      <c r="BK84" s="660"/>
      <c r="BL84" s="660"/>
      <c r="BM84" s="660"/>
      <c r="BN84" s="660"/>
      <c r="BO84" s="660"/>
      <c r="BP84" s="660"/>
      <c r="BQ84" s="660"/>
      <c r="BR84" s="660"/>
      <c r="BS84" s="660"/>
      <c r="BT84" s="660"/>
      <c r="BU84" s="660"/>
      <c r="BV84" s="660"/>
      <c r="BW84" s="660"/>
      <c r="BX84" s="660"/>
      <c r="BY84" s="660"/>
      <c r="BZ84" s="660"/>
      <c r="CA84" s="660"/>
      <c r="CB84" s="660"/>
    </row>
    <row r="85" spans="1:80" s="1" customFormat="1" x14ac:dyDescent="0.2">
      <c r="A85" s="660"/>
      <c r="B85" s="681"/>
      <c r="C85" s="681"/>
      <c r="D85" s="681"/>
      <c r="E85" s="681"/>
      <c r="F85" s="661"/>
      <c r="G85" s="661"/>
      <c r="H85" s="661"/>
      <c r="I85" s="661"/>
      <c r="J85" s="661"/>
      <c r="K85" s="661"/>
      <c r="L85" s="661"/>
      <c r="M85" s="661"/>
      <c r="N85" s="660"/>
      <c r="O85" s="660"/>
      <c r="P85" s="660"/>
      <c r="Q85" s="660"/>
      <c r="R85" s="660"/>
      <c r="S85" s="660"/>
      <c r="T85" s="660"/>
      <c r="U85" s="732" t="s">
        <v>36</v>
      </c>
      <c r="V85" s="733" t="str">
        <f>""</f>
        <v/>
      </c>
      <c r="W85" s="661" t="str">
        <f>""</f>
        <v/>
      </c>
      <c r="X85" s="661" t="str">
        <f>""</f>
        <v/>
      </c>
      <c r="Y85" s="734" t="str">
        <f>""</f>
        <v/>
      </c>
      <c r="Z85" s="735" t="str">
        <f>""</f>
        <v/>
      </c>
      <c r="AA85" s="661">
        <v>0</v>
      </c>
      <c r="AB85" s="661" t="str">
        <f>""</f>
        <v/>
      </c>
      <c r="AC85" s="736"/>
      <c r="AD85" s="737" t="str">
        <f>""</f>
        <v/>
      </c>
      <c r="AE85" s="736" t="str">
        <f>""</f>
        <v/>
      </c>
      <c r="AF85" s="737" t="str">
        <f>""</f>
        <v/>
      </c>
      <c r="AG85" s="736" t="str">
        <f>""</f>
        <v/>
      </c>
      <c r="AH85" s="737" t="str">
        <f>""</f>
        <v/>
      </c>
      <c r="AI85" s="736" t="str">
        <f>""</f>
        <v/>
      </c>
      <c r="AJ85" s="737"/>
      <c r="AK85" s="736"/>
      <c r="AL85" s="737" t="str">
        <f>""</f>
        <v/>
      </c>
      <c r="AM85" s="736" t="str">
        <f>""</f>
        <v/>
      </c>
      <c r="AN85" s="660"/>
      <c r="AO85" s="660"/>
      <c r="AP85" s="660"/>
      <c r="AQ85" s="660"/>
      <c r="AR85" s="660"/>
      <c r="AS85" s="660"/>
      <c r="AT85" s="660"/>
      <c r="AU85" s="660"/>
      <c r="AV85" s="660"/>
      <c r="AW85" s="660"/>
      <c r="AX85" s="660"/>
      <c r="AY85" s="660"/>
      <c r="AZ85" s="660"/>
      <c r="BA85" s="660"/>
      <c r="BB85" s="660"/>
      <c r="BC85" s="660"/>
      <c r="BD85" s="660"/>
      <c r="BE85" s="660"/>
      <c r="BF85" s="660"/>
      <c r="BG85" s="660"/>
      <c r="BH85" s="660"/>
      <c r="BI85" s="660"/>
      <c r="BJ85" s="660"/>
      <c r="BK85" s="660"/>
      <c r="BL85" s="660"/>
      <c r="BM85" s="660"/>
      <c r="BN85" s="660"/>
      <c r="BO85" s="660"/>
      <c r="BP85" s="660"/>
      <c r="BQ85" s="660"/>
      <c r="BR85" s="660"/>
      <c r="BS85" s="660"/>
      <c r="BT85" s="660"/>
      <c r="BU85" s="660"/>
      <c r="BV85" s="660"/>
      <c r="BW85" s="660"/>
      <c r="BX85" s="660"/>
      <c r="BY85" s="660"/>
      <c r="BZ85" s="660"/>
      <c r="CA85" s="660"/>
      <c r="CB85" s="660"/>
    </row>
    <row r="86" spans="1:80" s="1" customFormat="1" x14ac:dyDescent="0.2">
      <c r="A86" s="660"/>
      <c r="B86" s="681"/>
      <c r="C86" s="681"/>
      <c r="D86" s="681"/>
      <c r="E86" s="681"/>
      <c r="F86" s="661"/>
      <c r="G86" s="661"/>
      <c r="H86" s="661"/>
      <c r="I86" s="661"/>
      <c r="J86" s="661"/>
      <c r="K86" s="661"/>
      <c r="L86" s="661"/>
      <c r="M86" s="661"/>
      <c r="N86" s="660"/>
      <c r="O86" s="660"/>
      <c r="P86" s="660"/>
      <c r="Q86" s="660"/>
      <c r="R86" s="660"/>
      <c r="S86" s="660"/>
      <c r="T86" s="660"/>
      <c r="U86" s="732" t="s">
        <v>37</v>
      </c>
      <c r="V86" s="733" t="str">
        <f>""</f>
        <v/>
      </c>
      <c r="W86" s="661" t="str">
        <f>""</f>
        <v/>
      </c>
      <c r="X86" s="661" t="str">
        <f>""</f>
        <v/>
      </c>
      <c r="Y86" s="734" t="str">
        <f>""</f>
        <v/>
      </c>
      <c r="Z86" s="735" t="str">
        <f>""</f>
        <v/>
      </c>
      <c r="AA86" s="661">
        <v>0</v>
      </c>
      <c r="AB86" s="661" t="str">
        <f>""</f>
        <v/>
      </c>
      <c r="AC86" s="736"/>
      <c r="AD86" s="737" t="str">
        <f>""</f>
        <v/>
      </c>
      <c r="AE86" s="736" t="str">
        <f>""</f>
        <v/>
      </c>
      <c r="AF86" s="737" t="str">
        <f>""</f>
        <v/>
      </c>
      <c r="AG86" s="736" t="str">
        <f>""</f>
        <v/>
      </c>
      <c r="AH86" s="737" t="str">
        <f>""</f>
        <v/>
      </c>
      <c r="AI86" s="736" t="str">
        <f>""</f>
        <v/>
      </c>
      <c r="AJ86" s="737"/>
      <c r="AK86" s="736"/>
      <c r="AL86" s="737" t="str">
        <f>""</f>
        <v/>
      </c>
      <c r="AM86" s="736" t="str">
        <f>""</f>
        <v/>
      </c>
      <c r="AN86" s="660"/>
      <c r="AO86" s="660"/>
      <c r="AP86" s="660"/>
      <c r="AQ86" s="660"/>
      <c r="AR86" s="660"/>
      <c r="AS86" s="660"/>
      <c r="AT86" s="660"/>
      <c r="AU86" s="660"/>
      <c r="AV86" s="660"/>
      <c r="AW86" s="660"/>
      <c r="AX86" s="660"/>
      <c r="AY86" s="660"/>
      <c r="AZ86" s="660"/>
      <c r="BA86" s="660"/>
      <c r="BB86" s="660"/>
      <c r="BC86" s="660"/>
      <c r="BD86" s="660"/>
      <c r="BE86" s="660"/>
      <c r="BF86" s="660"/>
      <c r="BG86" s="660"/>
      <c r="BH86" s="660"/>
      <c r="BI86" s="660"/>
      <c r="BJ86" s="660"/>
      <c r="BK86" s="660"/>
      <c r="BL86" s="660"/>
      <c r="BM86" s="660"/>
      <c r="BN86" s="660"/>
      <c r="BO86" s="660"/>
      <c r="BP86" s="660"/>
      <c r="BQ86" s="660"/>
      <c r="BR86" s="660"/>
      <c r="BS86" s="660"/>
      <c r="BT86" s="660"/>
      <c r="BU86" s="660"/>
      <c r="BV86" s="660"/>
      <c r="BW86" s="660"/>
      <c r="BX86" s="660"/>
      <c r="BY86" s="660"/>
      <c r="BZ86" s="660"/>
      <c r="CA86" s="660"/>
      <c r="CB86" s="660"/>
    </row>
    <row r="87" spans="1:80" s="1" customFormat="1" x14ac:dyDescent="0.2">
      <c r="A87" s="660"/>
      <c r="B87" s="681"/>
      <c r="C87" s="681"/>
      <c r="D87" s="681"/>
      <c r="E87" s="681"/>
      <c r="F87" s="661"/>
      <c r="G87" s="661"/>
      <c r="H87" s="661"/>
      <c r="I87" s="661"/>
      <c r="J87" s="661"/>
      <c r="K87" s="661"/>
      <c r="L87" s="661"/>
      <c r="M87" s="661"/>
      <c r="N87" s="660"/>
      <c r="O87" s="660"/>
      <c r="P87" s="660"/>
      <c r="Q87" s="660"/>
      <c r="R87" s="660"/>
      <c r="S87" s="660"/>
      <c r="T87" s="660"/>
      <c r="U87" s="732" t="s">
        <v>38</v>
      </c>
      <c r="V87" s="733" t="str">
        <f>""</f>
        <v/>
      </c>
      <c r="W87" s="661" t="str">
        <f>""</f>
        <v/>
      </c>
      <c r="X87" s="661" t="str">
        <f>""</f>
        <v/>
      </c>
      <c r="Y87" s="734" t="str">
        <f>""</f>
        <v/>
      </c>
      <c r="Z87" s="735" t="str">
        <f>""</f>
        <v/>
      </c>
      <c r="AA87" s="661">
        <v>0</v>
      </c>
      <c r="AB87" s="661" t="str">
        <f>""</f>
        <v/>
      </c>
      <c r="AC87" s="736"/>
      <c r="AD87" s="737" t="str">
        <f>""</f>
        <v/>
      </c>
      <c r="AE87" s="736" t="str">
        <f>""</f>
        <v/>
      </c>
      <c r="AF87" s="737" t="str">
        <f>""</f>
        <v/>
      </c>
      <c r="AG87" s="736" t="str">
        <f>""</f>
        <v/>
      </c>
      <c r="AH87" s="737" t="str">
        <f>""</f>
        <v/>
      </c>
      <c r="AI87" s="736" t="str">
        <f>""</f>
        <v/>
      </c>
      <c r="AJ87" s="737"/>
      <c r="AK87" s="736"/>
      <c r="AL87" s="737" t="str">
        <f>""</f>
        <v/>
      </c>
      <c r="AM87" s="736" t="str">
        <f>""</f>
        <v/>
      </c>
      <c r="AN87" s="660"/>
      <c r="AO87" s="660"/>
      <c r="AP87" s="660"/>
      <c r="AQ87" s="660"/>
      <c r="AR87" s="660"/>
      <c r="AS87" s="660"/>
      <c r="AT87" s="660"/>
      <c r="AU87" s="660"/>
      <c r="AV87" s="660"/>
      <c r="AW87" s="660"/>
      <c r="AX87" s="660"/>
      <c r="AY87" s="660"/>
      <c r="AZ87" s="660"/>
      <c r="BA87" s="660"/>
      <c r="BB87" s="660"/>
      <c r="BC87" s="660"/>
      <c r="BD87" s="660"/>
      <c r="BE87" s="660"/>
      <c r="BF87" s="660"/>
      <c r="BG87" s="660"/>
      <c r="BH87" s="660"/>
      <c r="BI87" s="660"/>
      <c r="BJ87" s="660"/>
      <c r="BK87" s="660"/>
      <c r="BL87" s="660"/>
      <c r="BM87" s="660"/>
      <c r="BN87" s="660"/>
      <c r="BO87" s="660"/>
      <c r="BP87" s="660"/>
      <c r="BQ87" s="660"/>
      <c r="BR87" s="660"/>
      <c r="BS87" s="660"/>
      <c r="BT87" s="660"/>
      <c r="BU87" s="660"/>
      <c r="BV87" s="660"/>
      <c r="BW87" s="660"/>
      <c r="BX87" s="660"/>
      <c r="BY87" s="660"/>
      <c r="BZ87" s="660"/>
      <c r="CA87" s="660"/>
      <c r="CB87" s="660"/>
    </row>
    <row r="88" spans="1:80" s="1" customFormat="1" x14ac:dyDescent="0.2">
      <c r="A88" s="660"/>
      <c r="B88" s="681"/>
      <c r="C88" s="681"/>
      <c r="D88" s="681"/>
      <c r="E88" s="681"/>
      <c r="F88" s="661"/>
      <c r="G88" s="661"/>
      <c r="H88" s="661"/>
      <c r="I88" s="661"/>
      <c r="J88" s="661"/>
      <c r="K88" s="661"/>
      <c r="L88" s="661"/>
      <c r="M88" s="661"/>
      <c r="N88" s="660"/>
      <c r="O88" s="660"/>
      <c r="P88" s="660"/>
      <c r="Q88" s="660"/>
      <c r="R88" s="660"/>
      <c r="S88" s="660"/>
      <c r="T88" s="660"/>
      <c r="U88" s="732" t="s">
        <v>39</v>
      </c>
      <c r="V88" s="733" t="str">
        <f>""</f>
        <v/>
      </c>
      <c r="W88" s="661" t="str">
        <f>""</f>
        <v/>
      </c>
      <c r="X88" s="661" t="str">
        <f>""</f>
        <v/>
      </c>
      <c r="Y88" s="734" t="str">
        <f>""</f>
        <v/>
      </c>
      <c r="Z88" s="735" t="str">
        <f>""</f>
        <v/>
      </c>
      <c r="AA88" s="661">
        <v>0</v>
      </c>
      <c r="AB88" s="661" t="str">
        <f>""</f>
        <v/>
      </c>
      <c r="AC88" s="736"/>
      <c r="AD88" s="737" t="str">
        <f>""</f>
        <v/>
      </c>
      <c r="AE88" s="736" t="str">
        <f>""</f>
        <v/>
      </c>
      <c r="AF88" s="737" t="str">
        <f>""</f>
        <v/>
      </c>
      <c r="AG88" s="736" t="str">
        <f>""</f>
        <v/>
      </c>
      <c r="AH88" s="737" t="str">
        <f>""</f>
        <v/>
      </c>
      <c r="AI88" s="736" t="str">
        <f>""</f>
        <v/>
      </c>
      <c r="AJ88" s="737"/>
      <c r="AK88" s="736"/>
      <c r="AL88" s="737" t="str">
        <f>""</f>
        <v/>
      </c>
      <c r="AM88" s="736" t="str">
        <f>""</f>
        <v/>
      </c>
      <c r="AN88" s="660"/>
      <c r="AO88" s="660"/>
      <c r="AP88" s="660"/>
      <c r="AQ88" s="660"/>
      <c r="AR88" s="660"/>
      <c r="AS88" s="660"/>
      <c r="AT88" s="660"/>
      <c r="AU88" s="660"/>
      <c r="AV88" s="660"/>
      <c r="AW88" s="660"/>
      <c r="AX88" s="660"/>
      <c r="AY88" s="660"/>
      <c r="AZ88" s="660"/>
      <c r="BA88" s="660"/>
      <c r="BB88" s="660"/>
      <c r="BC88" s="660"/>
      <c r="BD88" s="660"/>
      <c r="BE88" s="660"/>
      <c r="BF88" s="660"/>
      <c r="BG88" s="660"/>
      <c r="BH88" s="660"/>
      <c r="BI88" s="660"/>
      <c r="BJ88" s="660"/>
      <c r="BK88" s="660"/>
      <c r="BL88" s="660"/>
      <c r="BM88" s="660"/>
      <c r="BN88" s="660"/>
      <c r="BO88" s="660"/>
      <c r="BP88" s="660"/>
      <c r="BQ88" s="660"/>
      <c r="BR88" s="660"/>
      <c r="BS88" s="660"/>
      <c r="BT88" s="660"/>
      <c r="BU88" s="660"/>
      <c r="BV88" s="660"/>
      <c r="BW88" s="660"/>
      <c r="BX88" s="660"/>
      <c r="BY88" s="660"/>
      <c r="BZ88" s="660"/>
      <c r="CA88" s="660"/>
      <c r="CB88" s="660"/>
    </row>
    <row r="89" spans="1:80" s="1" customFormat="1" x14ac:dyDescent="0.2">
      <c r="A89" s="660"/>
      <c r="B89" s="681"/>
      <c r="C89" s="681"/>
      <c r="D89" s="681"/>
      <c r="E89" s="681"/>
      <c r="F89" s="661"/>
      <c r="G89" s="661"/>
      <c r="H89" s="661"/>
      <c r="I89" s="661"/>
      <c r="J89" s="661"/>
      <c r="K89" s="661"/>
      <c r="L89" s="661"/>
      <c r="M89" s="661"/>
      <c r="N89" s="660"/>
      <c r="O89" s="660"/>
      <c r="P89" s="660"/>
      <c r="Q89" s="660"/>
      <c r="R89" s="660"/>
      <c r="S89" s="660"/>
      <c r="T89" s="660"/>
      <c r="U89" s="732" t="s">
        <v>40</v>
      </c>
      <c r="V89" s="733" t="str">
        <f>""</f>
        <v/>
      </c>
      <c r="W89" s="661" t="str">
        <f>""</f>
        <v/>
      </c>
      <c r="X89" s="661" t="str">
        <f>""</f>
        <v/>
      </c>
      <c r="Y89" s="734" t="str">
        <f>""</f>
        <v/>
      </c>
      <c r="Z89" s="735" t="str">
        <f>""</f>
        <v/>
      </c>
      <c r="AA89" s="661">
        <v>0</v>
      </c>
      <c r="AB89" s="661" t="str">
        <f>""</f>
        <v/>
      </c>
      <c r="AC89" s="736"/>
      <c r="AD89" s="737" t="str">
        <f>""</f>
        <v/>
      </c>
      <c r="AE89" s="736" t="str">
        <f>""</f>
        <v/>
      </c>
      <c r="AF89" s="737" t="str">
        <f>""</f>
        <v/>
      </c>
      <c r="AG89" s="736" t="str">
        <f>""</f>
        <v/>
      </c>
      <c r="AH89" s="737" t="str">
        <f>""</f>
        <v/>
      </c>
      <c r="AI89" s="736" t="str">
        <f>""</f>
        <v/>
      </c>
      <c r="AJ89" s="737"/>
      <c r="AK89" s="736"/>
      <c r="AL89" s="737" t="str">
        <f>""</f>
        <v/>
      </c>
      <c r="AM89" s="736" t="str">
        <f>""</f>
        <v/>
      </c>
      <c r="AN89" s="660"/>
      <c r="AO89" s="660"/>
      <c r="AP89" s="660"/>
      <c r="AQ89" s="660"/>
      <c r="AR89" s="660"/>
      <c r="AS89" s="660"/>
      <c r="AT89" s="660"/>
      <c r="AU89" s="660"/>
      <c r="AV89" s="660"/>
      <c r="AW89" s="660"/>
      <c r="AX89" s="660"/>
      <c r="AY89" s="660"/>
      <c r="AZ89" s="660"/>
      <c r="BA89" s="660"/>
      <c r="BB89" s="660"/>
      <c r="BC89" s="660"/>
      <c r="BD89" s="660"/>
      <c r="BE89" s="660"/>
      <c r="BF89" s="660"/>
      <c r="BG89" s="660"/>
      <c r="BH89" s="660"/>
      <c r="BI89" s="660"/>
      <c r="BJ89" s="660"/>
      <c r="BK89" s="660"/>
      <c r="BL89" s="660"/>
      <c r="BM89" s="660"/>
      <c r="BN89" s="660"/>
      <c r="BO89" s="660"/>
      <c r="BP89" s="660"/>
      <c r="BQ89" s="660"/>
      <c r="BR89" s="660"/>
      <c r="BS89" s="660"/>
      <c r="BT89" s="660"/>
      <c r="BU89" s="660"/>
      <c r="BV89" s="660"/>
      <c r="BW89" s="660"/>
      <c r="BX89" s="660"/>
      <c r="BY89" s="660"/>
      <c r="BZ89" s="660"/>
      <c r="CA89" s="660"/>
      <c r="CB89" s="660"/>
    </row>
    <row r="90" spans="1:80" s="1" customFormat="1" x14ac:dyDescent="0.2">
      <c r="A90" s="660"/>
      <c r="B90" s="681"/>
      <c r="C90" s="681"/>
      <c r="D90" s="681"/>
      <c r="E90" s="681"/>
      <c r="F90" s="661"/>
      <c r="G90" s="661"/>
      <c r="H90" s="661"/>
      <c r="I90" s="661"/>
      <c r="J90" s="661"/>
      <c r="K90" s="661"/>
      <c r="L90" s="661"/>
      <c r="M90" s="661"/>
      <c r="N90" s="660"/>
      <c r="O90" s="660"/>
      <c r="P90" s="660"/>
      <c r="Q90" s="660"/>
      <c r="R90" s="660"/>
      <c r="S90" s="660"/>
      <c r="T90" s="660"/>
      <c r="U90" s="732" t="s">
        <v>41</v>
      </c>
      <c r="V90" s="733" t="str">
        <f>""</f>
        <v/>
      </c>
      <c r="W90" s="661" t="str">
        <f>""</f>
        <v/>
      </c>
      <c r="X90" s="661" t="str">
        <f>""</f>
        <v/>
      </c>
      <c r="Y90" s="734" t="str">
        <f>""</f>
        <v/>
      </c>
      <c r="Z90" s="735" t="str">
        <f>""</f>
        <v/>
      </c>
      <c r="AA90" s="661">
        <v>0</v>
      </c>
      <c r="AB90" s="661" t="str">
        <f>""</f>
        <v/>
      </c>
      <c r="AC90" s="736"/>
      <c r="AD90" s="737" t="str">
        <f>""</f>
        <v/>
      </c>
      <c r="AE90" s="736" t="str">
        <f>""</f>
        <v/>
      </c>
      <c r="AF90" s="737" t="str">
        <f>""</f>
        <v/>
      </c>
      <c r="AG90" s="736" t="str">
        <f>""</f>
        <v/>
      </c>
      <c r="AH90" s="737" t="str">
        <f>""</f>
        <v/>
      </c>
      <c r="AI90" s="736" t="str">
        <f>""</f>
        <v/>
      </c>
      <c r="AJ90" s="737"/>
      <c r="AK90" s="736"/>
      <c r="AL90" s="737" t="str">
        <f>""</f>
        <v/>
      </c>
      <c r="AM90" s="736" t="str">
        <f>""</f>
        <v/>
      </c>
      <c r="AN90" s="660"/>
      <c r="AO90" s="660"/>
      <c r="AP90" s="660"/>
      <c r="AQ90" s="660"/>
      <c r="AR90" s="660"/>
      <c r="AS90" s="660"/>
      <c r="AT90" s="660"/>
      <c r="AU90" s="660"/>
      <c r="AV90" s="660"/>
      <c r="AW90" s="660"/>
      <c r="AX90" s="660"/>
      <c r="AY90" s="660"/>
      <c r="AZ90" s="660"/>
      <c r="BA90" s="660"/>
      <c r="BB90" s="660"/>
      <c r="BC90" s="660"/>
      <c r="BD90" s="660"/>
      <c r="BE90" s="660"/>
      <c r="BF90" s="660"/>
      <c r="BG90" s="660"/>
      <c r="BH90" s="660"/>
      <c r="BI90" s="660"/>
      <c r="BJ90" s="660"/>
      <c r="BK90" s="660"/>
      <c r="BL90" s="660"/>
      <c r="BM90" s="660"/>
      <c r="BN90" s="660"/>
      <c r="BO90" s="660"/>
      <c r="BP90" s="660"/>
      <c r="BQ90" s="660"/>
      <c r="BR90" s="660"/>
      <c r="BS90" s="660"/>
      <c r="BT90" s="660"/>
      <c r="BU90" s="660"/>
      <c r="BV90" s="660"/>
      <c r="BW90" s="660"/>
      <c r="BX90" s="660"/>
      <c r="BY90" s="660"/>
      <c r="BZ90" s="660"/>
      <c r="CA90" s="660"/>
      <c r="CB90" s="660"/>
    </row>
    <row r="91" spans="1:80" s="1" customFormat="1" x14ac:dyDescent="0.2">
      <c r="A91" s="660"/>
      <c r="B91" s="681"/>
      <c r="C91" s="681"/>
      <c r="D91" s="681"/>
      <c r="E91" s="681"/>
      <c r="F91" s="661"/>
      <c r="G91" s="661"/>
      <c r="H91" s="661"/>
      <c r="I91" s="661"/>
      <c r="J91" s="661"/>
      <c r="K91" s="661"/>
      <c r="L91" s="661"/>
      <c r="M91" s="661"/>
      <c r="N91" s="660"/>
      <c r="O91" s="660"/>
      <c r="P91" s="660"/>
      <c r="Q91" s="660"/>
      <c r="R91" s="660"/>
      <c r="S91" s="660"/>
      <c r="T91" s="660"/>
      <c r="U91" s="732" t="s">
        <v>42</v>
      </c>
      <c r="V91" s="733" t="str">
        <f>""</f>
        <v/>
      </c>
      <c r="W91" s="661" t="str">
        <f>""</f>
        <v/>
      </c>
      <c r="X91" s="661" t="str">
        <f>""</f>
        <v/>
      </c>
      <c r="Y91" s="734" t="str">
        <f>""</f>
        <v/>
      </c>
      <c r="Z91" s="735" t="str">
        <f>""</f>
        <v/>
      </c>
      <c r="AA91" s="661">
        <v>0</v>
      </c>
      <c r="AB91" s="661" t="str">
        <f>""</f>
        <v/>
      </c>
      <c r="AC91" s="736"/>
      <c r="AD91" s="737" t="str">
        <f>""</f>
        <v/>
      </c>
      <c r="AE91" s="736" t="str">
        <f>""</f>
        <v/>
      </c>
      <c r="AF91" s="737" t="str">
        <f>""</f>
        <v/>
      </c>
      <c r="AG91" s="736" t="str">
        <f>""</f>
        <v/>
      </c>
      <c r="AH91" s="737" t="str">
        <f>""</f>
        <v/>
      </c>
      <c r="AI91" s="736" t="str">
        <f>""</f>
        <v/>
      </c>
      <c r="AJ91" s="737"/>
      <c r="AK91" s="736"/>
      <c r="AL91" s="737" t="str">
        <f>""</f>
        <v/>
      </c>
      <c r="AM91" s="736" t="str">
        <f>""</f>
        <v/>
      </c>
      <c r="AN91" s="660"/>
      <c r="AO91" s="660"/>
      <c r="AP91" s="660"/>
      <c r="AQ91" s="660"/>
      <c r="AR91" s="660"/>
      <c r="AS91" s="660"/>
      <c r="AT91" s="660"/>
      <c r="AU91" s="660"/>
      <c r="AV91" s="660"/>
      <c r="AW91" s="660"/>
      <c r="AX91" s="660"/>
      <c r="AY91" s="660"/>
      <c r="AZ91" s="660"/>
      <c r="BA91" s="660"/>
      <c r="BB91" s="660"/>
      <c r="BC91" s="660"/>
      <c r="BD91" s="660"/>
      <c r="BE91" s="660"/>
      <c r="BF91" s="660"/>
      <c r="BG91" s="660"/>
      <c r="BH91" s="660"/>
      <c r="BI91" s="660"/>
      <c r="BJ91" s="660"/>
      <c r="BK91" s="660"/>
      <c r="BL91" s="660"/>
      <c r="BM91" s="660"/>
      <c r="BN91" s="660"/>
      <c r="BO91" s="660"/>
      <c r="BP91" s="660"/>
      <c r="BQ91" s="660"/>
      <c r="BR91" s="660"/>
      <c r="BS91" s="660"/>
      <c r="BT91" s="660"/>
      <c r="BU91" s="660"/>
      <c r="BV91" s="660"/>
      <c r="BW91" s="660"/>
      <c r="BX91" s="660"/>
      <c r="BY91" s="660"/>
      <c r="BZ91" s="660"/>
      <c r="CA91" s="660"/>
      <c r="CB91" s="660"/>
    </row>
    <row r="92" spans="1:80" s="1" customFormat="1" x14ac:dyDescent="0.2">
      <c r="A92" s="660"/>
      <c r="B92" s="681"/>
      <c r="C92" s="681"/>
      <c r="D92" s="681"/>
      <c r="E92" s="681"/>
      <c r="F92" s="661"/>
      <c r="G92" s="661"/>
      <c r="H92" s="661"/>
      <c r="I92" s="661"/>
      <c r="J92" s="661"/>
      <c r="K92" s="661"/>
      <c r="L92" s="661"/>
      <c r="M92" s="661"/>
      <c r="N92" s="660"/>
      <c r="O92" s="660"/>
      <c r="P92" s="660"/>
      <c r="Q92" s="660"/>
      <c r="R92" s="660"/>
      <c r="S92" s="660"/>
      <c r="T92" s="660"/>
      <c r="U92" s="732" t="s">
        <v>43</v>
      </c>
      <c r="V92" s="733" t="str">
        <f>""</f>
        <v/>
      </c>
      <c r="W92" s="661" t="str">
        <f>""</f>
        <v/>
      </c>
      <c r="X92" s="661" t="str">
        <f>""</f>
        <v/>
      </c>
      <c r="Y92" s="734" t="str">
        <f>""</f>
        <v/>
      </c>
      <c r="Z92" s="735" t="str">
        <f>""</f>
        <v/>
      </c>
      <c r="AA92" s="661">
        <v>0</v>
      </c>
      <c r="AB92" s="661" t="str">
        <f>""</f>
        <v/>
      </c>
      <c r="AC92" s="736"/>
      <c r="AD92" s="737" t="str">
        <f>""</f>
        <v/>
      </c>
      <c r="AE92" s="736" t="str">
        <f>""</f>
        <v/>
      </c>
      <c r="AF92" s="737" t="str">
        <f>""</f>
        <v/>
      </c>
      <c r="AG92" s="736" t="str">
        <f>""</f>
        <v/>
      </c>
      <c r="AH92" s="737" t="str">
        <f>""</f>
        <v/>
      </c>
      <c r="AI92" s="736" t="str">
        <f>""</f>
        <v/>
      </c>
      <c r="AJ92" s="737"/>
      <c r="AK92" s="736"/>
      <c r="AL92" s="737" t="str">
        <f>""</f>
        <v/>
      </c>
      <c r="AM92" s="736" t="str">
        <f>""</f>
        <v/>
      </c>
      <c r="AN92" s="660"/>
      <c r="AO92" s="660"/>
      <c r="AP92" s="660"/>
      <c r="AQ92" s="660"/>
      <c r="AR92" s="660"/>
      <c r="AS92" s="660"/>
      <c r="AT92" s="660"/>
      <c r="AU92" s="660"/>
      <c r="AV92" s="660"/>
      <c r="AW92" s="660"/>
      <c r="AX92" s="660"/>
      <c r="AY92" s="660"/>
      <c r="AZ92" s="660"/>
      <c r="BA92" s="660"/>
      <c r="BB92" s="660"/>
      <c r="BC92" s="660"/>
      <c r="BD92" s="660"/>
      <c r="BE92" s="660"/>
      <c r="BF92" s="660"/>
      <c r="BG92" s="660"/>
      <c r="BH92" s="660"/>
      <c r="BI92" s="660"/>
      <c r="BJ92" s="660"/>
      <c r="BK92" s="660"/>
      <c r="BL92" s="660"/>
      <c r="BM92" s="660"/>
      <c r="BN92" s="660"/>
      <c r="BO92" s="660"/>
      <c r="BP92" s="660"/>
      <c r="BQ92" s="660"/>
      <c r="BR92" s="660"/>
      <c r="BS92" s="660"/>
      <c r="BT92" s="660"/>
      <c r="BU92" s="660"/>
      <c r="BV92" s="660"/>
      <c r="BW92" s="660"/>
      <c r="BX92" s="660"/>
      <c r="BY92" s="660"/>
      <c r="BZ92" s="660"/>
      <c r="CA92" s="660"/>
      <c r="CB92" s="660"/>
    </row>
    <row r="93" spans="1:80" s="1" customFormat="1" x14ac:dyDescent="0.2">
      <c r="A93" s="660"/>
      <c r="B93" s="681"/>
      <c r="C93" s="681"/>
      <c r="D93" s="681"/>
      <c r="E93" s="681"/>
      <c r="F93" s="661"/>
      <c r="G93" s="661"/>
      <c r="H93" s="661"/>
      <c r="I93" s="661"/>
      <c r="J93" s="661"/>
      <c r="K93" s="661"/>
      <c r="L93" s="661"/>
      <c r="M93" s="661"/>
      <c r="N93" s="660"/>
      <c r="O93" s="660"/>
      <c r="P93" s="660"/>
      <c r="Q93" s="660"/>
      <c r="R93" s="660"/>
      <c r="S93" s="660"/>
      <c r="T93" s="660"/>
      <c r="U93" s="732" t="s">
        <v>44</v>
      </c>
      <c r="V93" s="733" t="str">
        <f>""</f>
        <v/>
      </c>
      <c r="W93" s="661" t="str">
        <f>""</f>
        <v/>
      </c>
      <c r="X93" s="661" t="str">
        <f>""</f>
        <v/>
      </c>
      <c r="Y93" s="734" t="str">
        <f>""</f>
        <v/>
      </c>
      <c r="Z93" s="735" t="str">
        <f>""</f>
        <v/>
      </c>
      <c r="AA93" s="661">
        <v>0</v>
      </c>
      <c r="AB93" s="661" t="str">
        <f>""</f>
        <v/>
      </c>
      <c r="AC93" s="736"/>
      <c r="AD93" s="737" t="str">
        <f>""</f>
        <v/>
      </c>
      <c r="AE93" s="736" t="str">
        <f>""</f>
        <v/>
      </c>
      <c r="AF93" s="737" t="str">
        <f>""</f>
        <v/>
      </c>
      <c r="AG93" s="736" t="str">
        <f>""</f>
        <v/>
      </c>
      <c r="AH93" s="737" t="str">
        <f>""</f>
        <v/>
      </c>
      <c r="AI93" s="736" t="str">
        <f>""</f>
        <v/>
      </c>
      <c r="AJ93" s="737"/>
      <c r="AK93" s="736"/>
      <c r="AL93" s="737" t="str">
        <f>""</f>
        <v/>
      </c>
      <c r="AM93" s="736" t="str">
        <f>""</f>
        <v/>
      </c>
      <c r="AN93" s="660"/>
      <c r="AO93" s="660"/>
      <c r="AP93" s="660"/>
      <c r="AQ93" s="660"/>
      <c r="AR93" s="660"/>
      <c r="AS93" s="660"/>
      <c r="AT93" s="660"/>
      <c r="AU93" s="660"/>
      <c r="AV93" s="660"/>
      <c r="AW93" s="660"/>
      <c r="AX93" s="660"/>
      <c r="AY93" s="660"/>
      <c r="AZ93" s="660"/>
      <c r="BA93" s="660"/>
      <c r="BB93" s="660"/>
      <c r="BC93" s="660"/>
      <c r="BD93" s="660"/>
      <c r="BE93" s="660"/>
      <c r="BF93" s="660"/>
      <c r="BG93" s="660"/>
      <c r="BH93" s="660"/>
      <c r="BI93" s="660"/>
      <c r="BJ93" s="660"/>
      <c r="BK93" s="660"/>
      <c r="BL93" s="660"/>
      <c r="BM93" s="660"/>
      <c r="BN93" s="660"/>
      <c r="BO93" s="660"/>
      <c r="BP93" s="660"/>
      <c r="BQ93" s="660"/>
      <c r="BR93" s="660"/>
      <c r="BS93" s="660"/>
      <c r="BT93" s="660"/>
      <c r="BU93" s="660"/>
      <c r="BV93" s="660"/>
      <c r="BW93" s="660"/>
      <c r="BX93" s="660"/>
      <c r="BY93" s="660"/>
      <c r="BZ93" s="660"/>
      <c r="CA93" s="660"/>
      <c r="CB93" s="660"/>
    </row>
    <row r="94" spans="1:80" s="1" customFormat="1" x14ac:dyDescent="0.2">
      <c r="A94" s="660"/>
      <c r="B94" s="681"/>
      <c r="C94" s="681"/>
      <c r="D94" s="681"/>
      <c r="E94" s="681"/>
      <c r="F94" s="661"/>
      <c r="G94" s="661"/>
      <c r="H94" s="661"/>
      <c r="I94" s="661"/>
      <c r="J94" s="661"/>
      <c r="K94" s="661"/>
      <c r="L94" s="661"/>
      <c r="M94" s="661"/>
      <c r="N94" s="660"/>
      <c r="O94" s="660"/>
      <c r="P94" s="660"/>
      <c r="Q94" s="660"/>
      <c r="R94" s="660"/>
      <c r="S94" s="660"/>
      <c r="T94" s="660"/>
      <c r="U94" s="732" t="s">
        <v>45</v>
      </c>
      <c r="V94" s="733" t="str">
        <f>""</f>
        <v/>
      </c>
      <c r="W94" s="661" t="str">
        <f>""</f>
        <v/>
      </c>
      <c r="X94" s="661" t="str">
        <f>""</f>
        <v/>
      </c>
      <c r="Y94" s="734" t="str">
        <f>""</f>
        <v/>
      </c>
      <c r="Z94" s="735" t="str">
        <f>""</f>
        <v/>
      </c>
      <c r="AA94" s="661">
        <v>0</v>
      </c>
      <c r="AB94" s="661" t="str">
        <f>""</f>
        <v/>
      </c>
      <c r="AC94" s="736"/>
      <c r="AD94" s="737" t="str">
        <f>""</f>
        <v/>
      </c>
      <c r="AE94" s="736" t="str">
        <f>""</f>
        <v/>
      </c>
      <c r="AF94" s="737" t="str">
        <f>""</f>
        <v/>
      </c>
      <c r="AG94" s="736" t="str">
        <f>""</f>
        <v/>
      </c>
      <c r="AH94" s="737" t="str">
        <f>""</f>
        <v/>
      </c>
      <c r="AI94" s="736" t="str">
        <f>""</f>
        <v/>
      </c>
      <c r="AJ94" s="737"/>
      <c r="AK94" s="736"/>
      <c r="AL94" s="737" t="str">
        <f>""</f>
        <v/>
      </c>
      <c r="AM94" s="736" t="str">
        <f>""</f>
        <v/>
      </c>
      <c r="AN94" s="660"/>
      <c r="AO94" s="660"/>
      <c r="AP94" s="660"/>
      <c r="AQ94" s="660"/>
      <c r="AR94" s="660"/>
      <c r="AS94" s="660"/>
      <c r="AT94" s="660"/>
      <c r="AU94" s="660"/>
      <c r="AV94" s="660"/>
      <c r="AW94" s="660"/>
      <c r="AX94" s="660"/>
      <c r="AY94" s="660"/>
      <c r="AZ94" s="660"/>
      <c r="BA94" s="660"/>
      <c r="BB94" s="660"/>
      <c r="BC94" s="660"/>
      <c r="BD94" s="660"/>
      <c r="BE94" s="660"/>
      <c r="BF94" s="660"/>
      <c r="BG94" s="660"/>
      <c r="BH94" s="660"/>
      <c r="BI94" s="660"/>
      <c r="BJ94" s="660"/>
      <c r="BK94" s="660"/>
      <c r="BL94" s="660"/>
      <c r="BM94" s="660"/>
      <c r="BN94" s="660"/>
      <c r="BO94" s="660"/>
      <c r="BP94" s="660"/>
      <c r="BQ94" s="660"/>
      <c r="BR94" s="660"/>
      <c r="BS94" s="660"/>
      <c r="BT94" s="660"/>
      <c r="BU94" s="660"/>
      <c r="BV94" s="660"/>
      <c r="BW94" s="660"/>
      <c r="BX94" s="660"/>
      <c r="BY94" s="660"/>
      <c r="BZ94" s="660"/>
      <c r="CA94" s="660"/>
      <c r="CB94" s="660"/>
    </row>
    <row r="95" spans="1:80" s="1" customFormat="1" x14ac:dyDescent="0.2">
      <c r="A95" s="660"/>
      <c r="B95" s="681"/>
      <c r="C95" s="681"/>
      <c r="D95" s="681"/>
      <c r="E95" s="681"/>
      <c r="F95" s="661"/>
      <c r="G95" s="661"/>
      <c r="H95" s="661"/>
      <c r="I95" s="661"/>
      <c r="J95" s="661"/>
      <c r="K95" s="661"/>
      <c r="L95" s="661"/>
      <c r="M95" s="661"/>
      <c r="N95" s="660"/>
      <c r="O95" s="660"/>
      <c r="P95" s="660"/>
      <c r="Q95" s="660"/>
      <c r="R95" s="660"/>
      <c r="S95" s="660"/>
      <c r="T95" s="660"/>
      <c r="U95" s="732" t="s">
        <v>46</v>
      </c>
      <c r="V95" s="733" t="str">
        <f>""</f>
        <v/>
      </c>
      <c r="W95" s="661" t="str">
        <f>""</f>
        <v/>
      </c>
      <c r="X95" s="661" t="str">
        <f>""</f>
        <v/>
      </c>
      <c r="Y95" s="734" t="str">
        <f>""</f>
        <v/>
      </c>
      <c r="Z95" s="735" t="str">
        <f>""</f>
        <v/>
      </c>
      <c r="AA95" s="661">
        <v>0</v>
      </c>
      <c r="AB95" s="661" t="str">
        <f>""</f>
        <v/>
      </c>
      <c r="AC95" s="736"/>
      <c r="AD95" s="737" t="str">
        <f>""</f>
        <v/>
      </c>
      <c r="AE95" s="736" t="str">
        <f>""</f>
        <v/>
      </c>
      <c r="AF95" s="737" t="str">
        <f>""</f>
        <v/>
      </c>
      <c r="AG95" s="736" t="str">
        <f>""</f>
        <v/>
      </c>
      <c r="AH95" s="737" t="str">
        <f>""</f>
        <v/>
      </c>
      <c r="AI95" s="736" t="str">
        <f>""</f>
        <v/>
      </c>
      <c r="AJ95" s="737"/>
      <c r="AK95" s="736"/>
      <c r="AL95" s="737" t="str">
        <f>""</f>
        <v/>
      </c>
      <c r="AM95" s="736" t="str">
        <f>""</f>
        <v/>
      </c>
      <c r="AN95" s="660"/>
      <c r="AO95" s="660"/>
      <c r="AP95" s="660"/>
      <c r="AQ95" s="660"/>
      <c r="AR95" s="660"/>
      <c r="AS95" s="660"/>
      <c r="AT95" s="660"/>
      <c r="AU95" s="660"/>
      <c r="AV95" s="660"/>
      <c r="AW95" s="660"/>
      <c r="AX95" s="660"/>
      <c r="AY95" s="660"/>
      <c r="AZ95" s="660"/>
      <c r="BA95" s="660"/>
      <c r="BB95" s="660"/>
      <c r="BC95" s="660"/>
      <c r="BD95" s="660"/>
      <c r="BE95" s="660"/>
      <c r="BF95" s="660"/>
      <c r="BG95" s="660"/>
      <c r="BH95" s="660"/>
      <c r="BI95" s="660"/>
      <c r="BJ95" s="660"/>
      <c r="BK95" s="660"/>
      <c r="BL95" s="660"/>
      <c r="BM95" s="660"/>
      <c r="BN95" s="660"/>
      <c r="BO95" s="660"/>
      <c r="BP95" s="660"/>
      <c r="BQ95" s="660"/>
      <c r="BR95" s="660"/>
      <c r="BS95" s="660"/>
      <c r="BT95" s="660"/>
      <c r="BU95" s="660"/>
      <c r="BV95" s="660"/>
      <c r="BW95" s="660"/>
      <c r="BX95" s="660"/>
      <c r="BY95" s="660"/>
      <c r="BZ95" s="660"/>
      <c r="CA95" s="660"/>
      <c r="CB95" s="660"/>
    </row>
    <row r="96" spans="1:80" s="1" customFormat="1" x14ac:dyDescent="0.2">
      <c r="A96" s="660"/>
      <c r="B96" s="681"/>
      <c r="C96" s="681"/>
      <c r="D96" s="681"/>
      <c r="E96" s="681"/>
      <c r="F96" s="661"/>
      <c r="G96" s="661"/>
      <c r="H96" s="661"/>
      <c r="I96" s="661"/>
      <c r="J96" s="661"/>
      <c r="K96" s="661"/>
      <c r="L96" s="661"/>
      <c r="M96" s="661"/>
      <c r="N96" s="660"/>
      <c r="O96" s="660"/>
      <c r="P96" s="660"/>
      <c r="Q96" s="660"/>
      <c r="R96" s="660"/>
      <c r="S96" s="660"/>
      <c r="T96" s="660"/>
      <c r="U96" s="732" t="s">
        <v>47</v>
      </c>
      <c r="V96" s="733" t="str">
        <f>""</f>
        <v/>
      </c>
      <c r="W96" s="661" t="str">
        <f>""</f>
        <v/>
      </c>
      <c r="X96" s="661" t="str">
        <f>""</f>
        <v/>
      </c>
      <c r="Y96" s="734" t="str">
        <f>""</f>
        <v/>
      </c>
      <c r="Z96" s="735" t="str">
        <f>""</f>
        <v/>
      </c>
      <c r="AA96" s="661">
        <v>0</v>
      </c>
      <c r="AB96" s="661" t="str">
        <f>""</f>
        <v/>
      </c>
      <c r="AC96" s="736"/>
      <c r="AD96" s="737" t="str">
        <f>""</f>
        <v/>
      </c>
      <c r="AE96" s="736" t="str">
        <f>""</f>
        <v/>
      </c>
      <c r="AF96" s="737" t="str">
        <f>""</f>
        <v/>
      </c>
      <c r="AG96" s="736" t="str">
        <f>""</f>
        <v/>
      </c>
      <c r="AH96" s="737" t="str">
        <f>""</f>
        <v/>
      </c>
      <c r="AI96" s="736" t="str">
        <f>""</f>
        <v/>
      </c>
      <c r="AJ96" s="737"/>
      <c r="AK96" s="736"/>
      <c r="AL96" s="737" t="str">
        <f>""</f>
        <v/>
      </c>
      <c r="AM96" s="736" t="str">
        <f>""</f>
        <v/>
      </c>
      <c r="AN96" s="660"/>
      <c r="AO96" s="660"/>
      <c r="AP96" s="660"/>
      <c r="AQ96" s="660"/>
      <c r="AR96" s="660"/>
      <c r="AS96" s="660"/>
      <c r="AT96" s="660"/>
      <c r="AU96" s="660"/>
      <c r="AV96" s="660"/>
      <c r="AW96" s="660"/>
      <c r="AX96" s="660"/>
      <c r="AY96" s="660"/>
      <c r="AZ96" s="660"/>
      <c r="BA96" s="660"/>
      <c r="BB96" s="660"/>
      <c r="BC96" s="660"/>
      <c r="BD96" s="660"/>
      <c r="BE96" s="660"/>
      <c r="BF96" s="660"/>
      <c r="BG96" s="660"/>
      <c r="BH96" s="660"/>
      <c r="BI96" s="660"/>
      <c r="BJ96" s="660"/>
      <c r="BK96" s="660"/>
      <c r="BL96" s="660"/>
      <c r="BM96" s="660"/>
      <c r="BN96" s="660"/>
      <c r="BO96" s="660"/>
      <c r="BP96" s="660"/>
      <c r="BQ96" s="660"/>
      <c r="BR96" s="660"/>
      <c r="BS96" s="660"/>
      <c r="BT96" s="660"/>
      <c r="BU96" s="660"/>
      <c r="BV96" s="660"/>
      <c r="BW96" s="660"/>
      <c r="BX96" s="660"/>
      <c r="BY96" s="660"/>
      <c r="BZ96" s="660"/>
      <c r="CA96" s="660"/>
      <c r="CB96" s="660"/>
    </row>
    <row r="97" spans="1:80" s="1" customFormat="1" x14ac:dyDescent="0.2">
      <c r="A97" s="660"/>
      <c r="B97" s="681"/>
      <c r="C97" s="681"/>
      <c r="D97" s="681"/>
      <c r="E97" s="681"/>
      <c r="F97" s="661"/>
      <c r="G97" s="661"/>
      <c r="H97" s="661"/>
      <c r="I97" s="661"/>
      <c r="J97" s="661"/>
      <c r="K97" s="661"/>
      <c r="L97" s="661"/>
      <c r="M97" s="661"/>
      <c r="N97" s="660"/>
      <c r="O97" s="660"/>
      <c r="P97" s="660"/>
      <c r="Q97" s="660"/>
      <c r="R97" s="660"/>
      <c r="S97" s="660"/>
      <c r="T97" s="660"/>
      <c r="U97" s="732" t="s">
        <v>48</v>
      </c>
      <c r="V97" s="733" t="str">
        <f>""</f>
        <v/>
      </c>
      <c r="W97" s="661" t="str">
        <f>""</f>
        <v/>
      </c>
      <c r="X97" s="661" t="str">
        <f>""</f>
        <v/>
      </c>
      <c r="Y97" s="734" t="str">
        <f>""</f>
        <v/>
      </c>
      <c r="Z97" s="735" t="str">
        <f>""</f>
        <v/>
      </c>
      <c r="AA97" s="661">
        <v>0</v>
      </c>
      <c r="AB97" s="661" t="str">
        <f>""</f>
        <v/>
      </c>
      <c r="AC97" s="736"/>
      <c r="AD97" s="737" t="str">
        <f>""</f>
        <v/>
      </c>
      <c r="AE97" s="736" t="str">
        <f>""</f>
        <v/>
      </c>
      <c r="AF97" s="737" t="str">
        <f>""</f>
        <v/>
      </c>
      <c r="AG97" s="736" t="str">
        <f>""</f>
        <v/>
      </c>
      <c r="AH97" s="737" t="str">
        <f>""</f>
        <v/>
      </c>
      <c r="AI97" s="736" t="str">
        <f>""</f>
        <v/>
      </c>
      <c r="AJ97" s="737"/>
      <c r="AK97" s="736"/>
      <c r="AL97" s="737" t="str">
        <f>""</f>
        <v/>
      </c>
      <c r="AM97" s="736" t="str">
        <f>""</f>
        <v/>
      </c>
      <c r="AN97" s="660"/>
      <c r="AO97" s="660"/>
      <c r="AP97" s="660"/>
      <c r="AQ97" s="660"/>
      <c r="AR97" s="660"/>
      <c r="AS97" s="660"/>
      <c r="AT97" s="660"/>
      <c r="AU97" s="660"/>
      <c r="AV97" s="660"/>
      <c r="AW97" s="660"/>
      <c r="AX97" s="660"/>
      <c r="AY97" s="660"/>
      <c r="AZ97" s="660"/>
      <c r="BA97" s="660"/>
      <c r="BB97" s="660"/>
      <c r="BC97" s="660"/>
      <c r="BD97" s="660"/>
      <c r="BE97" s="660"/>
      <c r="BF97" s="660"/>
      <c r="BG97" s="660"/>
      <c r="BH97" s="660"/>
      <c r="BI97" s="660"/>
      <c r="BJ97" s="660"/>
      <c r="BK97" s="660"/>
      <c r="BL97" s="660"/>
      <c r="BM97" s="660"/>
      <c r="BN97" s="660"/>
      <c r="BO97" s="660"/>
      <c r="BP97" s="660"/>
      <c r="BQ97" s="660"/>
      <c r="BR97" s="660"/>
      <c r="BS97" s="660"/>
      <c r="BT97" s="660"/>
      <c r="BU97" s="660"/>
      <c r="BV97" s="660"/>
      <c r="BW97" s="660"/>
      <c r="BX97" s="660"/>
      <c r="BY97" s="660"/>
      <c r="BZ97" s="660"/>
      <c r="CA97" s="660"/>
      <c r="CB97" s="660"/>
    </row>
    <row r="98" spans="1:80" s="1" customFormat="1" x14ac:dyDescent="0.2">
      <c r="A98" s="660"/>
      <c r="B98" s="681"/>
      <c r="C98" s="681"/>
      <c r="D98" s="681"/>
      <c r="E98" s="681"/>
      <c r="F98" s="661"/>
      <c r="G98" s="661"/>
      <c r="H98" s="661"/>
      <c r="I98" s="661"/>
      <c r="J98" s="661"/>
      <c r="K98" s="661"/>
      <c r="L98" s="661"/>
      <c r="M98" s="661"/>
      <c r="N98" s="660"/>
      <c r="O98" s="660"/>
      <c r="P98" s="660"/>
      <c r="Q98" s="660"/>
      <c r="R98" s="660"/>
      <c r="S98" s="660"/>
      <c r="T98" s="660"/>
      <c r="U98" s="732" t="s">
        <v>49</v>
      </c>
      <c r="V98" s="733" t="str">
        <f>""</f>
        <v/>
      </c>
      <c r="W98" s="661" t="str">
        <f>""</f>
        <v/>
      </c>
      <c r="X98" s="661" t="str">
        <f>""</f>
        <v/>
      </c>
      <c r="Y98" s="734" t="str">
        <f>""</f>
        <v/>
      </c>
      <c r="Z98" s="735" t="str">
        <f>""</f>
        <v/>
      </c>
      <c r="AA98" s="661">
        <v>0</v>
      </c>
      <c r="AB98" s="661" t="str">
        <f>""</f>
        <v/>
      </c>
      <c r="AC98" s="736"/>
      <c r="AD98" s="737" t="str">
        <f>""</f>
        <v/>
      </c>
      <c r="AE98" s="736" t="str">
        <f>""</f>
        <v/>
      </c>
      <c r="AF98" s="737" t="str">
        <f>""</f>
        <v/>
      </c>
      <c r="AG98" s="736" t="str">
        <f>""</f>
        <v/>
      </c>
      <c r="AH98" s="737" t="str">
        <f>""</f>
        <v/>
      </c>
      <c r="AI98" s="736" t="str">
        <f>""</f>
        <v/>
      </c>
      <c r="AJ98" s="737"/>
      <c r="AK98" s="736"/>
      <c r="AL98" s="737" t="str">
        <f>""</f>
        <v/>
      </c>
      <c r="AM98" s="736" t="str">
        <f>""</f>
        <v/>
      </c>
      <c r="AN98" s="660"/>
      <c r="AO98" s="660"/>
      <c r="AP98" s="660"/>
      <c r="AQ98" s="660"/>
      <c r="AR98" s="660"/>
      <c r="AS98" s="660"/>
      <c r="AT98" s="660"/>
      <c r="AU98" s="660"/>
      <c r="AV98" s="660"/>
      <c r="AW98" s="660"/>
      <c r="AX98" s="660"/>
      <c r="AY98" s="660"/>
      <c r="AZ98" s="660"/>
      <c r="BA98" s="660"/>
      <c r="BB98" s="660"/>
      <c r="BC98" s="660"/>
      <c r="BD98" s="660"/>
      <c r="BE98" s="660"/>
      <c r="BF98" s="660"/>
      <c r="BG98" s="660"/>
      <c r="BH98" s="660"/>
      <c r="BI98" s="660"/>
      <c r="BJ98" s="660"/>
      <c r="BK98" s="660"/>
      <c r="BL98" s="660"/>
      <c r="BM98" s="660"/>
      <c r="BN98" s="660"/>
      <c r="BO98" s="660"/>
      <c r="BP98" s="660"/>
      <c r="BQ98" s="660"/>
      <c r="BR98" s="660"/>
      <c r="BS98" s="660"/>
      <c r="BT98" s="660"/>
      <c r="BU98" s="660"/>
      <c r="BV98" s="660"/>
      <c r="BW98" s="660"/>
      <c r="BX98" s="660"/>
      <c r="BY98" s="660"/>
      <c r="BZ98" s="660"/>
      <c r="CA98" s="660"/>
      <c r="CB98" s="660"/>
    </row>
    <row r="99" spans="1:80" s="1" customFormat="1" x14ac:dyDescent="0.2">
      <c r="A99" s="660"/>
      <c r="B99" s="681"/>
      <c r="C99" s="681"/>
      <c r="D99" s="681"/>
      <c r="E99" s="681"/>
      <c r="F99" s="661"/>
      <c r="G99" s="661"/>
      <c r="H99" s="661"/>
      <c r="I99" s="661"/>
      <c r="J99" s="661"/>
      <c r="K99" s="661"/>
      <c r="L99" s="661"/>
      <c r="M99" s="661"/>
      <c r="N99" s="660"/>
      <c r="O99" s="660"/>
      <c r="P99" s="660"/>
      <c r="Q99" s="660"/>
      <c r="R99" s="660"/>
      <c r="S99" s="660"/>
      <c r="T99" s="660"/>
      <c r="U99" s="732" t="s">
        <v>50</v>
      </c>
      <c r="V99" s="733" t="str">
        <f>""</f>
        <v/>
      </c>
      <c r="W99" s="661" t="str">
        <f>""</f>
        <v/>
      </c>
      <c r="X99" s="661" t="str">
        <f>""</f>
        <v/>
      </c>
      <c r="Y99" s="734" t="str">
        <f>""</f>
        <v/>
      </c>
      <c r="Z99" s="735" t="str">
        <f>""</f>
        <v/>
      </c>
      <c r="AA99" s="661">
        <v>0</v>
      </c>
      <c r="AB99" s="661" t="str">
        <f>""</f>
        <v/>
      </c>
      <c r="AC99" s="736"/>
      <c r="AD99" s="737" t="str">
        <f>""</f>
        <v/>
      </c>
      <c r="AE99" s="736" t="str">
        <f>""</f>
        <v/>
      </c>
      <c r="AF99" s="737" t="str">
        <f>""</f>
        <v/>
      </c>
      <c r="AG99" s="736" t="str">
        <f>""</f>
        <v/>
      </c>
      <c r="AH99" s="737" t="str">
        <f>""</f>
        <v/>
      </c>
      <c r="AI99" s="736" t="str">
        <f>""</f>
        <v/>
      </c>
      <c r="AJ99" s="737"/>
      <c r="AK99" s="736"/>
      <c r="AL99" s="737" t="str">
        <f>""</f>
        <v/>
      </c>
      <c r="AM99" s="736" t="str">
        <f>""</f>
        <v/>
      </c>
      <c r="AN99" s="660"/>
      <c r="AO99" s="660"/>
      <c r="AP99" s="660"/>
      <c r="AQ99" s="660"/>
      <c r="AR99" s="660"/>
      <c r="AS99" s="660"/>
      <c r="AT99" s="660"/>
      <c r="AU99" s="660"/>
      <c r="AV99" s="660"/>
      <c r="AW99" s="660"/>
      <c r="AX99" s="660"/>
      <c r="AY99" s="660"/>
      <c r="AZ99" s="660"/>
      <c r="BA99" s="660"/>
      <c r="BB99" s="660"/>
      <c r="BC99" s="660"/>
      <c r="BD99" s="660"/>
      <c r="BE99" s="660"/>
      <c r="BF99" s="660"/>
      <c r="BG99" s="660"/>
      <c r="BH99" s="660"/>
      <c r="BI99" s="660"/>
      <c r="BJ99" s="660"/>
      <c r="BK99" s="660"/>
      <c r="BL99" s="660"/>
      <c r="BM99" s="660"/>
      <c r="BN99" s="660"/>
      <c r="BO99" s="660"/>
      <c r="BP99" s="660"/>
      <c r="BQ99" s="660"/>
      <c r="BR99" s="660"/>
      <c r="BS99" s="660"/>
      <c r="BT99" s="660"/>
      <c r="BU99" s="660"/>
      <c r="BV99" s="660"/>
      <c r="BW99" s="660"/>
      <c r="BX99" s="660"/>
      <c r="BY99" s="660"/>
      <c r="BZ99" s="660"/>
      <c r="CA99" s="660"/>
      <c r="CB99" s="660"/>
    </row>
    <row r="100" spans="1:80" s="1" customFormat="1" x14ac:dyDescent="0.2">
      <c r="A100" s="660"/>
      <c r="B100" s="681"/>
      <c r="C100" s="681"/>
      <c r="D100" s="681"/>
      <c r="E100" s="681"/>
      <c r="F100" s="661"/>
      <c r="G100" s="661"/>
      <c r="H100" s="661"/>
      <c r="I100" s="661"/>
      <c r="J100" s="661"/>
      <c r="K100" s="661"/>
      <c r="L100" s="661"/>
      <c r="M100" s="661"/>
      <c r="N100" s="660"/>
      <c r="O100" s="660"/>
      <c r="P100" s="660"/>
      <c r="Q100" s="660"/>
      <c r="R100" s="660"/>
      <c r="S100" s="660"/>
      <c r="T100" s="660"/>
      <c r="U100" s="732" t="s">
        <v>58</v>
      </c>
      <c r="V100" s="733" t="str">
        <f>""</f>
        <v/>
      </c>
      <c r="W100" s="661" t="str">
        <f>""</f>
        <v/>
      </c>
      <c r="X100" s="661" t="str">
        <f>""</f>
        <v/>
      </c>
      <c r="Y100" s="734" t="str">
        <f>""</f>
        <v/>
      </c>
      <c r="Z100" s="735" t="str">
        <f>""</f>
        <v/>
      </c>
      <c r="AA100" s="661">
        <v>0</v>
      </c>
      <c r="AB100" s="661" t="str">
        <f>""</f>
        <v/>
      </c>
      <c r="AC100" s="736"/>
      <c r="AD100" s="737" t="str">
        <f>""</f>
        <v/>
      </c>
      <c r="AE100" s="736" t="str">
        <f>""</f>
        <v/>
      </c>
      <c r="AF100" s="737" t="str">
        <f>""</f>
        <v/>
      </c>
      <c r="AG100" s="736" t="str">
        <f>""</f>
        <v/>
      </c>
      <c r="AH100" s="737" t="str">
        <f>""</f>
        <v/>
      </c>
      <c r="AI100" s="736" t="str">
        <f>""</f>
        <v/>
      </c>
      <c r="AJ100" s="737"/>
      <c r="AK100" s="736"/>
      <c r="AL100" s="737" t="str">
        <f>""</f>
        <v/>
      </c>
      <c r="AM100" s="736" t="str">
        <f>""</f>
        <v/>
      </c>
      <c r="AN100" s="660"/>
      <c r="AO100" s="660"/>
      <c r="AP100" s="660"/>
      <c r="AQ100" s="660"/>
      <c r="AR100" s="660"/>
      <c r="AS100" s="660"/>
      <c r="AT100" s="660"/>
      <c r="AU100" s="660"/>
      <c r="AV100" s="660"/>
      <c r="AW100" s="660"/>
      <c r="AX100" s="660"/>
      <c r="AY100" s="660"/>
      <c r="AZ100" s="660"/>
      <c r="BA100" s="660"/>
      <c r="BB100" s="660"/>
      <c r="BC100" s="660"/>
      <c r="BD100" s="660"/>
      <c r="BE100" s="660"/>
      <c r="BF100" s="660"/>
      <c r="BG100" s="660"/>
      <c r="BH100" s="660"/>
      <c r="BI100" s="660"/>
      <c r="BJ100" s="660"/>
      <c r="BK100" s="660"/>
      <c r="BL100" s="660"/>
      <c r="BM100" s="660"/>
      <c r="BN100" s="660"/>
      <c r="BO100" s="660"/>
      <c r="BP100" s="660"/>
      <c r="BQ100" s="660"/>
      <c r="BR100" s="660"/>
      <c r="BS100" s="660"/>
      <c r="BT100" s="660"/>
      <c r="BU100" s="660"/>
      <c r="BV100" s="660"/>
      <c r="BW100" s="660"/>
      <c r="BX100" s="660"/>
      <c r="BY100" s="660"/>
      <c r="BZ100" s="660"/>
      <c r="CA100" s="660"/>
      <c r="CB100" s="660"/>
    </row>
    <row r="101" spans="1:80" s="1" customFormat="1" x14ac:dyDescent="0.2">
      <c r="A101" s="660"/>
      <c r="B101" s="681"/>
      <c r="C101" s="681"/>
      <c r="D101" s="681"/>
      <c r="E101" s="681"/>
      <c r="F101" s="661"/>
      <c r="G101" s="661"/>
      <c r="H101" s="661"/>
      <c r="I101" s="661"/>
      <c r="J101" s="661"/>
      <c r="K101" s="661"/>
      <c r="L101" s="661"/>
      <c r="M101" s="661"/>
      <c r="N101" s="660"/>
      <c r="O101" s="660"/>
      <c r="P101" s="660"/>
      <c r="Q101" s="660"/>
      <c r="R101" s="660"/>
      <c r="S101" s="660"/>
      <c r="T101" s="660"/>
      <c r="U101" s="732" t="s">
        <v>59</v>
      </c>
      <c r="V101" s="733" t="str">
        <f>""</f>
        <v/>
      </c>
      <c r="W101" s="661" t="str">
        <f>""</f>
        <v/>
      </c>
      <c r="X101" s="661" t="str">
        <f>""</f>
        <v/>
      </c>
      <c r="Y101" s="734" t="str">
        <f>""</f>
        <v/>
      </c>
      <c r="Z101" s="735" t="str">
        <f>""</f>
        <v/>
      </c>
      <c r="AA101" s="661">
        <v>0</v>
      </c>
      <c r="AB101" s="661" t="str">
        <f>""</f>
        <v/>
      </c>
      <c r="AC101" s="736"/>
      <c r="AD101" s="737" t="str">
        <f>""</f>
        <v/>
      </c>
      <c r="AE101" s="736" t="str">
        <f>""</f>
        <v/>
      </c>
      <c r="AF101" s="737" t="str">
        <f>""</f>
        <v/>
      </c>
      <c r="AG101" s="736" t="str">
        <f>""</f>
        <v/>
      </c>
      <c r="AH101" s="737" t="str">
        <f>""</f>
        <v/>
      </c>
      <c r="AI101" s="736" t="str">
        <f>""</f>
        <v/>
      </c>
      <c r="AJ101" s="737"/>
      <c r="AK101" s="736"/>
      <c r="AL101" s="737" t="str">
        <f>""</f>
        <v/>
      </c>
      <c r="AM101" s="736" t="str">
        <f>""</f>
        <v/>
      </c>
      <c r="AN101" s="660"/>
      <c r="AO101" s="660"/>
      <c r="AP101" s="660"/>
      <c r="AQ101" s="660"/>
      <c r="AR101" s="660"/>
      <c r="AS101" s="660"/>
      <c r="AT101" s="660"/>
      <c r="AU101" s="660"/>
      <c r="AV101" s="660"/>
      <c r="AW101" s="660"/>
      <c r="AX101" s="660"/>
      <c r="AY101" s="660"/>
      <c r="AZ101" s="660"/>
      <c r="BA101" s="660"/>
      <c r="BB101" s="660"/>
      <c r="BC101" s="660"/>
      <c r="BD101" s="660"/>
      <c r="BE101" s="660"/>
      <c r="BF101" s="660"/>
      <c r="BG101" s="660"/>
      <c r="BH101" s="660"/>
      <c r="BI101" s="660"/>
      <c r="BJ101" s="660"/>
      <c r="BK101" s="660"/>
      <c r="BL101" s="660"/>
      <c r="BM101" s="660"/>
      <c r="BN101" s="660"/>
      <c r="BO101" s="660"/>
      <c r="BP101" s="660"/>
      <c r="BQ101" s="660"/>
      <c r="BR101" s="660"/>
      <c r="BS101" s="660"/>
      <c r="BT101" s="660"/>
      <c r="BU101" s="660"/>
      <c r="BV101" s="660"/>
      <c r="BW101" s="660"/>
      <c r="BX101" s="660"/>
      <c r="BY101" s="660"/>
      <c r="BZ101" s="660"/>
      <c r="CA101" s="660"/>
      <c r="CB101" s="660"/>
    </row>
    <row r="102" spans="1:80" s="1" customFormat="1" x14ac:dyDescent="0.2">
      <c r="A102" s="660"/>
      <c r="B102" s="681"/>
      <c r="C102" s="681"/>
      <c r="D102" s="681"/>
      <c r="E102" s="681"/>
      <c r="F102" s="661"/>
      <c r="G102" s="661"/>
      <c r="H102" s="661"/>
      <c r="I102" s="661"/>
      <c r="J102" s="661"/>
      <c r="K102" s="661"/>
      <c r="L102" s="661"/>
      <c r="M102" s="661"/>
      <c r="N102" s="660"/>
      <c r="O102" s="660"/>
      <c r="P102" s="660"/>
      <c r="Q102" s="660"/>
      <c r="R102" s="660"/>
      <c r="S102" s="660"/>
      <c r="T102" s="660"/>
      <c r="U102" s="732" t="s">
        <v>60</v>
      </c>
      <c r="V102" s="733" t="str">
        <f>""</f>
        <v/>
      </c>
      <c r="W102" s="661" t="str">
        <f>""</f>
        <v/>
      </c>
      <c r="X102" s="661" t="str">
        <f>""</f>
        <v/>
      </c>
      <c r="Y102" s="734" t="str">
        <f>""</f>
        <v/>
      </c>
      <c r="Z102" s="735" t="str">
        <f>""</f>
        <v/>
      </c>
      <c r="AA102" s="661">
        <v>0</v>
      </c>
      <c r="AB102" s="661" t="str">
        <f>""</f>
        <v/>
      </c>
      <c r="AC102" s="736"/>
      <c r="AD102" s="737" t="str">
        <f>""</f>
        <v/>
      </c>
      <c r="AE102" s="736" t="str">
        <f>""</f>
        <v/>
      </c>
      <c r="AF102" s="737" t="str">
        <f>""</f>
        <v/>
      </c>
      <c r="AG102" s="736" t="str">
        <f>""</f>
        <v/>
      </c>
      <c r="AH102" s="737" t="str">
        <f>""</f>
        <v/>
      </c>
      <c r="AI102" s="736" t="str">
        <f>""</f>
        <v/>
      </c>
      <c r="AJ102" s="737"/>
      <c r="AK102" s="736"/>
      <c r="AL102" s="737" t="str">
        <f>""</f>
        <v/>
      </c>
      <c r="AM102" s="736" t="str">
        <f>""</f>
        <v/>
      </c>
      <c r="AN102" s="660"/>
      <c r="AO102" s="660"/>
      <c r="AP102" s="660"/>
      <c r="AQ102" s="660"/>
      <c r="AR102" s="660"/>
      <c r="AS102" s="660"/>
      <c r="AT102" s="660"/>
      <c r="AU102" s="660"/>
      <c r="AV102" s="660"/>
      <c r="AW102" s="660"/>
      <c r="AX102" s="660"/>
      <c r="AY102" s="660"/>
      <c r="AZ102" s="660"/>
      <c r="BA102" s="660"/>
      <c r="BB102" s="660"/>
      <c r="BC102" s="660"/>
      <c r="BD102" s="660"/>
      <c r="BE102" s="660"/>
      <c r="BF102" s="660"/>
      <c r="BG102" s="660"/>
      <c r="BH102" s="660"/>
      <c r="BI102" s="660"/>
      <c r="BJ102" s="660"/>
      <c r="BK102" s="660"/>
      <c r="BL102" s="660"/>
      <c r="BM102" s="660"/>
      <c r="BN102" s="660"/>
      <c r="BO102" s="660"/>
      <c r="BP102" s="660"/>
      <c r="BQ102" s="660"/>
      <c r="BR102" s="660"/>
      <c r="BS102" s="660"/>
      <c r="BT102" s="660"/>
      <c r="BU102" s="660"/>
      <c r="BV102" s="660"/>
      <c r="BW102" s="660"/>
      <c r="BX102" s="660"/>
      <c r="BY102" s="660"/>
      <c r="BZ102" s="660"/>
      <c r="CA102" s="660"/>
      <c r="CB102" s="660"/>
    </row>
    <row r="103" spans="1:80" s="1" customFormat="1" x14ac:dyDescent="0.2">
      <c r="A103" s="660"/>
      <c r="B103" s="681"/>
      <c r="C103" s="681"/>
      <c r="D103" s="681"/>
      <c r="E103" s="681"/>
      <c r="F103" s="661"/>
      <c r="G103" s="661"/>
      <c r="H103" s="661"/>
      <c r="I103" s="661"/>
      <c r="J103" s="661"/>
      <c r="K103" s="661"/>
      <c r="L103" s="661"/>
      <c r="M103" s="661"/>
      <c r="N103" s="660"/>
      <c r="O103" s="660"/>
      <c r="P103" s="660"/>
      <c r="Q103" s="660"/>
      <c r="R103" s="660"/>
      <c r="S103" s="660"/>
      <c r="T103" s="660"/>
      <c r="U103" s="732" t="s">
        <v>61</v>
      </c>
      <c r="V103" s="733" t="str">
        <f>""</f>
        <v/>
      </c>
      <c r="W103" s="661" t="str">
        <f>""</f>
        <v/>
      </c>
      <c r="X103" s="661" t="str">
        <f>""</f>
        <v/>
      </c>
      <c r="Y103" s="734" t="str">
        <f>""</f>
        <v/>
      </c>
      <c r="Z103" s="735" t="str">
        <f>""</f>
        <v/>
      </c>
      <c r="AA103" s="661">
        <v>0</v>
      </c>
      <c r="AB103" s="661" t="str">
        <f>""</f>
        <v/>
      </c>
      <c r="AC103" s="736"/>
      <c r="AD103" s="737" t="str">
        <f>""</f>
        <v/>
      </c>
      <c r="AE103" s="736" t="str">
        <f>""</f>
        <v/>
      </c>
      <c r="AF103" s="737" t="str">
        <f>""</f>
        <v/>
      </c>
      <c r="AG103" s="736" t="str">
        <f>""</f>
        <v/>
      </c>
      <c r="AH103" s="737" t="str">
        <f>""</f>
        <v/>
      </c>
      <c r="AI103" s="736" t="str">
        <f>""</f>
        <v/>
      </c>
      <c r="AJ103" s="737"/>
      <c r="AK103" s="736"/>
      <c r="AL103" s="737" t="str">
        <f>""</f>
        <v/>
      </c>
      <c r="AM103" s="736" t="str">
        <f>""</f>
        <v/>
      </c>
      <c r="AN103" s="660"/>
      <c r="AO103" s="660"/>
      <c r="AP103" s="660"/>
      <c r="AQ103" s="660"/>
      <c r="AR103" s="660"/>
      <c r="AS103" s="660"/>
      <c r="AT103" s="660"/>
      <c r="AU103" s="660"/>
      <c r="AV103" s="660"/>
      <c r="AW103" s="660"/>
      <c r="AX103" s="660"/>
      <c r="AY103" s="660"/>
      <c r="AZ103" s="660"/>
      <c r="BA103" s="660"/>
      <c r="BB103" s="660"/>
      <c r="BC103" s="660"/>
      <c r="BD103" s="660"/>
      <c r="BE103" s="660"/>
      <c r="BF103" s="660"/>
      <c r="BG103" s="660"/>
      <c r="BH103" s="660"/>
      <c r="BI103" s="660"/>
      <c r="BJ103" s="660"/>
      <c r="BK103" s="660"/>
      <c r="BL103" s="660"/>
      <c r="BM103" s="660"/>
      <c r="BN103" s="660"/>
      <c r="BO103" s="660"/>
      <c r="BP103" s="660"/>
      <c r="BQ103" s="660"/>
      <c r="BR103" s="660"/>
      <c r="BS103" s="660"/>
      <c r="BT103" s="660"/>
      <c r="BU103" s="660"/>
      <c r="BV103" s="660"/>
      <c r="BW103" s="660"/>
      <c r="BX103" s="660"/>
      <c r="BY103" s="660"/>
      <c r="BZ103" s="660"/>
      <c r="CA103" s="660"/>
      <c r="CB103" s="660"/>
    </row>
    <row r="104" spans="1:80" s="1" customFormat="1" x14ac:dyDescent="0.2">
      <c r="A104" s="660"/>
      <c r="B104" s="681"/>
      <c r="C104" s="681"/>
      <c r="D104" s="681"/>
      <c r="E104" s="681"/>
      <c r="F104" s="661"/>
      <c r="G104" s="661"/>
      <c r="H104" s="661"/>
      <c r="I104" s="661"/>
      <c r="J104" s="661"/>
      <c r="K104" s="661"/>
      <c r="L104" s="661"/>
      <c r="M104" s="661"/>
      <c r="N104" s="660"/>
      <c r="O104" s="660"/>
      <c r="P104" s="660"/>
      <c r="Q104" s="660"/>
      <c r="R104" s="660"/>
      <c r="S104" s="660"/>
      <c r="T104" s="660"/>
      <c r="U104" s="732" t="s">
        <v>62</v>
      </c>
      <c r="V104" s="733" t="str">
        <f>""</f>
        <v/>
      </c>
      <c r="W104" s="661" t="str">
        <f>""</f>
        <v/>
      </c>
      <c r="X104" s="661" t="str">
        <f>""</f>
        <v/>
      </c>
      <c r="Y104" s="734" t="str">
        <f>""</f>
        <v/>
      </c>
      <c r="Z104" s="735" t="str">
        <f>""</f>
        <v/>
      </c>
      <c r="AA104" s="661">
        <v>0</v>
      </c>
      <c r="AB104" s="661" t="str">
        <f>""</f>
        <v/>
      </c>
      <c r="AC104" s="736"/>
      <c r="AD104" s="737" t="str">
        <f>""</f>
        <v/>
      </c>
      <c r="AE104" s="736" t="str">
        <f>""</f>
        <v/>
      </c>
      <c r="AF104" s="737" t="str">
        <f>""</f>
        <v/>
      </c>
      <c r="AG104" s="736" t="str">
        <f>""</f>
        <v/>
      </c>
      <c r="AH104" s="737" t="str">
        <f>""</f>
        <v/>
      </c>
      <c r="AI104" s="736" t="str">
        <f>""</f>
        <v/>
      </c>
      <c r="AJ104" s="737"/>
      <c r="AK104" s="736"/>
      <c r="AL104" s="737" t="str">
        <f>""</f>
        <v/>
      </c>
      <c r="AM104" s="736" t="str">
        <f>""</f>
        <v/>
      </c>
      <c r="AN104" s="660"/>
      <c r="AO104" s="660"/>
      <c r="AP104" s="660"/>
      <c r="AQ104" s="660"/>
      <c r="AR104" s="660"/>
      <c r="AS104" s="660"/>
      <c r="AT104" s="660"/>
      <c r="AU104" s="660"/>
      <c r="AV104" s="660"/>
      <c r="AW104" s="660"/>
      <c r="AX104" s="660"/>
      <c r="AY104" s="660"/>
      <c r="AZ104" s="660"/>
      <c r="BA104" s="660"/>
      <c r="BB104" s="660"/>
      <c r="BC104" s="660"/>
      <c r="BD104" s="660"/>
      <c r="BE104" s="660"/>
      <c r="BF104" s="660"/>
      <c r="BG104" s="660"/>
      <c r="BH104" s="660"/>
      <c r="BI104" s="660"/>
      <c r="BJ104" s="660"/>
      <c r="BK104" s="660"/>
      <c r="BL104" s="660"/>
      <c r="BM104" s="660"/>
      <c r="BN104" s="660"/>
      <c r="BO104" s="660"/>
      <c r="BP104" s="660"/>
      <c r="BQ104" s="660"/>
      <c r="BR104" s="660"/>
      <c r="BS104" s="660"/>
      <c r="BT104" s="660"/>
      <c r="BU104" s="660"/>
      <c r="BV104" s="660"/>
      <c r="BW104" s="660"/>
      <c r="BX104" s="660"/>
      <c r="BY104" s="660"/>
      <c r="BZ104" s="660"/>
      <c r="CA104" s="660"/>
      <c r="CB104" s="660"/>
    </row>
    <row r="105" spans="1:80" s="1" customFormat="1" x14ac:dyDescent="0.2">
      <c r="A105" s="660"/>
      <c r="B105" s="681"/>
      <c r="C105" s="681"/>
      <c r="D105" s="681"/>
      <c r="E105" s="681"/>
      <c r="F105" s="661"/>
      <c r="G105" s="661"/>
      <c r="H105" s="661"/>
      <c r="I105" s="661"/>
      <c r="J105" s="661"/>
      <c r="K105" s="661"/>
      <c r="L105" s="661"/>
      <c r="M105" s="661"/>
      <c r="N105" s="660"/>
      <c r="O105" s="660"/>
      <c r="P105" s="660"/>
      <c r="Q105" s="660"/>
      <c r="R105" s="660"/>
      <c r="S105" s="660"/>
      <c r="T105" s="660"/>
      <c r="U105" s="732" t="s">
        <v>63</v>
      </c>
      <c r="V105" s="733" t="str">
        <f>""</f>
        <v/>
      </c>
      <c r="W105" s="661" t="str">
        <f>""</f>
        <v/>
      </c>
      <c r="X105" s="661" t="str">
        <f>""</f>
        <v/>
      </c>
      <c r="Y105" s="734" t="str">
        <f>""</f>
        <v/>
      </c>
      <c r="Z105" s="735" t="str">
        <f>""</f>
        <v/>
      </c>
      <c r="AA105" s="661">
        <v>0</v>
      </c>
      <c r="AB105" s="661" t="str">
        <f>""</f>
        <v/>
      </c>
      <c r="AC105" s="736"/>
      <c r="AD105" s="737" t="str">
        <f>""</f>
        <v/>
      </c>
      <c r="AE105" s="736" t="str">
        <f>""</f>
        <v/>
      </c>
      <c r="AF105" s="737" t="str">
        <f>""</f>
        <v/>
      </c>
      <c r="AG105" s="736" t="str">
        <f>""</f>
        <v/>
      </c>
      <c r="AH105" s="737" t="str">
        <f>""</f>
        <v/>
      </c>
      <c r="AI105" s="736" t="str">
        <f>""</f>
        <v/>
      </c>
      <c r="AJ105" s="737"/>
      <c r="AK105" s="736"/>
      <c r="AL105" s="737" t="str">
        <f>""</f>
        <v/>
      </c>
      <c r="AM105" s="736" t="str">
        <f>""</f>
        <v/>
      </c>
      <c r="AN105" s="660"/>
      <c r="AO105" s="660"/>
      <c r="AP105" s="660"/>
      <c r="AQ105" s="660"/>
      <c r="AR105" s="660"/>
      <c r="AS105" s="660"/>
      <c r="AT105" s="660"/>
      <c r="AU105" s="660"/>
      <c r="AV105" s="660"/>
      <c r="AW105" s="660"/>
      <c r="AX105" s="660"/>
      <c r="AY105" s="660"/>
      <c r="AZ105" s="660"/>
      <c r="BA105" s="660"/>
      <c r="BB105" s="660"/>
      <c r="BC105" s="660"/>
      <c r="BD105" s="660"/>
      <c r="BE105" s="660"/>
      <c r="BF105" s="660"/>
      <c r="BG105" s="660"/>
      <c r="BH105" s="660"/>
      <c r="BI105" s="660"/>
      <c r="BJ105" s="660"/>
      <c r="BK105" s="660"/>
      <c r="BL105" s="660"/>
      <c r="BM105" s="660"/>
      <c r="BN105" s="660"/>
      <c r="BO105" s="660"/>
      <c r="BP105" s="660"/>
      <c r="BQ105" s="660"/>
      <c r="BR105" s="660"/>
      <c r="BS105" s="660"/>
      <c r="BT105" s="660"/>
      <c r="BU105" s="660"/>
      <c r="BV105" s="660"/>
      <c r="BW105" s="660"/>
      <c r="BX105" s="660"/>
      <c r="BY105" s="660"/>
      <c r="BZ105" s="660"/>
      <c r="CA105" s="660"/>
      <c r="CB105" s="660"/>
    </row>
    <row r="106" spans="1:80" s="1" customFormat="1" x14ac:dyDescent="0.2">
      <c r="A106" s="660"/>
      <c r="B106" s="681"/>
      <c r="C106" s="681"/>
      <c r="D106" s="681"/>
      <c r="E106" s="681"/>
      <c r="F106" s="661"/>
      <c r="G106" s="661"/>
      <c r="H106" s="661"/>
      <c r="I106" s="661"/>
      <c r="J106" s="661"/>
      <c r="K106" s="661"/>
      <c r="L106" s="661"/>
      <c r="M106" s="661"/>
      <c r="N106" s="660"/>
      <c r="O106" s="660"/>
      <c r="P106" s="660"/>
      <c r="Q106" s="660"/>
      <c r="R106" s="660"/>
      <c r="S106" s="660"/>
      <c r="T106" s="660"/>
      <c r="U106" s="732" t="s">
        <v>64</v>
      </c>
      <c r="V106" s="733" t="str">
        <f>""</f>
        <v/>
      </c>
      <c r="W106" s="661" t="str">
        <f>""</f>
        <v/>
      </c>
      <c r="X106" s="661" t="str">
        <f>""</f>
        <v/>
      </c>
      <c r="Y106" s="734" t="str">
        <f>""</f>
        <v/>
      </c>
      <c r="Z106" s="735" t="str">
        <f>""</f>
        <v/>
      </c>
      <c r="AA106" s="661">
        <v>0</v>
      </c>
      <c r="AB106" s="661" t="str">
        <f>""</f>
        <v/>
      </c>
      <c r="AC106" s="736"/>
      <c r="AD106" s="737" t="str">
        <f>""</f>
        <v/>
      </c>
      <c r="AE106" s="736" t="str">
        <f>""</f>
        <v/>
      </c>
      <c r="AF106" s="737" t="str">
        <f>""</f>
        <v/>
      </c>
      <c r="AG106" s="736" t="str">
        <f>""</f>
        <v/>
      </c>
      <c r="AH106" s="737" t="str">
        <f>""</f>
        <v/>
      </c>
      <c r="AI106" s="736" t="str">
        <f>""</f>
        <v/>
      </c>
      <c r="AJ106" s="737"/>
      <c r="AK106" s="736"/>
      <c r="AL106" s="737" t="str">
        <f>""</f>
        <v/>
      </c>
      <c r="AM106" s="736" t="str">
        <f>""</f>
        <v/>
      </c>
      <c r="AN106" s="660"/>
      <c r="AO106" s="660"/>
      <c r="AP106" s="660"/>
      <c r="AQ106" s="660"/>
      <c r="AR106" s="660"/>
      <c r="AS106" s="660"/>
      <c r="AT106" s="660"/>
      <c r="AU106" s="660"/>
      <c r="AV106" s="660"/>
      <c r="AW106" s="660"/>
      <c r="AX106" s="660"/>
      <c r="AY106" s="660"/>
      <c r="AZ106" s="660"/>
      <c r="BA106" s="660"/>
      <c r="BB106" s="660"/>
      <c r="BC106" s="660"/>
      <c r="BD106" s="660"/>
      <c r="BE106" s="660"/>
      <c r="BF106" s="660"/>
      <c r="BG106" s="660"/>
      <c r="BH106" s="660"/>
      <c r="BI106" s="660"/>
      <c r="BJ106" s="660"/>
      <c r="BK106" s="660"/>
      <c r="BL106" s="660"/>
      <c r="BM106" s="660"/>
      <c r="BN106" s="660"/>
      <c r="BO106" s="660"/>
      <c r="BP106" s="660"/>
      <c r="BQ106" s="660"/>
      <c r="BR106" s="660"/>
      <c r="BS106" s="660"/>
      <c r="BT106" s="660"/>
      <c r="BU106" s="660"/>
      <c r="BV106" s="660"/>
      <c r="BW106" s="660"/>
      <c r="BX106" s="660"/>
      <c r="BY106" s="660"/>
      <c r="BZ106" s="660"/>
      <c r="CA106" s="660"/>
      <c r="CB106" s="660"/>
    </row>
    <row r="107" spans="1:80" s="1" customFormat="1" x14ac:dyDescent="0.2">
      <c r="A107" s="660"/>
      <c r="B107" s="681"/>
      <c r="C107" s="681"/>
      <c r="D107" s="681"/>
      <c r="E107" s="681"/>
      <c r="F107" s="661"/>
      <c r="G107" s="661"/>
      <c r="H107" s="661"/>
      <c r="I107" s="661"/>
      <c r="J107" s="661"/>
      <c r="K107" s="661"/>
      <c r="L107" s="661"/>
      <c r="M107" s="661"/>
      <c r="N107" s="660"/>
      <c r="O107" s="660"/>
      <c r="P107" s="660"/>
      <c r="Q107" s="660"/>
      <c r="R107" s="660"/>
      <c r="S107" s="660"/>
      <c r="T107" s="660"/>
      <c r="U107" s="732" t="s">
        <v>65</v>
      </c>
      <c r="V107" s="733" t="str">
        <f>""</f>
        <v/>
      </c>
      <c r="W107" s="661" t="str">
        <f>""</f>
        <v/>
      </c>
      <c r="X107" s="661" t="str">
        <f>""</f>
        <v/>
      </c>
      <c r="Y107" s="734" t="str">
        <f>""</f>
        <v/>
      </c>
      <c r="Z107" s="735" t="str">
        <f>""</f>
        <v/>
      </c>
      <c r="AA107" s="661">
        <v>0</v>
      </c>
      <c r="AB107" s="661" t="str">
        <f>""</f>
        <v/>
      </c>
      <c r="AC107" s="736"/>
      <c r="AD107" s="737" t="str">
        <f>""</f>
        <v/>
      </c>
      <c r="AE107" s="736" t="str">
        <f>""</f>
        <v/>
      </c>
      <c r="AF107" s="737" t="str">
        <f>""</f>
        <v/>
      </c>
      <c r="AG107" s="736" t="str">
        <f>""</f>
        <v/>
      </c>
      <c r="AH107" s="737" t="str">
        <f>""</f>
        <v/>
      </c>
      <c r="AI107" s="736" t="str">
        <f>""</f>
        <v/>
      </c>
      <c r="AJ107" s="737"/>
      <c r="AK107" s="736"/>
      <c r="AL107" s="737" t="str">
        <f>""</f>
        <v/>
      </c>
      <c r="AM107" s="736" t="str">
        <f>""</f>
        <v/>
      </c>
      <c r="AN107" s="660"/>
      <c r="AO107" s="660"/>
      <c r="AP107" s="660"/>
      <c r="AQ107" s="660"/>
      <c r="AR107" s="660"/>
      <c r="AS107" s="660"/>
      <c r="AT107" s="660"/>
      <c r="AU107" s="660"/>
      <c r="AV107" s="660"/>
      <c r="AW107" s="660"/>
      <c r="AX107" s="660"/>
      <c r="AY107" s="660"/>
      <c r="AZ107" s="660"/>
      <c r="BA107" s="660"/>
      <c r="BB107" s="660"/>
      <c r="BC107" s="660"/>
      <c r="BD107" s="660"/>
      <c r="BE107" s="660"/>
      <c r="BF107" s="660"/>
      <c r="BG107" s="660"/>
      <c r="BH107" s="660"/>
      <c r="BI107" s="660"/>
      <c r="BJ107" s="660"/>
      <c r="BK107" s="660"/>
      <c r="BL107" s="660"/>
      <c r="BM107" s="660"/>
      <c r="BN107" s="660"/>
      <c r="BO107" s="660"/>
      <c r="BP107" s="660"/>
      <c r="BQ107" s="660"/>
      <c r="BR107" s="660"/>
      <c r="BS107" s="660"/>
      <c r="BT107" s="660"/>
      <c r="BU107" s="660"/>
      <c r="BV107" s="660"/>
      <c r="BW107" s="660"/>
      <c r="BX107" s="660"/>
      <c r="BY107" s="660"/>
      <c r="BZ107" s="660"/>
      <c r="CA107" s="660"/>
      <c r="CB107" s="660"/>
    </row>
    <row r="108" spans="1:80" s="1" customFormat="1" x14ac:dyDescent="0.2">
      <c r="A108" s="660"/>
      <c r="B108" s="681"/>
      <c r="C108" s="681"/>
      <c r="D108" s="681"/>
      <c r="E108" s="681"/>
      <c r="F108" s="661"/>
      <c r="G108" s="661"/>
      <c r="H108" s="661"/>
      <c r="I108" s="661"/>
      <c r="J108" s="661"/>
      <c r="K108" s="661"/>
      <c r="L108" s="661"/>
      <c r="M108" s="661"/>
      <c r="N108" s="660"/>
      <c r="O108" s="660"/>
      <c r="P108" s="660"/>
      <c r="Q108" s="660"/>
      <c r="R108" s="660"/>
      <c r="S108" s="660"/>
      <c r="T108" s="660"/>
      <c r="U108" s="732" t="s">
        <v>66</v>
      </c>
      <c r="V108" s="733" t="str">
        <f>""</f>
        <v/>
      </c>
      <c r="W108" s="661" t="str">
        <f>""</f>
        <v/>
      </c>
      <c r="X108" s="661" t="str">
        <f>""</f>
        <v/>
      </c>
      <c r="Y108" s="734" t="str">
        <f>""</f>
        <v/>
      </c>
      <c r="Z108" s="735" t="str">
        <f>""</f>
        <v/>
      </c>
      <c r="AA108" s="661">
        <v>0</v>
      </c>
      <c r="AB108" s="661" t="str">
        <f>""</f>
        <v/>
      </c>
      <c r="AC108" s="736"/>
      <c r="AD108" s="737" t="str">
        <f>""</f>
        <v/>
      </c>
      <c r="AE108" s="736" t="str">
        <f>""</f>
        <v/>
      </c>
      <c r="AF108" s="737" t="str">
        <f>""</f>
        <v/>
      </c>
      <c r="AG108" s="736" t="str">
        <f>""</f>
        <v/>
      </c>
      <c r="AH108" s="737" t="str">
        <f>""</f>
        <v/>
      </c>
      <c r="AI108" s="736" t="str">
        <f>""</f>
        <v/>
      </c>
      <c r="AJ108" s="737"/>
      <c r="AK108" s="736"/>
      <c r="AL108" s="737" t="str">
        <f>""</f>
        <v/>
      </c>
      <c r="AM108" s="736" t="str">
        <f>""</f>
        <v/>
      </c>
      <c r="AN108" s="660"/>
      <c r="AO108" s="660"/>
      <c r="AP108" s="660"/>
      <c r="AQ108" s="660"/>
      <c r="AR108" s="660"/>
      <c r="AS108" s="660"/>
      <c r="AT108" s="660"/>
      <c r="AU108" s="660"/>
      <c r="AV108" s="660"/>
      <c r="AW108" s="660"/>
      <c r="AX108" s="660"/>
      <c r="AY108" s="660"/>
      <c r="AZ108" s="660"/>
      <c r="BA108" s="660"/>
      <c r="BB108" s="660"/>
      <c r="BC108" s="660"/>
      <c r="BD108" s="660"/>
      <c r="BE108" s="660"/>
      <c r="BF108" s="660"/>
      <c r="BG108" s="660"/>
      <c r="BH108" s="660"/>
      <c r="BI108" s="660"/>
      <c r="BJ108" s="660"/>
      <c r="BK108" s="660"/>
      <c r="BL108" s="660"/>
      <c r="BM108" s="660"/>
      <c r="BN108" s="660"/>
      <c r="BO108" s="660"/>
      <c r="BP108" s="660"/>
      <c r="BQ108" s="660"/>
      <c r="BR108" s="660"/>
      <c r="BS108" s="660"/>
      <c r="BT108" s="660"/>
      <c r="BU108" s="660"/>
      <c r="BV108" s="660"/>
      <c r="BW108" s="660"/>
      <c r="BX108" s="660"/>
      <c r="BY108" s="660"/>
      <c r="BZ108" s="660"/>
      <c r="CA108" s="660"/>
      <c r="CB108" s="660"/>
    </row>
    <row r="109" spans="1:80" s="1" customFormat="1" x14ac:dyDescent="0.2">
      <c r="A109" s="660"/>
      <c r="B109" s="681"/>
      <c r="C109" s="681"/>
      <c r="D109" s="681"/>
      <c r="E109" s="681"/>
      <c r="F109" s="661"/>
      <c r="G109" s="661"/>
      <c r="H109" s="661"/>
      <c r="I109" s="661"/>
      <c r="J109" s="661"/>
      <c r="K109" s="661"/>
      <c r="L109" s="661"/>
      <c r="M109" s="661"/>
      <c r="N109" s="660"/>
      <c r="O109" s="660"/>
      <c r="P109" s="660"/>
      <c r="Q109" s="660"/>
      <c r="R109" s="660"/>
      <c r="S109" s="660"/>
      <c r="T109" s="660"/>
      <c r="U109" s="732" t="s">
        <v>67</v>
      </c>
      <c r="V109" s="733" t="str">
        <f>""</f>
        <v/>
      </c>
      <c r="W109" s="661" t="str">
        <f>""</f>
        <v/>
      </c>
      <c r="X109" s="661" t="str">
        <f>""</f>
        <v/>
      </c>
      <c r="Y109" s="734" t="str">
        <f>""</f>
        <v/>
      </c>
      <c r="Z109" s="735" t="str">
        <f>""</f>
        <v/>
      </c>
      <c r="AA109" s="661">
        <v>0</v>
      </c>
      <c r="AB109" s="661" t="str">
        <f>""</f>
        <v/>
      </c>
      <c r="AC109" s="736"/>
      <c r="AD109" s="737" t="str">
        <f>""</f>
        <v/>
      </c>
      <c r="AE109" s="736" t="str">
        <f>""</f>
        <v/>
      </c>
      <c r="AF109" s="737" t="str">
        <f>""</f>
        <v/>
      </c>
      <c r="AG109" s="736" t="str">
        <f>""</f>
        <v/>
      </c>
      <c r="AH109" s="737" t="str">
        <f>""</f>
        <v/>
      </c>
      <c r="AI109" s="736" t="str">
        <f>""</f>
        <v/>
      </c>
      <c r="AJ109" s="737"/>
      <c r="AK109" s="736"/>
      <c r="AL109" s="737" t="str">
        <f>""</f>
        <v/>
      </c>
      <c r="AM109" s="736" t="str">
        <f>""</f>
        <v/>
      </c>
      <c r="AN109" s="660"/>
      <c r="AO109" s="660"/>
      <c r="AP109" s="660"/>
      <c r="AQ109" s="660"/>
      <c r="AR109" s="660"/>
      <c r="AS109" s="660"/>
      <c r="AT109" s="660"/>
      <c r="AU109" s="660"/>
      <c r="AV109" s="660"/>
      <c r="AW109" s="660"/>
      <c r="AX109" s="660"/>
      <c r="AY109" s="660"/>
      <c r="AZ109" s="660"/>
      <c r="BA109" s="660"/>
      <c r="BB109" s="660"/>
      <c r="BC109" s="660"/>
      <c r="BD109" s="660"/>
      <c r="BE109" s="660"/>
      <c r="BF109" s="660"/>
      <c r="BG109" s="660"/>
      <c r="BH109" s="660"/>
      <c r="BI109" s="660"/>
      <c r="BJ109" s="660"/>
      <c r="BK109" s="660"/>
      <c r="BL109" s="660"/>
      <c r="BM109" s="660"/>
      <c r="BN109" s="660"/>
      <c r="BO109" s="660"/>
      <c r="BP109" s="660"/>
      <c r="BQ109" s="660"/>
      <c r="BR109" s="660"/>
      <c r="BS109" s="660"/>
      <c r="BT109" s="660"/>
      <c r="BU109" s="660"/>
      <c r="BV109" s="660"/>
      <c r="BW109" s="660"/>
      <c r="BX109" s="660"/>
      <c r="BY109" s="660"/>
      <c r="BZ109" s="660"/>
      <c r="CA109" s="660"/>
      <c r="CB109" s="660"/>
    </row>
    <row r="110" spans="1:80" s="1" customFormat="1" x14ac:dyDescent="0.2">
      <c r="A110" s="660"/>
      <c r="B110" s="681"/>
      <c r="C110" s="681"/>
      <c r="D110" s="681"/>
      <c r="E110" s="681"/>
      <c r="F110" s="661"/>
      <c r="G110" s="661"/>
      <c r="H110" s="661"/>
      <c r="I110" s="661"/>
      <c r="J110" s="661"/>
      <c r="K110" s="661"/>
      <c r="L110" s="661"/>
      <c r="M110" s="661"/>
      <c r="N110" s="660"/>
      <c r="O110" s="660"/>
      <c r="P110" s="660"/>
      <c r="Q110" s="660"/>
      <c r="R110" s="660"/>
      <c r="S110" s="660"/>
      <c r="T110" s="660"/>
      <c r="U110" s="732" t="s">
        <v>68</v>
      </c>
      <c r="V110" s="733" t="str">
        <f>""</f>
        <v/>
      </c>
      <c r="W110" s="661" t="str">
        <f>""</f>
        <v/>
      </c>
      <c r="X110" s="661" t="str">
        <f>""</f>
        <v/>
      </c>
      <c r="Y110" s="734" t="str">
        <f>""</f>
        <v/>
      </c>
      <c r="Z110" s="735" t="str">
        <f>""</f>
        <v/>
      </c>
      <c r="AA110" s="661">
        <v>0</v>
      </c>
      <c r="AB110" s="661" t="str">
        <f>""</f>
        <v/>
      </c>
      <c r="AC110" s="736"/>
      <c r="AD110" s="737" t="str">
        <f>""</f>
        <v/>
      </c>
      <c r="AE110" s="736" t="str">
        <f>""</f>
        <v/>
      </c>
      <c r="AF110" s="737" t="str">
        <f>""</f>
        <v/>
      </c>
      <c r="AG110" s="736" t="str">
        <f>""</f>
        <v/>
      </c>
      <c r="AH110" s="737" t="str">
        <f>""</f>
        <v/>
      </c>
      <c r="AI110" s="736" t="str">
        <f>""</f>
        <v/>
      </c>
      <c r="AJ110" s="737"/>
      <c r="AK110" s="736"/>
      <c r="AL110" s="737" t="str">
        <f>""</f>
        <v/>
      </c>
      <c r="AM110" s="736" t="str">
        <f>""</f>
        <v/>
      </c>
      <c r="AN110" s="660"/>
      <c r="AO110" s="660"/>
      <c r="AP110" s="660"/>
      <c r="AQ110" s="660"/>
      <c r="AR110" s="660"/>
      <c r="AS110" s="660"/>
      <c r="AT110" s="660"/>
      <c r="AU110" s="660"/>
      <c r="AV110" s="660"/>
      <c r="AW110" s="660"/>
      <c r="AX110" s="660"/>
      <c r="AY110" s="660"/>
      <c r="AZ110" s="660"/>
      <c r="BA110" s="660"/>
      <c r="BB110" s="660"/>
      <c r="BC110" s="660"/>
      <c r="BD110" s="660"/>
      <c r="BE110" s="660"/>
      <c r="BF110" s="660"/>
      <c r="BG110" s="660"/>
      <c r="BH110" s="660"/>
      <c r="BI110" s="660"/>
      <c r="BJ110" s="660"/>
      <c r="BK110" s="660"/>
      <c r="BL110" s="660"/>
      <c r="BM110" s="660"/>
      <c r="BN110" s="660"/>
      <c r="BO110" s="660"/>
      <c r="BP110" s="660"/>
      <c r="BQ110" s="660"/>
      <c r="BR110" s="660"/>
      <c r="BS110" s="660"/>
      <c r="BT110" s="660"/>
      <c r="BU110" s="660"/>
      <c r="BV110" s="660"/>
      <c r="BW110" s="660"/>
      <c r="BX110" s="660"/>
      <c r="BY110" s="660"/>
      <c r="BZ110" s="660"/>
      <c r="CA110" s="660"/>
      <c r="CB110" s="660"/>
    </row>
    <row r="111" spans="1:80" s="1" customFormat="1" x14ac:dyDescent="0.2">
      <c r="A111" s="660"/>
      <c r="B111" s="681"/>
      <c r="C111" s="681"/>
      <c r="D111" s="681"/>
      <c r="E111" s="681"/>
      <c r="F111" s="661"/>
      <c r="G111" s="661"/>
      <c r="H111" s="661"/>
      <c r="I111" s="661"/>
      <c r="J111" s="661"/>
      <c r="K111" s="661"/>
      <c r="L111" s="661"/>
      <c r="M111" s="661"/>
      <c r="N111" s="660"/>
      <c r="O111" s="660"/>
      <c r="P111" s="660"/>
      <c r="Q111" s="660"/>
      <c r="R111" s="660"/>
      <c r="S111" s="660"/>
      <c r="T111" s="660"/>
      <c r="U111" s="732" t="s">
        <v>69</v>
      </c>
      <c r="V111" s="733" t="str">
        <f>""</f>
        <v/>
      </c>
      <c r="W111" s="661" t="str">
        <f>""</f>
        <v/>
      </c>
      <c r="X111" s="661" t="str">
        <f>""</f>
        <v/>
      </c>
      <c r="Y111" s="734" t="str">
        <f>""</f>
        <v/>
      </c>
      <c r="Z111" s="735" t="str">
        <f>""</f>
        <v/>
      </c>
      <c r="AA111" s="661">
        <v>0</v>
      </c>
      <c r="AB111" s="661" t="str">
        <f>""</f>
        <v/>
      </c>
      <c r="AC111" s="736"/>
      <c r="AD111" s="737" t="str">
        <f>""</f>
        <v/>
      </c>
      <c r="AE111" s="736" t="str">
        <f>""</f>
        <v/>
      </c>
      <c r="AF111" s="737" t="str">
        <f>""</f>
        <v/>
      </c>
      <c r="AG111" s="736" t="str">
        <f>""</f>
        <v/>
      </c>
      <c r="AH111" s="737" t="str">
        <f>""</f>
        <v/>
      </c>
      <c r="AI111" s="736" t="str">
        <f>""</f>
        <v/>
      </c>
      <c r="AJ111" s="737"/>
      <c r="AK111" s="736"/>
      <c r="AL111" s="737" t="str">
        <f>""</f>
        <v/>
      </c>
      <c r="AM111" s="736" t="str">
        <f>""</f>
        <v/>
      </c>
      <c r="AN111" s="660"/>
      <c r="AO111" s="660"/>
      <c r="AP111" s="660"/>
      <c r="AQ111" s="660"/>
      <c r="AR111" s="660"/>
      <c r="AS111" s="660"/>
      <c r="AT111" s="660"/>
      <c r="AU111" s="660"/>
      <c r="AV111" s="660"/>
      <c r="AW111" s="660"/>
      <c r="AX111" s="660"/>
      <c r="AY111" s="660"/>
      <c r="AZ111" s="660"/>
      <c r="BA111" s="660"/>
      <c r="BB111" s="660"/>
      <c r="BC111" s="660"/>
      <c r="BD111" s="660"/>
      <c r="BE111" s="660"/>
      <c r="BF111" s="660"/>
      <c r="BG111" s="660"/>
      <c r="BH111" s="660"/>
      <c r="BI111" s="660"/>
      <c r="BJ111" s="660"/>
      <c r="BK111" s="660"/>
      <c r="BL111" s="660"/>
      <c r="BM111" s="660"/>
      <c r="BN111" s="660"/>
      <c r="BO111" s="660"/>
      <c r="BP111" s="660"/>
      <c r="BQ111" s="660"/>
      <c r="BR111" s="660"/>
      <c r="BS111" s="660"/>
      <c r="BT111" s="660"/>
      <c r="BU111" s="660"/>
      <c r="BV111" s="660"/>
      <c r="BW111" s="660"/>
      <c r="BX111" s="660"/>
      <c r="BY111" s="660"/>
      <c r="BZ111" s="660"/>
      <c r="CA111" s="660"/>
      <c r="CB111" s="660"/>
    </row>
    <row r="112" spans="1:80" s="1" customFormat="1" x14ac:dyDescent="0.2">
      <c r="A112" s="660"/>
      <c r="B112" s="681"/>
      <c r="C112" s="681"/>
      <c r="D112" s="681"/>
      <c r="E112" s="681"/>
      <c r="F112" s="661"/>
      <c r="G112" s="661"/>
      <c r="H112" s="661"/>
      <c r="I112" s="661"/>
      <c r="J112" s="661"/>
      <c r="K112" s="661"/>
      <c r="L112" s="661"/>
      <c r="M112" s="661"/>
      <c r="N112" s="660"/>
      <c r="O112" s="660"/>
      <c r="P112" s="660"/>
      <c r="Q112" s="660"/>
      <c r="R112" s="660"/>
      <c r="S112" s="660"/>
      <c r="T112" s="660"/>
      <c r="U112" s="732" t="s">
        <v>70</v>
      </c>
      <c r="V112" s="733" t="str">
        <f>""</f>
        <v/>
      </c>
      <c r="W112" s="661" t="str">
        <f>""</f>
        <v/>
      </c>
      <c r="X112" s="661" t="str">
        <f>""</f>
        <v/>
      </c>
      <c r="Y112" s="734" t="str">
        <f>""</f>
        <v/>
      </c>
      <c r="Z112" s="735" t="str">
        <f>""</f>
        <v/>
      </c>
      <c r="AA112" s="661">
        <v>0</v>
      </c>
      <c r="AB112" s="661" t="str">
        <f>""</f>
        <v/>
      </c>
      <c r="AC112" s="736"/>
      <c r="AD112" s="737" t="str">
        <f>""</f>
        <v/>
      </c>
      <c r="AE112" s="736" t="str">
        <f>""</f>
        <v/>
      </c>
      <c r="AF112" s="737" t="str">
        <f>""</f>
        <v/>
      </c>
      <c r="AG112" s="736" t="str">
        <f>""</f>
        <v/>
      </c>
      <c r="AH112" s="737" t="str">
        <f>""</f>
        <v/>
      </c>
      <c r="AI112" s="736" t="str">
        <f>""</f>
        <v/>
      </c>
      <c r="AJ112" s="737"/>
      <c r="AK112" s="736"/>
      <c r="AL112" s="737" t="str">
        <f>""</f>
        <v/>
      </c>
      <c r="AM112" s="736" t="str">
        <f>""</f>
        <v/>
      </c>
      <c r="AN112" s="660"/>
      <c r="AO112" s="660"/>
      <c r="AP112" s="660"/>
      <c r="AQ112" s="660"/>
      <c r="AR112" s="660"/>
      <c r="AS112" s="660"/>
      <c r="AT112" s="660"/>
      <c r="AU112" s="660"/>
      <c r="AV112" s="660"/>
      <c r="AW112" s="660"/>
      <c r="AX112" s="660"/>
      <c r="AY112" s="660"/>
      <c r="AZ112" s="660"/>
      <c r="BA112" s="660"/>
      <c r="BB112" s="660"/>
      <c r="BC112" s="660"/>
      <c r="BD112" s="660"/>
      <c r="BE112" s="660"/>
      <c r="BF112" s="660"/>
      <c r="BG112" s="660"/>
      <c r="BH112" s="660"/>
      <c r="BI112" s="660"/>
      <c r="BJ112" s="660"/>
      <c r="BK112" s="660"/>
      <c r="BL112" s="660"/>
      <c r="BM112" s="660"/>
      <c r="BN112" s="660"/>
      <c r="BO112" s="660"/>
      <c r="BP112" s="660"/>
      <c r="BQ112" s="660"/>
      <c r="BR112" s="660"/>
      <c r="BS112" s="660"/>
      <c r="BT112" s="660"/>
      <c r="BU112" s="660"/>
      <c r="BV112" s="660"/>
      <c r="BW112" s="660"/>
      <c r="BX112" s="660"/>
      <c r="BY112" s="660"/>
      <c r="BZ112" s="660"/>
      <c r="CA112" s="660"/>
      <c r="CB112" s="660"/>
    </row>
    <row r="113" spans="1:80" s="1" customFormat="1" x14ac:dyDescent="0.2">
      <c r="A113" s="660"/>
      <c r="B113" s="681"/>
      <c r="C113" s="681"/>
      <c r="D113" s="681"/>
      <c r="E113" s="681"/>
      <c r="F113" s="661"/>
      <c r="G113" s="661"/>
      <c r="H113" s="661"/>
      <c r="I113" s="661"/>
      <c r="J113" s="661"/>
      <c r="K113" s="661"/>
      <c r="L113" s="661"/>
      <c r="M113" s="661"/>
      <c r="N113" s="660"/>
      <c r="O113" s="660"/>
      <c r="P113" s="660"/>
      <c r="Q113" s="660"/>
      <c r="R113" s="660"/>
      <c r="S113" s="660"/>
      <c r="T113" s="660"/>
      <c r="U113" s="732" t="s">
        <v>71</v>
      </c>
      <c r="V113" s="733" t="str">
        <f>""</f>
        <v/>
      </c>
      <c r="W113" s="661" t="str">
        <f>""</f>
        <v/>
      </c>
      <c r="X113" s="661" t="str">
        <f>""</f>
        <v/>
      </c>
      <c r="Y113" s="734" t="str">
        <f>""</f>
        <v/>
      </c>
      <c r="Z113" s="735" t="str">
        <f>""</f>
        <v/>
      </c>
      <c r="AA113" s="661">
        <v>0</v>
      </c>
      <c r="AB113" s="661" t="str">
        <f>""</f>
        <v/>
      </c>
      <c r="AC113" s="736"/>
      <c r="AD113" s="737" t="str">
        <f>""</f>
        <v/>
      </c>
      <c r="AE113" s="736" t="str">
        <f>""</f>
        <v/>
      </c>
      <c r="AF113" s="737" t="str">
        <f>""</f>
        <v/>
      </c>
      <c r="AG113" s="736" t="str">
        <f>""</f>
        <v/>
      </c>
      <c r="AH113" s="737" t="str">
        <f>""</f>
        <v/>
      </c>
      <c r="AI113" s="736" t="str">
        <f>""</f>
        <v/>
      </c>
      <c r="AJ113" s="737"/>
      <c r="AK113" s="736"/>
      <c r="AL113" s="737" t="str">
        <f>""</f>
        <v/>
      </c>
      <c r="AM113" s="736" t="str">
        <f>""</f>
        <v/>
      </c>
      <c r="AN113" s="660"/>
      <c r="AO113" s="660"/>
      <c r="AP113" s="660"/>
      <c r="AQ113" s="660"/>
      <c r="AR113" s="660"/>
      <c r="AS113" s="660"/>
      <c r="AT113" s="660"/>
      <c r="AU113" s="660"/>
      <c r="AV113" s="660"/>
      <c r="AW113" s="660"/>
      <c r="AX113" s="660"/>
      <c r="AY113" s="660"/>
      <c r="AZ113" s="660"/>
      <c r="BA113" s="660"/>
      <c r="BB113" s="660"/>
      <c r="BC113" s="660"/>
      <c r="BD113" s="660"/>
      <c r="BE113" s="660"/>
      <c r="BF113" s="660"/>
      <c r="BG113" s="660"/>
      <c r="BH113" s="660"/>
      <c r="BI113" s="660"/>
      <c r="BJ113" s="660"/>
      <c r="BK113" s="660"/>
      <c r="BL113" s="660"/>
      <c r="BM113" s="660"/>
      <c r="BN113" s="660"/>
      <c r="BO113" s="660"/>
      <c r="BP113" s="660"/>
      <c r="BQ113" s="660"/>
      <c r="BR113" s="660"/>
      <c r="BS113" s="660"/>
      <c r="BT113" s="660"/>
      <c r="BU113" s="660"/>
      <c r="BV113" s="660"/>
      <c r="BW113" s="660"/>
      <c r="BX113" s="660"/>
      <c r="BY113" s="660"/>
      <c r="BZ113" s="660"/>
      <c r="CA113" s="660"/>
      <c r="CB113" s="660"/>
    </row>
    <row r="114" spans="1:80" s="1" customFormat="1" x14ac:dyDescent="0.2">
      <c r="A114" s="660"/>
      <c r="B114" s="681"/>
      <c r="C114" s="681"/>
      <c r="D114" s="681"/>
      <c r="E114" s="681"/>
      <c r="F114" s="661"/>
      <c r="G114" s="661"/>
      <c r="H114" s="661"/>
      <c r="I114" s="661"/>
      <c r="J114" s="661"/>
      <c r="K114" s="661"/>
      <c r="L114" s="661"/>
      <c r="M114" s="661"/>
      <c r="N114" s="660"/>
      <c r="O114" s="660"/>
      <c r="P114" s="660"/>
      <c r="Q114" s="660"/>
      <c r="R114" s="660"/>
      <c r="S114" s="660"/>
      <c r="T114" s="660"/>
      <c r="U114" s="732" t="s">
        <v>72</v>
      </c>
      <c r="V114" s="733" t="str">
        <f>""</f>
        <v/>
      </c>
      <c r="W114" s="661" t="str">
        <f>""</f>
        <v/>
      </c>
      <c r="X114" s="661" t="str">
        <f>""</f>
        <v/>
      </c>
      <c r="Y114" s="734" t="str">
        <f>""</f>
        <v/>
      </c>
      <c r="Z114" s="735" t="str">
        <f>""</f>
        <v/>
      </c>
      <c r="AA114" s="661">
        <v>0</v>
      </c>
      <c r="AB114" s="661" t="str">
        <f>""</f>
        <v/>
      </c>
      <c r="AC114" s="736"/>
      <c r="AD114" s="737" t="str">
        <f>""</f>
        <v/>
      </c>
      <c r="AE114" s="736" t="str">
        <f>""</f>
        <v/>
      </c>
      <c r="AF114" s="737" t="str">
        <f>""</f>
        <v/>
      </c>
      <c r="AG114" s="736" t="str">
        <f>""</f>
        <v/>
      </c>
      <c r="AH114" s="737" t="str">
        <f>""</f>
        <v/>
      </c>
      <c r="AI114" s="736" t="str">
        <f>""</f>
        <v/>
      </c>
      <c r="AJ114" s="737"/>
      <c r="AK114" s="736"/>
      <c r="AL114" s="737" t="str">
        <f>""</f>
        <v/>
      </c>
      <c r="AM114" s="736" t="str">
        <f>""</f>
        <v/>
      </c>
      <c r="AN114" s="660"/>
      <c r="AO114" s="660"/>
      <c r="AP114" s="660"/>
      <c r="AQ114" s="660"/>
      <c r="AR114" s="660"/>
      <c r="AS114" s="660"/>
      <c r="AT114" s="660"/>
      <c r="AU114" s="660"/>
      <c r="AV114" s="660"/>
      <c r="AW114" s="660"/>
      <c r="AX114" s="660"/>
      <c r="AY114" s="660"/>
      <c r="AZ114" s="660"/>
      <c r="BA114" s="660"/>
      <c r="BB114" s="660"/>
      <c r="BC114" s="660"/>
      <c r="BD114" s="660"/>
      <c r="BE114" s="660"/>
      <c r="BF114" s="660"/>
      <c r="BG114" s="660"/>
      <c r="BH114" s="660"/>
      <c r="BI114" s="660"/>
      <c r="BJ114" s="660"/>
      <c r="BK114" s="660"/>
      <c r="BL114" s="660"/>
      <c r="BM114" s="660"/>
      <c r="BN114" s="660"/>
      <c r="BO114" s="660"/>
      <c r="BP114" s="660"/>
      <c r="BQ114" s="660"/>
      <c r="BR114" s="660"/>
      <c r="BS114" s="660"/>
      <c r="BT114" s="660"/>
      <c r="BU114" s="660"/>
      <c r="BV114" s="660"/>
      <c r="BW114" s="660"/>
      <c r="BX114" s="660"/>
      <c r="BY114" s="660"/>
      <c r="BZ114" s="660"/>
      <c r="CA114" s="660"/>
      <c r="CB114" s="660"/>
    </row>
    <row r="115" spans="1:80" s="1" customFormat="1" x14ac:dyDescent="0.2">
      <c r="A115" s="660"/>
      <c r="B115" s="681"/>
      <c r="C115" s="681"/>
      <c r="D115" s="681"/>
      <c r="E115" s="681"/>
      <c r="F115" s="661"/>
      <c r="G115" s="661"/>
      <c r="H115" s="661"/>
      <c r="I115" s="661"/>
      <c r="J115" s="661"/>
      <c r="K115" s="661"/>
      <c r="L115" s="661"/>
      <c r="M115" s="661"/>
      <c r="N115" s="660"/>
      <c r="O115" s="660"/>
      <c r="P115" s="660"/>
      <c r="Q115" s="660"/>
      <c r="R115" s="660"/>
      <c r="S115" s="660"/>
      <c r="T115" s="660"/>
      <c r="U115" s="732" t="s">
        <v>73</v>
      </c>
      <c r="V115" s="733" t="str">
        <f>""</f>
        <v/>
      </c>
      <c r="W115" s="661" t="str">
        <f>""</f>
        <v/>
      </c>
      <c r="X115" s="661" t="str">
        <f>""</f>
        <v/>
      </c>
      <c r="Y115" s="734" t="str">
        <f>""</f>
        <v/>
      </c>
      <c r="Z115" s="735" t="str">
        <f>""</f>
        <v/>
      </c>
      <c r="AA115" s="661">
        <v>0</v>
      </c>
      <c r="AB115" s="661" t="str">
        <f>""</f>
        <v/>
      </c>
      <c r="AC115" s="736"/>
      <c r="AD115" s="737" t="str">
        <f>""</f>
        <v/>
      </c>
      <c r="AE115" s="736" t="str">
        <f>""</f>
        <v/>
      </c>
      <c r="AF115" s="737" t="str">
        <f>""</f>
        <v/>
      </c>
      <c r="AG115" s="736" t="str">
        <f>""</f>
        <v/>
      </c>
      <c r="AH115" s="737" t="str">
        <f>""</f>
        <v/>
      </c>
      <c r="AI115" s="736" t="str">
        <f>""</f>
        <v/>
      </c>
      <c r="AJ115" s="737"/>
      <c r="AK115" s="736"/>
      <c r="AL115" s="737" t="str">
        <f>""</f>
        <v/>
      </c>
      <c r="AM115" s="736" t="str">
        <f>""</f>
        <v/>
      </c>
      <c r="AN115" s="660"/>
      <c r="AO115" s="660"/>
      <c r="AP115" s="660"/>
      <c r="AQ115" s="660"/>
      <c r="AR115" s="660"/>
      <c r="AS115" s="660"/>
      <c r="AT115" s="660"/>
      <c r="AU115" s="660"/>
      <c r="AV115" s="660"/>
      <c r="AW115" s="660"/>
      <c r="AX115" s="660"/>
      <c r="AY115" s="660"/>
      <c r="AZ115" s="660"/>
      <c r="BA115" s="660"/>
      <c r="BB115" s="660"/>
      <c r="BC115" s="660"/>
      <c r="BD115" s="660"/>
      <c r="BE115" s="660"/>
      <c r="BF115" s="660"/>
      <c r="BG115" s="660"/>
      <c r="BH115" s="660"/>
      <c r="BI115" s="660"/>
      <c r="BJ115" s="660"/>
      <c r="BK115" s="660"/>
      <c r="BL115" s="660"/>
      <c r="BM115" s="660"/>
      <c r="BN115" s="660"/>
      <c r="BO115" s="660"/>
      <c r="BP115" s="660"/>
      <c r="BQ115" s="660"/>
      <c r="BR115" s="660"/>
      <c r="BS115" s="660"/>
      <c r="BT115" s="660"/>
      <c r="BU115" s="660"/>
      <c r="BV115" s="660"/>
      <c r="BW115" s="660"/>
      <c r="BX115" s="660"/>
      <c r="BY115" s="660"/>
      <c r="BZ115" s="660"/>
      <c r="CA115" s="660"/>
      <c r="CB115" s="660"/>
    </row>
    <row r="116" spans="1:80" s="1" customFormat="1" x14ac:dyDescent="0.2">
      <c r="A116" s="660"/>
      <c r="B116" s="681"/>
      <c r="C116" s="681"/>
      <c r="D116" s="681"/>
      <c r="E116" s="681"/>
      <c r="F116" s="661"/>
      <c r="G116" s="661"/>
      <c r="H116" s="661"/>
      <c r="I116" s="661"/>
      <c r="J116" s="661"/>
      <c r="K116" s="661"/>
      <c r="L116" s="661"/>
      <c r="M116" s="661"/>
      <c r="N116" s="660"/>
      <c r="O116" s="660"/>
      <c r="P116" s="660"/>
      <c r="Q116" s="660"/>
      <c r="R116" s="660"/>
      <c r="S116" s="660"/>
      <c r="T116" s="660"/>
      <c r="U116" s="732" t="s">
        <v>74</v>
      </c>
      <c r="V116" s="733" t="str">
        <f>""</f>
        <v/>
      </c>
      <c r="W116" s="661" t="str">
        <f>""</f>
        <v/>
      </c>
      <c r="X116" s="661" t="str">
        <f>""</f>
        <v/>
      </c>
      <c r="Y116" s="734" t="str">
        <f>""</f>
        <v/>
      </c>
      <c r="Z116" s="735" t="str">
        <f>""</f>
        <v/>
      </c>
      <c r="AA116" s="661">
        <v>0</v>
      </c>
      <c r="AB116" s="661" t="str">
        <f>""</f>
        <v/>
      </c>
      <c r="AC116" s="736"/>
      <c r="AD116" s="737" t="str">
        <f>""</f>
        <v/>
      </c>
      <c r="AE116" s="736" t="str">
        <f>""</f>
        <v/>
      </c>
      <c r="AF116" s="737" t="str">
        <f>""</f>
        <v/>
      </c>
      <c r="AG116" s="736" t="str">
        <f>""</f>
        <v/>
      </c>
      <c r="AH116" s="737" t="str">
        <f>""</f>
        <v/>
      </c>
      <c r="AI116" s="736" t="str">
        <f>""</f>
        <v/>
      </c>
      <c r="AJ116" s="737"/>
      <c r="AK116" s="736"/>
      <c r="AL116" s="737" t="str">
        <f>""</f>
        <v/>
      </c>
      <c r="AM116" s="736" t="str">
        <f>""</f>
        <v/>
      </c>
      <c r="AN116" s="660"/>
      <c r="AO116" s="660"/>
      <c r="AP116" s="660"/>
      <c r="AQ116" s="660"/>
      <c r="AR116" s="660"/>
      <c r="AS116" s="660"/>
      <c r="AT116" s="660"/>
      <c r="AU116" s="660"/>
      <c r="AV116" s="660"/>
      <c r="AW116" s="660"/>
      <c r="AX116" s="660"/>
      <c r="AY116" s="660"/>
      <c r="AZ116" s="660"/>
      <c r="BA116" s="660"/>
      <c r="BB116" s="660"/>
      <c r="BC116" s="660"/>
      <c r="BD116" s="660"/>
      <c r="BE116" s="660"/>
      <c r="BF116" s="660"/>
      <c r="BG116" s="660"/>
      <c r="BH116" s="660"/>
      <c r="BI116" s="660"/>
      <c r="BJ116" s="660"/>
      <c r="BK116" s="660"/>
      <c r="BL116" s="660"/>
      <c r="BM116" s="660"/>
      <c r="BN116" s="660"/>
      <c r="BO116" s="660"/>
      <c r="BP116" s="660"/>
      <c r="BQ116" s="660"/>
      <c r="BR116" s="660"/>
      <c r="BS116" s="660"/>
      <c r="BT116" s="660"/>
      <c r="BU116" s="660"/>
      <c r="BV116" s="660"/>
      <c r="BW116" s="660"/>
      <c r="BX116" s="660"/>
      <c r="BY116" s="660"/>
      <c r="BZ116" s="660"/>
      <c r="CA116" s="660"/>
      <c r="CB116" s="660"/>
    </row>
    <row r="117" spans="1:80" s="1" customFormat="1" x14ac:dyDescent="0.2">
      <c r="A117" s="660"/>
      <c r="B117" s="681"/>
      <c r="C117" s="681"/>
      <c r="D117" s="681"/>
      <c r="E117" s="681"/>
      <c r="F117" s="661"/>
      <c r="G117" s="661"/>
      <c r="H117" s="661"/>
      <c r="I117" s="661"/>
      <c r="J117" s="661"/>
      <c r="K117" s="661"/>
      <c r="L117" s="661"/>
      <c r="M117" s="661"/>
      <c r="N117" s="660"/>
      <c r="O117" s="660"/>
      <c r="P117" s="660"/>
      <c r="Q117" s="660"/>
      <c r="R117" s="660"/>
      <c r="S117" s="660"/>
      <c r="T117" s="660"/>
      <c r="U117" s="732" t="s">
        <v>75</v>
      </c>
      <c r="V117" s="733" t="str">
        <f>""</f>
        <v/>
      </c>
      <c r="W117" s="661" t="str">
        <f>""</f>
        <v/>
      </c>
      <c r="X117" s="661" t="str">
        <f>""</f>
        <v/>
      </c>
      <c r="Y117" s="734" t="str">
        <f>""</f>
        <v/>
      </c>
      <c r="Z117" s="735" t="str">
        <f>""</f>
        <v/>
      </c>
      <c r="AA117" s="661">
        <v>0</v>
      </c>
      <c r="AB117" s="661" t="str">
        <f>""</f>
        <v/>
      </c>
      <c r="AC117" s="736"/>
      <c r="AD117" s="737" t="str">
        <f>""</f>
        <v/>
      </c>
      <c r="AE117" s="736" t="str">
        <f>""</f>
        <v/>
      </c>
      <c r="AF117" s="737" t="str">
        <f>""</f>
        <v/>
      </c>
      <c r="AG117" s="736" t="str">
        <f>""</f>
        <v/>
      </c>
      <c r="AH117" s="737" t="str">
        <f>""</f>
        <v/>
      </c>
      <c r="AI117" s="736" t="str">
        <f>""</f>
        <v/>
      </c>
      <c r="AJ117" s="737"/>
      <c r="AK117" s="736"/>
      <c r="AL117" s="737" t="str">
        <f>""</f>
        <v/>
      </c>
      <c r="AM117" s="736" t="str">
        <f>""</f>
        <v/>
      </c>
      <c r="AN117" s="660"/>
      <c r="AO117" s="660"/>
      <c r="AP117" s="660"/>
      <c r="AQ117" s="660"/>
      <c r="AR117" s="660"/>
      <c r="AS117" s="660"/>
      <c r="AT117" s="660"/>
      <c r="AU117" s="660"/>
      <c r="AV117" s="660"/>
      <c r="AW117" s="660"/>
      <c r="AX117" s="660"/>
      <c r="AY117" s="660"/>
      <c r="AZ117" s="660"/>
      <c r="BA117" s="660"/>
      <c r="BB117" s="660"/>
      <c r="BC117" s="660"/>
      <c r="BD117" s="660"/>
      <c r="BE117" s="660"/>
      <c r="BF117" s="660"/>
      <c r="BG117" s="660"/>
      <c r="BH117" s="660"/>
      <c r="BI117" s="660"/>
      <c r="BJ117" s="660"/>
      <c r="BK117" s="660"/>
      <c r="BL117" s="660"/>
      <c r="BM117" s="660"/>
      <c r="BN117" s="660"/>
      <c r="BO117" s="660"/>
      <c r="BP117" s="660"/>
      <c r="BQ117" s="660"/>
      <c r="BR117" s="660"/>
      <c r="BS117" s="660"/>
      <c r="BT117" s="660"/>
      <c r="BU117" s="660"/>
      <c r="BV117" s="660"/>
      <c r="BW117" s="660"/>
      <c r="BX117" s="660"/>
      <c r="BY117" s="660"/>
      <c r="BZ117" s="660"/>
      <c r="CA117" s="660"/>
      <c r="CB117" s="660"/>
    </row>
    <row r="118" spans="1:80" s="1" customFormat="1" x14ac:dyDescent="0.2">
      <c r="A118" s="660"/>
      <c r="B118" s="681"/>
      <c r="C118" s="681"/>
      <c r="D118" s="681"/>
      <c r="E118" s="681"/>
      <c r="F118" s="661"/>
      <c r="G118" s="661"/>
      <c r="H118" s="661"/>
      <c r="I118" s="661"/>
      <c r="J118" s="661"/>
      <c r="K118" s="661"/>
      <c r="L118" s="661"/>
      <c r="M118" s="661"/>
      <c r="N118" s="660"/>
      <c r="O118" s="660"/>
      <c r="P118" s="660"/>
      <c r="Q118" s="660"/>
      <c r="R118" s="660"/>
      <c r="S118" s="660"/>
      <c r="T118" s="660"/>
      <c r="U118" s="732" t="s">
        <v>76</v>
      </c>
      <c r="V118" s="733" t="str">
        <f>""</f>
        <v/>
      </c>
      <c r="W118" s="661" t="str">
        <f>""</f>
        <v/>
      </c>
      <c r="X118" s="661" t="str">
        <f>""</f>
        <v/>
      </c>
      <c r="Y118" s="734" t="str">
        <f>""</f>
        <v/>
      </c>
      <c r="Z118" s="735" t="str">
        <f>""</f>
        <v/>
      </c>
      <c r="AA118" s="661">
        <v>0</v>
      </c>
      <c r="AB118" s="661" t="str">
        <f>""</f>
        <v/>
      </c>
      <c r="AC118" s="736"/>
      <c r="AD118" s="737" t="str">
        <f>""</f>
        <v/>
      </c>
      <c r="AE118" s="736" t="str">
        <f>""</f>
        <v/>
      </c>
      <c r="AF118" s="737" t="str">
        <f>""</f>
        <v/>
      </c>
      <c r="AG118" s="736" t="str">
        <f>""</f>
        <v/>
      </c>
      <c r="AH118" s="737" t="str">
        <f>""</f>
        <v/>
      </c>
      <c r="AI118" s="736" t="str">
        <f>""</f>
        <v/>
      </c>
      <c r="AJ118" s="737"/>
      <c r="AK118" s="736"/>
      <c r="AL118" s="737" t="str">
        <f>""</f>
        <v/>
      </c>
      <c r="AM118" s="736" t="str">
        <f>""</f>
        <v/>
      </c>
      <c r="AN118" s="660"/>
      <c r="AO118" s="660"/>
      <c r="AP118" s="660"/>
      <c r="AQ118" s="660"/>
      <c r="AR118" s="660"/>
      <c r="AS118" s="660"/>
      <c r="AT118" s="660"/>
      <c r="AU118" s="660"/>
      <c r="AV118" s="660"/>
      <c r="AW118" s="660"/>
      <c r="AX118" s="660"/>
      <c r="AY118" s="660"/>
      <c r="AZ118" s="660"/>
      <c r="BA118" s="660"/>
      <c r="BB118" s="660"/>
      <c r="BC118" s="660"/>
      <c r="BD118" s="660"/>
      <c r="BE118" s="660"/>
      <c r="BF118" s="660"/>
      <c r="BG118" s="660"/>
      <c r="BH118" s="660"/>
      <c r="BI118" s="660"/>
      <c r="BJ118" s="660"/>
      <c r="BK118" s="660"/>
      <c r="BL118" s="660"/>
      <c r="BM118" s="660"/>
      <c r="BN118" s="660"/>
      <c r="BO118" s="660"/>
      <c r="BP118" s="660"/>
      <c r="BQ118" s="660"/>
      <c r="BR118" s="660"/>
      <c r="BS118" s="660"/>
      <c r="BT118" s="660"/>
      <c r="BU118" s="660"/>
      <c r="BV118" s="660"/>
      <c r="BW118" s="660"/>
      <c r="BX118" s="660"/>
      <c r="BY118" s="660"/>
      <c r="BZ118" s="660"/>
      <c r="CA118" s="660"/>
      <c r="CB118" s="660"/>
    </row>
    <row r="119" spans="1:80" s="1" customFormat="1" x14ac:dyDescent="0.2">
      <c r="A119" s="660"/>
      <c r="B119" s="681"/>
      <c r="C119" s="681"/>
      <c r="D119" s="681"/>
      <c r="E119" s="681"/>
      <c r="F119" s="661"/>
      <c r="G119" s="661"/>
      <c r="H119" s="661"/>
      <c r="I119" s="661"/>
      <c r="J119" s="661"/>
      <c r="K119" s="661"/>
      <c r="L119" s="661"/>
      <c r="M119" s="661"/>
      <c r="N119" s="660"/>
      <c r="O119" s="660"/>
      <c r="P119" s="660"/>
      <c r="Q119" s="660"/>
      <c r="R119" s="660"/>
      <c r="S119" s="660"/>
      <c r="T119" s="660"/>
      <c r="U119" s="732" t="s">
        <v>77</v>
      </c>
      <c r="V119" s="733" t="str">
        <f>""</f>
        <v/>
      </c>
      <c r="W119" s="661" t="str">
        <f>""</f>
        <v/>
      </c>
      <c r="X119" s="661" t="str">
        <f>""</f>
        <v/>
      </c>
      <c r="Y119" s="734" t="str">
        <f>""</f>
        <v/>
      </c>
      <c r="Z119" s="735" t="str">
        <f>""</f>
        <v/>
      </c>
      <c r="AA119" s="661">
        <v>0</v>
      </c>
      <c r="AB119" s="661" t="str">
        <f>""</f>
        <v/>
      </c>
      <c r="AC119" s="736"/>
      <c r="AD119" s="737" t="str">
        <f>""</f>
        <v/>
      </c>
      <c r="AE119" s="736" t="str">
        <f>""</f>
        <v/>
      </c>
      <c r="AF119" s="737" t="str">
        <f>""</f>
        <v/>
      </c>
      <c r="AG119" s="736" t="str">
        <f>""</f>
        <v/>
      </c>
      <c r="AH119" s="737" t="str">
        <f>""</f>
        <v/>
      </c>
      <c r="AI119" s="736" t="str">
        <f>""</f>
        <v/>
      </c>
      <c r="AJ119" s="737"/>
      <c r="AK119" s="736"/>
      <c r="AL119" s="737" t="str">
        <f>""</f>
        <v/>
      </c>
      <c r="AM119" s="736" t="str">
        <f>""</f>
        <v/>
      </c>
      <c r="AN119" s="660"/>
      <c r="AO119" s="660"/>
      <c r="AP119" s="660"/>
      <c r="AQ119" s="660"/>
      <c r="AR119" s="660"/>
      <c r="AS119" s="660"/>
      <c r="AT119" s="660"/>
      <c r="AU119" s="660"/>
      <c r="AV119" s="660"/>
      <c r="AW119" s="660"/>
      <c r="AX119" s="660"/>
      <c r="AY119" s="660"/>
      <c r="AZ119" s="660"/>
      <c r="BA119" s="660"/>
      <c r="BB119" s="660"/>
      <c r="BC119" s="660"/>
      <c r="BD119" s="660"/>
      <c r="BE119" s="660"/>
      <c r="BF119" s="660"/>
      <c r="BG119" s="660"/>
      <c r="BH119" s="660"/>
      <c r="BI119" s="660"/>
      <c r="BJ119" s="660"/>
      <c r="BK119" s="660"/>
      <c r="BL119" s="660"/>
      <c r="BM119" s="660"/>
      <c r="BN119" s="660"/>
      <c r="BO119" s="660"/>
      <c r="BP119" s="660"/>
      <c r="BQ119" s="660"/>
      <c r="BR119" s="660"/>
      <c r="BS119" s="660"/>
      <c r="BT119" s="660"/>
      <c r="BU119" s="660"/>
      <c r="BV119" s="660"/>
      <c r="BW119" s="660"/>
      <c r="BX119" s="660"/>
      <c r="BY119" s="660"/>
      <c r="BZ119" s="660"/>
      <c r="CA119" s="660"/>
      <c r="CB119" s="660"/>
    </row>
    <row r="120" spans="1:80" s="1" customFormat="1" x14ac:dyDescent="0.2">
      <c r="A120" s="660"/>
      <c r="B120" s="681"/>
      <c r="C120" s="681"/>
      <c r="D120" s="681"/>
      <c r="E120" s="681"/>
      <c r="F120" s="661"/>
      <c r="G120" s="661"/>
      <c r="H120" s="661"/>
      <c r="I120" s="661"/>
      <c r="J120" s="661"/>
      <c r="K120" s="661"/>
      <c r="L120" s="661"/>
      <c r="M120" s="661"/>
      <c r="N120" s="660"/>
      <c r="O120" s="660"/>
      <c r="P120" s="660"/>
      <c r="Q120" s="660"/>
      <c r="R120" s="660"/>
      <c r="S120" s="660"/>
      <c r="T120" s="660"/>
      <c r="U120" s="732" t="s">
        <v>78</v>
      </c>
      <c r="V120" s="733" t="str">
        <f>""</f>
        <v/>
      </c>
      <c r="W120" s="661" t="str">
        <f>""</f>
        <v/>
      </c>
      <c r="X120" s="661" t="str">
        <f>""</f>
        <v/>
      </c>
      <c r="Y120" s="734" t="str">
        <f>""</f>
        <v/>
      </c>
      <c r="Z120" s="735" t="str">
        <f>""</f>
        <v/>
      </c>
      <c r="AA120" s="661">
        <v>0</v>
      </c>
      <c r="AB120" s="661" t="str">
        <f>""</f>
        <v/>
      </c>
      <c r="AC120" s="736"/>
      <c r="AD120" s="737" t="str">
        <f>""</f>
        <v/>
      </c>
      <c r="AE120" s="736" t="str">
        <f>""</f>
        <v/>
      </c>
      <c r="AF120" s="737" t="str">
        <f>""</f>
        <v/>
      </c>
      <c r="AG120" s="736" t="str">
        <f>""</f>
        <v/>
      </c>
      <c r="AH120" s="737" t="str">
        <f>""</f>
        <v/>
      </c>
      <c r="AI120" s="736" t="str">
        <f>""</f>
        <v/>
      </c>
      <c r="AJ120" s="737"/>
      <c r="AK120" s="736"/>
      <c r="AL120" s="737" t="str">
        <f>""</f>
        <v/>
      </c>
      <c r="AM120" s="736" t="str">
        <f>""</f>
        <v/>
      </c>
      <c r="AN120" s="660"/>
      <c r="AO120" s="660"/>
      <c r="AP120" s="660"/>
      <c r="AQ120" s="660"/>
      <c r="AR120" s="660"/>
      <c r="AS120" s="660"/>
      <c r="AT120" s="660"/>
      <c r="AU120" s="660"/>
      <c r="AV120" s="660"/>
      <c r="AW120" s="660"/>
      <c r="AX120" s="660"/>
      <c r="AY120" s="660"/>
      <c r="AZ120" s="660"/>
      <c r="BA120" s="660"/>
      <c r="BB120" s="660"/>
      <c r="BC120" s="660"/>
      <c r="BD120" s="660"/>
      <c r="BE120" s="660"/>
      <c r="BF120" s="660"/>
      <c r="BG120" s="660"/>
      <c r="BH120" s="660"/>
      <c r="BI120" s="660"/>
      <c r="BJ120" s="660"/>
      <c r="BK120" s="660"/>
      <c r="BL120" s="660"/>
      <c r="BM120" s="660"/>
      <c r="BN120" s="660"/>
      <c r="BO120" s="660"/>
      <c r="BP120" s="660"/>
      <c r="BQ120" s="660"/>
      <c r="BR120" s="660"/>
      <c r="BS120" s="660"/>
      <c r="BT120" s="660"/>
      <c r="BU120" s="660"/>
      <c r="BV120" s="660"/>
      <c r="BW120" s="660"/>
      <c r="BX120" s="660"/>
      <c r="BY120" s="660"/>
      <c r="BZ120" s="660"/>
      <c r="CA120" s="660"/>
      <c r="CB120" s="660"/>
    </row>
    <row r="121" spans="1:80" s="1" customFormat="1" x14ac:dyDescent="0.2">
      <c r="A121" s="660"/>
      <c r="B121" s="681"/>
      <c r="C121" s="681"/>
      <c r="D121" s="681"/>
      <c r="E121" s="681"/>
      <c r="F121" s="661"/>
      <c r="G121" s="661"/>
      <c r="H121" s="661"/>
      <c r="I121" s="661"/>
      <c r="J121" s="661"/>
      <c r="K121" s="661"/>
      <c r="L121" s="661"/>
      <c r="M121" s="661"/>
      <c r="N121" s="660"/>
      <c r="O121" s="660"/>
      <c r="P121" s="660"/>
      <c r="Q121" s="660"/>
      <c r="R121" s="660"/>
      <c r="S121" s="660"/>
      <c r="T121" s="660"/>
      <c r="U121" s="732" t="s">
        <v>79</v>
      </c>
      <c r="V121" s="733" t="str">
        <f>""</f>
        <v/>
      </c>
      <c r="W121" s="661" t="str">
        <f>""</f>
        <v/>
      </c>
      <c r="X121" s="661" t="str">
        <f>""</f>
        <v/>
      </c>
      <c r="Y121" s="734" t="str">
        <f>""</f>
        <v/>
      </c>
      <c r="Z121" s="735" t="str">
        <f>""</f>
        <v/>
      </c>
      <c r="AA121" s="661">
        <v>0</v>
      </c>
      <c r="AB121" s="661" t="str">
        <f>""</f>
        <v/>
      </c>
      <c r="AC121" s="736"/>
      <c r="AD121" s="737" t="str">
        <f>""</f>
        <v/>
      </c>
      <c r="AE121" s="736" t="str">
        <f>""</f>
        <v/>
      </c>
      <c r="AF121" s="737" t="str">
        <f>""</f>
        <v/>
      </c>
      <c r="AG121" s="736" t="str">
        <f>""</f>
        <v/>
      </c>
      <c r="AH121" s="737" t="str">
        <f>""</f>
        <v/>
      </c>
      <c r="AI121" s="736" t="str">
        <f>""</f>
        <v/>
      </c>
      <c r="AJ121" s="737"/>
      <c r="AK121" s="736"/>
      <c r="AL121" s="737" t="str">
        <f>""</f>
        <v/>
      </c>
      <c r="AM121" s="736" t="str">
        <f>""</f>
        <v/>
      </c>
      <c r="AN121" s="660"/>
      <c r="AO121" s="660"/>
      <c r="AP121" s="660"/>
      <c r="AQ121" s="660"/>
      <c r="AR121" s="660"/>
      <c r="AS121" s="660"/>
      <c r="AT121" s="660"/>
      <c r="AU121" s="660"/>
      <c r="AV121" s="660"/>
      <c r="AW121" s="660"/>
      <c r="AX121" s="660"/>
      <c r="AY121" s="660"/>
      <c r="AZ121" s="660"/>
      <c r="BA121" s="660"/>
      <c r="BB121" s="660"/>
      <c r="BC121" s="660"/>
      <c r="BD121" s="660"/>
      <c r="BE121" s="660"/>
      <c r="BF121" s="660"/>
      <c r="BG121" s="660"/>
      <c r="BH121" s="660"/>
      <c r="BI121" s="660"/>
      <c r="BJ121" s="660"/>
      <c r="BK121" s="660"/>
      <c r="BL121" s="660"/>
      <c r="BM121" s="660"/>
      <c r="BN121" s="660"/>
      <c r="BO121" s="660"/>
      <c r="BP121" s="660"/>
      <c r="BQ121" s="660"/>
      <c r="BR121" s="660"/>
      <c r="BS121" s="660"/>
      <c r="BT121" s="660"/>
      <c r="BU121" s="660"/>
      <c r="BV121" s="660"/>
      <c r="BW121" s="660"/>
      <c r="BX121" s="660"/>
      <c r="BY121" s="660"/>
      <c r="BZ121" s="660"/>
      <c r="CA121" s="660"/>
      <c r="CB121" s="660"/>
    </row>
    <row r="122" spans="1:80" s="1" customFormat="1" x14ac:dyDescent="0.2">
      <c r="A122" s="660"/>
      <c r="B122" s="681"/>
      <c r="C122" s="681"/>
      <c r="D122" s="681"/>
      <c r="E122" s="681"/>
      <c r="F122" s="661"/>
      <c r="G122" s="661"/>
      <c r="H122" s="661"/>
      <c r="I122" s="661"/>
      <c r="J122" s="661"/>
      <c r="K122" s="661"/>
      <c r="L122" s="661"/>
      <c r="M122" s="661"/>
      <c r="N122" s="660"/>
      <c r="O122" s="660"/>
      <c r="P122" s="660"/>
      <c r="Q122" s="660"/>
      <c r="R122" s="660"/>
      <c r="S122" s="660"/>
      <c r="T122" s="660"/>
      <c r="U122" s="732" t="s">
        <v>80</v>
      </c>
      <c r="V122" s="733" t="str">
        <f>""</f>
        <v/>
      </c>
      <c r="W122" s="661" t="str">
        <f>""</f>
        <v/>
      </c>
      <c r="X122" s="661" t="str">
        <f>""</f>
        <v/>
      </c>
      <c r="Y122" s="734" t="str">
        <f>""</f>
        <v/>
      </c>
      <c r="Z122" s="735" t="str">
        <f>""</f>
        <v/>
      </c>
      <c r="AA122" s="661">
        <v>0</v>
      </c>
      <c r="AB122" s="661" t="str">
        <f>""</f>
        <v/>
      </c>
      <c r="AC122" s="736"/>
      <c r="AD122" s="737" t="str">
        <f>""</f>
        <v/>
      </c>
      <c r="AE122" s="736" t="str">
        <f>""</f>
        <v/>
      </c>
      <c r="AF122" s="737" t="str">
        <f>""</f>
        <v/>
      </c>
      <c r="AG122" s="736" t="str">
        <f>""</f>
        <v/>
      </c>
      <c r="AH122" s="737" t="str">
        <f>""</f>
        <v/>
      </c>
      <c r="AI122" s="736" t="str">
        <f>""</f>
        <v/>
      </c>
      <c r="AJ122" s="737"/>
      <c r="AK122" s="736"/>
      <c r="AL122" s="737" t="str">
        <f>""</f>
        <v/>
      </c>
      <c r="AM122" s="736" t="str">
        <f>""</f>
        <v/>
      </c>
      <c r="AN122" s="660"/>
      <c r="AO122" s="660"/>
      <c r="AP122" s="660"/>
      <c r="AQ122" s="660"/>
      <c r="AR122" s="660"/>
      <c r="AS122" s="660"/>
      <c r="AT122" s="660"/>
      <c r="AU122" s="660"/>
      <c r="AV122" s="660"/>
      <c r="AW122" s="660"/>
      <c r="AX122" s="660"/>
      <c r="AY122" s="660"/>
      <c r="AZ122" s="660"/>
      <c r="BA122" s="660"/>
      <c r="BB122" s="660"/>
      <c r="BC122" s="660"/>
      <c r="BD122" s="660"/>
      <c r="BE122" s="660"/>
      <c r="BF122" s="660"/>
      <c r="BG122" s="660"/>
      <c r="BH122" s="660"/>
      <c r="BI122" s="660"/>
      <c r="BJ122" s="660"/>
      <c r="BK122" s="660"/>
      <c r="BL122" s="660"/>
      <c r="BM122" s="660"/>
      <c r="BN122" s="660"/>
      <c r="BO122" s="660"/>
      <c r="BP122" s="660"/>
      <c r="BQ122" s="660"/>
      <c r="BR122" s="660"/>
      <c r="BS122" s="660"/>
      <c r="BT122" s="660"/>
      <c r="BU122" s="660"/>
      <c r="BV122" s="660"/>
      <c r="BW122" s="660"/>
      <c r="BX122" s="660"/>
      <c r="BY122" s="660"/>
      <c r="BZ122" s="660"/>
      <c r="CA122" s="660"/>
      <c r="CB122" s="660"/>
    </row>
    <row r="123" spans="1:80" s="1" customFormat="1" ht="12.75" thickBot="1" x14ac:dyDescent="0.25">
      <c r="A123" s="660"/>
      <c r="B123" s="681"/>
      <c r="C123" s="681"/>
      <c r="D123" s="681"/>
      <c r="E123" s="681"/>
      <c r="F123" s="661"/>
      <c r="G123" s="661"/>
      <c r="H123" s="661"/>
      <c r="I123" s="661"/>
      <c r="J123" s="661"/>
      <c r="K123" s="661"/>
      <c r="L123" s="661"/>
      <c r="M123" s="661"/>
      <c r="N123" s="660"/>
      <c r="O123" s="660"/>
      <c r="P123" s="660"/>
      <c r="Q123" s="660"/>
      <c r="R123" s="660"/>
      <c r="S123" s="660"/>
      <c r="T123" s="660"/>
      <c r="U123" s="732" t="s">
        <v>81</v>
      </c>
      <c r="V123" s="733" t="str">
        <f>""</f>
        <v/>
      </c>
      <c r="W123" s="661" t="str">
        <f>""</f>
        <v/>
      </c>
      <c r="X123" s="661" t="str">
        <f>""</f>
        <v/>
      </c>
      <c r="Y123" s="734" t="str">
        <f>""</f>
        <v/>
      </c>
      <c r="Z123" s="735" t="str">
        <f>""</f>
        <v/>
      </c>
      <c r="AA123" s="661">
        <v>0</v>
      </c>
      <c r="AB123" s="661" t="str">
        <f>""</f>
        <v/>
      </c>
      <c r="AC123" s="736"/>
      <c r="AD123" s="737" t="str">
        <f>""</f>
        <v/>
      </c>
      <c r="AE123" s="736" t="str">
        <f>""</f>
        <v/>
      </c>
      <c r="AF123" s="737" t="str">
        <f>""</f>
        <v/>
      </c>
      <c r="AG123" s="736" t="str">
        <f>""</f>
        <v/>
      </c>
      <c r="AH123" s="737" t="str">
        <f>""</f>
        <v/>
      </c>
      <c r="AI123" s="736" t="str">
        <f>""</f>
        <v/>
      </c>
      <c r="AJ123" s="737"/>
      <c r="AK123" s="736"/>
      <c r="AL123" s="737" t="str">
        <f>""</f>
        <v/>
      </c>
      <c r="AM123" s="736" t="str">
        <f>""</f>
        <v/>
      </c>
      <c r="AN123" s="660"/>
      <c r="AO123" s="660"/>
      <c r="AP123" s="660"/>
      <c r="AQ123" s="660"/>
      <c r="AR123" s="660"/>
      <c r="AS123" s="660"/>
      <c r="AT123" s="660"/>
      <c r="AU123" s="660"/>
      <c r="AV123" s="660"/>
      <c r="AW123" s="660"/>
      <c r="AX123" s="660"/>
      <c r="AY123" s="660"/>
      <c r="AZ123" s="660"/>
      <c r="BA123" s="660"/>
      <c r="BB123" s="660"/>
      <c r="BC123" s="660"/>
      <c r="BD123" s="660"/>
      <c r="BE123" s="660"/>
      <c r="BF123" s="660"/>
      <c r="BG123" s="660"/>
      <c r="BH123" s="660"/>
      <c r="BI123" s="660"/>
      <c r="BJ123" s="660"/>
      <c r="BK123" s="660"/>
      <c r="BL123" s="660"/>
      <c r="BM123" s="660"/>
      <c r="BN123" s="660"/>
      <c r="BO123" s="660"/>
      <c r="BP123" s="660"/>
      <c r="BQ123" s="660"/>
      <c r="BR123" s="660"/>
      <c r="BS123" s="660"/>
      <c r="BT123" s="660"/>
      <c r="BU123" s="660"/>
      <c r="BV123" s="660"/>
      <c r="BW123" s="660"/>
      <c r="BX123" s="660"/>
      <c r="BY123" s="660"/>
      <c r="BZ123" s="660"/>
      <c r="CA123" s="660"/>
      <c r="CB123" s="660"/>
    </row>
    <row r="124" spans="1:80" s="1" customFormat="1" ht="12.75" thickTop="1" x14ac:dyDescent="0.2">
      <c r="A124" s="660"/>
      <c r="B124" s="681"/>
      <c r="C124" s="681"/>
      <c r="D124" s="681"/>
      <c r="E124" s="681"/>
      <c r="F124" s="661"/>
      <c r="G124" s="661"/>
      <c r="H124" s="661"/>
      <c r="I124" s="661"/>
      <c r="J124" s="661"/>
      <c r="K124" s="661"/>
      <c r="L124" s="661"/>
      <c r="M124" s="661"/>
      <c r="N124" s="660"/>
      <c r="O124" s="660"/>
      <c r="P124" s="660"/>
      <c r="Q124" s="660"/>
      <c r="R124" s="660"/>
      <c r="S124" s="660"/>
      <c r="T124" s="660"/>
      <c r="U124" s="742" t="s">
        <v>82</v>
      </c>
      <c r="V124" s="743" t="str">
        <f>""</f>
        <v/>
      </c>
      <c r="W124" s="744" t="str">
        <f>""</f>
        <v/>
      </c>
      <c r="X124" s="744" t="str">
        <f>""</f>
        <v/>
      </c>
      <c r="Y124" s="745" t="str">
        <f>""</f>
        <v/>
      </c>
      <c r="Z124" s="746" t="str">
        <f>""</f>
        <v/>
      </c>
      <c r="AA124" s="744">
        <v>0</v>
      </c>
      <c r="AB124" s="744" t="str">
        <f>""</f>
        <v/>
      </c>
      <c r="AC124" s="747"/>
      <c r="AD124" s="748" t="str">
        <f>""</f>
        <v/>
      </c>
      <c r="AE124" s="747" t="str">
        <f>""</f>
        <v/>
      </c>
      <c r="AF124" s="748" t="str">
        <f>""</f>
        <v/>
      </c>
      <c r="AG124" s="747" t="str">
        <f>""</f>
        <v/>
      </c>
      <c r="AH124" s="748" t="str">
        <f>""</f>
        <v/>
      </c>
      <c r="AI124" s="747" t="str">
        <f>""</f>
        <v/>
      </c>
      <c r="AJ124" s="748"/>
      <c r="AK124" s="747"/>
      <c r="AL124" s="748" t="str">
        <f>""</f>
        <v/>
      </c>
      <c r="AM124" s="747" t="str">
        <f>""</f>
        <v/>
      </c>
      <c r="AN124" s="660"/>
      <c r="AO124" s="660"/>
      <c r="AP124" s="660"/>
      <c r="AQ124" s="660"/>
      <c r="AR124" s="660"/>
      <c r="AS124" s="660"/>
      <c r="AT124" s="660"/>
      <c r="AU124" s="660"/>
      <c r="AV124" s="660"/>
      <c r="AW124" s="660"/>
      <c r="AX124" s="660"/>
      <c r="AY124" s="660"/>
      <c r="AZ124" s="660"/>
      <c r="BA124" s="660"/>
      <c r="BB124" s="660"/>
      <c r="BC124" s="660"/>
      <c r="BD124" s="660"/>
      <c r="BE124" s="660"/>
      <c r="BF124" s="660"/>
      <c r="BG124" s="660"/>
      <c r="BH124" s="660"/>
      <c r="BI124" s="660"/>
      <c r="BJ124" s="660"/>
      <c r="BK124" s="660"/>
      <c r="BL124" s="660"/>
      <c r="BM124" s="660"/>
      <c r="BN124" s="660"/>
      <c r="BO124" s="660"/>
      <c r="BP124" s="660"/>
      <c r="BQ124" s="660"/>
      <c r="BR124" s="660"/>
      <c r="BS124" s="660"/>
      <c r="BT124" s="660"/>
      <c r="BU124" s="660"/>
      <c r="BV124" s="660"/>
      <c r="BW124" s="660"/>
      <c r="BX124" s="660"/>
      <c r="BY124" s="660"/>
      <c r="BZ124" s="660"/>
      <c r="CA124" s="660"/>
      <c r="CB124" s="660"/>
    </row>
    <row r="125" spans="1:80" s="1" customFormat="1" x14ac:dyDescent="0.2">
      <c r="A125" s="660"/>
      <c r="B125" s="681"/>
      <c r="C125" s="681"/>
      <c r="D125" s="681"/>
      <c r="E125" s="681"/>
      <c r="F125" s="661"/>
      <c r="G125" s="661"/>
      <c r="H125" s="661"/>
      <c r="I125" s="661"/>
      <c r="J125" s="661"/>
      <c r="K125" s="661"/>
      <c r="L125" s="661"/>
      <c r="M125" s="661"/>
      <c r="N125" s="660"/>
      <c r="O125" s="660"/>
      <c r="P125" s="660"/>
      <c r="Q125" s="660"/>
      <c r="R125" s="660"/>
      <c r="S125" s="660"/>
      <c r="T125" s="660"/>
      <c r="U125" s="732" t="s">
        <v>83</v>
      </c>
      <c r="V125" s="733" t="str">
        <f>""</f>
        <v/>
      </c>
      <c r="W125" s="661" t="str">
        <f>""</f>
        <v/>
      </c>
      <c r="X125" s="661" t="str">
        <f>""</f>
        <v/>
      </c>
      <c r="Y125" s="734" t="str">
        <f>""</f>
        <v/>
      </c>
      <c r="Z125" s="735" t="str">
        <f>""</f>
        <v/>
      </c>
      <c r="AA125" s="661">
        <v>0</v>
      </c>
      <c r="AB125" s="661" t="str">
        <f>""</f>
        <v/>
      </c>
      <c r="AC125" s="749"/>
      <c r="AD125" s="750" t="str">
        <f>""</f>
        <v/>
      </c>
      <c r="AE125" s="749" t="str">
        <f>""</f>
        <v/>
      </c>
      <c r="AF125" s="750" t="str">
        <f>""</f>
        <v/>
      </c>
      <c r="AG125" s="749" t="str">
        <f>""</f>
        <v/>
      </c>
      <c r="AH125" s="750" t="str">
        <f>""</f>
        <v/>
      </c>
      <c r="AI125" s="749" t="str">
        <f>""</f>
        <v/>
      </c>
      <c r="AJ125" s="737"/>
      <c r="AK125" s="736"/>
      <c r="AL125" s="750" t="str">
        <f>""</f>
        <v/>
      </c>
      <c r="AM125" s="749" t="str">
        <f>""</f>
        <v/>
      </c>
      <c r="AN125" s="660"/>
      <c r="AO125" s="660"/>
      <c r="AP125" s="660"/>
      <c r="AQ125" s="660"/>
      <c r="AR125" s="660"/>
      <c r="AS125" s="660"/>
      <c r="AT125" s="660"/>
      <c r="AU125" s="660"/>
      <c r="AV125" s="660"/>
      <c r="AW125" s="660"/>
      <c r="AX125" s="660"/>
      <c r="AY125" s="660"/>
      <c r="AZ125" s="660"/>
      <c r="BA125" s="660"/>
      <c r="BB125" s="660"/>
      <c r="BC125" s="660"/>
      <c r="BD125" s="660"/>
      <c r="BE125" s="660"/>
      <c r="BF125" s="660"/>
      <c r="BG125" s="660"/>
      <c r="BH125" s="660"/>
      <c r="BI125" s="660"/>
      <c r="BJ125" s="660"/>
      <c r="BK125" s="660"/>
      <c r="BL125" s="660"/>
      <c r="BM125" s="660"/>
      <c r="BN125" s="660"/>
      <c r="BO125" s="660"/>
      <c r="BP125" s="660"/>
      <c r="BQ125" s="660"/>
      <c r="BR125" s="660"/>
      <c r="BS125" s="660"/>
      <c r="BT125" s="660"/>
      <c r="BU125" s="660"/>
      <c r="BV125" s="660"/>
      <c r="BW125" s="660"/>
      <c r="BX125" s="660"/>
      <c r="BY125" s="660"/>
      <c r="BZ125" s="660"/>
      <c r="CA125" s="660"/>
      <c r="CB125" s="660"/>
    </row>
    <row r="126" spans="1:80" s="1" customFormat="1" x14ac:dyDescent="0.2">
      <c r="A126" s="660"/>
      <c r="B126" s="681"/>
      <c r="C126" s="681"/>
      <c r="D126" s="681"/>
      <c r="E126" s="681"/>
      <c r="F126" s="661"/>
      <c r="G126" s="661"/>
      <c r="H126" s="661"/>
      <c r="I126" s="661"/>
      <c r="J126" s="661"/>
      <c r="K126" s="661"/>
      <c r="L126" s="661"/>
      <c r="M126" s="661"/>
      <c r="N126" s="660"/>
      <c r="O126" s="660"/>
      <c r="P126" s="660"/>
      <c r="Q126" s="660"/>
      <c r="R126" s="660"/>
      <c r="S126" s="660"/>
      <c r="T126" s="660"/>
      <c r="U126" s="732" t="s">
        <v>84</v>
      </c>
      <c r="V126" s="733" t="str">
        <f>""</f>
        <v/>
      </c>
      <c r="W126" s="661" t="str">
        <f>""</f>
        <v/>
      </c>
      <c r="X126" s="661" t="str">
        <f>""</f>
        <v/>
      </c>
      <c r="Y126" s="734" t="str">
        <f>""</f>
        <v/>
      </c>
      <c r="Z126" s="735" t="str">
        <f>""</f>
        <v/>
      </c>
      <c r="AA126" s="661">
        <v>0</v>
      </c>
      <c r="AB126" s="661" t="str">
        <f>""</f>
        <v/>
      </c>
      <c r="AC126" s="749"/>
      <c r="AD126" s="750" t="str">
        <f>""</f>
        <v/>
      </c>
      <c r="AE126" s="749" t="str">
        <f>""</f>
        <v/>
      </c>
      <c r="AF126" s="750" t="str">
        <f>""</f>
        <v/>
      </c>
      <c r="AG126" s="749" t="str">
        <f>""</f>
        <v/>
      </c>
      <c r="AH126" s="750" t="str">
        <f>""</f>
        <v/>
      </c>
      <c r="AI126" s="749" t="str">
        <f>""</f>
        <v/>
      </c>
      <c r="AJ126" s="737"/>
      <c r="AK126" s="736"/>
      <c r="AL126" s="750" t="str">
        <f>""</f>
        <v/>
      </c>
      <c r="AM126" s="749" t="str">
        <f>""</f>
        <v/>
      </c>
      <c r="AN126" s="660"/>
      <c r="AO126" s="660"/>
      <c r="AP126" s="660"/>
      <c r="AQ126" s="660"/>
      <c r="AR126" s="660"/>
      <c r="AS126" s="660"/>
      <c r="AT126" s="660"/>
      <c r="AU126" s="660"/>
      <c r="AV126" s="660"/>
      <c r="AW126" s="660"/>
      <c r="AX126" s="660"/>
      <c r="AY126" s="660"/>
      <c r="AZ126" s="660"/>
      <c r="BA126" s="660"/>
      <c r="BB126" s="660"/>
      <c r="BC126" s="660"/>
      <c r="BD126" s="660"/>
      <c r="BE126" s="660"/>
      <c r="BF126" s="660"/>
      <c r="BG126" s="660"/>
      <c r="BH126" s="660"/>
      <c r="BI126" s="660"/>
      <c r="BJ126" s="660"/>
      <c r="BK126" s="660"/>
      <c r="BL126" s="660"/>
      <c r="BM126" s="660"/>
      <c r="BN126" s="660"/>
      <c r="BO126" s="660"/>
      <c r="BP126" s="660"/>
      <c r="BQ126" s="660"/>
      <c r="BR126" s="660"/>
      <c r="BS126" s="660"/>
      <c r="BT126" s="660"/>
      <c r="BU126" s="660"/>
      <c r="BV126" s="660"/>
      <c r="BW126" s="660"/>
      <c r="BX126" s="660"/>
      <c r="BY126" s="660"/>
      <c r="BZ126" s="660"/>
      <c r="CA126" s="660"/>
      <c r="CB126" s="660"/>
    </row>
    <row r="127" spans="1:80" s="1" customFormat="1" x14ac:dyDescent="0.2">
      <c r="A127" s="660"/>
      <c r="B127" s="681"/>
      <c r="C127" s="681"/>
      <c r="D127" s="681"/>
      <c r="E127" s="681"/>
      <c r="F127" s="661"/>
      <c r="G127" s="661"/>
      <c r="H127" s="661"/>
      <c r="I127" s="661"/>
      <c r="J127" s="661"/>
      <c r="K127" s="661"/>
      <c r="L127" s="661"/>
      <c r="M127" s="661"/>
      <c r="N127" s="660"/>
      <c r="O127" s="660"/>
      <c r="P127" s="660"/>
      <c r="Q127" s="660"/>
      <c r="R127" s="660"/>
      <c r="S127" s="660"/>
      <c r="T127" s="660"/>
      <c r="U127" s="732" t="s">
        <v>85</v>
      </c>
      <c r="V127" s="733" t="str">
        <f>""</f>
        <v/>
      </c>
      <c r="W127" s="661" t="str">
        <f>""</f>
        <v/>
      </c>
      <c r="X127" s="661" t="str">
        <f>""</f>
        <v/>
      </c>
      <c r="Y127" s="734" t="str">
        <f>""</f>
        <v/>
      </c>
      <c r="Z127" s="735" t="str">
        <f>""</f>
        <v/>
      </c>
      <c r="AA127" s="661">
        <v>0</v>
      </c>
      <c r="AB127" s="661" t="str">
        <f>""</f>
        <v/>
      </c>
      <c r="AC127" s="749"/>
      <c r="AD127" s="750" t="str">
        <f>""</f>
        <v/>
      </c>
      <c r="AE127" s="749" t="str">
        <f>""</f>
        <v/>
      </c>
      <c r="AF127" s="750" t="str">
        <f>""</f>
        <v/>
      </c>
      <c r="AG127" s="749" t="str">
        <f>""</f>
        <v/>
      </c>
      <c r="AH127" s="750" t="str">
        <f>""</f>
        <v/>
      </c>
      <c r="AI127" s="749" t="str">
        <f>""</f>
        <v/>
      </c>
      <c r="AJ127" s="737"/>
      <c r="AK127" s="736"/>
      <c r="AL127" s="750" t="str">
        <f>""</f>
        <v/>
      </c>
      <c r="AM127" s="749" t="str">
        <f>""</f>
        <v/>
      </c>
      <c r="AN127" s="660"/>
      <c r="AO127" s="660"/>
      <c r="AP127" s="660"/>
      <c r="AQ127" s="660"/>
      <c r="AR127" s="660"/>
      <c r="AS127" s="660"/>
      <c r="AT127" s="660"/>
      <c r="AU127" s="660"/>
      <c r="AV127" s="660"/>
      <c r="AW127" s="660"/>
      <c r="AX127" s="660"/>
      <c r="AY127" s="660"/>
      <c r="AZ127" s="660"/>
      <c r="BA127" s="660"/>
      <c r="BB127" s="660"/>
      <c r="BC127" s="660"/>
      <c r="BD127" s="660"/>
      <c r="BE127" s="660"/>
      <c r="BF127" s="660"/>
      <c r="BG127" s="660"/>
      <c r="BH127" s="660"/>
      <c r="BI127" s="660"/>
      <c r="BJ127" s="660"/>
      <c r="BK127" s="660"/>
      <c r="BL127" s="660"/>
      <c r="BM127" s="660"/>
      <c r="BN127" s="660"/>
      <c r="BO127" s="660"/>
      <c r="BP127" s="660"/>
      <c r="BQ127" s="660"/>
      <c r="BR127" s="660"/>
      <c r="BS127" s="660"/>
      <c r="BT127" s="660"/>
      <c r="BU127" s="660"/>
      <c r="BV127" s="660"/>
      <c r="BW127" s="660"/>
      <c r="BX127" s="660"/>
      <c r="BY127" s="660"/>
      <c r="BZ127" s="660"/>
      <c r="CA127" s="660"/>
      <c r="CB127" s="660"/>
    </row>
    <row r="128" spans="1:80" s="1" customFormat="1" x14ac:dyDescent="0.2">
      <c r="A128" s="660"/>
      <c r="B128" s="681"/>
      <c r="C128" s="681"/>
      <c r="D128" s="681"/>
      <c r="E128" s="681"/>
      <c r="F128" s="661"/>
      <c r="G128" s="661"/>
      <c r="H128" s="661"/>
      <c r="I128" s="661"/>
      <c r="J128" s="661"/>
      <c r="K128" s="661"/>
      <c r="L128" s="661"/>
      <c r="M128" s="661"/>
      <c r="N128" s="660"/>
      <c r="O128" s="660"/>
      <c r="P128" s="660"/>
      <c r="Q128" s="660"/>
      <c r="R128" s="660"/>
      <c r="S128" s="660"/>
      <c r="T128" s="660"/>
      <c r="U128" s="732" t="s">
        <v>86</v>
      </c>
      <c r="V128" s="733" t="str">
        <f>""</f>
        <v/>
      </c>
      <c r="W128" s="661" t="str">
        <f>""</f>
        <v/>
      </c>
      <c r="X128" s="661" t="str">
        <f>""</f>
        <v/>
      </c>
      <c r="Y128" s="734" t="str">
        <f>""</f>
        <v/>
      </c>
      <c r="Z128" s="735" t="str">
        <f>""</f>
        <v/>
      </c>
      <c r="AA128" s="661">
        <v>0</v>
      </c>
      <c r="AB128" s="661" t="str">
        <f>""</f>
        <v/>
      </c>
      <c r="AC128" s="749"/>
      <c r="AD128" s="750" t="str">
        <f>""</f>
        <v/>
      </c>
      <c r="AE128" s="749" t="str">
        <f>""</f>
        <v/>
      </c>
      <c r="AF128" s="750" t="str">
        <f>""</f>
        <v/>
      </c>
      <c r="AG128" s="749" t="str">
        <f>""</f>
        <v/>
      </c>
      <c r="AH128" s="750" t="str">
        <f>""</f>
        <v/>
      </c>
      <c r="AI128" s="749" t="str">
        <f>""</f>
        <v/>
      </c>
      <c r="AJ128" s="737"/>
      <c r="AK128" s="736"/>
      <c r="AL128" s="750" t="str">
        <f>""</f>
        <v/>
      </c>
      <c r="AM128" s="749" t="str">
        <f>""</f>
        <v/>
      </c>
      <c r="AN128" s="660"/>
      <c r="AO128" s="660"/>
      <c r="AP128" s="660"/>
      <c r="AQ128" s="660"/>
      <c r="AR128" s="660"/>
      <c r="AS128" s="660"/>
      <c r="AT128" s="660"/>
      <c r="AU128" s="660"/>
      <c r="AV128" s="660"/>
      <c r="AW128" s="660"/>
      <c r="AX128" s="660"/>
      <c r="AY128" s="660"/>
      <c r="AZ128" s="660"/>
      <c r="BA128" s="660"/>
      <c r="BB128" s="660"/>
      <c r="BC128" s="660"/>
      <c r="BD128" s="660"/>
      <c r="BE128" s="660"/>
      <c r="BF128" s="660"/>
      <c r="BG128" s="660"/>
      <c r="BH128" s="660"/>
      <c r="BI128" s="660"/>
      <c r="BJ128" s="660"/>
      <c r="BK128" s="660"/>
      <c r="BL128" s="660"/>
      <c r="BM128" s="660"/>
      <c r="BN128" s="660"/>
      <c r="BO128" s="660"/>
      <c r="BP128" s="660"/>
      <c r="BQ128" s="660"/>
      <c r="BR128" s="660"/>
      <c r="BS128" s="660"/>
      <c r="BT128" s="660"/>
      <c r="BU128" s="660"/>
      <c r="BV128" s="660"/>
      <c r="BW128" s="660"/>
      <c r="BX128" s="660"/>
      <c r="BY128" s="660"/>
      <c r="BZ128" s="660"/>
      <c r="CA128" s="660"/>
      <c r="CB128" s="660"/>
    </row>
    <row r="129" spans="1:80" s="1" customFormat="1" x14ac:dyDescent="0.2">
      <c r="A129" s="660"/>
      <c r="B129" s="681"/>
      <c r="C129" s="681"/>
      <c r="D129" s="681"/>
      <c r="E129" s="681"/>
      <c r="F129" s="661"/>
      <c r="G129" s="661"/>
      <c r="H129" s="661"/>
      <c r="I129" s="661"/>
      <c r="J129" s="661"/>
      <c r="K129" s="661"/>
      <c r="L129" s="661"/>
      <c r="M129" s="661"/>
      <c r="N129" s="660"/>
      <c r="O129" s="660"/>
      <c r="P129" s="660"/>
      <c r="Q129" s="660"/>
      <c r="R129" s="660"/>
      <c r="S129" s="660"/>
      <c r="T129" s="660"/>
      <c r="U129" s="732" t="s">
        <v>87</v>
      </c>
      <c r="V129" s="733" t="str">
        <f>""</f>
        <v/>
      </c>
      <c r="W129" s="661" t="str">
        <f>""</f>
        <v/>
      </c>
      <c r="X129" s="661" t="str">
        <f>""</f>
        <v/>
      </c>
      <c r="Y129" s="734" t="str">
        <f>""</f>
        <v/>
      </c>
      <c r="Z129" s="735" t="str">
        <f>""</f>
        <v/>
      </c>
      <c r="AA129" s="661">
        <v>0</v>
      </c>
      <c r="AB129" s="661" t="str">
        <f>""</f>
        <v/>
      </c>
      <c r="AC129" s="749"/>
      <c r="AD129" s="750" t="str">
        <f>""</f>
        <v/>
      </c>
      <c r="AE129" s="749" t="str">
        <f>""</f>
        <v/>
      </c>
      <c r="AF129" s="750" t="str">
        <f>""</f>
        <v/>
      </c>
      <c r="AG129" s="749" t="str">
        <f>""</f>
        <v/>
      </c>
      <c r="AH129" s="750" t="str">
        <f>""</f>
        <v/>
      </c>
      <c r="AI129" s="749" t="str">
        <f>""</f>
        <v/>
      </c>
      <c r="AJ129" s="737"/>
      <c r="AK129" s="736"/>
      <c r="AL129" s="750" t="str">
        <f>""</f>
        <v/>
      </c>
      <c r="AM129" s="749" t="str">
        <f>""</f>
        <v/>
      </c>
      <c r="AN129" s="660"/>
      <c r="AO129" s="660"/>
      <c r="AP129" s="660"/>
      <c r="AQ129" s="660"/>
      <c r="AR129" s="660"/>
      <c r="AS129" s="660"/>
      <c r="AT129" s="660"/>
      <c r="AU129" s="660"/>
      <c r="AV129" s="660"/>
      <c r="AW129" s="660"/>
      <c r="AX129" s="660"/>
      <c r="AY129" s="660"/>
      <c r="AZ129" s="660"/>
      <c r="BA129" s="660"/>
      <c r="BB129" s="660"/>
      <c r="BC129" s="660"/>
      <c r="BD129" s="660"/>
      <c r="BE129" s="660"/>
      <c r="BF129" s="660"/>
      <c r="BG129" s="660"/>
      <c r="BH129" s="660"/>
      <c r="BI129" s="660"/>
      <c r="BJ129" s="660"/>
      <c r="BK129" s="660"/>
      <c r="BL129" s="660"/>
      <c r="BM129" s="660"/>
      <c r="BN129" s="660"/>
      <c r="BO129" s="660"/>
      <c r="BP129" s="660"/>
      <c r="BQ129" s="660"/>
      <c r="BR129" s="660"/>
      <c r="BS129" s="660"/>
      <c r="BT129" s="660"/>
      <c r="BU129" s="660"/>
      <c r="BV129" s="660"/>
      <c r="BW129" s="660"/>
      <c r="BX129" s="660"/>
      <c r="BY129" s="660"/>
      <c r="BZ129" s="660"/>
      <c r="CA129" s="660"/>
      <c r="CB129" s="660"/>
    </row>
    <row r="130" spans="1:80" s="1" customFormat="1" x14ac:dyDescent="0.2">
      <c r="A130" s="660"/>
      <c r="B130" s="681"/>
      <c r="C130" s="681"/>
      <c r="D130" s="681"/>
      <c r="E130" s="681"/>
      <c r="F130" s="661"/>
      <c r="G130" s="661"/>
      <c r="H130" s="661"/>
      <c r="I130" s="661"/>
      <c r="J130" s="661"/>
      <c r="K130" s="661"/>
      <c r="L130" s="661"/>
      <c r="M130" s="661"/>
      <c r="N130" s="660"/>
      <c r="O130" s="660"/>
      <c r="P130" s="660"/>
      <c r="Q130" s="660"/>
      <c r="R130" s="660"/>
      <c r="S130" s="660"/>
      <c r="T130" s="660"/>
      <c r="U130" s="732" t="s">
        <v>88</v>
      </c>
      <c r="V130" s="733" t="str">
        <f>""</f>
        <v/>
      </c>
      <c r="W130" s="661" t="str">
        <f>""</f>
        <v/>
      </c>
      <c r="X130" s="661" t="str">
        <f>""</f>
        <v/>
      </c>
      <c r="Y130" s="734" t="str">
        <f>""</f>
        <v/>
      </c>
      <c r="Z130" s="735" t="str">
        <f>""</f>
        <v/>
      </c>
      <c r="AA130" s="661">
        <v>0</v>
      </c>
      <c r="AB130" s="661" t="str">
        <f>""</f>
        <v/>
      </c>
      <c r="AC130" s="749"/>
      <c r="AD130" s="750" t="str">
        <f>""</f>
        <v/>
      </c>
      <c r="AE130" s="749" t="str">
        <f>""</f>
        <v/>
      </c>
      <c r="AF130" s="750" t="str">
        <f>""</f>
        <v/>
      </c>
      <c r="AG130" s="749" t="str">
        <f>""</f>
        <v/>
      </c>
      <c r="AH130" s="750" t="str">
        <f>""</f>
        <v/>
      </c>
      <c r="AI130" s="749" t="str">
        <f>""</f>
        <v/>
      </c>
      <c r="AJ130" s="737"/>
      <c r="AK130" s="736"/>
      <c r="AL130" s="750" t="str">
        <f>""</f>
        <v/>
      </c>
      <c r="AM130" s="749" t="str">
        <f>""</f>
        <v/>
      </c>
      <c r="AN130" s="660"/>
      <c r="AO130" s="660"/>
      <c r="AP130" s="660"/>
      <c r="AQ130" s="660"/>
      <c r="AR130" s="660"/>
      <c r="AS130" s="660"/>
      <c r="AT130" s="660"/>
      <c r="AU130" s="660"/>
      <c r="AV130" s="660"/>
      <c r="AW130" s="660"/>
      <c r="AX130" s="660"/>
      <c r="AY130" s="660"/>
      <c r="AZ130" s="660"/>
      <c r="BA130" s="660"/>
      <c r="BB130" s="660"/>
      <c r="BC130" s="660"/>
      <c r="BD130" s="660"/>
      <c r="BE130" s="660"/>
      <c r="BF130" s="660"/>
      <c r="BG130" s="660"/>
      <c r="BH130" s="660"/>
      <c r="BI130" s="660"/>
      <c r="BJ130" s="660"/>
      <c r="BK130" s="660"/>
      <c r="BL130" s="660"/>
      <c r="BM130" s="660"/>
      <c r="BN130" s="660"/>
      <c r="BO130" s="660"/>
      <c r="BP130" s="660"/>
      <c r="BQ130" s="660"/>
      <c r="BR130" s="660"/>
      <c r="BS130" s="660"/>
      <c r="BT130" s="660"/>
      <c r="BU130" s="660"/>
      <c r="BV130" s="660"/>
      <c r="BW130" s="660"/>
      <c r="BX130" s="660"/>
      <c r="BY130" s="660"/>
      <c r="BZ130" s="660"/>
      <c r="CA130" s="660"/>
      <c r="CB130" s="660"/>
    </row>
    <row r="131" spans="1:80" s="1" customFormat="1" x14ac:dyDescent="0.2">
      <c r="A131" s="660"/>
      <c r="B131" s="681"/>
      <c r="C131" s="681"/>
      <c r="D131" s="681"/>
      <c r="E131" s="681"/>
      <c r="F131" s="661"/>
      <c r="G131" s="661"/>
      <c r="H131" s="661"/>
      <c r="I131" s="661"/>
      <c r="J131" s="661"/>
      <c r="K131" s="661"/>
      <c r="L131" s="661"/>
      <c r="M131" s="661"/>
      <c r="N131" s="660"/>
      <c r="O131" s="660"/>
      <c r="P131" s="660"/>
      <c r="Q131" s="660"/>
      <c r="R131" s="660"/>
      <c r="S131" s="660"/>
      <c r="T131" s="660"/>
      <c r="U131" s="732" t="s">
        <v>89</v>
      </c>
      <c r="V131" s="733" t="str">
        <f>""</f>
        <v/>
      </c>
      <c r="W131" s="661" t="str">
        <f>""</f>
        <v/>
      </c>
      <c r="X131" s="661" t="str">
        <f>""</f>
        <v/>
      </c>
      <c r="Y131" s="734" t="str">
        <f>""</f>
        <v/>
      </c>
      <c r="Z131" s="735" t="str">
        <f>""</f>
        <v/>
      </c>
      <c r="AA131" s="661">
        <v>0</v>
      </c>
      <c r="AB131" s="661" t="str">
        <f>""</f>
        <v/>
      </c>
      <c r="AC131" s="749"/>
      <c r="AD131" s="750" t="str">
        <f>""</f>
        <v/>
      </c>
      <c r="AE131" s="749" t="str">
        <f>""</f>
        <v/>
      </c>
      <c r="AF131" s="750" t="str">
        <f>""</f>
        <v/>
      </c>
      <c r="AG131" s="749" t="str">
        <f>""</f>
        <v/>
      </c>
      <c r="AH131" s="750" t="str">
        <f>""</f>
        <v/>
      </c>
      <c r="AI131" s="749" t="str">
        <f>""</f>
        <v/>
      </c>
      <c r="AJ131" s="737"/>
      <c r="AK131" s="736"/>
      <c r="AL131" s="750" t="str">
        <f>""</f>
        <v/>
      </c>
      <c r="AM131" s="749" t="str">
        <f>""</f>
        <v/>
      </c>
      <c r="AN131" s="660"/>
      <c r="AO131" s="660"/>
      <c r="AP131" s="660"/>
      <c r="AQ131" s="660"/>
      <c r="AR131" s="660"/>
      <c r="AS131" s="660"/>
      <c r="AT131" s="660"/>
      <c r="AU131" s="660"/>
      <c r="AV131" s="660"/>
      <c r="AW131" s="660"/>
      <c r="AX131" s="660"/>
      <c r="AY131" s="660"/>
      <c r="AZ131" s="660"/>
      <c r="BA131" s="660"/>
      <c r="BB131" s="660"/>
      <c r="BC131" s="660"/>
      <c r="BD131" s="660"/>
      <c r="BE131" s="660"/>
      <c r="BF131" s="660"/>
      <c r="BG131" s="660"/>
      <c r="BH131" s="660"/>
      <c r="BI131" s="660"/>
      <c r="BJ131" s="660"/>
      <c r="BK131" s="660"/>
      <c r="BL131" s="660"/>
      <c r="BM131" s="660"/>
      <c r="BN131" s="660"/>
      <c r="BO131" s="660"/>
      <c r="BP131" s="660"/>
      <c r="BQ131" s="660"/>
      <c r="BR131" s="660"/>
      <c r="BS131" s="660"/>
      <c r="BT131" s="660"/>
      <c r="BU131" s="660"/>
      <c r="BV131" s="660"/>
      <c r="BW131" s="660"/>
      <c r="BX131" s="660"/>
      <c r="BY131" s="660"/>
      <c r="BZ131" s="660"/>
      <c r="CA131" s="660"/>
      <c r="CB131" s="660"/>
    </row>
    <row r="132" spans="1:80" s="1" customFormat="1" x14ac:dyDescent="0.2">
      <c r="A132" s="660"/>
      <c r="B132" s="681"/>
      <c r="C132" s="681"/>
      <c r="D132" s="681"/>
      <c r="E132" s="681"/>
      <c r="F132" s="661"/>
      <c r="G132" s="661"/>
      <c r="H132" s="661"/>
      <c r="I132" s="661"/>
      <c r="J132" s="661"/>
      <c r="K132" s="661"/>
      <c r="L132" s="661"/>
      <c r="M132" s="661"/>
      <c r="N132" s="660"/>
      <c r="O132" s="660"/>
      <c r="P132" s="660"/>
      <c r="Q132" s="660"/>
      <c r="R132" s="660"/>
      <c r="S132" s="660"/>
      <c r="T132" s="660"/>
      <c r="U132" s="732" t="s">
        <v>90</v>
      </c>
      <c r="V132" s="733" t="str">
        <f>""</f>
        <v/>
      </c>
      <c r="W132" s="661" t="str">
        <f>""</f>
        <v/>
      </c>
      <c r="X132" s="661" t="str">
        <f>""</f>
        <v/>
      </c>
      <c r="Y132" s="734" t="str">
        <f>""</f>
        <v/>
      </c>
      <c r="Z132" s="735" t="str">
        <f>""</f>
        <v/>
      </c>
      <c r="AA132" s="661">
        <v>0</v>
      </c>
      <c r="AB132" s="661" t="str">
        <f>""</f>
        <v/>
      </c>
      <c r="AC132" s="749"/>
      <c r="AD132" s="750" t="str">
        <f>""</f>
        <v/>
      </c>
      <c r="AE132" s="749" t="str">
        <f>""</f>
        <v/>
      </c>
      <c r="AF132" s="750" t="str">
        <f>""</f>
        <v/>
      </c>
      <c r="AG132" s="749" t="str">
        <f>""</f>
        <v/>
      </c>
      <c r="AH132" s="750" t="str">
        <f>""</f>
        <v/>
      </c>
      <c r="AI132" s="749" t="str">
        <f>""</f>
        <v/>
      </c>
      <c r="AJ132" s="737"/>
      <c r="AK132" s="736"/>
      <c r="AL132" s="750" t="str">
        <f>""</f>
        <v/>
      </c>
      <c r="AM132" s="749" t="str">
        <f>""</f>
        <v/>
      </c>
      <c r="AN132" s="660"/>
      <c r="AO132" s="660"/>
      <c r="AP132" s="660"/>
      <c r="AQ132" s="660"/>
      <c r="AR132" s="660"/>
      <c r="AS132" s="660"/>
      <c r="AT132" s="660"/>
      <c r="AU132" s="660"/>
      <c r="AV132" s="660"/>
      <c r="AW132" s="660"/>
      <c r="AX132" s="660"/>
      <c r="AY132" s="660"/>
      <c r="AZ132" s="660"/>
      <c r="BA132" s="660"/>
      <c r="BB132" s="660"/>
      <c r="BC132" s="660"/>
      <c r="BD132" s="660"/>
      <c r="BE132" s="660"/>
      <c r="BF132" s="660"/>
      <c r="BG132" s="660"/>
      <c r="BH132" s="660"/>
      <c r="BI132" s="660"/>
      <c r="BJ132" s="660"/>
      <c r="BK132" s="660"/>
      <c r="BL132" s="660"/>
      <c r="BM132" s="660"/>
      <c r="BN132" s="660"/>
      <c r="BO132" s="660"/>
      <c r="BP132" s="660"/>
      <c r="BQ132" s="660"/>
      <c r="BR132" s="660"/>
      <c r="BS132" s="660"/>
      <c r="BT132" s="660"/>
      <c r="BU132" s="660"/>
      <c r="BV132" s="660"/>
      <c r="BW132" s="660"/>
      <c r="BX132" s="660"/>
      <c r="BY132" s="660"/>
      <c r="BZ132" s="660"/>
      <c r="CA132" s="660"/>
      <c r="CB132" s="660"/>
    </row>
    <row r="133" spans="1:80" s="1" customFormat="1" x14ac:dyDescent="0.2">
      <c r="A133" s="660"/>
      <c r="B133" s="681"/>
      <c r="C133" s="681"/>
      <c r="D133" s="681"/>
      <c r="E133" s="681"/>
      <c r="F133" s="661"/>
      <c r="G133" s="661"/>
      <c r="H133" s="661"/>
      <c r="I133" s="661"/>
      <c r="J133" s="661"/>
      <c r="K133" s="661"/>
      <c r="L133" s="661"/>
      <c r="M133" s="661"/>
      <c r="N133" s="660"/>
      <c r="O133" s="660"/>
      <c r="P133" s="660"/>
      <c r="Q133" s="660"/>
      <c r="R133" s="660"/>
      <c r="S133" s="660"/>
      <c r="T133" s="660"/>
      <c r="U133" s="732" t="s">
        <v>91</v>
      </c>
      <c r="V133" s="733" t="str">
        <f>""</f>
        <v/>
      </c>
      <c r="W133" s="661" t="str">
        <f>""</f>
        <v/>
      </c>
      <c r="X133" s="661" t="str">
        <f>""</f>
        <v/>
      </c>
      <c r="Y133" s="734" t="str">
        <f>""</f>
        <v/>
      </c>
      <c r="Z133" s="735" t="str">
        <f>""</f>
        <v/>
      </c>
      <c r="AA133" s="661">
        <v>0</v>
      </c>
      <c r="AB133" s="661" t="str">
        <f>""</f>
        <v/>
      </c>
      <c r="AC133" s="749"/>
      <c r="AD133" s="750" t="str">
        <f>""</f>
        <v/>
      </c>
      <c r="AE133" s="749" t="str">
        <f>""</f>
        <v/>
      </c>
      <c r="AF133" s="750" t="str">
        <f>""</f>
        <v/>
      </c>
      <c r="AG133" s="749" t="str">
        <f>""</f>
        <v/>
      </c>
      <c r="AH133" s="750" t="str">
        <f>""</f>
        <v/>
      </c>
      <c r="AI133" s="749" t="str">
        <f>""</f>
        <v/>
      </c>
      <c r="AJ133" s="737"/>
      <c r="AK133" s="736"/>
      <c r="AL133" s="750" t="str">
        <f>""</f>
        <v/>
      </c>
      <c r="AM133" s="749" t="str">
        <f>""</f>
        <v/>
      </c>
      <c r="AN133" s="660"/>
      <c r="AO133" s="660"/>
      <c r="AP133" s="660"/>
      <c r="AQ133" s="660"/>
      <c r="AR133" s="660"/>
      <c r="AS133" s="660"/>
      <c r="AT133" s="660"/>
      <c r="AU133" s="660"/>
      <c r="AV133" s="660"/>
      <c r="AW133" s="660"/>
      <c r="AX133" s="660"/>
      <c r="AY133" s="660"/>
      <c r="AZ133" s="660"/>
      <c r="BA133" s="660"/>
      <c r="BB133" s="660"/>
      <c r="BC133" s="660"/>
      <c r="BD133" s="660"/>
      <c r="BE133" s="660"/>
      <c r="BF133" s="660"/>
      <c r="BG133" s="660"/>
      <c r="BH133" s="660"/>
      <c r="BI133" s="660"/>
      <c r="BJ133" s="660"/>
      <c r="BK133" s="660"/>
      <c r="BL133" s="660"/>
      <c r="BM133" s="660"/>
      <c r="BN133" s="660"/>
      <c r="BO133" s="660"/>
      <c r="BP133" s="660"/>
      <c r="BQ133" s="660"/>
      <c r="BR133" s="660"/>
      <c r="BS133" s="660"/>
      <c r="BT133" s="660"/>
      <c r="BU133" s="660"/>
      <c r="BV133" s="660"/>
      <c r="BW133" s="660"/>
      <c r="BX133" s="660"/>
      <c r="BY133" s="660"/>
      <c r="BZ133" s="660"/>
      <c r="CA133" s="660"/>
      <c r="CB133" s="660"/>
    </row>
    <row r="134" spans="1:80" s="1" customFormat="1" x14ac:dyDescent="0.2">
      <c r="A134" s="660"/>
      <c r="B134" s="681"/>
      <c r="C134" s="681"/>
      <c r="D134" s="681"/>
      <c r="E134" s="681"/>
      <c r="F134" s="661"/>
      <c r="G134" s="661"/>
      <c r="H134" s="661"/>
      <c r="I134" s="661"/>
      <c r="J134" s="661"/>
      <c r="K134" s="661"/>
      <c r="L134" s="661"/>
      <c r="M134" s="661"/>
      <c r="N134" s="660"/>
      <c r="O134" s="660"/>
      <c r="P134" s="660"/>
      <c r="Q134" s="660"/>
      <c r="R134" s="660"/>
      <c r="S134" s="660"/>
      <c r="T134" s="660"/>
      <c r="U134" s="732" t="s">
        <v>92</v>
      </c>
      <c r="V134" s="733" t="str">
        <f>""</f>
        <v/>
      </c>
      <c r="W134" s="661" t="str">
        <f>""</f>
        <v/>
      </c>
      <c r="X134" s="661" t="str">
        <f>""</f>
        <v/>
      </c>
      <c r="Y134" s="734" t="str">
        <f>""</f>
        <v/>
      </c>
      <c r="Z134" s="735" t="str">
        <f>""</f>
        <v/>
      </c>
      <c r="AA134" s="661">
        <v>0</v>
      </c>
      <c r="AB134" s="661" t="str">
        <f>""</f>
        <v/>
      </c>
      <c r="AC134" s="749"/>
      <c r="AD134" s="750" t="str">
        <f>""</f>
        <v/>
      </c>
      <c r="AE134" s="749" t="str">
        <f>""</f>
        <v/>
      </c>
      <c r="AF134" s="750" t="str">
        <f>""</f>
        <v/>
      </c>
      <c r="AG134" s="749" t="str">
        <f>""</f>
        <v/>
      </c>
      <c r="AH134" s="750" t="str">
        <f>""</f>
        <v/>
      </c>
      <c r="AI134" s="749" t="str">
        <f>""</f>
        <v/>
      </c>
      <c r="AJ134" s="737"/>
      <c r="AK134" s="736"/>
      <c r="AL134" s="750" t="str">
        <f>""</f>
        <v/>
      </c>
      <c r="AM134" s="749" t="str">
        <f>""</f>
        <v/>
      </c>
      <c r="AN134" s="660"/>
      <c r="AO134" s="660"/>
      <c r="AP134" s="660"/>
      <c r="AQ134" s="660"/>
      <c r="AR134" s="660"/>
      <c r="AS134" s="660"/>
      <c r="AT134" s="660"/>
      <c r="AU134" s="660"/>
      <c r="AV134" s="660"/>
      <c r="AW134" s="660"/>
      <c r="AX134" s="660"/>
      <c r="AY134" s="660"/>
      <c r="AZ134" s="660"/>
      <c r="BA134" s="660"/>
      <c r="BB134" s="660"/>
      <c r="BC134" s="660"/>
      <c r="BD134" s="660"/>
      <c r="BE134" s="660"/>
      <c r="BF134" s="660"/>
      <c r="BG134" s="660"/>
      <c r="BH134" s="660"/>
      <c r="BI134" s="660"/>
      <c r="BJ134" s="660"/>
      <c r="BK134" s="660"/>
      <c r="BL134" s="660"/>
      <c r="BM134" s="660"/>
      <c r="BN134" s="660"/>
      <c r="BO134" s="660"/>
      <c r="BP134" s="660"/>
      <c r="BQ134" s="660"/>
      <c r="BR134" s="660"/>
      <c r="BS134" s="660"/>
      <c r="BT134" s="660"/>
      <c r="BU134" s="660"/>
      <c r="BV134" s="660"/>
      <c r="BW134" s="660"/>
      <c r="BX134" s="660"/>
      <c r="BY134" s="660"/>
      <c r="BZ134" s="660"/>
      <c r="CA134" s="660"/>
      <c r="CB134" s="660"/>
    </row>
    <row r="135" spans="1:80" s="1" customFormat="1" ht="12.75" thickBot="1" x14ac:dyDescent="0.25">
      <c r="A135" s="660"/>
      <c r="B135" s="681"/>
      <c r="C135" s="681"/>
      <c r="D135" s="681"/>
      <c r="E135" s="681"/>
      <c r="F135" s="661"/>
      <c r="G135" s="661"/>
      <c r="H135" s="661"/>
      <c r="I135" s="661"/>
      <c r="J135" s="661"/>
      <c r="K135" s="661"/>
      <c r="L135" s="661"/>
      <c r="M135" s="661"/>
      <c r="N135" s="660"/>
      <c r="O135" s="660"/>
      <c r="P135" s="660"/>
      <c r="Q135" s="660"/>
      <c r="R135" s="660"/>
      <c r="S135" s="660"/>
      <c r="T135" s="660"/>
      <c r="U135" s="751" t="s">
        <v>93</v>
      </c>
      <c r="V135" s="752" t="str">
        <f>""</f>
        <v/>
      </c>
      <c r="W135" s="753" t="str">
        <f>""</f>
        <v/>
      </c>
      <c r="X135" s="753" t="str">
        <f>""</f>
        <v/>
      </c>
      <c r="Y135" s="754" t="str">
        <f>""</f>
        <v/>
      </c>
      <c r="Z135" s="735" t="str">
        <f>""</f>
        <v/>
      </c>
      <c r="AA135" s="753">
        <v>0</v>
      </c>
      <c r="AB135" s="755" t="str">
        <f>""</f>
        <v/>
      </c>
      <c r="AC135" s="756"/>
      <c r="AD135" s="757" t="str">
        <f>""</f>
        <v/>
      </c>
      <c r="AE135" s="756" t="str">
        <f>""</f>
        <v/>
      </c>
      <c r="AF135" s="757" t="str">
        <f>""</f>
        <v/>
      </c>
      <c r="AG135" s="756" t="str">
        <f>""</f>
        <v/>
      </c>
      <c r="AH135" s="757" t="str">
        <f>""</f>
        <v/>
      </c>
      <c r="AI135" s="756" t="str">
        <f>""</f>
        <v/>
      </c>
      <c r="AJ135" s="758"/>
      <c r="AK135" s="759"/>
      <c r="AL135" s="757" t="str">
        <f>""</f>
        <v/>
      </c>
      <c r="AM135" s="756" t="str">
        <f>""</f>
        <v/>
      </c>
      <c r="AN135" s="660"/>
      <c r="AO135" s="660"/>
      <c r="AP135" s="660"/>
      <c r="AQ135" s="660"/>
      <c r="AR135" s="660"/>
      <c r="AS135" s="660"/>
      <c r="AT135" s="660"/>
      <c r="AU135" s="660"/>
      <c r="AV135" s="660"/>
      <c r="AW135" s="660"/>
      <c r="AX135" s="660"/>
      <c r="AY135" s="660"/>
      <c r="AZ135" s="660"/>
      <c r="BA135" s="660"/>
      <c r="BB135" s="660"/>
      <c r="BC135" s="660"/>
      <c r="BD135" s="660"/>
      <c r="BE135" s="660"/>
      <c r="BF135" s="660"/>
      <c r="BG135" s="660"/>
      <c r="BH135" s="660"/>
      <c r="BI135" s="660"/>
      <c r="BJ135" s="660"/>
      <c r="BK135" s="660"/>
      <c r="BL135" s="660"/>
      <c r="BM135" s="660"/>
      <c r="BN135" s="660"/>
      <c r="BO135" s="660"/>
      <c r="BP135" s="660"/>
      <c r="BQ135" s="660"/>
      <c r="BR135" s="660"/>
      <c r="BS135" s="660"/>
      <c r="BT135" s="660"/>
      <c r="BU135" s="660"/>
      <c r="BV135" s="660"/>
      <c r="BW135" s="660"/>
      <c r="BX135" s="660"/>
      <c r="BY135" s="660"/>
      <c r="BZ135" s="660"/>
      <c r="CA135" s="660"/>
      <c r="CB135" s="660"/>
    </row>
    <row r="136" spans="1:80" s="1" customFormat="1" ht="12.75" thickTop="1" x14ac:dyDescent="0.2">
      <c r="A136" s="660"/>
      <c r="B136" s="681"/>
      <c r="C136" s="681"/>
      <c r="D136" s="681"/>
      <c r="E136" s="681"/>
      <c r="F136" s="661"/>
      <c r="G136" s="661"/>
      <c r="H136" s="661"/>
      <c r="I136" s="661"/>
      <c r="J136" s="661"/>
      <c r="K136" s="661"/>
      <c r="L136" s="661"/>
      <c r="M136" s="661"/>
      <c r="N136" s="660"/>
      <c r="O136" s="660"/>
      <c r="P136" s="660"/>
      <c r="Q136" s="660"/>
      <c r="R136" s="660"/>
      <c r="S136" s="660"/>
      <c r="T136" s="660"/>
      <c r="U136" s="660"/>
      <c r="V136" s="660"/>
      <c r="W136" s="660"/>
      <c r="X136" s="660"/>
      <c r="Y136" s="718" t="s">
        <v>6</v>
      </c>
      <c r="Z136" s="722" t="str">
        <f ca="1">W64&amp;V64</f>
        <v>FC Barcelona</v>
      </c>
      <c r="AA136" s="720">
        <f ca="1">AA64</f>
        <v>0</v>
      </c>
      <c r="AB136" s="661" t="str">
        <f ca="1">IF(AA64&gt;0,AI64&amp;Language!$E$99&amp;AH64,"")</f>
        <v/>
      </c>
      <c r="AC136" s="760" t="str">
        <f ca="1">IF(AA64&gt;0,AK64&amp;Language!$E$99&amp;AJ64,"")</f>
        <v/>
      </c>
      <c r="AD136" s="725"/>
      <c r="AE136" s="761"/>
      <c r="AF136" s="761"/>
      <c r="AG136" s="761"/>
      <c r="AH136" s="761"/>
      <c r="AI136" s="660"/>
      <c r="AJ136" s="660"/>
      <c r="AK136" s="660"/>
      <c r="AL136" s="660"/>
      <c r="AM136" s="660"/>
      <c r="AN136" s="660"/>
      <c r="AO136" s="660"/>
      <c r="AP136" s="660"/>
      <c r="AQ136" s="660"/>
      <c r="AR136" s="660"/>
      <c r="AS136" s="660"/>
      <c r="AT136" s="660"/>
      <c r="AU136" s="660"/>
      <c r="AV136" s="660"/>
      <c r="AW136" s="660"/>
      <c r="AX136" s="660"/>
      <c r="AY136" s="660"/>
      <c r="AZ136" s="660"/>
      <c r="BA136" s="660"/>
      <c r="BB136" s="660"/>
      <c r="BC136" s="660"/>
      <c r="BD136" s="660"/>
      <c r="BE136" s="660"/>
      <c r="BF136" s="660"/>
      <c r="BG136" s="660"/>
      <c r="BH136" s="660"/>
      <c r="BI136" s="660"/>
      <c r="BJ136" s="660"/>
      <c r="BK136" s="660"/>
      <c r="BL136" s="660"/>
      <c r="BM136" s="660"/>
      <c r="BN136" s="660"/>
      <c r="BO136" s="660"/>
      <c r="BP136" s="660"/>
      <c r="BQ136" s="660"/>
      <c r="BR136" s="660"/>
      <c r="BS136" s="660"/>
      <c r="BT136" s="660"/>
      <c r="BU136" s="660"/>
      <c r="BV136" s="660"/>
      <c r="BW136" s="660"/>
      <c r="BX136" s="660"/>
      <c r="BY136" s="660"/>
      <c r="BZ136" s="660"/>
      <c r="CA136" s="660"/>
      <c r="CB136" s="660"/>
    </row>
    <row r="137" spans="1:80" x14ac:dyDescent="0.2">
      <c r="A137" s="762"/>
      <c r="B137" s="762"/>
      <c r="C137" s="762"/>
      <c r="D137" s="762"/>
      <c r="E137" s="762"/>
      <c r="F137" s="762"/>
      <c r="G137" s="762"/>
      <c r="H137" s="762"/>
      <c r="I137" s="762"/>
      <c r="J137" s="762"/>
      <c r="K137" s="762"/>
      <c r="L137" s="762"/>
      <c r="M137" s="762"/>
      <c r="N137" s="762"/>
      <c r="O137" s="762"/>
      <c r="P137" s="762"/>
      <c r="Q137" s="762"/>
      <c r="R137" s="762"/>
      <c r="S137" s="762"/>
      <c r="T137" s="762"/>
      <c r="U137" s="762"/>
      <c r="V137" s="762"/>
      <c r="W137" s="762"/>
      <c r="X137" s="762"/>
      <c r="Y137" s="732" t="s">
        <v>7</v>
      </c>
      <c r="Z137" s="735" t="str">
        <f ca="1">W65&amp;V65</f>
        <v>FC Grönlingen1. FC Riedwald</v>
      </c>
      <c r="AA137" s="661">
        <f t="shared" ref="AA137:AA153" ca="1" si="50">AA65</f>
        <v>1</v>
      </c>
      <c r="AB137" s="661" t="str">
        <f ca="1">IF(AA65&gt;0,AI65&amp;Language!$E$99&amp;AH65,"")</f>
        <v>56 - 57</v>
      </c>
      <c r="AC137" s="763" t="str">
        <f ca="1">IF(AA65&gt;0,AK65&amp;Language!$E$99&amp;AJ65,"")</f>
        <v>1 - 2</v>
      </c>
      <c r="AD137" s="737"/>
      <c r="AE137" s="764"/>
      <c r="AF137" s="764"/>
      <c r="AG137" s="764"/>
      <c r="AH137" s="764"/>
      <c r="AI137" s="762"/>
      <c r="AJ137" s="762"/>
      <c r="AK137" s="762"/>
      <c r="AL137" s="762"/>
      <c r="AM137" s="762"/>
      <c r="AN137" s="762"/>
      <c r="AO137" s="762"/>
      <c r="AP137" s="762"/>
      <c r="AQ137" s="762"/>
      <c r="AR137" s="762"/>
      <c r="AS137" s="762"/>
      <c r="AT137" s="762"/>
      <c r="AU137" s="762"/>
      <c r="AV137" s="762"/>
      <c r="AW137" s="762"/>
      <c r="AX137" s="762"/>
      <c r="AY137" s="762"/>
      <c r="AZ137" s="762"/>
      <c r="BA137" s="762"/>
      <c r="BB137" s="762"/>
      <c r="BC137" s="762"/>
      <c r="BD137" s="762"/>
      <c r="BE137" s="762"/>
      <c r="BF137" s="762"/>
      <c r="BG137" s="762"/>
      <c r="BH137" s="762"/>
      <c r="BI137" s="762"/>
      <c r="BJ137" s="762"/>
      <c r="BK137" s="762"/>
      <c r="BL137" s="762"/>
      <c r="BM137" s="762"/>
      <c r="BN137" s="762"/>
      <c r="BO137" s="762"/>
      <c r="BP137" s="762"/>
      <c r="BQ137" s="762"/>
      <c r="BR137" s="762"/>
      <c r="BS137" s="762"/>
      <c r="BT137" s="762"/>
      <c r="BU137" s="762"/>
      <c r="BV137" s="762"/>
      <c r="BW137" s="762"/>
      <c r="BX137" s="762"/>
      <c r="BY137" s="762"/>
      <c r="BZ137" s="762"/>
      <c r="CA137" s="762"/>
      <c r="CB137" s="762"/>
    </row>
    <row r="138" spans="1:80" x14ac:dyDescent="0.2">
      <c r="A138" s="762"/>
      <c r="B138" s="762"/>
      <c r="C138" s="762"/>
      <c r="D138" s="762"/>
      <c r="E138" s="762"/>
      <c r="F138" s="762"/>
      <c r="G138" s="762"/>
      <c r="H138" s="762"/>
      <c r="I138" s="762"/>
      <c r="J138" s="762"/>
      <c r="K138" s="762"/>
      <c r="L138" s="762"/>
      <c r="M138" s="762"/>
      <c r="N138" s="762"/>
      <c r="O138" s="762"/>
      <c r="P138" s="762"/>
      <c r="Q138" s="762"/>
      <c r="R138" s="762"/>
      <c r="S138" s="762"/>
      <c r="T138" s="762"/>
      <c r="U138" s="762"/>
      <c r="V138" s="762"/>
      <c r="W138" s="762"/>
      <c r="X138" s="762"/>
      <c r="Y138" s="732" t="s">
        <v>8</v>
      </c>
      <c r="Z138" s="735" t="str">
        <f t="shared" ref="Z138:Z153" ca="1" si="51">W66&amp;V66</f>
        <v>Manchester CityMaibach 1822 eV</v>
      </c>
      <c r="AA138" s="661">
        <f t="shared" ca="1" si="50"/>
        <v>1</v>
      </c>
      <c r="AB138" s="661" t="str">
        <f ca="1">IF(AA66&gt;0,AI66&amp;Language!$E$99&amp;AH66,"")</f>
        <v>50 - 35</v>
      </c>
      <c r="AC138" s="763" t="str">
        <f ca="1">IF(AA66&gt;0,AK66&amp;Language!$E$99&amp;AJ66,"")</f>
        <v>2 - 0</v>
      </c>
      <c r="AD138" s="737"/>
      <c r="AE138" s="764"/>
      <c r="AF138" s="764"/>
      <c r="AG138" s="764"/>
      <c r="AH138" s="764"/>
      <c r="AI138" s="762"/>
      <c r="AJ138" s="762"/>
      <c r="AK138" s="762"/>
      <c r="AL138" s="762"/>
      <c r="AM138" s="762"/>
      <c r="AN138" s="762"/>
      <c r="AO138" s="762"/>
      <c r="AP138" s="762"/>
      <c r="AQ138" s="762"/>
      <c r="AR138" s="762"/>
      <c r="AS138" s="762"/>
      <c r="AT138" s="762"/>
      <c r="AU138" s="762"/>
      <c r="AV138" s="762"/>
      <c r="AW138" s="762"/>
      <c r="AX138" s="762"/>
      <c r="AY138" s="762"/>
      <c r="AZ138" s="762"/>
      <c r="BA138" s="762"/>
      <c r="BB138" s="762"/>
      <c r="BC138" s="762"/>
      <c r="BD138" s="762"/>
      <c r="BE138" s="762"/>
      <c r="BF138" s="762"/>
      <c r="BG138" s="762"/>
      <c r="BH138" s="762"/>
      <c r="BI138" s="762"/>
      <c r="BJ138" s="762"/>
      <c r="BK138" s="762"/>
      <c r="BL138" s="762"/>
      <c r="BM138" s="762"/>
      <c r="BN138" s="762"/>
      <c r="BO138" s="762"/>
      <c r="BP138" s="762"/>
      <c r="BQ138" s="762"/>
      <c r="BR138" s="762"/>
      <c r="BS138" s="762"/>
      <c r="BT138" s="762"/>
      <c r="BU138" s="762"/>
      <c r="BV138" s="762"/>
      <c r="BW138" s="762"/>
      <c r="BX138" s="762"/>
      <c r="BY138" s="762"/>
      <c r="BZ138" s="762"/>
      <c r="CA138" s="762"/>
      <c r="CB138" s="762"/>
    </row>
    <row r="139" spans="1:80" x14ac:dyDescent="0.2">
      <c r="A139" s="762"/>
      <c r="B139" s="762"/>
      <c r="C139" s="762"/>
      <c r="D139" s="762"/>
      <c r="E139" s="762"/>
      <c r="F139" s="762"/>
      <c r="G139" s="762"/>
      <c r="H139" s="762"/>
      <c r="I139" s="762"/>
      <c r="J139" s="762"/>
      <c r="K139" s="762"/>
      <c r="L139" s="762"/>
      <c r="M139" s="762"/>
      <c r="N139" s="762"/>
      <c r="O139" s="762"/>
      <c r="P139" s="762"/>
      <c r="Q139" s="762"/>
      <c r="R139" s="762"/>
      <c r="S139" s="762"/>
      <c r="T139" s="762"/>
      <c r="U139" s="762"/>
      <c r="V139" s="762"/>
      <c r="W139" s="762"/>
      <c r="X139" s="762"/>
      <c r="Y139" s="732" t="s">
        <v>9</v>
      </c>
      <c r="Z139" s="735" t="str">
        <f t="shared" ca="1" si="51"/>
        <v>Mainz 05</v>
      </c>
      <c r="AA139" s="661">
        <f t="shared" ca="1" si="50"/>
        <v>0</v>
      </c>
      <c r="AB139" s="661" t="str">
        <f ca="1">IF(AA67&gt;0,AI67&amp;Language!$E$99&amp;AH67,"")</f>
        <v/>
      </c>
      <c r="AC139" s="763" t="str">
        <f ca="1">IF(AA67&gt;0,AK67&amp;Language!$E$99&amp;AJ67,"")</f>
        <v/>
      </c>
      <c r="AD139" s="737"/>
      <c r="AE139" s="764"/>
      <c r="AF139" s="764"/>
      <c r="AG139" s="764"/>
      <c r="AH139" s="764"/>
      <c r="AI139" s="762"/>
      <c r="AJ139" s="762"/>
      <c r="AK139" s="762"/>
      <c r="AL139" s="762"/>
      <c r="AM139" s="762"/>
      <c r="AN139" s="762"/>
      <c r="AO139" s="762"/>
      <c r="AP139" s="762"/>
      <c r="AQ139" s="762"/>
      <c r="AR139" s="762"/>
      <c r="AS139" s="762"/>
      <c r="AT139" s="762"/>
      <c r="AU139" s="762"/>
      <c r="AV139" s="762"/>
      <c r="AW139" s="762"/>
      <c r="AX139" s="762"/>
      <c r="AY139" s="762"/>
      <c r="AZ139" s="762"/>
      <c r="BA139" s="762"/>
      <c r="BB139" s="762"/>
      <c r="BC139" s="762"/>
      <c r="BD139" s="762"/>
      <c r="BE139" s="762"/>
      <c r="BF139" s="762"/>
      <c r="BG139" s="762"/>
      <c r="BH139" s="762"/>
      <c r="BI139" s="762"/>
      <c r="BJ139" s="762"/>
      <c r="BK139" s="762"/>
      <c r="BL139" s="762"/>
      <c r="BM139" s="762"/>
      <c r="BN139" s="762"/>
      <c r="BO139" s="762"/>
      <c r="BP139" s="762"/>
      <c r="BQ139" s="762"/>
      <c r="BR139" s="762"/>
      <c r="BS139" s="762"/>
      <c r="BT139" s="762"/>
      <c r="BU139" s="762"/>
      <c r="BV139" s="762"/>
      <c r="BW139" s="762"/>
      <c r="BX139" s="762"/>
      <c r="BY139" s="762"/>
      <c r="BZ139" s="762"/>
      <c r="CA139" s="762"/>
      <c r="CB139" s="762"/>
    </row>
    <row r="140" spans="1:80" x14ac:dyDescent="0.2">
      <c r="A140" s="762"/>
      <c r="B140" s="762"/>
      <c r="C140" s="762"/>
      <c r="D140" s="762"/>
      <c r="E140" s="762"/>
      <c r="F140" s="762"/>
      <c r="G140" s="762"/>
      <c r="H140" s="762"/>
      <c r="I140" s="762"/>
      <c r="J140" s="762"/>
      <c r="K140" s="762"/>
      <c r="L140" s="762"/>
      <c r="M140" s="762"/>
      <c r="N140" s="762"/>
      <c r="O140" s="762"/>
      <c r="P140" s="762"/>
      <c r="Q140" s="762"/>
      <c r="R140" s="762"/>
      <c r="S140" s="762"/>
      <c r="T140" s="762"/>
      <c r="U140" s="762"/>
      <c r="V140" s="762"/>
      <c r="W140" s="762"/>
      <c r="X140" s="762"/>
      <c r="Y140" s="732" t="s">
        <v>10</v>
      </c>
      <c r="Z140" s="735" t="str">
        <f t="shared" ca="1" si="51"/>
        <v>Eintracht FrankfurtSSV Wildbach</v>
      </c>
      <c r="AA140" s="661">
        <f t="shared" ca="1" si="50"/>
        <v>1</v>
      </c>
      <c r="AB140" s="661" t="str">
        <f ca="1">IF(AA68&gt;0,AI68&amp;Language!$E$99&amp;AH68,"")</f>
        <v>44 - 50</v>
      </c>
      <c r="AC140" s="763" t="str">
        <f ca="1">IF(AA68&gt;0,AK68&amp;Language!$E$99&amp;AJ68,"")</f>
        <v>0 - 2</v>
      </c>
      <c r="AD140" s="737"/>
      <c r="AE140" s="764"/>
      <c r="AF140" s="764"/>
      <c r="AG140" s="764"/>
      <c r="AH140" s="764"/>
      <c r="AI140" s="762"/>
      <c r="AJ140" s="762"/>
      <c r="AK140" s="762"/>
      <c r="AL140" s="762"/>
      <c r="AM140" s="762"/>
      <c r="AN140" s="762"/>
      <c r="AO140" s="762"/>
      <c r="AP140" s="762"/>
      <c r="AQ140" s="762"/>
      <c r="AR140" s="762"/>
      <c r="AS140" s="762"/>
      <c r="AT140" s="762"/>
      <c r="AU140" s="762"/>
      <c r="AV140" s="762"/>
      <c r="AW140" s="762"/>
      <c r="AX140" s="762"/>
      <c r="AY140" s="762"/>
      <c r="AZ140" s="762"/>
      <c r="BA140" s="762"/>
      <c r="BB140" s="762"/>
      <c r="BC140" s="762"/>
      <c r="BD140" s="762"/>
      <c r="BE140" s="762"/>
      <c r="BF140" s="762"/>
      <c r="BG140" s="762"/>
      <c r="BH140" s="762"/>
      <c r="BI140" s="762"/>
      <c r="BJ140" s="762"/>
      <c r="BK140" s="762"/>
      <c r="BL140" s="762"/>
      <c r="BM140" s="762"/>
      <c r="BN140" s="762"/>
      <c r="BO140" s="762"/>
      <c r="BP140" s="762"/>
      <c r="BQ140" s="762"/>
      <c r="BR140" s="762"/>
      <c r="BS140" s="762"/>
      <c r="BT140" s="762"/>
      <c r="BU140" s="762"/>
      <c r="BV140" s="762"/>
      <c r="BW140" s="762"/>
      <c r="BX140" s="762"/>
      <c r="BY140" s="762"/>
      <c r="BZ140" s="762"/>
      <c r="CA140" s="762"/>
      <c r="CB140" s="762"/>
    </row>
    <row r="141" spans="1:80" x14ac:dyDescent="0.2">
      <c r="A141" s="762"/>
      <c r="B141" s="762"/>
      <c r="C141" s="762"/>
      <c r="D141" s="762"/>
      <c r="E141" s="762"/>
      <c r="F141" s="762"/>
      <c r="G141" s="762"/>
      <c r="H141" s="762"/>
      <c r="I141" s="762"/>
      <c r="J141" s="762"/>
      <c r="K141" s="762"/>
      <c r="L141" s="762"/>
      <c r="M141" s="762"/>
      <c r="N141" s="762"/>
      <c r="O141" s="762"/>
      <c r="P141" s="762"/>
      <c r="Q141" s="762"/>
      <c r="R141" s="762"/>
      <c r="S141" s="762"/>
      <c r="T141" s="762"/>
      <c r="U141" s="762"/>
      <c r="V141" s="762"/>
      <c r="W141" s="762"/>
      <c r="X141" s="762"/>
      <c r="Y141" s="732" t="s">
        <v>11</v>
      </c>
      <c r="Z141" s="735" t="str">
        <f t="shared" ca="1" si="51"/>
        <v>VFB EssenheimInter Mailand</v>
      </c>
      <c r="AA141" s="661">
        <f t="shared" ca="1" si="50"/>
        <v>1</v>
      </c>
      <c r="AB141" s="661" t="str">
        <f ca="1">IF(AA69&gt;0,AI69&amp;Language!$E$99&amp;AH69,"")</f>
        <v>39 - 50</v>
      </c>
      <c r="AC141" s="763" t="str">
        <f ca="1">IF(AA69&gt;0,AK69&amp;Language!$E$99&amp;AJ69,"")</f>
        <v>0 - 2</v>
      </c>
      <c r="AD141" s="737"/>
      <c r="AE141" s="764"/>
      <c r="AF141" s="764"/>
      <c r="AG141" s="764"/>
      <c r="AH141" s="764"/>
      <c r="AI141" s="762"/>
      <c r="AJ141" s="762"/>
      <c r="AK141" s="762"/>
      <c r="AL141" s="762"/>
      <c r="AM141" s="762"/>
      <c r="AN141" s="762"/>
      <c r="AO141" s="762"/>
      <c r="AP141" s="762"/>
      <c r="AQ141" s="762"/>
      <c r="AR141" s="762"/>
      <c r="AS141" s="762"/>
      <c r="AT141" s="762"/>
      <c r="AU141" s="762"/>
      <c r="AV141" s="762"/>
      <c r="AW141" s="762"/>
      <c r="AX141" s="762"/>
      <c r="AY141" s="762"/>
      <c r="AZ141" s="762"/>
      <c r="BA141" s="762"/>
      <c r="BB141" s="762"/>
      <c r="BC141" s="762"/>
      <c r="BD141" s="762"/>
      <c r="BE141" s="762"/>
      <c r="BF141" s="762"/>
      <c r="BG141" s="762"/>
      <c r="BH141" s="762"/>
      <c r="BI141" s="762"/>
      <c r="BJ141" s="762"/>
      <c r="BK141" s="762"/>
      <c r="BL141" s="762"/>
      <c r="BM141" s="762"/>
      <c r="BN141" s="762"/>
      <c r="BO141" s="762"/>
      <c r="BP141" s="762"/>
      <c r="BQ141" s="762"/>
      <c r="BR141" s="762"/>
      <c r="BS141" s="762"/>
      <c r="BT141" s="762"/>
      <c r="BU141" s="762"/>
      <c r="BV141" s="762"/>
      <c r="BW141" s="762"/>
      <c r="BX141" s="762"/>
      <c r="BY141" s="762"/>
      <c r="BZ141" s="762"/>
      <c r="CA141" s="762"/>
      <c r="CB141" s="762"/>
    </row>
    <row r="142" spans="1:80" x14ac:dyDescent="0.2">
      <c r="A142" s="762"/>
      <c r="B142" s="762"/>
      <c r="C142" s="762"/>
      <c r="D142" s="762"/>
      <c r="E142" s="762"/>
      <c r="F142" s="762"/>
      <c r="G142" s="762"/>
      <c r="H142" s="762"/>
      <c r="I142" s="762"/>
      <c r="J142" s="762"/>
      <c r="K142" s="762"/>
      <c r="L142" s="762"/>
      <c r="M142" s="762"/>
      <c r="N142" s="762"/>
      <c r="O142" s="762"/>
      <c r="P142" s="762"/>
      <c r="Q142" s="762"/>
      <c r="R142" s="762"/>
      <c r="S142" s="762"/>
      <c r="T142" s="762"/>
      <c r="U142" s="762"/>
      <c r="V142" s="762"/>
      <c r="W142" s="762"/>
      <c r="X142" s="762"/>
      <c r="Y142" s="732" t="s">
        <v>16</v>
      </c>
      <c r="Z142" s="735" t="str">
        <f t="shared" ca="1" si="51"/>
        <v>FC Barcelona</v>
      </c>
      <c r="AA142" s="661">
        <f t="shared" ca="1" si="50"/>
        <v>0</v>
      </c>
      <c r="AB142" s="661" t="str">
        <f ca="1">IF(AA70&gt;0,AI70&amp;Language!$E$99&amp;AH70,"")</f>
        <v/>
      </c>
      <c r="AC142" s="763" t="str">
        <f ca="1">IF(AA70&gt;0,AK70&amp;Language!$E$99&amp;AJ70,"")</f>
        <v/>
      </c>
      <c r="AD142" s="737"/>
      <c r="AE142" s="764"/>
      <c r="AF142" s="764"/>
      <c r="AG142" s="764"/>
      <c r="AH142" s="764"/>
      <c r="AI142" s="762"/>
      <c r="AJ142" s="762"/>
      <c r="AK142" s="762"/>
      <c r="AL142" s="762"/>
      <c r="AM142" s="762"/>
      <c r="AN142" s="762"/>
      <c r="AO142" s="762"/>
      <c r="AP142" s="762"/>
      <c r="AQ142" s="762"/>
      <c r="AR142" s="762"/>
      <c r="AS142" s="762"/>
      <c r="AT142" s="762"/>
      <c r="AU142" s="762"/>
      <c r="AV142" s="762"/>
      <c r="AW142" s="762"/>
      <c r="AX142" s="762"/>
      <c r="AY142" s="762"/>
      <c r="AZ142" s="762"/>
      <c r="BA142" s="762"/>
      <c r="BB142" s="762"/>
      <c r="BC142" s="762"/>
      <c r="BD142" s="762"/>
      <c r="BE142" s="762"/>
      <c r="BF142" s="762"/>
      <c r="BG142" s="762"/>
      <c r="BH142" s="762"/>
      <c r="BI142" s="762"/>
      <c r="BJ142" s="762"/>
      <c r="BK142" s="762"/>
      <c r="BL142" s="762"/>
      <c r="BM142" s="762"/>
      <c r="BN142" s="762"/>
      <c r="BO142" s="762"/>
      <c r="BP142" s="762"/>
      <c r="BQ142" s="762"/>
      <c r="BR142" s="762"/>
      <c r="BS142" s="762"/>
      <c r="BT142" s="762"/>
      <c r="BU142" s="762"/>
      <c r="BV142" s="762"/>
      <c r="BW142" s="762"/>
      <c r="BX142" s="762"/>
      <c r="BY142" s="762"/>
      <c r="BZ142" s="762"/>
      <c r="CA142" s="762"/>
      <c r="CB142" s="762"/>
    </row>
    <row r="143" spans="1:80" x14ac:dyDescent="0.2">
      <c r="A143" s="762"/>
      <c r="B143" s="762"/>
      <c r="C143" s="762"/>
      <c r="D143" s="762"/>
      <c r="E143" s="762"/>
      <c r="F143" s="762"/>
      <c r="G143" s="762"/>
      <c r="H143" s="762"/>
      <c r="I143" s="762"/>
      <c r="J143" s="762"/>
      <c r="K143" s="762"/>
      <c r="L143" s="762"/>
      <c r="M143" s="762"/>
      <c r="N143" s="762"/>
      <c r="O143" s="762"/>
      <c r="P143" s="762"/>
      <c r="Q143" s="762"/>
      <c r="R143" s="762"/>
      <c r="S143" s="762"/>
      <c r="T143" s="762"/>
      <c r="U143" s="762"/>
      <c r="V143" s="762"/>
      <c r="W143" s="762"/>
      <c r="X143" s="762"/>
      <c r="Y143" s="732" t="s">
        <v>17</v>
      </c>
      <c r="Z143" s="735" t="str">
        <f t="shared" ca="1" si="51"/>
        <v>Eintracht Frankfurt1. FC Riedwald</v>
      </c>
      <c r="AA143" s="661">
        <f t="shared" ca="1" si="50"/>
        <v>1</v>
      </c>
      <c r="AB143" s="661" t="str">
        <f ca="1">IF(AA71&gt;0,AI71&amp;Language!$E$99&amp;AH71,"")</f>
        <v>37 - 44</v>
      </c>
      <c r="AC143" s="763" t="str">
        <f ca="1">IF(AA71&gt;0,AK71&amp;Language!$E$99&amp;AJ71,"")</f>
        <v>1 - 1</v>
      </c>
      <c r="AD143" s="737"/>
      <c r="AE143" s="764"/>
      <c r="AF143" s="764"/>
      <c r="AG143" s="764"/>
      <c r="AH143" s="764"/>
      <c r="AI143" s="762"/>
      <c r="AJ143" s="762"/>
      <c r="AK143" s="762"/>
      <c r="AL143" s="762"/>
      <c r="AM143" s="762"/>
      <c r="AN143" s="762"/>
      <c r="AO143" s="762"/>
      <c r="AP143" s="762"/>
      <c r="AQ143" s="762"/>
      <c r="AR143" s="762"/>
      <c r="AS143" s="762"/>
      <c r="AT143" s="762"/>
      <c r="AU143" s="762"/>
      <c r="AV143" s="762"/>
      <c r="AW143" s="762"/>
      <c r="AX143" s="762"/>
      <c r="AY143" s="762"/>
      <c r="AZ143" s="762"/>
      <c r="BA143" s="762"/>
      <c r="BB143" s="762"/>
      <c r="BC143" s="762"/>
      <c r="BD143" s="762"/>
      <c r="BE143" s="762"/>
      <c r="BF143" s="762"/>
      <c r="BG143" s="762"/>
      <c r="BH143" s="762"/>
      <c r="BI143" s="762"/>
      <c r="BJ143" s="762"/>
      <c r="BK143" s="762"/>
      <c r="BL143" s="762"/>
      <c r="BM143" s="762"/>
      <c r="BN143" s="762"/>
      <c r="BO143" s="762"/>
      <c r="BP143" s="762"/>
      <c r="BQ143" s="762"/>
      <c r="BR143" s="762"/>
      <c r="BS143" s="762"/>
      <c r="BT143" s="762"/>
      <c r="BU143" s="762"/>
      <c r="BV143" s="762"/>
      <c r="BW143" s="762"/>
      <c r="BX143" s="762"/>
      <c r="BY143" s="762"/>
      <c r="BZ143" s="762"/>
      <c r="CA143" s="762"/>
      <c r="CB143" s="762"/>
    </row>
    <row r="144" spans="1:80" x14ac:dyDescent="0.2">
      <c r="A144" s="762"/>
      <c r="B144" s="762"/>
      <c r="C144" s="762"/>
      <c r="D144" s="762"/>
      <c r="E144" s="762"/>
      <c r="F144" s="762"/>
      <c r="G144" s="762"/>
      <c r="H144" s="762"/>
      <c r="I144" s="762"/>
      <c r="J144" s="762"/>
      <c r="K144" s="762"/>
      <c r="L144" s="762"/>
      <c r="M144" s="762"/>
      <c r="N144" s="762"/>
      <c r="O144" s="762"/>
      <c r="P144" s="762"/>
      <c r="Q144" s="762"/>
      <c r="R144" s="762"/>
      <c r="S144" s="762"/>
      <c r="T144" s="762"/>
      <c r="U144" s="762"/>
      <c r="V144" s="762"/>
      <c r="W144" s="762"/>
      <c r="X144" s="762"/>
      <c r="Y144" s="732" t="s">
        <v>18</v>
      </c>
      <c r="Z144" s="735" t="str">
        <f t="shared" ca="1" si="51"/>
        <v>VFB EssenheimMaibach 1822 eV</v>
      </c>
      <c r="AA144" s="661">
        <f t="shared" ca="1" si="50"/>
        <v>1</v>
      </c>
      <c r="AB144" s="661" t="str">
        <f ca="1">IF(AA72&gt;0,AI72&amp;Language!$E$99&amp;AH72,"")</f>
        <v>50 - 31</v>
      </c>
      <c r="AC144" s="763" t="str">
        <f ca="1">IF(AA72&gt;0,AK72&amp;Language!$E$99&amp;AJ72,"")</f>
        <v>2 - 0</v>
      </c>
      <c r="AD144" s="737"/>
      <c r="AE144" s="764"/>
      <c r="AF144" s="764"/>
      <c r="AG144" s="764"/>
      <c r="AH144" s="764"/>
      <c r="AI144" s="762"/>
      <c r="AJ144" s="762"/>
      <c r="AK144" s="762"/>
      <c r="AL144" s="762"/>
      <c r="AM144" s="762"/>
      <c r="AN144" s="762"/>
      <c r="AO144" s="762"/>
      <c r="AP144" s="762"/>
      <c r="AQ144" s="762"/>
      <c r="AR144" s="762"/>
      <c r="AS144" s="762"/>
      <c r="AT144" s="762"/>
      <c r="AU144" s="762"/>
      <c r="AV144" s="762"/>
      <c r="AW144" s="762"/>
      <c r="AX144" s="762"/>
      <c r="AY144" s="762"/>
      <c r="AZ144" s="762"/>
      <c r="BA144" s="762"/>
      <c r="BB144" s="762"/>
      <c r="BC144" s="762"/>
      <c r="BD144" s="762"/>
      <c r="BE144" s="762"/>
      <c r="BF144" s="762"/>
      <c r="BG144" s="762"/>
      <c r="BH144" s="762"/>
      <c r="BI144" s="762"/>
      <c r="BJ144" s="762"/>
      <c r="BK144" s="762"/>
      <c r="BL144" s="762"/>
      <c r="BM144" s="762"/>
      <c r="BN144" s="762"/>
      <c r="BO144" s="762"/>
      <c r="BP144" s="762"/>
      <c r="BQ144" s="762"/>
      <c r="BR144" s="762"/>
      <c r="BS144" s="762"/>
      <c r="BT144" s="762"/>
      <c r="BU144" s="762"/>
      <c r="BV144" s="762"/>
      <c r="BW144" s="762"/>
      <c r="BX144" s="762"/>
      <c r="BY144" s="762"/>
      <c r="BZ144" s="762"/>
      <c r="CA144" s="762"/>
      <c r="CB144" s="762"/>
    </row>
    <row r="145" spans="1:80" x14ac:dyDescent="0.2">
      <c r="A145" s="762"/>
      <c r="B145" s="762"/>
      <c r="C145" s="762"/>
      <c r="D145" s="762"/>
      <c r="E145" s="762"/>
      <c r="F145" s="762"/>
      <c r="G145" s="762"/>
      <c r="H145" s="762"/>
      <c r="I145" s="762"/>
      <c r="J145" s="762"/>
      <c r="K145" s="762"/>
      <c r="L145" s="762"/>
      <c r="M145" s="762"/>
      <c r="N145" s="762"/>
      <c r="O145" s="762"/>
      <c r="P145" s="762"/>
      <c r="Q145" s="762"/>
      <c r="R145" s="762"/>
      <c r="S145" s="762"/>
      <c r="T145" s="762"/>
      <c r="U145" s="762"/>
      <c r="V145" s="762"/>
      <c r="W145" s="762"/>
      <c r="X145" s="762"/>
      <c r="Y145" s="732" t="s">
        <v>24</v>
      </c>
      <c r="Z145" s="735" t="str">
        <f t="shared" ca="1" si="51"/>
        <v>Mainz 05</v>
      </c>
      <c r="AA145" s="661">
        <f t="shared" ca="1" si="50"/>
        <v>0</v>
      </c>
      <c r="AB145" s="661" t="str">
        <f ca="1">IF(AA73&gt;0,AI73&amp;Language!$E$99&amp;AH73,"")</f>
        <v/>
      </c>
      <c r="AC145" s="763" t="str">
        <f ca="1">IF(AA73&gt;0,AK73&amp;Language!$E$99&amp;AJ73,"")</f>
        <v/>
      </c>
      <c r="AD145" s="737"/>
      <c r="AE145" s="764"/>
      <c r="AF145" s="764"/>
      <c r="AG145" s="764"/>
      <c r="AH145" s="764"/>
      <c r="AI145" s="762"/>
      <c r="AJ145" s="762"/>
      <c r="AK145" s="762"/>
      <c r="AL145" s="762"/>
      <c r="AM145" s="762"/>
      <c r="AN145" s="762"/>
      <c r="AO145" s="762"/>
      <c r="AP145" s="762"/>
      <c r="AQ145" s="762"/>
      <c r="AR145" s="762"/>
      <c r="AS145" s="762"/>
      <c r="AT145" s="762"/>
      <c r="AU145" s="762"/>
      <c r="AV145" s="762"/>
      <c r="AW145" s="762"/>
      <c r="AX145" s="762"/>
      <c r="AY145" s="762"/>
      <c r="AZ145" s="762"/>
      <c r="BA145" s="762"/>
      <c r="BB145" s="762"/>
      <c r="BC145" s="762"/>
      <c r="BD145" s="762"/>
      <c r="BE145" s="762"/>
      <c r="BF145" s="762"/>
      <c r="BG145" s="762"/>
      <c r="BH145" s="762"/>
      <c r="BI145" s="762"/>
      <c r="BJ145" s="762"/>
      <c r="BK145" s="762"/>
      <c r="BL145" s="762"/>
      <c r="BM145" s="762"/>
      <c r="BN145" s="762"/>
      <c r="BO145" s="762"/>
      <c r="BP145" s="762"/>
      <c r="BQ145" s="762"/>
      <c r="BR145" s="762"/>
      <c r="BS145" s="762"/>
      <c r="BT145" s="762"/>
      <c r="BU145" s="762"/>
      <c r="BV145" s="762"/>
      <c r="BW145" s="762"/>
      <c r="BX145" s="762"/>
      <c r="BY145" s="762"/>
      <c r="BZ145" s="762"/>
      <c r="CA145" s="762"/>
      <c r="CB145" s="762"/>
    </row>
    <row r="146" spans="1:80" x14ac:dyDescent="0.2">
      <c r="A146" s="762"/>
      <c r="B146" s="762"/>
      <c r="C146" s="762"/>
      <c r="D146" s="762"/>
      <c r="E146" s="762"/>
      <c r="F146" s="762"/>
      <c r="G146" s="762"/>
      <c r="H146" s="762"/>
      <c r="I146" s="762"/>
      <c r="J146" s="762"/>
      <c r="K146" s="762"/>
      <c r="L146" s="762"/>
      <c r="M146" s="762"/>
      <c r="N146" s="762"/>
      <c r="O146" s="762"/>
      <c r="P146" s="762"/>
      <c r="Q146" s="762"/>
      <c r="R146" s="762"/>
      <c r="S146" s="762"/>
      <c r="T146" s="762"/>
      <c r="U146" s="762"/>
      <c r="V146" s="762"/>
      <c r="W146" s="762"/>
      <c r="X146" s="762"/>
      <c r="Y146" s="732" t="s">
        <v>25</v>
      </c>
      <c r="Z146" s="735" t="str">
        <f t="shared" ca="1" si="51"/>
        <v>FC GrönlingenSSV Wildbach</v>
      </c>
      <c r="AA146" s="661">
        <f t="shared" ca="1" si="50"/>
        <v>1</v>
      </c>
      <c r="AB146" s="661" t="str">
        <f ca="1">IF(AA74&gt;0,AI74&amp;Language!$E$99&amp;AH74,"")</f>
        <v>45 - 47</v>
      </c>
      <c r="AC146" s="763" t="str">
        <f ca="1">IF(AA74&gt;0,AK74&amp;Language!$E$99&amp;AJ74,"")</f>
        <v>1 - 1</v>
      </c>
      <c r="AD146" s="737"/>
      <c r="AE146" s="764"/>
      <c r="AF146" s="764"/>
      <c r="AG146" s="764"/>
      <c r="AH146" s="764"/>
      <c r="AI146" s="762"/>
      <c r="AJ146" s="762"/>
      <c r="AK146" s="762"/>
      <c r="AL146" s="762"/>
      <c r="AM146" s="762"/>
      <c r="AN146" s="762"/>
      <c r="AO146" s="762"/>
      <c r="AP146" s="762"/>
      <c r="AQ146" s="762"/>
      <c r="AR146" s="762"/>
      <c r="AS146" s="762"/>
      <c r="AT146" s="762"/>
      <c r="AU146" s="762"/>
      <c r="AV146" s="762"/>
      <c r="AW146" s="762"/>
      <c r="AX146" s="762"/>
      <c r="AY146" s="762"/>
      <c r="AZ146" s="762"/>
      <c r="BA146" s="762"/>
      <c r="BB146" s="762"/>
      <c r="BC146" s="762"/>
      <c r="BD146" s="762"/>
      <c r="BE146" s="762"/>
      <c r="BF146" s="762"/>
      <c r="BG146" s="762"/>
      <c r="BH146" s="762"/>
      <c r="BI146" s="762"/>
      <c r="BJ146" s="762"/>
      <c r="BK146" s="762"/>
      <c r="BL146" s="762"/>
      <c r="BM146" s="762"/>
      <c r="BN146" s="762"/>
      <c r="BO146" s="762"/>
      <c r="BP146" s="762"/>
      <c r="BQ146" s="762"/>
      <c r="BR146" s="762"/>
      <c r="BS146" s="762"/>
      <c r="BT146" s="762"/>
      <c r="BU146" s="762"/>
      <c r="BV146" s="762"/>
      <c r="BW146" s="762"/>
      <c r="BX146" s="762"/>
      <c r="BY146" s="762"/>
      <c r="BZ146" s="762"/>
      <c r="CA146" s="762"/>
      <c r="CB146" s="762"/>
    </row>
    <row r="147" spans="1:80" x14ac:dyDescent="0.2">
      <c r="A147" s="762"/>
      <c r="B147" s="762"/>
      <c r="C147" s="762"/>
      <c r="D147" s="762"/>
      <c r="E147" s="762"/>
      <c r="F147" s="762"/>
      <c r="G147" s="762"/>
      <c r="H147" s="762"/>
      <c r="I147" s="762"/>
      <c r="J147" s="762"/>
      <c r="K147" s="762"/>
      <c r="L147" s="762"/>
      <c r="M147" s="762"/>
      <c r="N147" s="762"/>
      <c r="O147" s="762"/>
      <c r="P147" s="762"/>
      <c r="Q147" s="762"/>
      <c r="R147" s="762"/>
      <c r="S147" s="762"/>
      <c r="T147" s="762"/>
      <c r="U147" s="762"/>
      <c r="V147" s="762"/>
      <c r="W147" s="762"/>
      <c r="X147" s="762"/>
      <c r="Y147" s="732" t="s">
        <v>26</v>
      </c>
      <c r="Z147" s="735" t="str">
        <f t="shared" ca="1" si="51"/>
        <v>Manchester CityInter Mailand</v>
      </c>
      <c r="AA147" s="661">
        <f t="shared" ca="1" si="50"/>
        <v>1</v>
      </c>
      <c r="AB147" s="661" t="str">
        <f ca="1">IF(AA75&gt;0,AI75&amp;Language!$E$99&amp;AH75,"")</f>
        <v>44 - 44</v>
      </c>
      <c r="AC147" s="763" t="str">
        <f ca="1">IF(AA75&gt;0,AK75&amp;Language!$E$99&amp;AJ75,"")</f>
        <v>1 - 1</v>
      </c>
      <c r="AD147" s="737"/>
      <c r="AE147" s="764"/>
      <c r="AF147" s="764"/>
      <c r="AG147" s="764"/>
      <c r="AH147" s="764"/>
      <c r="AI147" s="762"/>
      <c r="AJ147" s="762"/>
      <c r="AK147" s="762"/>
      <c r="AL147" s="762"/>
      <c r="AM147" s="762"/>
      <c r="AN147" s="762"/>
      <c r="AO147" s="762"/>
      <c r="AP147" s="762"/>
      <c r="AQ147" s="762"/>
      <c r="AR147" s="762"/>
      <c r="AS147" s="762"/>
      <c r="AT147" s="762"/>
      <c r="AU147" s="762"/>
      <c r="AV147" s="762"/>
      <c r="AW147" s="762"/>
      <c r="AX147" s="762"/>
      <c r="AY147" s="762"/>
      <c r="AZ147" s="762"/>
      <c r="BA147" s="762"/>
      <c r="BB147" s="762"/>
      <c r="BC147" s="762"/>
      <c r="BD147" s="762"/>
      <c r="BE147" s="762"/>
      <c r="BF147" s="762"/>
      <c r="BG147" s="762"/>
      <c r="BH147" s="762"/>
      <c r="BI147" s="762"/>
      <c r="BJ147" s="762"/>
      <c r="BK147" s="762"/>
      <c r="BL147" s="762"/>
      <c r="BM147" s="762"/>
      <c r="BN147" s="762"/>
      <c r="BO147" s="762"/>
      <c r="BP147" s="762"/>
      <c r="BQ147" s="762"/>
      <c r="BR147" s="762"/>
      <c r="BS147" s="762"/>
      <c r="BT147" s="762"/>
      <c r="BU147" s="762"/>
      <c r="BV147" s="762"/>
      <c r="BW147" s="762"/>
      <c r="BX147" s="762"/>
      <c r="BY147" s="762"/>
      <c r="BZ147" s="762"/>
      <c r="CA147" s="762"/>
      <c r="CB147" s="762"/>
    </row>
    <row r="148" spans="1:80" x14ac:dyDescent="0.2">
      <c r="A148" s="762"/>
      <c r="B148" s="762"/>
      <c r="C148" s="762"/>
      <c r="D148" s="762"/>
      <c r="E148" s="762"/>
      <c r="F148" s="762"/>
      <c r="G148" s="762"/>
      <c r="H148" s="762"/>
      <c r="I148" s="762"/>
      <c r="J148" s="762"/>
      <c r="K148" s="762"/>
      <c r="L148" s="762"/>
      <c r="M148" s="762"/>
      <c r="N148" s="762"/>
      <c r="O148" s="762"/>
      <c r="P148" s="762"/>
      <c r="Q148" s="762"/>
      <c r="R148" s="762"/>
      <c r="S148" s="762"/>
      <c r="T148" s="762"/>
      <c r="U148" s="762"/>
      <c r="V148" s="762"/>
      <c r="W148" s="762"/>
      <c r="X148" s="762"/>
      <c r="Y148" s="732" t="s">
        <v>27</v>
      </c>
      <c r="Z148" s="735" t="str">
        <f t="shared" ca="1" si="51"/>
        <v/>
      </c>
      <c r="AA148" s="661">
        <f t="shared" ca="1" si="50"/>
        <v>0</v>
      </c>
      <c r="AB148" s="661" t="str">
        <f ca="1">IF(AA76&gt;0,AI76&amp;Language!$E$99&amp;AH76,"")</f>
        <v/>
      </c>
      <c r="AC148" s="763" t="str">
        <f ca="1">IF(AA76&gt;0,AK76&amp;Language!$E$99&amp;AJ76,"")</f>
        <v/>
      </c>
      <c r="AD148" s="737"/>
      <c r="AE148" s="764"/>
      <c r="AF148" s="764"/>
      <c r="AG148" s="764"/>
      <c r="AH148" s="764"/>
      <c r="AI148" s="762"/>
      <c r="AJ148" s="762"/>
      <c r="AK148" s="762"/>
      <c r="AL148" s="762"/>
      <c r="AM148" s="762"/>
      <c r="AN148" s="762"/>
      <c r="AO148" s="762"/>
      <c r="AP148" s="762"/>
      <c r="AQ148" s="762"/>
      <c r="AR148" s="762"/>
      <c r="AS148" s="762"/>
      <c r="AT148" s="762"/>
      <c r="AU148" s="762"/>
      <c r="AV148" s="762"/>
      <c r="AW148" s="762"/>
      <c r="AX148" s="762"/>
      <c r="AY148" s="762"/>
      <c r="AZ148" s="762"/>
      <c r="BA148" s="762"/>
      <c r="BB148" s="762"/>
      <c r="BC148" s="762"/>
      <c r="BD148" s="762"/>
      <c r="BE148" s="762"/>
      <c r="BF148" s="762"/>
      <c r="BG148" s="762"/>
      <c r="BH148" s="762"/>
      <c r="BI148" s="762"/>
      <c r="BJ148" s="762"/>
      <c r="BK148" s="762"/>
      <c r="BL148" s="762"/>
      <c r="BM148" s="762"/>
      <c r="BN148" s="762"/>
      <c r="BO148" s="762"/>
      <c r="BP148" s="762"/>
      <c r="BQ148" s="762"/>
      <c r="BR148" s="762"/>
      <c r="BS148" s="762"/>
      <c r="BT148" s="762"/>
      <c r="BU148" s="762"/>
      <c r="BV148" s="762"/>
      <c r="BW148" s="762"/>
      <c r="BX148" s="762"/>
      <c r="BY148" s="762"/>
      <c r="BZ148" s="762"/>
      <c r="CA148" s="762"/>
      <c r="CB148" s="762"/>
    </row>
    <row r="149" spans="1:80" x14ac:dyDescent="0.2">
      <c r="A149" s="762"/>
      <c r="B149" s="762"/>
      <c r="C149" s="762"/>
      <c r="D149" s="762"/>
      <c r="E149" s="762"/>
      <c r="F149" s="762"/>
      <c r="G149" s="762"/>
      <c r="H149" s="762"/>
      <c r="I149" s="762"/>
      <c r="J149" s="762"/>
      <c r="K149" s="762"/>
      <c r="L149" s="762"/>
      <c r="M149" s="762"/>
      <c r="N149" s="762"/>
      <c r="O149" s="762"/>
      <c r="P149" s="762"/>
      <c r="Q149" s="762"/>
      <c r="R149" s="762"/>
      <c r="S149" s="762"/>
      <c r="T149" s="762"/>
      <c r="U149" s="762"/>
      <c r="V149" s="762"/>
      <c r="W149" s="762"/>
      <c r="X149" s="762"/>
      <c r="Y149" s="732" t="s">
        <v>28</v>
      </c>
      <c r="Z149" s="735" t="str">
        <f t="shared" ca="1" si="51"/>
        <v>FC GrönlingenEintracht Frankfurt</v>
      </c>
      <c r="AA149" s="661">
        <f t="shared" ca="1" si="50"/>
        <v>1</v>
      </c>
      <c r="AB149" s="661" t="str">
        <f ca="1">IF(AA77&gt;0,AI77&amp;Language!$E$99&amp;AH77,"")</f>
        <v>48 - 39</v>
      </c>
      <c r="AC149" s="763" t="str">
        <f ca="1">IF(AA77&gt;0,AK77&amp;Language!$E$99&amp;AJ77,"")</f>
        <v>1 - 1</v>
      </c>
      <c r="AD149" s="737"/>
      <c r="AE149" s="764"/>
      <c r="AF149" s="764"/>
      <c r="AG149" s="764"/>
      <c r="AH149" s="764"/>
      <c r="AI149" s="762"/>
      <c r="AJ149" s="762"/>
      <c r="AK149" s="762"/>
      <c r="AL149" s="762"/>
      <c r="AM149" s="762"/>
      <c r="AN149" s="762"/>
      <c r="AO149" s="762"/>
      <c r="AP149" s="762"/>
      <c r="AQ149" s="762"/>
      <c r="AR149" s="762"/>
      <c r="AS149" s="762"/>
      <c r="AT149" s="762"/>
      <c r="AU149" s="762"/>
      <c r="AV149" s="762"/>
      <c r="AW149" s="762"/>
      <c r="AX149" s="762"/>
      <c r="AY149" s="762"/>
      <c r="AZ149" s="762"/>
      <c r="BA149" s="762"/>
      <c r="BB149" s="762"/>
      <c r="BC149" s="762"/>
      <c r="BD149" s="762"/>
      <c r="BE149" s="762"/>
      <c r="BF149" s="762"/>
      <c r="BG149" s="762"/>
      <c r="BH149" s="762"/>
      <c r="BI149" s="762"/>
      <c r="BJ149" s="762"/>
      <c r="BK149" s="762"/>
      <c r="BL149" s="762"/>
      <c r="BM149" s="762"/>
      <c r="BN149" s="762"/>
      <c r="BO149" s="762"/>
      <c r="BP149" s="762"/>
      <c r="BQ149" s="762"/>
      <c r="BR149" s="762"/>
      <c r="BS149" s="762"/>
      <c r="BT149" s="762"/>
      <c r="BU149" s="762"/>
      <c r="BV149" s="762"/>
      <c r="BW149" s="762"/>
      <c r="BX149" s="762"/>
      <c r="BY149" s="762"/>
      <c r="BZ149" s="762"/>
      <c r="CA149" s="762"/>
      <c r="CB149" s="762"/>
    </row>
    <row r="150" spans="1:80" x14ac:dyDescent="0.2">
      <c r="A150" s="762"/>
      <c r="B150" s="762"/>
      <c r="C150" s="762"/>
      <c r="D150" s="762"/>
      <c r="E150" s="762"/>
      <c r="F150" s="762"/>
      <c r="G150" s="762"/>
      <c r="H150" s="762"/>
      <c r="I150" s="762"/>
      <c r="J150" s="762"/>
      <c r="K150" s="762"/>
      <c r="L150" s="762"/>
      <c r="M150" s="762"/>
      <c r="N150" s="762"/>
      <c r="O150" s="762"/>
      <c r="P150" s="762"/>
      <c r="Q150" s="762"/>
      <c r="R150" s="762"/>
      <c r="S150" s="762"/>
      <c r="T150" s="762"/>
      <c r="U150" s="762"/>
      <c r="V150" s="762"/>
      <c r="W150" s="762"/>
      <c r="X150" s="762"/>
      <c r="Y150" s="732" t="s">
        <v>29</v>
      </c>
      <c r="Z150" s="735" t="str">
        <f t="shared" ca="1" si="51"/>
        <v>Manchester CityVFB Essenheim</v>
      </c>
      <c r="AA150" s="661">
        <f t="shared" ca="1" si="50"/>
        <v>1</v>
      </c>
      <c r="AB150" s="661" t="str">
        <f ca="1">IF(AA78&gt;0,AI78&amp;Language!$E$99&amp;AH78,"")</f>
        <v>42 - 46</v>
      </c>
      <c r="AC150" s="763" t="str">
        <f ca="1">IF(AA78&gt;0,AK78&amp;Language!$E$99&amp;AJ78,"")</f>
        <v>1 - 1</v>
      </c>
      <c r="AD150" s="737"/>
      <c r="AE150" s="764"/>
      <c r="AF150" s="764"/>
      <c r="AG150" s="764"/>
      <c r="AH150" s="764"/>
      <c r="AI150" s="762"/>
      <c r="AJ150" s="762"/>
      <c r="AK150" s="762"/>
      <c r="AL150" s="762"/>
      <c r="AM150" s="762"/>
      <c r="AN150" s="762"/>
      <c r="AO150" s="762"/>
      <c r="AP150" s="762"/>
      <c r="AQ150" s="762"/>
      <c r="AR150" s="762"/>
      <c r="AS150" s="762"/>
      <c r="AT150" s="762"/>
      <c r="AU150" s="762"/>
      <c r="AV150" s="762"/>
      <c r="AW150" s="762"/>
      <c r="AX150" s="762"/>
      <c r="AY150" s="762"/>
      <c r="AZ150" s="762"/>
      <c r="BA150" s="762"/>
      <c r="BB150" s="762"/>
      <c r="BC150" s="762"/>
      <c r="BD150" s="762"/>
      <c r="BE150" s="762"/>
      <c r="BF150" s="762"/>
      <c r="BG150" s="762"/>
      <c r="BH150" s="762"/>
      <c r="BI150" s="762"/>
      <c r="BJ150" s="762"/>
      <c r="BK150" s="762"/>
      <c r="BL150" s="762"/>
      <c r="BM150" s="762"/>
      <c r="BN150" s="762"/>
      <c r="BO150" s="762"/>
      <c r="BP150" s="762"/>
      <c r="BQ150" s="762"/>
      <c r="BR150" s="762"/>
      <c r="BS150" s="762"/>
      <c r="BT150" s="762"/>
      <c r="BU150" s="762"/>
      <c r="BV150" s="762"/>
      <c r="BW150" s="762"/>
      <c r="BX150" s="762"/>
      <c r="BY150" s="762"/>
      <c r="BZ150" s="762"/>
      <c r="CA150" s="762"/>
      <c r="CB150" s="762"/>
    </row>
    <row r="151" spans="1:80" x14ac:dyDescent="0.2">
      <c r="A151" s="762"/>
      <c r="B151" s="762"/>
      <c r="C151" s="762"/>
      <c r="D151" s="762"/>
      <c r="E151" s="762"/>
      <c r="F151" s="762"/>
      <c r="G151" s="762"/>
      <c r="H151" s="762"/>
      <c r="I151" s="762"/>
      <c r="J151" s="762"/>
      <c r="K151" s="762"/>
      <c r="L151" s="762"/>
      <c r="M151" s="762"/>
      <c r="N151" s="762"/>
      <c r="O151" s="762"/>
      <c r="P151" s="762"/>
      <c r="Q151" s="762"/>
      <c r="R151" s="762"/>
      <c r="S151" s="762"/>
      <c r="T151" s="762"/>
      <c r="U151" s="762"/>
      <c r="V151" s="762"/>
      <c r="W151" s="762"/>
      <c r="X151" s="762"/>
      <c r="Y151" s="732" t="s">
        <v>30</v>
      </c>
      <c r="Z151" s="735" t="str">
        <f t="shared" ca="1" si="51"/>
        <v>Mainz 05FC Barcelona</v>
      </c>
      <c r="AA151" s="661">
        <f t="shared" ca="1" si="50"/>
        <v>1</v>
      </c>
      <c r="AB151" s="661" t="str">
        <f ca="1">IF(AA79&gt;0,AI79&amp;Language!$E$99&amp;AH79,"")</f>
        <v>65 - 70</v>
      </c>
      <c r="AC151" s="763" t="str">
        <f ca="1">IF(AA79&gt;0,AK79&amp;Language!$E$99&amp;AJ79,"")</f>
        <v>1 - 2</v>
      </c>
      <c r="AD151" s="737"/>
      <c r="AE151" s="764"/>
      <c r="AF151" s="764"/>
      <c r="AG151" s="764"/>
      <c r="AH151" s="764"/>
      <c r="AI151" s="762"/>
      <c r="AJ151" s="762"/>
      <c r="AK151" s="762"/>
      <c r="AL151" s="762"/>
      <c r="AM151" s="762"/>
      <c r="AN151" s="762"/>
      <c r="AO151" s="762"/>
      <c r="AP151" s="762"/>
      <c r="AQ151" s="762"/>
      <c r="AR151" s="762"/>
      <c r="AS151" s="762"/>
      <c r="AT151" s="762"/>
      <c r="AU151" s="762"/>
      <c r="AV151" s="762"/>
      <c r="AW151" s="762"/>
      <c r="AX151" s="762"/>
      <c r="AY151" s="762"/>
      <c r="AZ151" s="762"/>
      <c r="BA151" s="762"/>
      <c r="BB151" s="762"/>
      <c r="BC151" s="762"/>
      <c r="BD151" s="762"/>
      <c r="BE151" s="762"/>
      <c r="BF151" s="762"/>
      <c r="BG151" s="762"/>
      <c r="BH151" s="762"/>
      <c r="BI151" s="762"/>
      <c r="BJ151" s="762"/>
      <c r="BK151" s="762"/>
      <c r="BL151" s="762"/>
      <c r="BM151" s="762"/>
      <c r="BN151" s="762"/>
      <c r="BO151" s="762"/>
      <c r="BP151" s="762"/>
      <c r="BQ151" s="762"/>
      <c r="BR151" s="762"/>
      <c r="BS151" s="762"/>
      <c r="BT151" s="762"/>
      <c r="BU151" s="762"/>
      <c r="BV151" s="762"/>
      <c r="BW151" s="762"/>
      <c r="BX151" s="762"/>
      <c r="BY151" s="762"/>
      <c r="BZ151" s="762"/>
      <c r="CA151" s="762"/>
      <c r="CB151" s="762"/>
    </row>
    <row r="152" spans="1:80" x14ac:dyDescent="0.2">
      <c r="A152" s="762"/>
      <c r="B152" s="762"/>
      <c r="C152" s="762"/>
      <c r="D152" s="762"/>
      <c r="E152" s="762"/>
      <c r="F152" s="762"/>
      <c r="G152" s="762"/>
      <c r="H152" s="762"/>
      <c r="I152" s="762"/>
      <c r="J152" s="762"/>
      <c r="K152" s="762"/>
      <c r="L152" s="762"/>
      <c r="M152" s="762"/>
      <c r="N152" s="762"/>
      <c r="O152" s="762"/>
      <c r="P152" s="762"/>
      <c r="Q152" s="762"/>
      <c r="R152" s="762"/>
      <c r="S152" s="762"/>
      <c r="T152" s="762"/>
      <c r="U152" s="762"/>
      <c r="V152" s="762"/>
      <c r="W152" s="762"/>
      <c r="X152" s="762"/>
      <c r="Y152" s="732" t="s">
        <v>31</v>
      </c>
      <c r="Z152" s="735" t="str">
        <f t="shared" ca="1" si="51"/>
        <v>SSV Wildbach1. FC Riedwald</v>
      </c>
      <c r="AA152" s="661">
        <f t="shared" ca="1" si="50"/>
        <v>1</v>
      </c>
      <c r="AB152" s="661" t="str">
        <f ca="1">IF(AA80&gt;0,AI80&amp;Language!$E$99&amp;AH80,"")</f>
        <v>39 - 50</v>
      </c>
      <c r="AC152" s="763" t="str">
        <f ca="1">IF(AA80&gt;0,AK80&amp;Language!$E$99&amp;AJ80,"")</f>
        <v>0 - 2</v>
      </c>
      <c r="AD152" s="737"/>
      <c r="AE152" s="764"/>
      <c r="AF152" s="764"/>
      <c r="AG152" s="764"/>
      <c r="AH152" s="764"/>
      <c r="AI152" s="762"/>
      <c r="AJ152" s="762"/>
      <c r="AK152" s="762"/>
      <c r="AL152" s="762"/>
      <c r="AM152" s="762"/>
      <c r="AN152" s="762"/>
      <c r="AO152" s="762"/>
      <c r="AP152" s="762"/>
      <c r="AQ152" s="762"/>
      <c r="AR152" s="762"/>
      <c r="AS152" s="762"/>
      <c r="AT152" s="762"/>
      <c r="AU152" s="762"/>
      <c r="AV152" s="762"/>
      <c r="AW152" s="762"/>
      <c r="AX152" s="762"/>
      <c r="AY152" s="762"/>
      <c r="AZ152" s="762"/>
      <c r="BA152" s="762"/>
      <c r="BB152" s="762"/>
      <c r="BC152" s="762"/>
      <c r="BD152" s="762"/>
      <c r="BE152" s="762"/>
      <c r="BF152" s="762"/>
      <c r="BG152" s="762"/>
      <c r="BH152" s="762"/>
      <c r="BI152" s="762"/>
      <c r="BJ152" s="762"/>
      <c r="BK152" s="762"/>
      <c r="BL152" s="762"/>
      <c r="BM152" s="762"/>
      <c r="BN152" s="762"/>
      <c r="BO152" s="762"/>
      <c r="BP152" s="762"/>
      <c r="BQ152" s="762"/>
      <c r="BR152" s="762"/>
      <c r="BS152" s="762"/>
      <c r="BT152" s="762"/>
      <c r="BU152" s="762"/>
      <c r="BV152" s="762"/>
      <c r="BW152" s="762"/>
      <c r="BX152" s="762"/>
      <c r="BY152" s="762"/>
      <c r="BZ152" s="762"/>
      <c r="CA152" s="762"/>
      <c r="CB152" s="762"/>
    </row>
    <row r="153" spans="1:80" ht="12.75" thickBot="1" x14ac:dyDescent="0.25">
      <c r="A153" s="762"/>
      <c r="B153" s="762"/>
      <c r="C153" s="762"/>
      <c r="D153" s="762"/>
      <c r="E153" s="762"/>
      <c r="F153" s="762"/>
      <c r="G153" s="762"/>
      <c r="H153" s="762"/>
      <c r="I153" s="762"/>
      <c r="J153" s="762"/>
      <c r="K153" s="762"/>
      <c r="L153" s="762"/>
      <c r="M153" s="762"/>
      <c r="N153" s="762"/>
      <c r="O153" s="762"/>
      <c r="P153" s="762"/>
      <c r="Q153" s="762"/>
      <c r="R153" s="762"/>
      <c r="S153" s="762"/>
      <c r="T153" s="762"/>
      <c r="U153" s="762"/>
      <c r="V153" s="762"/>
      <c r="W153" s="762"/>
      <c r="X153" s="762"/>
      <c r="Y153" s="732" t="s">
        <v>32</v>
      </c>
      <c r="Z153" s="735" t="str">
        <f t="shared" ca="1" si="51"/>
        <v>Inter MailandMaibach 1822 eV</v>
      </c>
      <c r="AA153" s="661">
        <f t="shared" ca="1" si="50"/>
        <v>1</v>
      </c>
      <c r="AB153" s="661" t="str">
        <f ca="1">IF(AA81&gt;0,AI81&amp;Language!$E$99&amp;AH81,"")</f>
        <v>33 - 50</v>
      </c>
      <c r="AC153" s="763" t="str">
        <f ca="1">IF(AA81&gt;0,AK81&amp;Language!$E$99&amp;AJ81,"")</f>
        <v>0 - 2</v>
      </c>
      <c r="AD153" s="737"/>
      <c r="AE153" s="764"/>
      <c r="AF153" s="764"/>
      <c r="AG153" s="764"/>
      <c r="AH153" s="764"/>
      <c r="AI153" s="762"/>
      <c r="AJ153" s="762"/>
      <c r="AK153" s="762"/>
      <c r="AL153" s="762"/>
      <c r="AM153" s="762"/>
      <c r="AN153" s="762"/>
      <c r="AO153" s="762"/>
      <c r="AP153" s="762"/>
      <c r="AQ153" s="762"/>
      <c r="AR153" s="762"/>
      <c r="AS153" s="762"/>
      <c r="AT153" s="762"/>
      <c r="AU153" s="762"/>
      <c r="AV153" s="762"/>
      <c r="AW153" s="762"/>
      <c r="AX153" s="762"/>
      <c r="AY153" s="762"/>
      <c r="AZ153" s="762"/>
      <c r="BA153" s="762"/>
      <c r="BB153" s="762"/>
      <c r="BC153" s="762"/>
      <c r="BD153" s="762"/>
      <c r="BE153" s="762"/>
      <c r="BF153" s="762"/>
      <c r="BG153" s="762"/>
      <c r="BH153" s="762"/>
      <c r="BI153" s="762"/>
      <c r="BJ153" s="762"/>
      <c r="BK153" s="762"/>
      <c r="BL153" s="762"/>
      <c r="BM153" s="762"/>
      <c r="BN153" s="762"/>
      <c r="BO153" s="762"/>
      <c r="BP153" s="762"/>
      <c r="BQ153" s="762"/>
      <c r="BR153" s="762"/>
      <c r="BS153" s="762"/>
      <c r="BT153" s="762"/>
      <c r="BU153" s="762"/>
      <c r="BV153" s="762"/>
      <c r="BW153" s="762"/>
      <c r="BX153" s="762"/>
      <c r="BY153" s="762"/>
      <c r="BZ153" s="762"/>
      <c r="CA153" s="762"/>
      <c r="CB153" s="762"/>
    </row>
    <row r="154" spans="1:80" ht="12.75" thickTop="1" x14ac:dyDescent="0.2">
      <c r="A154" s="762"/>
      <c r="B154" s="762"/>
      <c r="C154" s="762"/>
      <c r="D154" s="762"/>
      <c r="E154" s="762"/>
      <c r="F154" s="762"/>
      <c r="G154" s="762"/>
      <c r="H154" s="762"/>
      <c r="I154" s="762"/>
      <c r="J154" s="762"/>
      <c r="K154" s="762"/>
      <c r="L154" s="762"/>
      <c r="M154" s="762"/>
      <c r="N154" s="762"/>
      <c r="O154" s="762"/>
      <c r="P154" s="762"/>
      <c r="Q154" s="762"/>
      <c r="R154" s="762"/>
      <c r="S154" s="762"/>
      <c r="T154" s="762"/>
      <c r="U154" s="762"/>
      <c r="V154" s="762"/>
      <c r="W154" s="762"/>
      <c r="X154" s="762"/>
      <c r="Y154" s="742" t="s">
        <v>33</v>
      </c>
      <c r="Z154" s="746" t="str">
        <f>""</f>
        <v/>
      </c>
      <c r="AA154" s="744">
        <v>0</v>
      </c>
      <c r="AB154" s="744" t="str">
        <f>""</f>
        <v/>
      </c>
      <c r="AC154" s="765" t="str">
        <f>""</f>
        <v/>
      </c>
      <c r="AD154" s="737"/>
      <c r="AE154" s="764"/>
      <c r="AF154" s="764"/>
      <c r="AG154" s="764"/>
      <c r="AH154" s="764"/>
      <c r="AI154" s="762"/>
      <c r="AJ154" s="762"/>
      <c r="AK154" s="762"/>
      <c r="AL154" s="762"/>
      <c r="AM154" s="762"/>
      <c r="AN154" s="762"/>
      <c r="AO154" s="762"/>
      <c r="AP154" s="762"/>
      <c r="AQ154" s="762"/>
      <c r="AR154" s="762"/>
      <c r="AS154" s="762"/>
      <c r="AT154" s="762"/>
      <c r="AU154" s="762"/>
      <c r="AV154" s="762"/>
      <c r="AW154" s="762"/>
      <c r="AX154" s="762"/>
      <c r="AY154" s="762"/>
      <c r="AZ154" s="762"/>
      <c r="BA154" s="762"/>
      <c r="BB154" s="762"/>
      <c r="BC154" s="762"/>
      <c r="BD154" s="762"/>
      <c r="BE154" s="762"/>
      <c r="BF154" s="762"/>
      <c r="BG154" s="762"/>
      <c r="BH154" s="762"/>
      <c r="BI154" s="762"/>
      <c r="BJ154" s="762"/>
      <c r="BK154" s="762"/>
      <c r="BL154" s="762"/>
      <c r="BM154" s="762"/>
      <c r="BN154" s="762"/>
      <c r="BO154" s="762"/>
      <c r="BP154" s="762"/>
      <c r="BQ154" s="762"/>
      <c r="BR154" s="762"/>
      <c r="BS154" s="762"/>
      <c r="BT154" s="762"/>
      <c r="BU154" s="762"/>
      <c r="BV154" s="762"/>
      <c r="BW154" s="762"/>
      <c r="BX154" s="762"/>
      <c r="BY154" s="762"/>
      <c r="BZ154" s="762"/>
      <c r="CA154" s="762"/>
      <c r="CB154" s="762"/>
    </row>
    <row r="155" spans="1:80" x14ac:dyDescent="0.2">
      <c r="A155" s="762"/>
      <c r="B155" s="762"/>
      <c r="C155" s="762"/>
      <c r="D155" s="762"/>
      <c r="E155" s="762"/>
      <c r="F155" s="762"/>
      <c r="G155" s="762"/>
      <c r="H155" s="762"/>
      <c r="I155" s="762"/>
      <c r="J155" s="762"/>
      <c r="K155" s="762"/>
      <c r="L155" s="762"/>
      <c r="M155" s="762"/>
      <c r="N155" s="762"/>
      <c r="O155" s="762"/>
      <c r="P155" s="762"/>
      <c r="Q155" s="762"/>
      <c r="R155" s="762"/>
      <c r="S155" s="762"/>
      <c r="T155" s="762"/>
      <c r="U155" s="762"/>
      <c r="V155" s="762"/>
      <c r="W155" s="762"/>
      <c r="X155" s="762"/>
      <c r="Y155" s="732" t="s">
        <v>34</v>
      </c>
      <c r="Z155" s="735" t="str">
        <f>""</f>
        <v/>
      </c>
      <c r="AA155" s="661">
        <v>0</v>
      </c>
      <c r="AB155" s="661" t="str">
        <f>""</f>
        <v/>
      </c>
      <c r="AC155" s="763" t="str">
        <f>""</f>
        <v/>
      </c>
      <c r="AD155" s="737"/>
      <c r="AE155" s="764"/>
      <c r="AF155" s="764"/>
      <c r="AG155" s="764"/>
      <c r="AH155" s="764"/>
      <c r="AI155" s="762"/>
      <c r="AJ155" s="762"/>
      <c r="AK155" s="762"/>
      <c r="AL155" s="762"/>
      <c r="AM155" s="762"/>
      <c r="AN155" s="762"/>
      <c r="AO155" s="762"/>
      <c r="AP155" s="762"/>
      <c r="AQ155" s="762"/>
      <c r="AR155" s="762"/>
      <c r="AS155" s="762"/>
      <c r="AT155" s="762"/>
      <c r="AU155" s="762"/>
      <c r="AV155" s="762"/>
      <c r="AW155" s="762"/>
      <c r="AX155" s="762"/>
      <c r="AY155" s="762"/>
      <c r="AZ155" s="762"/>
      <c r="BA155" s="762"/>
      <c r="BB155" s="762"/>
      <c r="BC155" s="762"/>
      <c r="BD155" s="762"/>
      <c r="BE155" s="762"/>
      <c r="BF155" s="762"/>
      <c r="BG155" s="762"/>
      <c r="BH155" s="762"/>
      <c r="BI155" s="762"/>
      <c r="BJ155" s="762"/>
      <c r="BK155" s="762"/>
      <c r="BL155" s="762"/>
      <c r="BM155" s="762"/>
      <c r="BN155" s="762"/>
      <c r="BO155" s="762"/>
      <c r="BP155" s="762"/>
      <c r="BQ155" s="762"/>
      <c r="BR155" s="762"/>
      <c r="BS155" s="762"/>
      <c r="BT155" s="762"/>
      <c r="BU155" s="762"/>
      <c r="BV155" s="762"/>
      <c r="BW155" s="762"/>
      <c r="BX155" s="762"/>
      <c r="BY155" s="762"/>
      <c r="BZ155" s="762"/>
      <c r="CA155" s="762"/>
      <c r="CB155" s="762"/>
    </row>
    <row r="156" spans="1:80" x14ac:dyDescent="0.2">
      <c r="A156" s="762"/>
      <c r="B156" s="762"/>
      <c r="C156" s="762"/>
      <c r="D156" s="762"/>
      <c r="E156" s="762"/>
      <c r="F156" s="762"/>
      <c r="G156" s="762"/>
      <c r="H156" s="762"/>
      <c r="I156" s="762"/>
      <c r="J156" s="762"/>
      <c r="K156" s="762"/>
      <c r="L156" s="762"/>
      <c r="M156" s="762"/>
      <c r="N156" s="762"/>
      <c r="O156" s="762"/>
      <c r="P156" s="762"/>
      <c r="Q156" s="762"/>
      <c r="R156" s="762"/>
      <c r="S156" s="762"/>
      <c r="T156" s="762"/>
      <c r="U156" s="762"/>
      <c r="V156" s="762"/>
      <c r="W156" s="762"/>
      <c r="X156" s="762"/>
      <c r="Y156" s="732" t="s">
        <v>35</v>
      </c>
      <c r="Z156" s="735" t="str">
        <f>""</f>
        <v/>
      </c>
      <c r="AA156" s="661">
        <v>0</v>
      </c>
      <c r="AB156" s="661" t="str">
        <f>""</f>
        <v/>
      </c>
      <c r="AC156" s="763" t="str">
        <f>""</f>
        <v/>
      </c>
      <c r="AD156" s="737"/>
      <c r="AE156" s="764"/>
      <c r="AF156" s="764"/>
      <c r="AG156" s="764"/>
      <c r="AH156" s="764"/>
      <c r="AI156" s="762"/>
      <c r="AJ156" s="762"/>
      <c r="AK156" s="762"/>
      <c r="AL156" s="762"/>
      <c r="AM156" s="762"/>
      <c r="AN156" s="762"/>
      <c r="AO156" s="762"/>
      <c r="AP156" s="762"/>
      <c r="AQ156" s="762"/>
      <c r="AR156" s="762"/>
      <c r="AS156" s="762"/>
      <c r="AT156" s="762"/>
      <c r="AU156" s="762"/>
      <c r="AV156" s="762"/>
      <c r="AW156" s="762"/>
      <c r="AX156" s="762"/>
      <c r="AY156" s="762"/>
      <c r="AZ156" s="762"/>
      <c r="BA156" s="762"/>
      <c r="BB156" s="762"/>
      <c r="BC156" s="762"/>
      <c r="BD156" s="762"/>
      <c r="BE156" s="762"/>
      <c r="BF156" s="762"/>
      <c r="BG156" s="762"/>
      <c r="BH156" s="762"/>
      <c r="BI156" s="762"/>
      <c r="BJ156" s="762"/>
      <c r="BK156" s="762"/>
      <c r="BL156" s="762"/>
      <c r="BM156" s="762"/>
      <c r="BN156" s="762"/>
      <c r="BO156" s="762"/>
      <c r="BP156" s="762"/>
      <c r="BQ156" s="762"/>
      <c r="BR156" s="762"/>
      <c r="BS156" s="762"/>
      <c r="BT156" s="762"/>
      <c r="BU156" s="762"/>
      <c r="BV156" s="762"/>
      <c r="BW156" s="762"/>
      <c r="BX156" s="762"/>
      <c r="BY156" s="762"/>
      <c r="BZ156" s="762"/>
      <c r="CA156" s="762"/>
      <c r="CB156" s="762"/>
    </row>
    <row r="157" spans="1:80" x14ac:dyDescent="0.2">
      <c r="A157" s="762"/>
      <c r="B157" s="762"/>
      <c r="C157" s="762"/>
      <c r="D157" s="762"/>
      <c r="E157" s="762"/>
      <c r="F157" s="762"/>
      <c r="G157" s="762"/>
      <c r="H157" s="762"/>
      <c r="I157" s="762"/>
      <c r="J157" s="762"/>
      <c r="K157" s="762"/>
      <c r="L157" s="762"/>
      <c r="M157" s="762"/>
      <c r="N157" s="762"/>
      <c r="O157" s="762"/>
      <c r="P157" s="762"/>
      <c r="Q157" s="762"/>
      <c r="R157" s="762"/>
      <c r="S157" s="762"/>
      <c r="T157" s="762"/>
      <c r="U157" s="762"/>
      <c r="V157" s="762"/>
      <c r="W157" s="762"/>
      <c r="X157" s="762"/>
      <c r="Y157" s="732" t="s">
        <v>36</v>
      </c>
      <c r="Z157" s="735" t="str">
        <f>""</f>
        <v/>
      </c>
      <c r="AA157" s="661">
        <v>0</v>
      </c>
      <c r="AB157" s="661" t="str">
        <f>""</f>
        <v/>
      </c>
      <c r="AC157" s="763" t="str">
        <f>""</f>
        <v/>
      </c>
      <c r="AD157" s="737"/>
      <c r="AE157" s="764"/>
      <c r="AF157" s="764"/>
      <c r="AG157" s="764"/>
      <c r="AH157" s="764"/>
      <c r="AI157" s="762"/>
      <c r="AJ157" s="762"/>
      <c r="AK157" s="762"/>
      <c r="AL157" s="762"/>
      <c r="AM157" s="762"/>
      <c r="AN157" s="762"/>
      <c r="AO157" s="762"/>
      <c r="AP157" s="762"/>
      <c r="AQ157" s="762"/>
      <c r="AR157" s="762"/>
      <c r="AS157" s="762"/>
      <c r="AT157" s="762"/>
      <c r="AU157" s="762"/>
      <c r="AV157" s="762"/>
      <c r="AW157" s="762"/>
      <c r="AX157" s="762"/>
      <c r="AY157" s="762"/>
      <c r="AZ157" s="762"/>
      <c r="BA157" s="762"/>
      <c r="BB157" s="762"/>
      <c r="BC157" s="762"/>
      <c r="BD157" s="762"/>
      <c r="BE157" s="762"/>
      <c r="BF157" s="762"/>
      <c r="BG157" s="762"/>
      <c r="BH157" s="762"/>
      <c r="BI157" s="762"/>
      <c r="BJ157" s="762"/>
      <c r="BK157" s="762"/>
      <c r="BL157" s="762"/>
      <c r="BM157" s="762"/>
      <c r="BN157" s="762"/>
      <c r="BO157" s="762"/>
      <c r="BP157" s="762"/>
      <c r="BQ157" s="762"/>
      <c r="BR157" s="762"/>
      <c r="BS157" s="762"/>
      <c r="BT157" s="762"/>
      <c r="BU157" s="762"/>
      <c r="BV157" s="762"/>
      <c r="BW157" s="762"/>
      <c r="BX157" s="762"/>
      <c r="BY157" s="762"/>
      <c r="BZ157" s="762"/>
      <c r="CA157" s="762"/>
      <c r="CB157" s="762"/>
    </row>
    <row r="158" spans="1:80" x14ac:dyDescent="0.2">
      <c r="A158" s="762"/>
      <c r="B158" s="762"/>
      <c r="C158" s="762"/>
      <c r="D158" s="762"/>
      <c r="E158" s="762"/>
      <c r="F158" s="762"/>
      <c r="G158" s="762"/>
      <c r="H158" s="762"/>
      <c r="I158" s="762"/>
      <c r="J158" s="762"/>
      <c r="K158" s="762"/>
      <c r="L158" s="762"/>
      <c r="M158" s="762"/>
      <c r="N158" s="762"/>
      <c r="O158" s="762"/>
      <c r="P158" s="762"/>
      <c r="Q158" s="762"/>
      <c r="R158" s="762"/>
      <c r="S158" s="762"/>
      <c r="T158" s="762"/>
      <c r="U158" s="762"/>
      <c r="V158" s="762"/>
      <c r="W158" s="762"/>
      <c r="X158" s="762"/>
      <c r="Y158" s="732" t="s">
        <v>37</v>
      </c>
      <c r="Z158" s="735" t="str">
        <f>""</f>
        <v/>
      </c>
      <c r="AA158" s="661">
        <v>0</v>
      </c>
      <c r="AB158" s="661" t="str">
        <f>""</f>
        <v/>
      </c>
      <c r="AC158" s="763" t="str">
        <f>""</f>
        <v/>
      </c>
      <c r="AD158" s="737"/>
      <c r="AE158" s="764"/>
      <c r="AF158" s="764"/>
      <c r="AG158" s="764"/>
      <c r="AH158" s="764"/>
      <c r="AI158" s="762"/>
      <c r="AJ158" s="762"/>
      <c r="AK158" s="762"/>
      <c r="AL158" s="762"/>
      <c r="AM158" s="762"/>
      <c r="AN158" s="762"/>
      <c r="AO158" s="762"/>
      <c r="AP158" s="762"/>
      <c r="AQ158" s="762"/>
      <c r="AR158" s="762"/>
      <c r="AS158" s="762"/>
      <c r="AT158" s="762"/>
      <c r="AU158" s="762"/>
      <c r="AV158" s="762"/>
      <c r="AW158" s="762"/>
      <c r="AX158" s="762"/>
      <c r="AY158" s="762"/>
      <c r="AZ158" s="762"/>
      <c r="BA158" s="762"/>
      <c r="BB158" s="762"/>
      <c r="BC158" s="762"/>
      <c r="BD158" s="762"/>
      <c r="BE158" s="762"/>
      <c r="BF158" s="762"/>
      <c r="BG158" s="762"/>
      <c r="BH158" s="762"/>
      <c r="BI158" s="762"/>
      <c r="BJ158" s="762"/>
      <c r="BK158" s="762"/>
      <c r="BL158" s="762"/>
      <c r="BM158" s="762"/>
      <c r="BN158" s="762"/>
      <c r="BO158" s="762"/>
      <c r="BP158" s="762"/>
      <c r="BQ158" s="762"/>
      <c r="BR158" s="762"/>
      <c r="BS158" s="762"/>
      <c r="BT158" s="762"/>
      <c r="BU158" s="762"/>
      <c r="BV158" s="762"/>
      <c r="BW158" s="762"/>
      <c r="BX158" s="762"/>
      <c r="BY158" s="762"/>
      <c r="BZ158" s="762"/>
      <c r="CA158" s="762"/>
      <c r="CB158" s="762"/>
    </row>
    <row r="159" spans="1:80" x14ac:dyDescent="0.2">
      <c r="A159" s="762"/>
      <c r="B159" s="762"/>
      <c r="C159" s="762"/>
      <c r="D159" s="762"/>
      <c r="E159" s="762"/>
      <c r="F159" s="762"/>
      <c r="G159" s="762"/>
      <c r="H159" s="762"/>
      <c r="I159" s="762"/>
      <c r="J159" s="762"/>
      <c r="K159" s="762"/>
      <c r="L159" s="762"/>
      <c r="M159" s="762"/>
      <c r="N159" s="762"/>
      <c r="O159" s="762"/>
      <c r="P159" s="762"/>
      <c r="Q159" s="762"/>
      <c r="R159" s="762"/>
      <c r="S159" s="762"/>
      <c r="T159" s="762"/>
      <c r="U159" s="762"/>
      <c r="V159" s="762"/>
      <c r="W159" s="762"/>
      <c r="X159" s="762"/>
      <c r="Y159" s="732" t="s">
        <v>38</v>
      </c>
      <c r="Z159" s="735" t="str">
        <f>""</f>
        <v/>
      </c>
      <c r="AA159" s="661">
        <v>0</v>
      </c>
      <c r="AB159" s="661" t="str">
        <f>""</f>
        <v/>
      </c>
      <c r="AC159" s="763" t="str">
        <f>""</f>
        <v/>
      </c>
      <c r="AD159" s="737"/>
      <c r="AE159" s="764"/>
      <c r="AF159" s="764"/>
      <c r="AG159" s="764"/>
      <c r="AH159" s="764"/>
      <c r="AI159" s="762"/>
      <c r="AJ159" s="762"/>
      <c r="AK159" s="762"/>
      <c r="AL159" s="762"/>
      <c r="AM159" s="762"/>
      <c r="AN159" s="762"/>
      <c r="AO159" s="762"/>
      <c r="AP159" s="762"/>
      <c r="AQ159" s="762"/>
      <c r="AR159" s="762"/>
      <c r="AS159" s="762"/>
      <c r="AT159" s="762"/>
      <c r="AU159" s="762"/>
      <c r="AV159" s="762"/>
      <c r="AW159" s="762"/>
      <c r="AX159" s="762"/>
      <c r="AY159" s="762"/>
      <c r="AZ159" s="762"/>
      <c r="BA159" s="762"/>
      <c r="BB159" s="762"/>
      <c r="BC159" s="762"/>
      <c r="BD159" s="762"/>
      <c r="BE159" s="762"/>
      <c r="BF159" s="762"/>
      <c r="BG159" s="762"/>
      <c r="BH159" s="762"/>
      <c r="BI159" s="762"/>
      <c r="BJ159" s="762"/>
      <c r="BK159" s="762"/>
      <c r="BL159" s="762"/>
      <c r="BM159" s="762"/>
      <c r="BN159" s="762"/>
      <c r="BO159" s="762"/>
      <c r="BP159" s="762"/>
      <c r="BQ159" s="762"/>
      <c r="BR159" s="762"/>
      <c r="BS159" s="762"/>
      <c r="BT159" s="762"/>
      <c r="BU159" s="762"/>
      <c r="BV159" s="762"/>
      <c r="BW159" s="762"/>
      <c r="BX159" s="762"/>
      <c r="BY159" s="762"/>
      <c r="BZ159" s="762"/>
      <c r="CA159" s="762"/>
      <c r="CB159" s="762"/>
    </row>
    <row r="160" spans="1:80" x14ac:dyDescent="0.2">
      <c r="A160" s="762"/>
      <c r="B160" s="762"/>
      <c r="C160" s="762"/>
      <c r="D160" s="762"/>
      <c r="E160" s="762"/>
      <c r="F160" s="762"/>
      <c r="G160" s="762"/>
      <c r="H160" s="762"/>
      <c r="I160" s="762"/>
      <c r="J160" s="762"/>
      <c r="K160" s="762"/>
      <c r="L160" s="762"/>
      <c r="M160" s="762"/>
      <c r="N160" s="762"/>
      <c r="O160" s="762"/>
      <c r="P160" s="762"/>
      <c r="Q160" s="762"/>
      <c r="R160" s="762"/>
      <c r="S160" s="762"/>
      <c r="T160" s="762"/>
      <c r="U160" s="762"/>
      <c r="V160" s="762"/>
      <c r="W160" s="762"/>
      <c r="X160" s="762"/>
      <c r="Y160" s="732" t="s">
        <v>39</v>
      </c>
      <c r="Z160" s="735" t="str">
        <f>""</f>
        <v/>
      </c>
      <c r="AA160" s="661">
        <v>0</v>
      </c>
      <c r="AB160" s="661" t="str">
        <f>""</f>
        <v/>
      </c>
      <c r="AC160" s="763" t="str">
        <f>""</f>
        <v/>
      </c>
      <c r="AD160" s="737"/>
      <c r="AE160" s="764"/>
      <c r="AF160" s="764"/>
      <c r="AG160" s="764"/>
      <c r="AH160" s="764"/>
      <c r="AI160" s="762"/>
      <c r="AJ160" s="762"/>
      <c r="AK160" s="762"/>
      <c r="AL160" s="762"/>
      <c r="AM160" s="762"/>
      <c r="AN160" s="762"/>
      <c r="AO160" s="762"/>
      <c r="AP160" s="762"/>
      <c r="AQ160" s="762"/>
      <c r="AR160" s="762"/>
      <c r="AS160" s="762"/>
      <c r="AT160" s="762"/>
      <c r="AU160" s="762"/>
      <c r="AV160" s="762"/>
      <c r="AW160" s="762"/>
      <c r="AX160" s="762"/>
      <c r="AY160" s="762"/>
      <c r="AZ160" s="762"/>
      <c r="BA160" s="762"/>
      <c r="BB160" s="762"/>
      <c r="BC160" s="762"/>
      <c r="BD160" s="762"/>
      <c r="BE160" s="762"/>
      <c r="BF160" s="762"/>
      <c r="BG160" s="762"/>
      <c r="BH160" s="762"/>
      <c r="BI160" s="762"/>
      <c r="BJ160" s="762"/>
      <c r="BK160" s="762"/>
      <c r="BL160" s="762"/>
      <c r="BM160" s="762"/>
      <c r="BN160" s="762"/>
      <c r="BO160" s="762"/>
      <c r="BP160" s="762"/>
      <c r="BQ160" s="762"/>
      <c r="BR160" s="762"/>
      <c r="BS160" s="762"/>
      <c r="BT160" s="762"/>
      <c r="BU160" s="762"/>
      <c r="BV160" s="762"/>
      <c r="BW160" s="762"/>
      <c r="BX160" s="762"/>
      <c r="BY160" s="762"/>
      <c r="BZ160" s="762"/>
      <c r="CA160" s="762"/>
      <c r="CB160" s="762"/>
    </row>
    <row r="161" spans="1:80" x14ac:dyDescent="0.2">
      <c r="A161" s="762"/>
      <c r="B161" s="762"/>
      <c r="C161" s="762"/>
      <c r="D161" s="762"/>
      <c r="E161" s="762"/>
      <c r="F161" s="762"/>
      <c r="G161" s="762"/>
      <c r="H161" s="762"/>
      <c r="I161" s="762"/>
      <c r="J161" s="762"/>
      <c r="K161" s="762"/>
      <c r="L161" s="762"/>
      <c r="M161" s="762"/>
      <c r="N161" s="762"/>
      <c r="O161" s="762"/>
      <c r="P161" s="762"/>
      <c r="Q161" s="762"/>
      <c r="R161" s="762"/>
      <c r="S161" s="762"/>
      <c r="T161" s="762"/>
      <c r="U161" s="762"/>
      <c r="V161" s="762"/>
      <c r="W161" s="762"/>
      <c r="X161" s="762"/>
      <c r="Y161" s="732" t="s">
        <v>40</v>
      </c>
      <c r="Z161" s="735" t="str">
        <f>""</f>
        <v/>
      </c>
      <c r="AA161" s="661">
        <v>0</v>
      </c>
      <c r="AB161" s="661" t="str">
        <f>""</f>
        <v/>
      </c>
      <c r="AC161" s="763" t="str">
        <f>""</f>
        <v/>
      </c>
      <c r="AD161" s="737"/>
      <c r="AE161" s="764"/>
      <c r="AF161" s="764"/>
      <c r="AG161" s="764"/>
      <c r="AH161" s="764"/>
      <c r="AI161" s="762"/>
      <c r="AJ161" s="762"/>
      <c r="AK161" s="762"/>
      <c r="AL161" s="762"/>
      <c r="AM161" s="762"/>
      <c r="AN161" s="762"/>
      <c r="AO161" s="762"/>
      <c r="AP161" s="762"/>
      <c r="AQ161" s="762"/>
      <c r="AR161" s="762"/>
      <c r="AS161" s="762"/>
      <c r="AT161" s="762"/>
      <c r="AU161" s="762"/>
      <c r="AV161" s="762"/>
      <c r="AW161" s="762"/>
      <c r="AX161" s="762"/>
      <c r="AY161" s="762"/>
      <c r="AZ161" s="762"/>
      <c r="BA161" s="762"/>
      <c r="BB161" s="762"/>
      <c r="BC161" s="762"/>
      <c r="BD161" s="762"/>
      <c r="BE161" s="762"/>
      <c r="BF161" s="762"/>
      <c r="BG161" s="762"/>
      <c r="BH161" s="762"/>
      <c r="BI161" s="762"/>
      <c r="BJ161" s="762"/>
      <c r="BK161" s="762"/>
      <c r="BL161" s="762"/>
      <c r="BM161" s="762"/>
      <c r="BN161" s="762"/>
      <c r="BO161" s="762"/>
      <c r="BP161" s="762"/>
      <c r="BQ161" s="762"/>
      <c r="BR161" s="762"/>
      <c r="BS161" s="762"/>
      <c r="BT161" s="762"/>
      <c r="BU161" s="762"/>
      <c r="BV161" s="762"/>
      <c r="BW161" s="762"/>
      <c r="BX161" s="762"/>
      <c r="BY161" s="762"/>
      <c r="BZ161" s="762"/>
      <c r="CA161" s="762"/>
      <c r="CB161" s="762"/>
    </row>
    <row r="162" spans="1:80" x14ac:dyDescent="0.2">
      <c r="A162" s="762"/>
      <c r="B162" s="762"/>
      <c r="C162" s="762"/>
      <c r="D162" s="762"/>
      <c r="E162" s="762"/>
      <c r="F162" s="762"/>
      <c r="G162" s="762"/>
      <c r="H162" s="762"/>
      <c r="I162" s="762"/>
      <c r="J162" s="762"/>
      <c r="K162" s="762"/>
      <c r="L162" s="762"/>
      <c r="M162" s="762"/>
      <c r="N162" s="762"/>
      <c r="O162" s="762"/>
      <c r="P162" s="762"/>
      <c r="Q162" s="762"/>
      <c r="R162" s="762"/>
      <c r="S162" s="762"/>
      <c r="T162" s="762"/>
      <c r="U162" s="762"/>
      <c r="V162" s="762"/>
      <c r="W162" s="762"/>
      <c r="X162" s="762"/>
      <c r="Y162" s="732" t="s">
        <v>41</v>
      </c>
      <c r="Z162" s="735" t="str">
        <f>""</f>
        <v/>
      </c>
      <c r="AA162" s="661">
        <v>0</v>
      </c>
      <c r="AB162" s="661" t="str">
        <f>""</f>
        <v/>
      </c>
      <c r="AC162" s="763" t="str">
        <f>""</f>
        <v/>
      </c>
      <c r="AD162" s="737"/>
      <c r="AE162" s="764"/>
      <c r="AF162" s="764"/>
      <c r="AG162" s="764"/>
      <c r="AH162" s="764"/>
      <c r="AI162" s="762"/>
      <c r="AJ162" s="762"/>
      <c r="AK162" s="762"/>
      <c r="AL162" s="762"/>
      <c r="AM162" s="762"/>
      <c r="AN162" s="762"/>
      <c r="AO162" s="762"/>
      <c r="AP162" s="762"/>
      <c r="AQ162" s="762"/>
      <c r="AR162" s="762"/>
      <c r="AS162" s="762"/>
      <c r="AT162" s="762"/>
      <c r="AU162" s="762"/>
      <c r="AV162" s="762"/>
      <c r="AW162" s="762"/>
      <c r="AX162" s="762"/>
      <c r="AY162" s="762"/>
      <c r="AZ162" s="762"/>
      <c r="BA162" s="762"/>
      <c r="BB162" s="762"/>
      <c r="BC162" s="762"/>
      <c r="BD162" s="762"/>
      <c r="BE162" s="762"/>
      <c r="BF162" s="762"/>
      <c r="BG162" s="762"/>
      <c r="BH162" s="762"/>
      <c r="BI162" s="762"/>
      <c r="BJ162" s="762"/>
      <c r="BK162" s="762"/>
      <c r="BL162" s="762"/>
      <c r="BM162" s="762"/>
      <c r="BN162" s="762"/>
      <c r="BO162" s="762"/>
      <c r="BP162" s="762"/>
      <c r="BQ162" s="762"/>
      <c r="BR162" s="762"/>
      <c r="BS162" s="762"/>
      <c r="BT162" s="762"/>
      <c r="BU162" s="762"/>
      <c r="BV162" s="762"/>
      <c r="BW162" s="762"/>
      <c r="BX162" s="762"/>
      <c r="BY162" s="762"/>
      <c r="BZ162" s="762"/>
      <c r="CA162" s="762"/>
      <c r="CB162" s="762"/>
    </row>
    <row r="163" spans="1:80" x14ac:dyDescent="0.2">
      <c r="A163" s="762"/>
      <c r="B163" s="762"/>
      <c r="C163" s="762"/>
      <c r="D163" s="762"/>
      <c r="E163" s="762"/>
      <c r="F163" s="762"/>
      <c r="G163" s="762"/>
      <c r="H163" s="762"/>
      <c r="I163" s="762"/>
      <c r="J163" s="762"/>
      <c r="K163" s="762"/>
      <c r="L163" s="762"/>
      <c r="M163" s="762"/>
      <c r="N163" s="762"/>
      <c r="O163" s="762"/>
      <c r="P163" s="762"/>
      <c r="Q163" s="762"/>
      <c r="R163" s="762"/>
      <c r="S163" s="762"/>
      <c r="T163" s="762"/>
      <c r="U163" s="762"/>
      <c r="V163" s="762"/>
      <c r="W163" s="762"/>
      <c r="X163" s="762"/>
      <c r="Y163" s="732" t="s">
        <v>42</v>
      </c>
      <c r="Z163" s="735" t="str">
        <f>""</f>
        <v/>
      </c>
      <c r="AA163" s="661">
        <v>0</v>
      </c>
      <c r="AB163" s="661" t="str">
        <f>""</f>
        <v/>
      </c>
      <c r="AC163" s="763" t="str">
        <f>""</f>
        <v/>
      </c>
      <c r="AD163" s="737"/>
      <c r="AE163" s="764"/>
      <c r="AF163" s="764"/>
      <c r="AG163" s="764"/>
      <c r="AH163" s="764"/>
      <c r="AI163" s="762"/>
      <c r="AJ163" s="762"/>
      <c r="AK163" s="762"/>
      <c r="AL163" s="762"/>
      <c r="AM163" s="762"/>
      <c r="AN163" s="762"/>
      <c r="AO163" s="762"/>
      <c r="AP163" s="762"/>
      <c r="AQ163" s="762"/>
      <c r="AR163" s="762"/>
      <c r="AS163" s="762"/>
      <c r="AT163" s="762"/>
      <c r="AU163" s="762"/>
      <c r="AV163" s="762"/>
      <c r="AW163" s="762"/>
      <c r="AX163" s="762"/>
      <c r="AY163" s="762"/>
      <c r="AZ163" s="762"/>
      <c r="BA163" s="762"/>
      <c r="BB163" s="762"/>
      <c r="BC163" s="762"/>
      <c r="BD163" s="762"/>
      <c r="BE163" s="762"/>
      <c r="BF163" s="762"/>
      <c r="BG163" s="762"/>
      <c r="BH163" s="762"/>
      <c r="BI163" s="762"/>
      <c r="BJ163" s="762"/>
      <c r="BK163" s="762"/>
      <c r="BL163" s="762"/>
      <c r="BM163" s="762"/>
      <c r="BN163" s="762"/>
      <c r="BO163" s="762"/>
      <c r="BP163" s="762"/>
      <c r="BQ163" s="762"/>
      <c r="BR163" s="762"/>
      <c r="BS163" s="762"/>
      <c r="BT163" s="762"/>
      <c r="BU163" s="762"/>
      <c r="BV163" s="762"/>
      <c r="BW163" s="762"/>
      <c r="BX163" s="762"/>
      <c r="BY163" s="762"/>
      <c r="BZ163" s="762"/>
      <c r="CA163" s="762"/>
      <c r="CB163" s="762"/>
    </row>
    <row r="164" spans="1:80" x14ac:dyDescent="0.2">
      <c r="A164" s="762"/>
      <c r="B164" s="762"/>
      <c r="C164" s="762"/>
      <c r="D164" s="762"/>
      <c r="E164" s="762"/>
      <c r="F164" s="762"/>
      <c r="G164" s="762"/>
      <c r="H164" s="762"/>
      <c r="I164" s="762"/>
      <c r="J164" s="762"/>
      <c r="K164" s="762"/>
      <c r="L164" s="762"/>
      <c r="M164" s="762"/>
      <c r="N164" s="762"/>
      <c r="O164" s="762"/>
      <c r="P164" s="762"/>
      <c r="Q164" s="762"/>
      <c r="R164" s="762"/>
      <c r="S164" s="762"/>
      <c r="T164" s="762"/>
      <c r="U164" s="762"/>
      <c r="V164" s="762"/>
      <c r="W164" s="762"/>
      <c r="X164" s="762"/>
      <c r="Y164" s="732" t="s">
        <v>43</v>
      </c>
      <c r="Z164" s="735" t="str">
        <f>""</f>
        <v/>
      </c>
      <c r="AA164" s="661">
        <v>0</v>
      </c>
      <c r="AB164" s="661" t="str">
        <f>""</f>
        <v/>
      </c>
      <c r="AC164" s="763" t="str">
        <f>""</f>
        <v/>
      </c>
      <c r="AD164" s="737"/>
      <c r="AE164" s="764"/>
      <c r="AF164" s="764"/>
      <c r="AG164" s="764"/>
      <c r="AH164" s="764"/>
      <c r="AI164" s="762"/>
      <c r="AJ164" s="762"/>
      <c r="AK164" s="762"/>
      <c r="AL164" s="762"/>
      <c r="AM164" s="762"/>
      <c r="AN164" s="762"/>
      <c r="AO164" s="762"/>
      <c r="AP164" s="762"/>
      <c r="AQ164" s="762"/>
      <c r="AR164" s="762"/>
      <c r="AS164" s="762"/>
      <c r="AT164" s="762"/>
      <c r="AU164" s="762"/>
      <c r="AV164" s="762"/>
      <c r="AW164" s="762"/>
      <c r="AX164" s="762"/>
      <c r="AY164" s="762"/>
      <c r="AZ164" s="762"/>
      <c r="BA164" s="762"/>
      <c r="BB164" s="762"/>
      <c r="BC164" s="762"/>
      <c r="BD164" s="762"/>
      <c r="BE164" s="762"/>
      <c r="BF164" s="762"/>
      <c r="BG164" s="762"/>
      <c r="BH164" s="762"/>
      <c r="BI164" s="762"/>
      <c r="BJ164" s="762"/>
      <c r="BK164" s="762"/>
      <c r="BL164" s="762"/>
      <c r="BM164" s="762"/>
      <c r="BN164" s="762"/>
      <c r="BO164" s="762"/>
      <c r="BP164" s="762"/>
      <c r="BQ164" s="762"/>
      <c r="BR164" s="762"/>
      <c r="BS164" s="762"/>
      <c r="BT164" s="762"/>
      <c r="BU164" s="762"/>
      <c r="BV164" s="762"/>
      <c r="BW164" s="762"/>
      <c r="BX164" s="762"/>
      <c r="BY164" s="762"/>
      <c r="BZ164" s="762"/>
      <c r="CA164" s="762"/>
      <c r="CB164" s="762"/>
    </row>
    <row r="165" spans="1:80" x14ac:dyDescent="0.2">
      <c r="A165" s="762"/>
      <c r="B165" s="762"/>
      <c r="C165" s="762"/>
      <c r="D165" s="762"/>
      <c r="E165" s="762"/>
      <c r="F165" s="762"/>
      <c r="G165" s="762"/>
      <c r="H165" s="762"/>
      <c r="I165" s="762"/>
      <c r="J165" s="762"/>
      <c r="K165" s="762"/>
      <c r="L165" s="762"/>
      <c r="M165" s="762"/>
      <c r="N165" s="762"/>
      <c r="O165" s="762"/>
      <c r="P165" s="762"/>
      <c r="Q165" s="762"/>
      <c r="R165" s="762"/>
      <c r="S165" s="762"/>
      <c r="T165" s="762"/>
      <c r="U165" s="762"/>
      <c r="V165" s="762"/>
      <c r="W165" s="762"/>
      <c r="X165" s="762"/>
      <c r="Y165" s="732" t="s">
        <v>44</v>
      </c>
      <c r="Z165" s="735" t="str">
        <f>""</f>
        <v/>
      </c>
      <c r="AA165" s="661">
        <v>0</v>
      </c>
      <c r="AB165" s="661" t="str">
        <f>""</f>
        <v/>
      </c>
      <c r="AC165" s="763" t="str">
        <f>""</f>
        <v/>
      </c>
      <c r="AD165" s="737"/>
      <c r="AE165" s="764"/>
      <c r="AF165" s="764"/>
      <c r="AG165" s="764"/>
      <c r="AH165" s="764"/>
      <c r="AI165" s="762"/>
      <c r="AJ165" s="762"/>
      <c r="AK165" s="762"/>
      <c r="AL165" s="762"/>
      <c r="AM165" s="762"/>
      <c r="AN165" s="762"/>
      <c r="AO165" s="762"/>
      <c r="AP165" s="762"/>
      <c r="AQ165" s="762"/>
      <c r="AR165" s="762"/>
      <c r="AS165" s="762"/>
      <c r="AT165" s="762"/>
      <c r="AU165" s="762"/>
      <c r="AV165" s="762"/>
      <c r="AW165" s="762"/>
      <c r="AX165" s="762"/>
      <c r="AY165" s="762"/>
      <c r="AZ165" s="762"/>
      <c r="BA165" s="762"/>
      <c r="BB165" s="762"/>
      <c r="BC165" s="762"/>
      <c r="BD165" s="762"/>
      <c r="BE165" s="762"/>
      <c r="BF165" s="762"/>
      <c r="BG165" s="762"/>
      <c r="BH165" s="762"/>
      <c r="BI165" s="762"/>
      <c r="BJ165" s="762"/>
      <c r="BK165" s="762"/>
      <c r="BL165" s="762"/>
      <c r="BM165" s="762"/>
      <c r="BN165" s="762"/>
      <c r="BO165" s="762"/>
      <c r="BP165" s="762"/>
      <c r="BQ165" s="762"/>
      <c r="BR165" s="762"/>
      <c r="BS165" s="762"/>
      <c r="BT165" s="762"/>
      <c r="BU165" s="762"/>
      <c r="BV165" s="762"/>
      <c r="BW165" s="762"/>
      <c r="BX165" s="762"/>
      <c r="BY165" s="762"/>
      <c r="BZ165" s="762"/>
      <c r="CA165" s="762"/>
      <c r="CB165" s="762"/>
    </row>
    <row r="166" spans="1:80" x14ac:dyDescent="0.2">
      <c r="A166" s="762"/>
      <c r="B166" s="762"/>
      <c r="C166" s="762"/>
      <c r="D166" s="762"/>
      <c r="E166" s="762"/>
      <c r="F166" s="762"/>
      <c r="G166" s="762"/>
      <c r="H166" s="762"/>
      <c r="I166" s="762"/>
      <c r="J166" s="762"/>
      <c r="K166" s="762"/>
      <c r="L166" s="762"/>
      <c r="M166" s="762"/>
      <c r="N166" s="762"/>
      <c r="O166" s="762"/>
      <c r="P166" s="762"/>
      <c r="Q166" s="762"/>
      <c r="R166" s="762"/>
      <c r="S166" s="762"/>
      <c r="T166" s="762"/>
      <c r="U166" s="762"/>
      <c r="V166" s="762"/>
      <c r="W166" s="762"/>
      <c r="X166" s="762"/>
      <c r="Y166" s="732" t="s">
        <v>45</v>
      </c>
      <c r="Z166" s="735" t="str">
        <f>""</f>
        <v/>
      </c>
      <c r="AA166" s="661">
        <v>0</v>
      </c>
      <c r="AB166" s="661" t="str">
        <f>""</f>
        <v/>
      </c>
      <c r="AC166" s="763" t="str">
        <f>""</f>
        <v/>
      </c>
      <c r="AD166" s="737"/>
      <c r="AE166" s="764"/>
      <c r="AF166" s="764"/>
      <c r="AG166" s="764"/>
      <c r="AH166" s="764"/>
      <c r="AI166" s="762"/>
      <c r="AJ166" s="762"/>
      <c r="AK166" s="762"/>
      <c r="AL166" s="762"/>
      <c r="AM166" s="762"/>
      <c r="AN166" s="762"/>
      <c r="AO166" s="762"/>
      <c r="AP166" s="762"/>
      <c r="AQ166" s="762"/>
      <c r="AR166" s="762"/>
      <c r="AS166" s="762"/>
      <c r="AT166" s="762"/>
      <c r="AU166" s="762"/>
      <c r="AV166" s="762"/>
      <c r="AW166" s="762"/>
      <c r="AX166" s="762"/>
      <c r="AY166" s="762"/>
      <c r="AZ166" s="762"/>
      <c r="BA166" s="762"/>
      <c r="BB166" s="762"/>
      <c r="BC166" s="762"/>
      <c r="BD166" s="762"/>
      <c r="BE166" s="762"/>
      <c r="BF166" s="762"/>
      <c r="BG166" s="762"/>
      <c r="BH166" s="762"/>
      <c r="BI166" s="762"/>
      <c r="BJ166" s="762"/>
      <c r="BK166" s="762"/>
      <c r="BL166" s="762"/>
      <c r="BM166" s="762"/>
      <c r="BN166" s="762"/>
      <c r="BO166" s="762"/>
      <c r="BP166" s="762"/>
      <c r="BQ166" s="762"/>
      <c r="BR166" s="762"/>
      <c r="BS166" s="762"/>
      <c r="BT166" s="762"/>
      <c r="BU166" s="762"/>
      <c r="BV166" s="762"/>
      <c r="BW166" s="762"/>
      <c r="BX166" s="762"/>
      <c r="BY166" s="762"/>
      <c r="BZ166" s="762"/>
      <c r="CA166" s="762"/>
      <c r="CB166" s="762"/>
    </row>
    <row r="167" spans="1:80" x14ac:dyDescent="0.2">
      <c r="A167" s="762"/>
      <c r="B167" s="762"/>
      <c r="C167" s="762"/>
      <c r="D167" s="762"/>
      <c r="E167" s="762"/>
      <c r="F167" s="762"/>
      <c r="G167" s="762"/>
      <c r="H167" s="762"/>
      <c r="I167" s="762"/>
      <c r="J167" s="762"/>
      <c r="K167" s="762"/>
      <c r="L167" s="762"/>
      <c r="M167" s="762"/>
      <c r="N167" s="762"/>
      <c r="O167" s="762"/>
      <c r="P167" s="762"/>
      <c r="Q167" s="762"/>
      <c r="R167" s="762"/>
      <c r="S167" s="762"/>
      <c r="T167" s="762"/>
      <c r="U167" s="762"/>
      <c r="V167" s="762"/>
      <c r="W167" s="762"/>
      <c r="X167" s="762"/>
      <c r="Y167" s="732" t="s">
        <v>46</v>
      </c>
      <c r="Z167" s="735" t="str">
        <f>""</f>
        <v/>
      </c>
      <c r="AA167" s="661">
        <v>0</v>
      </c>
      <c r="AB167" s="661" t="str">
        <f>""</f>
        <v/>
      </c>
      <c r="AC167" s="763" t="str">
        <f>""</f>
        <v/>
      </c>
      <c r="AD167" s="737"/>
      <c r="AE167" s="764"/>
      <c r="AF167" s="764"/>
      <c r="AG167" s="764"/>
      <c r="AH167" s="764"/>
      <c r="AI167" s="762"/>
      <c r="AJ167" s="762"/>
      <c r="AK167" s="762"/>
      <c r="AL167" s="762"/>
      <c r="AM167" s="762"/>
      <c r="AN167" s="762"/>
      <c r="AO167" s="762"/>
      <c r="AP167" s="762"/>
      <c r="AQ167" s="762"/>
      <c r="AR167" s="762"/>
      <c r="AS167" s="762"/>
      <c r="AT167" s="762"/>
      <c r="AU167" s="762"/>
      <c r="AV167" s="762"/>
      <c r="AW167" s="762"/>
      <c r="AX167" s="762"/>
      <c r="AY167" s="762"/>
      <c r="AZ167" s="762"/>
      <c r="BA167" s="762"/>
      <c r="BB167" s="762"/>
      <c r="BC167" s="762"/>
      <c r="BD167" s="762"/>
      <c r="BE167" s="762"/>
      <c r="BF167" s="762"/>
      <c r="BG167" s="762"/>
      <c r="BH167" s="762"/>
      <c r="BI167" s="762"/>
      <c r="BJ167" s="762"/>
      <c r="BK167" s="762"/>
      <c r="BL167" s="762"/>
      <c r="BM167" s="762"/>
      <c r="BN167" s="762"/>
      <c r="BO167" s="762"/>
      <c r="BP167" s="762"/>
      <c r="BQ167" s="762"/>
      <c r="BR167" s="762"/>
      <c r="BS167" s="762"/>
      <c r="BT167" s="762"/>
      <c r="BU167" s="762"/>
      <c r="BV167" s="762"/>
      <c r="BW167" s="762"/>
      <c r="BX167" s="762"/>
      <c r="BY167" s="762"/>
      <c r="BZ167" s="762"/>
      <c r="CA167" s="762"/>
      <c r="CB167" s="762"/>
    </row>
    <row r="168" spans="1:80" x14ac:dyDescent="0.2">
      <c r="A168" s="762"/>
      <c r="B168" s="762"/>
      <c r="C168" s="762"/>
      <c r="D168" s="762"/>
      <c r="E168" s="762"/>
      <c r="F168" s="762"/>
      <c r="G168" s="762"/>
      <c r="H168" s="762"/>
      <c r="I168" s="762"/>
      <c r="J168" s="762"/>
      <c r="K168" s="762"/>
      <c r="L168" s="762"/>
      <c r="M168" s="762"/>
      <c r="N168" s="762"/>
      <c r="O168" s="762"/>
      <c r="P168" s="762"/>
      <c r="Q168" s="762"/>
      <c r="R168" s="762"/>
      <c r="S168" s="762"/>
      <c r="T168" s="762"/>
      <c r="U168" s="762"/>
      <c r="V168" s="762"/>
      <c r="W168" s="762"/>
      <c r="X168" s="762"/>
      <c r="Y168" s="732" t="s">
        <v>47</v>
      </c>
      <c r="Z168" s="735" t="str">
        <f>""</f>
        <v/>
      </c>
      <c r="AA168" s="661">
        <v>0</v>
      </c>
      <c r="AB168" s="661" t="str">
        <f>""</f>
        <v/>
      </c>
      <c r="AC168" s="763" t="str">
        <f>""</f>
        <v/>
      </c>
      <c r="AD168" s="737"/>
      <c r="AE168" s="764"/>
      <c r="AF168" s="764"/>
      <c r="AG168" s="764"/>
      <c r="AH168" s="764"/>
      <c r="AI168" s="762"/>
      <c r="AJ168" s="762"/>
      <c r="AK168" s="762"/>
      <c r="AL168" s="762"/>
      <c r="AM168" s="762"/>
      <c r="AN168" s="762"/>
      <c r="AO168" s="762"/>
      <c r="AP168" s="762"/>
      <c r="AQ168" s="762"/>
      <c r="AR168" s="762"/>
      <c r="AS168" s="762"/>
      <c r="AT168" s="762"/>
      <c r="AU168" s="762"/>
      <c r="AV168" s="762"/>
      <c r="AW168" s="762"/>
      <c r="AX168" s="762"/>
      <c r="AY168" s="762"/>
      <c r="AZ168" s="762"/>
      <c r="BA168" s="762"/>
      <c r="BB168" s="762"/>
      <c r="BC168" s="762"/>
      <c r="BD168" s="762"/>
      <c r="BE168" s="762"/>
      <c r="BF168" s="762"/>
      <c r="BG168" s="762"/>
      <c r="BH168" s="762"/>
      <c r="BI168" s="762"/>
      <c r="BJ168" s="762"/>
      <c r="BK168" s="762"/>
      <c r="BL168" s="762"/>
      <c r="BM168" s="762"/>
      <c r="BN168" s="762"/>
      <c r="BO168" s="762"/>
      <c r="BP168" s="762"/>
      <c r="BQ168" s="762"/>
      <c r="BR168" s="762"/>
      <c r="BS168" s="762"/>
      <c r="BT168" s="762"/>
      <c r="BU168" s="762"/>
      <c r="BV168" s="762"/>
      <c r="BW168" s="762"/>
      <c r="BX168" s="762"/>
      <c r="BY168" s="762"/>
      <c r="BZ168" s="762"/>
      <c r="CA168" s="762"/>
      <c r="CB168" s="762"/>
    </row>
    <row r="169" spans="1:80" x14ac:dyDescent="0.2">
      <c r="A169" s="762"/>
      <c r="B169" s="762"/>
      <c r="C169" s="762"/>
      <c r="D169" s="762"/>
      <c r="E169" s="762"/>
      <c r="F169" s="762"/>
      <c r="G169" s="762"/>
      <c r="H169" s="762"/>
      <c r="I169" s="762"/>
      <c r="J169" s="762"/>
      <c r="K169" s="762"/>
      <c r="L169" s="762"/>
      <c r="M169" s="762"/>
      <c r="N169" s="762"/>
      <c r="O169" s="762"/>
      <c r="P169" s="762"/>
      <c r="Q169" s="762"/>
      <c r="R169" s="762"/>
      <c r="S169" s="762"/>
      <c r="T169" s="762"/>
      <c r="U169" s="762"/>
      <c r="V169" s="762"/>
      <c r="W169" s="762"/>
      <c r="X169" s="762"/>
      <c r="Y169" s="732" t="s">
        <v>48</v>
      </c>
      <c r="Z169" s="735" t="str">
        <f>""</f>
        <v/>
      </c>
      <c r="AA169" s="661">
        <v>0</v>
      </c>
      <c r="AB169" s="661" t="str">
        <f>""</f>
        <v/>
      </c>
      <c r="AC169" s="763" t="str">
        <f>""</f>
        <v/>
      </c>
      <c r="AD169" s="737"/>
      <c r="AE169" s="764"/>
      <c r="AF169" s="764"/>
      <c r="AG169" s="764"/>
      <c r="AH169" s="764"/>
      <c r="AI169" s="762"/>
      <c r="AJ169" s="762"/>
      <c r="AK169" s="762"/>
      <c r="AL169" s="762"/>
      <c r="AM169" s="762"/>
      <c r="AN169" s="762"/>
      <c r="AO169" s="762"/>
      <c r="AP169" s="762"/>
      <c r="AQ169" s="762"/>
      <c r="AR169" s="762"/>
      <c r="AS169" s="762"/>
      <c r="AT169" s="762"/>
      <c r="AU169" s="762"/>
      <c r="AV169" s="762"/>
      <c r="AW169" s="762"/>
      <c r="AX169" s="762"/>
      <c r="AY169" s="762"/>
      <c r="AZ169" s="762"/>
      <c r="BA169" s="762"/>
      <c r="BB169" s="762"/>
      <c r="BC169" s="762"/>
      <c r="BD169" s="762"/>
      <c r="BE169" s="762"/>
      <c r="BF169" s="762"/>
      <c r="BG169" s="762"/>
      <c r="BH169" s="762"/>
      <c r="BI169" s="762"/>
      <c r="BJ169" s="762"/>
      <c r="BK169" s="762"/>
      <c r="BL169" s="762"/>
      <c r="BM169" s="762"/>
      <c r="BN169" s="762"/>
      <c r="BO169" s="762"/>
      <c r="BP169" s="762"/>
      <c r="BQ169" s="762"/>
      <c r="BR169" s="762"/>
      <c r="BS169" s="762"/>
      <c r="BT169" s="762"/>
      <c r="BU169" s="762"/>
      <c r="BV169" s="762"/>
      <c r="BW169" s="762"/>
      <c r="BX169" s="762"/>
      <c r="BY169" s="762"/>
      <c r="BZ169" s="762"/>
      <c r="CA169" s="762"/>
      <c r="CB169" s="762"/>
    </row>
    <row r="170" spans="1:80" x14ac:dyDescent="0.2">
      <c r="A170" s="762"/>
      <c r="B170" s="762"/>
      <c r="C170" s="762"/>
      <c r="D170" s="762"/>
      <c r="E170" s="762"/>
      <c r="F170" s="762"/>
      <c r="G170" s="762"/>
      <c r="H170" s="762"/>
      <c r="I170" s="762"/>
      <c r="J170" s="762"/>
      <c r="K170" s="762"/>
      <c r="L170" s="762"/>
      <c r="M170" s="762"/>
      <c r="N170" s="762"/>
      <c r="O170" s="762"/>
      <c r="P170" s="762"/>
      <c r="Q170" s="762"/>
      <c r="R170" s="762"/>
      <c r="S170" s="762"/>
      <c r="T170" s="762"/>
      <c r="U170" s="762"/>
      <c r="V170" s="762"/>
      <c r="W170" s="762"/>
      <c r="X170" s="762"/>
      <c r="Y170" s="732" t="s">
        <v>49</v>
      </c>
      <c r="Z170" s="735" t="str">
        <f>""</f>
        <v/>
      </c>
      <c r="AA170" s="661">
        <v>0</v>
      </c>
      <c r="AB170" s="661" t="str">
        <f>""</f>
        <v/>
      </c>
      <c r="AC170" s="763" t="str">
        <f>""</f>
        <v/>
      </c>
      <c r="AD170" s="737"/>
      <c r="AE170" s="764"/>
      <c r="AF170" s="764"/>
      <c r="AG170" s="764"/>
      <c r="AH170" s="764"/>
      <c r="AI170" s="762"/>
      <c r="AJ170" s="762"/>
      <c r="AK170" s="762"/>
      <c r="AL170" s="762"/>
      <c r="AM170" s="762"/>
      <c r="AN170" s="762"/>
      <c r="AO170" s="762"/>
      <c r="AP170" s="762"/>
      <c r="AQ170" s="762"/>
      <c r="AR170" s="762"/>
      <c r="AS170" s="762"/>
      <c r="AT170" s="762"/>
      <c r="AU170" s="762"/>
      <c r="AV170" s="762"/>
      <c r="AW170" s="762"/>
      <c r="AX170" s="762"/>
      <c r="AY170" s="762"/>
      <c r="AZ170" s="762"/>
      <c r="BA170" s="762"/>
      <c r="BB170" s="762"/>
      <c r="BC170" s="762"/>
      <c r="BD170" s="762"/>
      <c r="BE170" s="762"/>
      <c r="BF170" s="762"/>
      <c r="BG170" s="762"/>
      <c r="BH170" s="762"/>
      <c r="BI170" s="762"/>
      <c r="BJ170" s="762"/>
      <c r="BK170" s="762"/>
      <c r="BL170" s="762"/>
      <c r="BM170" s="762"/>
      <c r="BN170" s="762"/>
      <c r="BO170" s="762"/>
      <c r="BP170" s="762"/>
      <c r="BQ170" s="762"/>
      <c r="BR170" s="762"/>
      <c r="BS170" s="762"/>
      <c r="BT170" s="762"/>
      <c r="BU170" s="762"/>
      <c r="BV170" s="762"/>
      <c r="BW170" s="762"/>
      <c r="BX170" s="762"/>
      <c r="BY170" s="762"/>
      <c r="BZ170" s="762"/>
      <c r="CA170" s="762"/>
      <c r="CB170" s="762"/>
    </row>
    <row r="171" spans="1:80" x14ac:dyDescent="0.2">
      <c r="A171" s="762"/>
      <c r="B171" s="762"/>
      <c r="C171" s="762"/>
      <c r="D171" s="762"/>
      <c r="E171" s="762"/>
      <c r="F171" s="762"/>
      <c r="G171" s="762"/>
      <c r="H171" s="762"/>
      <c r="I171" s="762"/>
      <c r="J171" s="762"/>
      <c r="K171" s="762"/>
      <c r="L171" s="762"/>
      <c r="M171" s="762"/>
      <c r="N171" s="762"/>
      <c r="O171" s="762"/>
      <c r="P171" s="762"/>
      <c r="Q171" s="762"/>
      <c r="R171" s="762"/>
      <c r="S171" s="762"/>
      <c r="T171" s="762"/>
      <c r="U171" s="762"/>
      <c r="V171" s="762"/>
      <c r="W171" s="762"/>
      <c r="X171" s="762"/>
      <c r="Y171" s="732" t="s">
        <v>50</v>
      </c>
      <c r="Z171" s="735" t="str">
        <f>""</f>
        <v/>
      </c>
      <c r="AA171" s="661">
        <v>0</v>
      </c>
      <c r="AB171" s="661" t="str">
        <f>""</f>
        <v/>
      </c>
      <c r="AC171" s="763" t="str">
        <f>""</f>
        <v/>
      </c>
      <c r="AD171" s="737"/>
      <c r="AE171" s="764"/>
      <c r="AF171" s="764"/>
      <c r="AG171" s="764"/>
      <c r="AH171" s="764"/>
      <c r="AI171" s="762"/>
      <c r="AJ171" s="762"/>
      <c r="AK171" s="762"/>
      <c r="AL171" s="762"/>
      <c r="AM171" s="762"/>
      <c r="AN171" s="762"/>
      <c r="AO171" s="762"/>
      <c r="AP171" s="762"/>
      <c r="AQ171" s="762"/>
      <c r="AR171" s="762"/>
      <c r="AS171" s="762"/>
      <c r="AT171" s="762"/>
      <c r="AU171" s="762"/>
      <c r="AV171" s="762"/>
      <c r="AW171" s="762"/>
      <c r="AX171" s="762"/>
      <c r="AY171" s="762"/>
      <c r="AZ171" s="762"/>
      <c r="BA171" s="762"/>
      <c r="BB171" s="762"/>
      <c r="BC171" s="762"/>
      <c r="BD171" s="762"/>
      <c r="BE171" s="762"/>
      <c r="BF171" s="762"/>
      <c r="BG171" s="762"/>
      <c r="BH171" s="762"/>
      <c r="BI171" s="762"/>
      <c r="BJ171" s="762"/>
      <c r="BK171" s="762"/>
      <c r="BL171" s="762"/>
      <c r="BM171" s="762"/>
      <c r="BN171" s="762"/>
      <c r="BO171" s="762"/>
      <c r="BP171" s="762"/>
      <c r="BQ171" s="762"/>
      <c r="BR171" s="762"/>
      <c r="BS171" s="762"/>
      <c r="BT171" s="762"/>
      <c r="BU171" s="762"/>
      <c r="BV171" s="762"/>
      <c r="BW171" s="762"/>
      <c r="BX171" s="762"/>
      <c r="BY171" s="762"/>
      <c r="BZ171" s="762"/>
      <c r="CA171" s="762"/>
      <c r="CB171" s="762"/>
    </row>
    <row r="172" spans="1:80" x14ac:dyDescent="0.2">
      <c r="A172" s="762"/>
      <c r="B172" s="762"/>
      <c r="C172" s="762"/>
      <c r="D172" s="762"/>
      <c r="E172" s="762"/>
      <c r="F172" s="762"/>
      <c r="G172" s="762"/>
      <c r="H172" s="762"/>
      <c r="I172" s="762"/>
      <c r="J172" s="762"/>
      <c r="K172" s="762"/>
      <c r="L172" s="762"/>
      <c r="M172" s="762"/>
      <c r="N172" s="762"/>
      <c r="O172" s="762"/>
      <c r="P172" s="762"/>
      <c r="Q172" s="762"/>
      <c r="R172" s="762"/>
      <c r="S172" s="762"/>
      <c r="T172" s="762"/>
      <c r="U172" s="762"/>
      <c r="V172" s="762"/>
      <c r="W172" s="762"/>
      <c r="X172" s="762"/>
      <c r="Y172" s="732" t="s">
        <v>58</v>
      </c>
      <c r="Z172" s="735" t="str">
        <f>""</f>
        <v/>
      </c>
      <c r="AA172" s="661">
        <v>0</v>
      </c>
      <c r="AB172" s="661" t="str">
        <f>""</f>
        <v/>
      </c>
      <c r="AC172" s="763" t="str">
        <f>""</f>
        <v/>
      </c>
      <c r="AD172" s="737"/>
      <c r="AE172" s="764"/>
      <c r="AF172" s="764"/>
      <c r="AG172" s="764"/>
      <c r="AH172" s="764"/>
      <c r="AI172" s="762"/>
      <c r="AJ172" s="762"/>
      <c r="AK172" s="762"/>
      <c r="AL172" s="762"/>
      <c r="AM172" s="762"/>
      <c r="AN172" s="762"/>
      <c r="AO172" s="762"/>
      <c r="AP172" s="762"/>
      <c r="AQ172" s="762"/>
      <c r="AR172" s="762"/>
      <c r="AS172" s="762"/>
      <c r="AT172" s="762"/>
      <c r="AU172" s="762"/>
      <c r="AV172" s="762"/>
      <c r="AW172" s="762"/>
      <c r="AX172" s="762"/>
      <c r="AY172" s="762"/>
      <c r="AZ172" s="762"/>
      <c r="BA172" s="762"/>
      <c r="BB172" s="762"/>
      <c r="BC172" s="762"/>
      <c r="BD172" s="762"/>
      <c r="BE172" s="762"/>
      <c r="BF172" s="762"/>
      <c r="BG172" s="762"/>
      <c r="BH172" s="762"/>
      <c r="BI172" s="762"/>
      <c r="BJ172" s="762"/>
      <c r="BK172" s="762"/>
      <c r="BL172" s="762"/>
      <c r="BM172" s="762"/>
      <c r="BN172" s="762"/>
      <c r="BO172" s="762"/>
      <c r="BP172" s="762"/>
      <c r="BQ172" s="762"/>
      <c r="BR172" s="762"/>
      <c r="BS172" s="762"/>
      <c r="BT172" s="762"/>
      <c r="BU172" s="762"/>
      <c r="BV172" s="762"/>
      <c r="BW172" s="762"/>
      <c r="BX172" s="762"/>
      <c r="BY172" s="762"/>
      <c r="BZ172" s="762"/>
      <c r="CA172" s="762"/>
      <c r="CB172" s="762"/>
    </row>
    <row r="173" spans="1:80" x14ac:dyDescent="0.2">
      <c r="A173" s="762"/>
      <c r="B173" s="762"/>
      <c r="C173" s="762"/>
      <c r="D173" s="762"/>
      <c r="E173" s="762"/>
      <c r="F173" s="762"/>
      <c r="G173" s="762"/>
      <c r="H173" s="762"/>
      <c r="I173" s="762"/>
      <c r="J173" s="762"/>
      <c r="K173" s="762"/>
      <c r="L173" s="762"/>
      <c r="M173" s="762"/>
      <c r="N173" s="762"/>
      <c r="O173" s="762"/>
      <c r="P173" s="762"/>
      <c r="Q173" s="762"/>
      <c r="R173" s="762"/>
      <c r="S173" s="762"/>
      <c r="T173" s="762"/>
      <c r="U173" s="762"/>
      <c r="V173" s="762"/>
      <c r="W173" s="762"/>
      <c r="X173" s="762"/>
      <c r="Y173" s="732" t="s">
        <v>59</v>
      </c>
      <c r="Z173" s="735" t="str">
        <f>""</f>
        <v/>
      </c>
      <c r="AA173" s="661">
        <v>0</v>
      </c>
      <c r="AB173" s="661" t="str">
        <f>""</f>
        <v/>
      </c>
      <c r="AC173" s="763" t="str">
        <f>""</f>
        <v/>
      </c>
      <c r="AD173" s="737"/>
      <c r="AE173" s="764"/>
      <c r="AF173" s="764"/>
      <c r="AG173" s="764"/>
      <c r="AH173" s="764"/>
      <c r="AI173" s="762"/>
      <c r="AJ173" s="762"/>
      <c r="AK173" s="762"/>
      <c r="AL173" s="762"/>
      <c r="AM173" s="762"/>
      <c r="AN173" s="762"/>
      <c r="AO173" s="762"/>
      <c r="AP173" s="762"/>
      <c r="AQ173" s="762"/>
      <c r="AR173" s="762"/>
      <c r="AS173" s="762"/>
      <c r="AT173" s="762"/>
      <c r="AU173" s="762"/>
      <c r="AV173" s="762"/>
      <c r="AW173" s="762"/>
      <c r="AX173" s="762"/>
      <c r="AY173" s="762"/>
      <c r="AZ173" s="762"/>
      <c r="BA173" s="762"/>
      <c r="BB173" s="762"/>
      <c r="BC173" s="762"/>
      <c r="BD173" s="762"/>
      <c r="BE173" s="762"/>
      <c r="BF173" s="762"/>
      <c r="BG173" s="762"/>
      <c r="BH173" s="762"/>
      <c r="BI173" s="762"/>
      <c r="BJ173" s="762"/>
      <c r="BK173" s="762"/>
      <c r="BL173" s="762"/>
      <c r="BM173" s="762"/>
      <c r="BN173" s="762"/>
      <c r="BO173" s="762"/>
      <c r="BP173" s="762"/>
      <c r="BQ173" s="762"/>
      <c r="BR173" s="762"/>
      <c r="BS173" s="762"/>
      <c r="BT173" s="762"/>
      <c r="BU173" s="762"/>
      <c r="BV173" s="762"/>
      <c r="BW173" s="762"/>
      <c r="BX173" s="762"/>
      <c r="BY173" s="762"/>
      <c r="BZ173" s="762"/>
      <c r="CA173" s="762"/>
      <c r="CB173" s="762"/>
    </row>
    <row r="174" spans="1:80" x14ac:dyDescent="0.2">
      <c r="A174" s="762"/>
      <c r="B174" s="762"/>
      <c r="C174" s="762"/>
      <c r="D174" s="762"/>
      <c r="E174" s="762"/>
      <c r="F174" s="762"/>
      <c r="G174" s="762"/>
      <c r="H174" s="762"/>
      <c r="I174" s="762"/>
      <c r="J174" s="762"/>
      <c r="K174" s="762"/>
      <c r="L174" s="762"/>
      <c r="M174" s="762"/>
      <c r="N174" s="762"/>
      <c r="O174" s="762"/>
      <c r="P174" s="762"/>
      <c r="Q174" s="762"/>
      <c r="R174" s="762"/>
      <c r="S174" s="762"/>
      <c r="T174" s="762"/>
      <c r="U174" s="762"/>
      <c r="V174" s="762"/>
      <c r="W174" s="762"/>
      <c r="X174" s="762"/>
      <c r="Y174" s="732" t="s">
        <v>60</v>
      </c>
      <c r="Z174" s="735" t="str">
        <f>""</f>
        <v/>
      </c>
      <c r="AA174" s="661">
        <v>0</v>
      </c>
      <c r="AB174" s="661" t="str">
        <f>""</f>
        <v/>
      </c>
      <c r="AC174" s="763" t="str">
        <f>""</f>
        <v/>
      </c>
      <c r="AD174" s="737"/>
      <c r="AE174" s="764"/>
      <c r="AF174" s="764"/>
      <c r="AG174" s="764"/>
      <c r="AH174" s="764"/>
      <c r="AI174" s="762"/>
      <c r="AJ174" s="762"/>
      <c r="AK174" s="762"/>
      <c r="AL174" s="762"/>
      <c r="AM174" s="762"/>
      <c r="AN174" s="762"/>
      <c r="AO174" s="762"/>
      <c r="AP174" s="762"/>
      <c r="AQ174" s="762"/>
      <c r="AR174" s="762"/>
      <c r="AS174" s="762"/>
      <c r="AT174" s="762"/>
      <c r="AU174" s="762"/>
      <c r="AV174" s="762"/>
      <c r="AW174" s="762"/>
      <c r="AX174" s="762"/>
      <c r="AY174" s="762"/>
      <c r="AZ174" s="762"/>
      <c r="BA174" s="762"/>
      <c r="BB174" s="762"/>
      <c r="BC174" s="762"/>
      <c r="BD174" s="762"/>
      <c r="BE174" s="762"/>
      <c r="BF174" s="762"/>
      <c r="BG174" s="762"/>
      <c r="BH174" s="762"/>
      <c r="BI174" s="762"/>
      <c r="BJ174" s="762"/>
      <c r="BK174" s="762"/>
      <c r="BL174" s="762"/>
      <c r="BM174" s="762"/>
      <c r="BN174" s="762"/>
      <c r="BO174" s="762"/>
      <c r="BP174" s="762"/>
      <c r="BQ174" s="762"/>
      <c r="BR174" s="762"/>
      <c r="BS174" s="762"/>
      <c r="BT174" s="762"/>
      <c r="BU174" s="762"/>
      <c r="BV174" s="762"/>
      <c r="BW174" s="762"/>
      <c r="BX174" s="762"/>
      <c r="BY174" s="762"/>
      <c r="BZ174" s="762"/>
      <c r="CA174" s="762"/>
      <c r="CB174" s="762"/>
    </row>
    <row r="175" spans="1:80" x14ac:dyDescent="0.2">
      <c r="A175" s="762"/>
      <c r="B175" s="762"/>
      <c r="C175" s="762"/>
      <c r="D175" s="762"/>
      <c r="E175" s="762"/>
      <c r="F175" s="762"/>
      <c r="G175" s="762"/>
      <c r="H175" s="762"/>
      <c r="I175" s="762"/>
      <c r="J175" s="762"/>
      <c r="K175" s="762"/>
      <c r="L175" s="762"/>
      <c r="M175" s="762"/>
      <c r="N175" s="762"/>
      <c r="O175" s="762"/>
      <c r="P175" s="762"/>
      <c r="Q175" s="762"/>
      <c r="R175" s="762"/>
      <c r="S175" s="762"/>
      <c r="T175" s="762"/>
      <c r="U175" s="762"/>
      <c r="V175" s="762"/>
      <c r="W175" s="762"/>
      <c r="X175" s="762"/>
      <c r="Y175" s="732" t="s">
        <v>61</v>
      </c>
      <c r="Z175" s="735" t="str">
        <f>""</f>
        <v/>
      </c>
      <c r="AA175" s="661">
        <v>0</v>
      </c>
      <c r="AB175" s="661" t="str">
        <f>""</f>
        <v/>
      </c>
      <c r="AC175" s="763" t="str">
        <f>""</f>
        <v/>
      </c>
      <c r="AD175" s="737"/>
      <c r="AE175" s="764"/>
      <c r="AF175" s="764"/>
      <c r="AG175" s="764"/>
      <c r="AH175" s="764"/>
      <c r="AI175" s="762"/>
      <c r="AJ175" s="762"/>
      <c r="AK175" s="762"/>
      <c r="AL175" s="762"/>
      <c r="AM175" s="762"/>
      <c r="AN175" s="762"/>
      <c r="AO175" s="762"/>
      <c r="AP175" s="762"/>
      <c r="AQ175" s="762"/>
      <c r="AR175" s="762"/>
      <c r="AS175" s="762"/>
      <c r="AT175" s="762"/>
      <c r="AU175" s="762"/>
      <c r="AV175" s="762"/>
      <c r="AW175" s="762"/>
      <c r="AX175" s="762"/>
      <c r="AY175" s="762"/>
      <c r="AZ175" s="762"/>
      <c r="BA175" s="762"/>
      <c r="BB175" s="762"/>
      <c r="BC175" s="762"/>
      <c r="BD175" s="762"/>
      <c r="BE175" s="762"/>
      <c r="BF175" s="762"/>
      <c r="BG175" s="762"/>
      <c r="BH175" s="762"/>
      <c r="BI175" s="762"/>
      <c r="BJ175" s="762"/>
      <c r="BK175" s="762"/>
      <c r="BL175" s="762"/>
      <c r="BM175" s="762"/>
      <c r="BN175" s="762"/>
      <c r="BO175" s="762"/>
      <c r="BP175" s="762"/>
      <c r="BQ175" s="762"/>
      <c r="BR175" s="762"/>
      <c r="BS175" s="762"/>
      <c r="BT175" s="762"/>
      <c r="BU175" s="762"/>
      <c r="BV175" s="762"/>
      <c r="BW175" s="762"/>
      <c r="BX175" s="762"/>
      <c r="BY175" s="762"/>
      <c r="BZ175" s="762"/>
      <c r="CA175" s="762"/>
      <c r="CB175" s="762"/>
    </row>
    <row r="176" spans="1:80" x14ac:dyDescent="0.2">
      <c r="A176" s="762"/>
      <c r="B176" s="762"/>
      <c r="C176" s="762"/>
      <c r="D176" s="762"/>
      <c r="E176" s="762"/>
      <c r="F176" s="762"/>
      <c r="G176" s="762"/>
      <c r="H176" s="762"/>
      <c r="I176" s="762"/>
      <c r="J176" s="762"/>
      <c r="K176" s="762"/>
      <c r="L176" s="762"/>
      <c r="M176" s="762"/>
      <c r="N176" s="762"/>
      <c r="O176" s="762"/>
      <c r="P176" s="762"/>
      <c r="Q176" s="762"/>
      <c r="R176" s="762"/>
      <c r="S176" s="762"/>
      <c r="T176" s="762"/>
      <c r="U176" s="762"/>
      <c r="V176" s="762"/>
      <c r="W176" s="762"/>
      <c r="X176" s="762"/>
      <c r="Y176" s="732" t="s">
        <v>62</v>
      </c>
      <c r="Z176" s="735" t="str">
        <f>""</f>
        <v/>
      </c>
      <c r="AA176" s="661">
        <v>0</v>
      </c>
      <c r="AB176" s="661" t="str">
        <f>""</f>
        <v/>
      </c>
      <c r="AC176" s="763" t="str">
        <f>""</f>
        <v/>
      </c>
      <c r="AD176" s="737"/>
      <c r="AE176" s="764"/>
      <c r="AF176" s="764"/>
      <c r="AG176" s="764"/>
      <c r="AH176" s="764"/>
      <c r="AI176" s="762"/>
      <c r="AJ176" s="762"/>
      <c r="AK176" s="762"/>
      <c r="AL176" s="762"/>
      <c r="AM176" s="762"/>
      <c r="AN176" s="762"/>
      <c r="AO176" s="762"/>
      <c r="AP176" s="762"/>
      <c r="AQ176" s="762"/>
      <c r="AR176" s="762"/>
      <c r="AS176" s="762"/>
      <c r="AT176" s="762"/>
      <c r="AU176" s="762"/>
      <c r="AV176" s="762"/>
      <c r="AW176" s="762"/>
      <c r="AX176" s="762"/>
      <c r="AY176" s="762"/>
      <c r="AZ176" s="762"/>
      <c r="BA176" s="762"/>
      <c r="BB176" s="762"/>
      <c r="BC176" s="762"/>
      <c r="BD176" s="762"/>
      <c r="BE176" s="762"/>
      <c r="BF176" s="762"/>
      <c r="BG176" s="762"/>
      <c r="BH176" s="762"/>
      <c r="BI176" s="762"/>
      <c r="BJ176" s="762"/>
      <c r="BK176" s="762"/>
      <c r="BL176" s="762"/>
      <c r="BM176" s="762"/>
      <c r="BN176" s="762"/>
      <c r="BO176" s="762"/>
      <c r="BP176" s="762"/>
      <c r="BQ176" s="762"/>
      <c r="BR176" s="762"/>
      <c r="BS176" s="762"/>
      <c r="BT176" s="762"/>
      <c r="BU176" s="762"/>
      <c r="BV176" s="762"/>
      <c r="BW176" s="762"/>
      <c r="BX176" s="762"/>
      <c r="BY176" s="762"/>
      <c r="BZ176" s="762"/>
      <c r="CA176" s="762"/>
      <c r="CB176" s="762"/>
    </row>
    <row r="177" spans="1:80" x14ac:dyDescent="0.2">
      <c r="A177" s="762"/>
      <c r="B177" s="762"/>
      <c r="C177" s="762"/>
      <c r="D177" s="762"/>
      <c r="E177" s="762"/>
      <c r="F177" s="762"/>
      <c r="G177" s="762"/>
      <c r="H177" s="762"/>
      <c r="I177" s="762"/>
      <c r="J177" s="762"/>
      <c r="K177" s="762"/>
      <c r="L177" s="762"/>
      <c r="M177" s="762"/>
      <c r="N177" s="762"/>
      <c r="O177" s="762"/>
      <c r="P177" s="762"/>
      <c r="Q177" s="762"/>
      <c r="R177" s="762"/>
      <c r="S177" s="762"/>
      <c r="T177" s="762"/>
      <c r="U177" s="762"/>
      <c r="V177" s="762"/>
      <c r="W177" s="762"/>
      <c r="X177" s="762"/>
      <c r="Y177" s="732" t="s">
        <v>63</v>
      </c>
      <c r="Z177" s="735" t="str">
        <f>""</f>
        <v/>
      </c>
      <c r="AA177" s="661">
        <v>0</v>
      </c>
      <c r="AB177" s="661" t="str">
        <f>""</f>
        <v/>
      </c>
      <c r="AC177" s="763" t="str">
        <f>""</f>
        <v/>
      </c>
      <c r="AD177" s="737"/>
      <c r="AE177" s="764"/>
      <c r="AF177" s="764"/>
      <c r="AG177" s="764"/>
      <c r="AH177" s="764"/>
      <c r="AI177" s="762"/>
      <c r="AJ177" s="762"/>
      <c r="AK177" s="762"/>
      <c r="AL177" s="762"/>
      <c r="AM177" s="762"/>
      <c r="AN177" s="762"/>
      <c r="AO177" s="762"/>
      <c r="AP177" s="762"/>
      <c r="AQ177" s="762"/>
      <c r="AR177" s="762"/>
      <c r="AS177" s="762"/>
      <c r="AT177" s="762"/>
      <c r="AU177" s="762"/>
      <c r="AV177" s="762"/>
      <c r="AW177" s="762"/>
      <c r="AX177" s="762"/>
      <c r="AY177" s="762"/>
      <c r="AZ177" s="762"/>
      <c r="BA177" s="762"/>
      <c r="BB177" s="762"/>
      <c r="BC177" s="762"/>
      <c r="BD177" s="762"/>
      <c r="BE177" s="762"/>
      <c r="BF177" s="762"/>
      <c r="BG177" s="762"/>
      <c r="BH177" s="762"/>
      <c r="BI177" s="762"/>
      <c r="BJ177" s="762"/>
      <c r="BK177" s="762"/>
      <c r="BL177" s="762"/>
      <c r="BM177" s="762"/>
      <c r="BN177" s="762"/>
      <c r="BO177" s="762"/>
      <c r="BP177" s="762"/>
      <c r="BQ177" s="762"/>
      <c r="BR177" s="762"/>
      <c r="BS177" s="762"/>
      <c r="BT177" s="762"/>
      <c r="BU177" s="762"/>
      <c r="BV177" s="762"/>
      <c r="BW177" s="762"/>
      <c r="BX177" s="762"/>
      <c r="BY177" s="762"/>
      <c r="BZ177" s="762"/>
      <c r="CA177" s="762"/>
      <c r="CB177" s="762"/>
    </row>
    <row r="178" spans="1:80" x14ac:dyDescent="0.2">
      <c r="A178" s="762"/>
      <c r="B178" s="762"/>
      <c r="C178" s="762"/>
      <c r="D178" s="762"/>
      <c r="E178" s="762"/>
      <c r="F178" s="762"/>
      <c r="G178" s="762"/>
      <c r="H178" s="762"/>
      <c r="I178" s="762"/>
      <c r="J178" s="762"/>
      <c r="K178" s="762"/>
      <c r="L178" s="762"/>
      <c r="M178" s="762"/>
      <c r="N178" s="762"/>
      <c r="O178" s="762"/>
      <c r="P178" s="762"/>
      <c r="Q178" s="762"/>
      <c r="R178" s="762"/>
      <c r="S178" s="762"/>
      <c r="T178" s="762"/>
      <c r="U178" s="762"/>
      <c r="V178" s="762"/>
      <c r="W178" s="762"/>
      <c r="X178" s="762"/>
      <c r="Y178" s="732" t="s">
        <v>64</v>
      </c>
      <c r="Z178" s="735" t="str">
        <f>""</f>
        <v/>
      </c>
      <c r="AA178" s="661">
        <v>0</v>
      </c>
      <c r="AB178" s="661" t="str">
        <f>""</f>
        <v/>
      </c>
      <c r="AC178" s="763" t="str">
        <f>""</f>
        <v/>
      </c>
      <c r="AD178" s="737"/>
      <c r="AE178" s="764"/>
      <c r="AF178" s="764"/>
      <c r="AG178" s="764"/>
      <c r="AH178" s="764"/>
      <c r="AI178" s="762"/>
      <c r="AJ178" s="762"/>
      <c r="AK178" s="762"/>
      <c r="AL178" s="762"/>
      <c r="AM178" s="762"/>
      <c r="AN178" s="762"/>
      <c r="AO178" s="762"/>
      <c r="AP178" s="762"/>
      <c r="AQ178" s="762"/>
      <c r="AR178" s="762"/>
      <c r="AS178" s="762"/>
      <c r="AT178" s="762"/>
      <c r="AU178" s="762"/>
      <c r="AV178" s="762"/>
      <c r="AW178" s="762"/>
      <c r="AX178" s="762"/>
      <c r="AY178" s="762"/>
      <c r="AZ178" s="762"/>
      <c r="BA178" s="762"/>
      <c r="BB178" s="762"/>
      <c r="BC178" s="762"/>
      <c r="BD178" s="762"/>
      <c r="BE178" s="762"/>
      <c r="BF178" s="762"/>
      <c r="BG178" s="762"/>
      <c r="BH178" s="762"/>
      <c r="BI178" s="762"/>
      <c r="BJ178" s="762"/>
      <c r="BK178" s="762"/>
      <c r="BL178" s="762"/>
      <c r="BM178" s="762"/>
      <c r="BN178" s="762"/>
      <c r="BO178" s="762"/>
      <c r="BP178" s="762"/>
      <c r="BQ178" s="762"/>
      <c r="BR178" s="762"/>
      <c r="BS178" s="762"/>
      <c r="BT178" s="762"/>
      <c r="BU178" s="762"/>
      <c r="BV178" s="762"/>
      <c r="BW178" s="762"/>
      <c r="BX178" s="762"/>
      <c r="BY178" s="762"/>
      <c r="BZ178" s="762"/>
      <c r="CA178" s="762"/>
      <c r="CB178" s="762"/>
    </row>
    <row r="179" spans="1:80" x14ac:dyDescent="0.2">
      <c r="A179" s="762"/>
      <c r="B179" s="762"/>
      <c r="C179" s="762"/>
      <c r="D179" s="762"/>
      <c r="E179" s="762"/>
      <c r="F179" s="762"/>
      <c r="G179" s="762"/>
      <c r="H179" s="762"/>
      <c r="I179" s="762"/>
      <c r="J179" s="762"/>
      <c r="K179" s="762"/>
      <c r="L179" s="762"/>
      <c r="M179" s="762"/>
      <c r="N179" s="762"/>
      <c r="O179" s="762"/>
      <c r="P179" s="762"/>
      <c r="Q179" s="762"/>
      <c r="R179" s="762"/>
      <c r="S179" s="762"/>
      <c r="T179" s="762"/>
      <c r="U179" s="762"/>
      <c r="V179" s="762"/>
      <c r="W179" s="762"/>
      <c r="X179" s="762"/>
      <c r="Y179" s="732" t="s">
        <v>65</v>
      </c>
      <c r="Z179" s="735" t="str">
        <f>""</f>
        <v/>
      </c>
      <c r="AA179" s="661">
        <v>0</v>
      </c>
      <c r="AB179" s="661" t="str">
        <f>""</f>
        <v/>
      </c>
      <c r="AC179" s="763" t="str">
        <f>""</f>
        <v/>
      </c>
      <c r="AD179" s="737"/>
      <c r="AE179" s="764"/>
      <c r="AF179" s="764"/>
      <c r="AG179" s="764"/>
      <c r="AH179" s="764"/>
      <c r="AI179" s="762"/>
      <c r="AJ179" s="762"/>
      <c r="AK179" s="762"/>
      <c r="AL179" s="762"/>
      <c r="AM179" s="762"/>
      <c r="AN179" s="762"/>
      <c r="AO179" s="762"/>
      <c r="AP179" s="762"/>
      <c r="AQ179" s="762"/>
      <c r="AR179" s="762"/>
      <c r="AS179" s="762"/>
      <c r="AT179" s="762"/>
      <c r="AU179" s="762"/>
      <c r="AV179" s="762"/>
      <c r="AW179" s="762"/>
      <c r="AX179" s="762"/>
      <c r="AY179" s="762"/>
      <c r="AZ179" s="762"/>
      <c r="BA179" s="762"/>
      <c r="BB179" s="762"/>
      <c r="BC179" s="762"/>
      <c r="BD179" s="762"/>
      <c r="BE179" s="762"/>
      <c r="BF179" s="762"/>
      <c r="BG179" s="762"/>
      <c r="BH179" s="762"/>
      <c r="BI179" s="762"/>
      <c r="BJ179" s="762"/>
      <c r="BK179" s="762"/>
      <c r="BL179" s="762"/>
      <c r="BM179" s="762"/>
      <c r="BN179" s="762"/>
      <c r="BO179" s="762"/>
      <c r="BP179" s="762"/>
      <c r="BQ179" s="762"/>
      <c r="BR179" s="762"/>
      <c r="BS179" s="762"/>
      <c r="BT179" s="762"/>
      <c r="BU179" s="762"/>
      <c r="BV179" s="762"/>
      <c r="BW179" s="762"/>
      <c r="BX179" s="762"/>
      <c r="BY179" s="762"/>
      <c r="BZ179" s="762"/>
      <c r="CA179" s="762"/>
      <c r="CB179" s="762"/>
    </row>
    <row r="180" spans="1:80" x14ac:dyDescent="0.2">
      <c r="A180" s="762"/>
      <c r="B180" s="762"/>
      <c r="C180" s="762"/>
      <c r="D180" s="762"/>
      <c r="E180" s="762"/>
      <c r="F180" s="762"/>
      <c r="G180" s="762"/>
      <c r="H180" s="762"/>
      <c r="I180" s="762"/>
      <c r="J180" s="762"/>
      <c r="K180" s="762"/>
      <c r="L180" s="762"/>
      <c r="M180" s="762"/>
      <c r="N180" s="762"/>
      <c r="O180" s="762"/>
      <c r="P180" s="762"/>
      <c r="Q180" s="762"/>
      <c r="R180" s="762"/>
      <c r="S180" s="762"/>
      <c r="T180" s="762"/>
      <c r="U180" s="762"/>
      <c r="V180" s="762"/>
      <c r="W180" s="762"/>
      <c r="X180" s="762"/>
      <c r="Y180" s="732" t="s">
        <v>66</v>
      </c>
      <c r="Z180" s="735" t="str">
        <f>""</f>
        <v/>
      </c>
      <c r="AA180" s="661">
        <v>0</v>
      </c>
      <c r="AB180" s="661" t="str">
        <f>""</f>
        <v/>
      </c>
      <c r="AC180" s="763" t="str">
        <f>""</f>
        <v/>
      </c>
      <c r="AD180" s="737"/>
      <c r="AE180" s="764"/>
      <c r="AF180" s="764"/>
      <c r="AG180" s="764"/>
      <c r="AH180" s="764"/>
      <c r="AI180" s="762"/>
      <c r="AJ180" s="762"/>
      <c r="AK180" s="762"/>
      <c r="AL180" s="762"/>
      <c r="AM180" s="762"/>
      <c r="AN180" s="762"/>
      <c r="AO180" s="762"/>
      <c r="AP180" s="762"/>
      <c r="AQ180" s="762"/>
      <c r="AR180" s="762"/>
      <c r="AS180" s="762"/>
      <c r="AT180" s="762"/>
      <c r="AU180" s="762"/>
      <c r="AV180" s="762"/>
      <c r="AW180" s="762"/>
      <c r="AX180" s="762"/>
      <c r="AY180" s="762"/>
      <c r="AZ180" s="762"/>
      <c r="BA180" s="762"/>
      <c r="BB180" s="762"/>
      <c r="BC180" s="762"/>
      <c r="BD180" s="762"/>
      <c r="BE180" s="762"/>
      <c r="BF180" s="762"/>
      <c r="BG180" s="762"/>
      <c r="BH180" s="762"/>
      <c r="BI180" s="762"/>
      <c r="BJ180" s="762"/>
      <c r="BK180" s="762"/>
      <c r="BL180" s="762"/>
      <c r="BM180" s="762"/>
      <c r="BN180" s="762"/>
      <c r="BO180" s="762"/>
      <c r="BP180" s="762"/>
      <c r="BQ180" s="762"/>
      <c r="BR180" s="762"/>
      <c r="BS180" s="762"/>
      <c r="BT180" s="762"/>
      <c r="BU180" s="762"/>
      <c r="BV180" s="762"/>
      <c r="BW180" s="762"/>
      <c r="BX180" s="762"/>
      <c r="BY180" s="762"/>
      <c r="BZ180" s="762"/>
      <c r="CA180" s="762"/>
      <c r="CB180" s="762"/>
    </row>
    <row r="181" spans="1:80" x14ac:dyDescent="0.2">
      <c r="A181" s="762"/>
      <c r="B181" s="762"/>
      <c r="C181" s="762"/>
      <c r="D181" s="762"/>
      <c r="E181" s="762"/>
      <c r="F181" s="762"/>
      <c r="G181" s="762"/>
      <c r="H181" s="762"/>
      <c r="I181" s="762"/>
      <c r="J181" s="762"/>
      <c r="K181" s="762"/>
      <c r="L181" s="762"/>
      <c r="M181" s="762"/>
      <c r="N181" s="762"/>
      <c r="O181" s="762"/>
      <c r="P181" s="762"/>
      <c r="Q181" s="762"/>
      <c r="R181" s="762"/>
      <c r="S181" s="762"/>
      <c r="T181" s="762"/>
      <c r="U181" s="762"/>
      <c r="V181" s="762"/>
      <c r="W181" s="762"/>
      <c r="X181" s="762"/>
      <c r="Y181" s="732" t="s">
        <v>67</v>
      </c>
      <c r="Z181" s="735" t="str">
        <f>""</f>
        <v/>
      </c>
      <c r="AA181" s="661">
        <v>0</v>
      </c>
      <c r="AB181" s="661" t="str">
        <f>""</f>
        <v/>
      </c>
      <c r="AC181" s="763" t="str">
        <f>""</f>
        <v/>
      </c>
      <c r="AD181" s="737"/>
      <c r="AE181" s="764"/>
      <c r="AF181" s="764"/>
      <c r="AG181" s="764"/>
      <c r="AH181" s="764"/>
      <c r="AI181" s="762"/>
      <c r="AJ181" s="762"/>
      <c r="AK181" s="762"/>
      <c r="AL181" s="762"/>
      <c r="AM181" s="762"/>
      <c r="AN181" s="762"/>
      <c r="AO181" s="762"/>
      <c r="AP181" s="762"/>
      <c r="AQ181" s="762"/>
      <c r="AR181" s="762"/>
      <c r="AS181" s="762"/>
      <c r="AT181" s="762"/>
      <c r="AU181" s="762"/>
      <c r="AV181" s="762"/>
      <c r="AW181" s="762"/>
      <c r="AX181" s="762"/>
      <c r="AY181" s="762"/>
      <c r="AZ181" s="762"/>
      <c r="BA181" s="762"/>
      <c r="BB181" s="762"/>
      <c r="BC181" s="762"/>
      <c r="BD181" s="762"/>
      <c r="BE181" s="762"/>
      <c r="BF181" s="762"/>
      <c r="BG181" s="762"/>
      <c r="BH181" s="762"/>
      <c r="BI181" s="762"/>
      <c r="BJ181" s="762"/>
      <c r="BK181" s="762"/>
      <c r="BL181" s="762"/>
      <c r="BM181" s="762"/>
      <c r="BN181" s="762"/>
      <c r="BO181" s="762"/>
      <c r="BP181" s="762"/>
      <c r="BQ181" s="762"/>
      <c r="BR181" s="762"/>
      <c r="BS181" s="762"/>
      <c r="BT181" s="762"/>
      <c r="BU181" s="762"/>
      <c r="BV181" s="762"/>
      <c r="BW181" s="762"/>
      <c r="BX181" s="762"/>
      <c r="BY181" s="762"/>
      <c r="BZ181" s="762"/>
      <c r="CA181" s="762"/>
      <c r="CB181" s="762"/>
    </row>
    <row r="182" spans="1:80" x14ac:dyDescent="0.2">
      <c r="A182" s="762"/>
      <c r="B182" s="762"/>
      <c r="C182" s="762"/>
      <c r="D182" s="762"/>
      <c r="E182" s="762"/>
      <c r="F182" s="762"/>
      <c r="G182" s="762"/>
      <c r="H182" s="762"/>
      <c r="I182" s="762"/>
      <c r="J182" s="762"/>
      <c r="K182" s="762"/>
      <c r="L182" s="762"/>
      <c r="M182" s="762"/>
      <c r="N182" s="762"/>
      <c r="O182" s="762"/>
      <c r="P182" s="762"/>
      <c r="Q182" s="762"/>
      <c r="R182" s="762"/>
      <c r="S182" s="762"/>
      <c r="T182" s="762"/>
      <c r="U182" s="762"/>
      <c r="V182" s="762"/>
      <c r="W182" s="762"/>
      <c r="X182" s="762"/>
      <c r="Y182" s="732" t="s">
        <v>68</v>
      </c>
      <c r="Z182" s="735" t="str">
        <f>""</f>
        <v/>
      </c>
      <c r="AA182" s="661">
        <v>0</v>
      </c>
      <c r="AB182" s="661" t="str">
        <f>""</f>
        <v/>
      </c>
      <c r="AC182" s="763" t="str">
        <f>""</f>
        <v/>
      </c>
      <c r="AD182" s="737"/>
      <c r="AE182" s="764"/>
      <c r="AF182" s="764"/>
      <c r="AG182" s="764"/>
      <c r="AH182" s="764"/>
      <c r="AI182" s="762"/>
      <c r="AJ182" s="762"/>
      <c r="AK182" s="762"/>
      <c r="AL182" s="762"/>
      <c r="AM182" s="762"/>
      <c r="AN182" s="762"/>
      <c r="AO182" s="762"/>
      <c r="AP182" s="762"/>
      <c r="AQ182" s="762"/>
      <c r="AR182" s="762"/>
      <c r="AS182" s="762"/>
      <c r="AT182" s="762"/>
      <c r="AU182" s="762"/>
      <c r="AV182" s="762"/>
      <c r="AW182" s="762"/>
      <c r="AX182" s="762"/>
      <c r="AY182" s="762"/>
      <c r="AZ182" s="762"/>
      <c r="BA182" s="762"/>
      <c r="BB182" s="762"/>
      <c r="BC182" s="762"/>
      <c r="BD182" s="762"/>
      <c r="BE182" s="762"/>
      <c r="BF182" s="762"/>
      <c r="BG182" s="762"/>
      <c r="BH182" s="762"/>
      <c r="BI182" s="762"/>
      <c r="BJ182" s="762"/>
      <c r="BK182" s="762"/>
      <c r="BL182" s="762"/>
      <c r="BM182" s="762"/>
      <c r="BN182" s="762"/>
      <c r="BO182" s="762"/>
      <c r="BP182" s="762"/>
      <c r="BQ182" s="762"/>
      <c r="BR182" s="762"/>
      <c r="BS182" s="762"/>
      <c r="BT182" s="762"/>
      <c r="BU182" s="762"/>
      <c r="BV182" s="762"/>
      <c r="BW182" s="762"/>
      <c r="BX182" s="762"/>
      <c r="BY182" s="762"/>
      <c r="BZ182" s="762"/>
      <c r="CA182" s="762"/>
      <c r="CB182" s="762"/>
    </row>
    <row r="183" spans="1:80" x14ac:dyDescent="0.2">
      <c r="A183" s="762"/>
      <c r="B183" s="762"/>
      <c r="C183" s="762"/>
      <c r="D183" s="762"/>
      <c r="E183" s="762"/>
      <c r="F183" s="762"/>
      <c r="G183" s="762"/>
      <c r="H183" s="762"/>
      <c r="I183" s="762"/>
      <c r="J183" s="762"/>
      <c r="K183" s="762"/>
      <c r="L183" s="762"/>
      <c r="M183" s="762"/>
      <c r="N183" s="762"/>
      <c r="O183" s="762"/>
      <c r="P183" s="762"/>
      <c r="Q183" s="762"/>
      <c r="R183" s="762"/>
      <c r="S183" s="762"/>
      <c r="T183" s="762"/>
      <c r="U183" s="762"/>
      <c r="V183" s="762"/>
      <c r="W183" s="762"/>
      <c r="X183" s="762"/>
      <c r="Y183" s="732" t="s">
        <v>69</v>
      </c>
      <c r="Z183" s="735" t="str">
        <f>""</f>
        <v/>
      </c>
      <c r="AA183" s="661">
        <v>0</v>
      </c>
      <c r="AB183" s="661" t="str">
        <f>""</f>
        <v/>
      </c>
      <c r="AC183" s="763" t="str">
        <f>""</f>
        <v/>
      </c>
      <c r="AD183" s="737"/>
      <c r="AE183" s="764"/>
      <c r="AF183" s="764"/>
      <c r="AG183" s="764"/>
      <c r="AH183" s="764"/>
      <c r="AI183" s="762"/>
      <c r="AJ183" s="762"/>
      <c r="AK183" s="762"/>
      <c r="AL183" s="762"/>
      <c r="AM183" s="762"/>
      <c r="AN183" s="762"/>
      <c r="AO183" s="762"/>
      <c r="AP183" s="762"/>
      <c r="AQ183" s="762"/>
      <c r="AR183" s="762"/>
      <c r="AS183" s="762"/>
      <c r="AT183" s="762"/>
      <c r="AU183" s="762"/>
      <c r="AV183" s="762"/>
      <c r="AW183" s="762"/>
      <c r="AX183" s="762"/>
      <c r="AY183" s="762"/>
      <c r="AZ183" s="762"/>
      <c r="BA183" s="762"/>
      <c r="BB183" s="762"/>
      <c r="BC183" s="762"/>
      <c r="BD183" s="762"/>
      <c r="BE183" s="762"/>
      <c r="BF183" s="762"/>
      <c r="BG183" s="762"/>
      <c r="BH183" s="762"/>
      <c r="BI183" s="762"/>
      <c r="BJ183" s="762"/>
      <c r="BK183" s="762"/>
      <c r="BL183" s="762"/>
      <c r="BM183" s="762"/>
      <c r="BN183" s="762"/>
      <c r="BO183" s="762"/>
      <c r="BP183" s="762"/>
      <c r="BQ183" s="762"/>
      <c r="BR183" s="762"/>
      <c r="BS183" s="762"/>
      <c r="BT183" s="762"/>
      <c r="BU183" s="762"/>
      <c r="BV183" s="762"/>
      <c r="BW183" s="762"/>
      <c r="BX183" s="762"/>
      <c r="BY183" s="762"/>
      <c r="BZ183" s="762"/>
      <c r="CA183" s="762"/>
      <c r="CB183" s="762"/>
    </row>
    <row r="184" spans="1:80" x14ac:dyDescent="0.2">
      <c r="A184" s="762"/>
      <c r="B184" s="762"/>
      <c r="C184" s="762"/>
      <c r="D184" s="762"/>
      <c r="E184" s="762"/>
      <c r="F184" s="762"/>
      <c r="G184" s="762"/>
      <c r="H184" s="762"/>
      <c r="I184" s="762"/>
      <c r="J184" s="762"/>
      <c r="K184" s="762"/>
      <c r="L184" s="762"/>
      <c r="M184" s="762"/>
      <c r="N184" s="762"/>
      <c r="O184" s="762"/>
      <c r="P184" s="762"/>
      <c r="Q184" s="762"/>
      <c r="R184" s="762"/>
      <c r="S184" s="762"/>
      <c r="T184" s="762"/>
      <c r="U184" s="762"/>
      <c r="V184" s="762"/>
      <c r="W184" s="762"/>
      <c r="X184" s="762"/>
      <c r="Y184" s="732" t="s">
        <v>70</v>
      </c>
      <c r="Z184" s="735" t="str">
        <f>""</f>
        <v/>
      </c>
      <c r="AA184" s="661">
        <v>0</v>
      </c>
      <c r="AB184" s="661" t="str">
        <f>""</f>
        <v/>
      </c>
      <c r="AC184" s="763" t="str">
        <f>""</f>
        <v/>
      </c>
      <c r="AD184" s="737"/>
      <c r="AE184" s="764"/>
      <c r="AF184" s="764"/>
      <c r="AG184" s="764"/>
      <c r="AH184" s="764"/>
      <c r="AI184" s="762"/>
      <c r="AJ184" s="762"/>
      <c r="AK184" s="762"/>
      <c r="AL184" s="762"/>
      <c r="AM184" s="762"/>
      <c r="AN184" s="762"/>
      <c r="AO184" s="762"/>
      <c r="AP184" s="762"/>
      <c r="AQ184" s="762"/>
      <c r="AR184" s="762"/>
      <c r="AS184" s="762"/>
      <c r="AT184" s="762"/>
      <c r="AU184" s="762"/>
      <c r="AV184" s="762"/>
      <c r="AW184" s="762"/>
      <c r="AX184" s="762"/>
      <c r="AY184" s="762"/>
      <c r="AZ184" s="762"/>
      <c r="BA184" s="762"/>
      <c r="BB184" s="762"/>
      <c r="BC184" s="762"/>
      <c r="BD184" s="762"/>
      <c r="BE184" s="762"/>
      <c r="BF184" s="762"/>
      <c r="BG184" s="762"/>
      <c r="BH184" s="762"/>
      <c r="BI184" s="762"/>
      <c r="BJ184" s="762"/>
      <c r="BK184" s="762"/>
      <c r="BL184" s="762"/>
      <c r="BM184" s="762"/>
      <c r="BN184" s="762"/>
      <c r="BO184" s="762"/>
      <c r="BP184" s="762"/>
      <c r="BQ184" s="762"/>
      <c r="BR184" s="762"/>
      <c r="BS184" s="762"/>
      <c r="BT184" s="762"/>
      <c r="BU184" s="762"/>
      <c r="BV184" s="762"/>
      <c r="BW184" s="762"/>
      <c r="BX184" s="762"/>
      <c r="BY184" s="762"/>
      <c r="BZ184" s="762"/>
      <c r="CA184" s="762"/>
      <c r="CB184" s="762"/>
    </row>
    <row r="185" spans="1:80" x14ac:dyDescent="0.2">
      <c r="A185" s="762"/>
      <c r="B185" s="762"/>
      <c r="C185" s="762"/>
      <c r="D185" s="762"/>
      <c r="E185" s="762"/>
      <c r="F185" s="762"/>
      <c r="G185" s="762"/>
      <c r="H185" s="762"/>
      <c r="I185" s="762"/>
      <c r="J185" s="762"/>
      <c r="K185" s="762"/>
      <c r="L185" s="762"/>
      <c r="M185" s="762"/>
      <c r="N185" s="762"/>
      <c r="O185" s="762"/>
      <c r="P185" s="762"/>
      <c r="Q185" s="762"/>
      <c r="R185" s="762"/>
      <c r="S185" s="762"/>
      <c r="T185" s="762"/>
      <c r="U185" s="762"/>
      <c r="V185" s="762"/>
      <c r="W185" s="762"/>
      <c r="X185" s="762"/>
      <c r="Y185" s="732" t="s">
        <v>71</v>
      </c>
      <c r="Z185" s="735" t="str">
        <f>""</f>
        <v/>
      </c>
      <c r="AA185" s="661">
        <v>0</v>
      </c>
      <c r="AB185" s="661" t="str">
        <f>""</f>
        <v/>
      </c>
      <c r="AC185" s="763" t="str">
        <f>""</f>
        <v/>
      </c>
      <c r="AD185" s="737"/>
      <c r="AE185" s="764"/>
      <c r="AF185" s="764"/>
      <c r="AG185" s="764"/>
      <c r="AH185" s="764"/>
      <c r="AI185" s="762"/>
      <c r="AJ185" s="762"/>
      <c r="AK185" s="762"/>
      <c r="AL185" s="762"/>
      <c r="AM185" s="762"/>
      <c r="AN185" s="762"/>
      <c r="AO185" s="762"/>
      <c r="AP185" s="762"/>
      <c r="AQ185" s="762"/>
      <c r="AR185" s="762"/>
      <c r="AS185" s="762"/>
      <c r="AT185" s="762"/>
      <c r="AU185" s="762"/>
      <c r="AV185" s="762"/>
      <c r="AW185" s="762"/>
      <c r="AX185" s="762"/>
      <c r="AY185" s="762"/>
      <c r="AZ185" s="762"/>
      <c r="BA185" s="762"/>
      <c r="BB185" s="762"/>
      <c r="BC185" s="762"/>
      <c r="BD185" s="762"/>
      <c r="BE185" s="762"/>
      <c r="BF185" s="762"/>
      <c r="BG185" s="762"/>
      <c r="BH185" s="762"/>
      <c r="BI185" s="762"/>
      <c r="BJ185" s="762"/>
      <c r="BK185" s="762"/>
      <c r="BL185" s="762"/>
      <c r="BM185" s="762"/>
      <c r="BN185" s="762"/>
      <c r="BO185" s="762"/>
      <c r="BP185" s="762"/>
      <c r="BQ185" s="762"/>
      <c r="BR185" s="762"/>
      <c r="BS185" s="762"/>
      <c r="BT185" s="762"/>
      <c r="BU185" s="762"/>
      <c r="BV185" s="762"/>
      <c r="BW185" s="762"/>
      <c r="BX185" s="762"/>
      <c r="BY185" s="762"/>
      <c r="BZ185" s="762"/>
      <c r="CA185" s="762"/>
      <c r="CB185" s="762"/>
    </row>
    <row r="186" spans="1:80" x14ac:dyDescent="0.2">
      <c r="A186" s="762"/>
      <c r="B186" s="762"/>
      <c r="C186" s="762"/>
      <c r="D186" s="762"/>
      <c r="E186" s="762"/>
      <c r="F186" s="762"/>
      <c r="G186" s="762"/>
      <c r="H186" s="762"/>
      <c r="I186" s="762"/>
      <c r="J186" s="762"/>
      <c r="K186" s="762"/>
      <c r="L186" s="762"/>
      <c r="M186" s="762"/>
      <c r="N186" s="762"/>
      <c r="O186" s="762"/>
      <c r="P186" s="762"/>
      <c r="Q186" s="762"/>
      <c r="R186" s="762"/>
      <c r="S186" s="762"/>
      <c r="T186" s="762"/>
      <c r="U186" s="762"/>
      <c r="V186" s="762"/>
      <c r="W186" s="762"/>
      <c r="X186" s="762"/>
      <c r="Y186" s="732" t="s">
        <v>72</v>
      </c>
      <c r="Z186" s="735" t="str">
        <f>""</f>
        <v/>
      </c>
      <c r="AA186" s="661">
        <v>0</v>
      </c>
      <c r="AB186" s="661" t="str">
        <f>""</f>
        <v/>
      </c>
      <c r="AC186" s="763" t="str">
        <f>""</f>
        <v/>
      </c>
      <c r="AD186" s="737"/>
      <c r="AE186" s="764"/>
      <c r="AF186" s="764"/>
      <c r="AG186" s="764"/>
      <c r="AH186" s="764"/>
      <c r="AI186" s="762"/>
      <c r="AJ186" s="762"/>
      <c r="AK186" s="762"/>
      <c r="AL186" s="762"/>
      <c r="AM186" s="762"/>
      <c r="AN186" s="762"/>
      <c r="AO186" s="762"/>
      <c r="AP186" s="762"/>
      <c r="AQ186" s="762"/>
      <c r="AR186" s="762"/>
      <c r="AS186" s="762"/>
      <c r="AT186" s="762"/>
      <c r="AU186" s="762"/>
      <c r="AV186" s="762"/>
      <c r="AW186" s="762"/>
      <c r="AX186" s="762"/>
      <c r="AY186" s="762"/>
      <c r="AZ186" s="762"/>
      <c r="BA186" s="762"/>
      <c r="BB186" s="762"/>
      <c r="BC186" s="762"/>
      <c r="BD186" s="762"/>
      <c r="BE186" s="762"/>
      <c r="BF186" s="762"/>
      <c r="BG186" s="762"/>
      <c r="BH186" s="762"/>
      <c r="BI186" s="762"/>
      <c r="BJ186" s="762"/>
      <c r="BK186" s="762"/>
      <c r="BL186" s="762"/>
      <c r="BM186" s="762"/>
      <c r="BN186" s="762"/>
      <c r="BO186" s="762"/>
      <c r="BP186" s="762"/>
      <c r="BQ186" s="762"/>
      <c r="BR186" s="762"/>
      <c r="BS186" s="762"/>
      <c r="BT186" s="762"/>
      <c r="BU186" s="762"/>
      <c r="BV186" s="762"/>
      <c r="BW186" s="762"/>
      <c r="BX186" s="762"/>
      <c r="BY186" s="762"/>
      <c r="BZ186" s="762"/>
      <c r="CA186" s="762"/>
      <c r="CB186" s="762"/>
    </row>
    <row r="187" spans="1:80" x14ac:dyDescent="0.2">
      <c r="A187" s="762"/>
      <c r="B187" s="762"/>
      <c r="C187" s="762"/>
      <c r="D187" s="762"/>
      <c r="E187" s="762"/>
      <c r="F187" s="762"/>
      <c r="G187" s="762"/>
      <c r="H187" s="762"/>
      <c r="I187" s="762"/>
      <c r="J187" s="762"/>
      <c r="K187" s="762"/>
      <c r="L187" s="762"/>
      <c r="M187" s="762"/>
      <c r="N187" s="762"/>
      <c r="O187" s="762"/>
      <c r="P187" s="762"/>
      <c r="Q187" s="762"/>
      <c r="R187" s="762"/>
      <c r="S187" s="762"/>
      <c r="T187" s="762"/>
      <c r="U187" s="762"/>
      <c r="V187" s="762"/>
      <c r="W187" s="762"/>
      <c r="X187" s="762"/>
      <c r="Y187" s="732" t="s">
        <v>73</v>
      </c>
      <c r="Z187" s="735" t="str">
        <f>""</f>
        <v/>
      </c>
      <c r="AA187" s="661">
        <v>0</v>
      </c>
      <c r="AB187" s="661" t="str">
        <f>""</f>
        <v/>
      </c>
      <c r="AC187" s="763" t="str">
        <f>""</f>
        <v/>
      </c>
      <c r="AD187" s="737"/>
      <c r="AE187" s="764"/>
      <c r="AF187" s="764"/>
      <c r="AG187" s="764"/>
      <c r="AH187" s="764"/>
      <c r="AI187" s="762"/>
      <c r="AJ187" s="762"/>
      <c r="AK187" s="762"/>
      <c r="AL187" s="762"/>
      <c r="AM187" s="762"/>
      <c r="AN187" s="762"/>
      <c r="AO187" s="762"/>
      <c r="AP187" s="762"/>
      <c r="AQ187" s="762"/>
      <c r="AR187" s="762"/>
      <c r="AS187" s="762"/>
      <c r="AT187" s="762"/>
      <c r="AU187" s="762"/>
      <c r="AV187" s="762"/>
      <c r="AW187" s="762"/>
      <c r="AX187" s="762"/>
      <c r="AY187" s="762"/>
      <c r="AZ187" s="762"/>
      <c r="BA187" s="762"/>
      <c r="BB187" s="762"/>
      <c r="BC187" s="762"/>
      <c r="BD187" s="762"/>
      <c r="BE187" s="762"/>
      <c r="BF187" s="762"/>
      <c r="BG187" s="762"/>
      <c r="BH187" s="762"/>
      <c r="BI187" s="762"/>
      <c r="BJ187" s="762"/>
      <c r="BK187" s="762"/>
      <c r="BL187" s="762"/>
      <c r="BM187" s="762"/>
      <c r="BN187" s="762"/>
      <c r="BO187" s="762"/>
      <c r="BP187" s="762"/>
      <c r="BQ187" s="762"/>
      <c r="BR187" s="762"/>
      <c r="BS187" s="762"/>
      <c r="BT187" s="762"/>
      <c r="BU187" s="762"/>
      <c r="BV187" s="762"/>
      <c r="BW187" s="762"/>
      <c r="BX187" s="762"/>
      <c r="BY187" s="762"/>
      <c r="BZ187" s="762"/>
      <c r="CA187" s="762"/>
      <c r="CB187" s="762"/>
    </row>
    <row r="188" spans="1:80" x14ac:dyDescent="0.2">
      <c r="A188" s="762"/>
      <c r="B188" s="762"/>
      <c r="C188" s="762"/>
      <c r="D188" s="762"/>
      <c r="E188" s="762"/>
      <c r="F188" s="762"/>
      <c r="G188" s="762"/>
      <c r="H188" s="762"/>
      <c r="I188" s="762"/>
      <c r="J188" s="762"/>
      <c r="K188" s="762"/>
      <c r="L188" s="762"/>
      <c r="M188" s="762"/>
      <c r="N188" s="762"/>
      <c r="O188" s="762"/>
      <c r="P188" s="762"/>
      <c r="Q188" s="762"/>
      <c r="R188" s="762"/>
      <c r="S188" s="762"/>
      <c r="T188" s="762"/>
      <c r="U188" s="762"/>
      <c r="V188" s="762"/>
      <c r="W188" s="762"/>
      <c r="X188" s="762"/>
      <c r="Y188" s="732" t="s">
        <v>74</v>
      </c>
      <c r="Z188" s="735" t="str">
        <f>""</f>
        <v/>
      </c>
      <c r="AA188" s="661">
        <v>0</v>
      </c>
      <c r="AB188" s="661" t="str">
        <f>""</f>
        <v/>
      </c>
      <c r="AC188" s="763" t="str">
        <f>""</f>
        <v/>
      </c>
      <c r="AD188" s="737"/>
      <c r="AE188" s="764"/>
      <c r="AF188" s="764"/>
      <c r="AG188" s="764"/>
      <c r="AH188" s="764"/>
      <c r="AI188" s="762"/>
      <c r="AJ188" s="762"/>
      <c r="AK188" s="762"/>
      <c r="AL188" s="762"/>
      <c r="AM188" s="762"/>
      <c r="AN188" s="762"/>
      <c r="AO188" s="762"/>
      <c r="AP188" s="762"/>
      <c r="AQ188" s="762"/>
      <c r="AR188" s="762"/>
      <c r="AS188" s="762"/>
      <c r="AT188" s="762"/>
      <c r="AU188" s="762"/>
      <c r="AV188" s="762"/>
      <c r="AW188" s="762"/>
      <c r="AX188" s="762"/>
      <c r="AY188" s="762"/>
      <c r="AZ188" s="762"/>
      <c r="BA188" s="762"/>
      <c r="BB188" s="762"/>
      <c r="BC188" s="762"/>
      <c r="BD188" s="762"/>
      <c r="BE188" s="762"/>
      <c r="BF188" s="762"/>
      <c r="BG188" s="762"/>
      <c r="BH188" s="762"/>
      <c r="BI188" s="762"/>
      <c r="BJ188" s="762"/>
      <c r="BK188" s="762"/>
      <c r="BL188" s="762"/>
      <c r="BM188" s="762"/>
      <c r="BN188" s="762"/>
      <c r="BO188" s="762"/>
      <c r="BP188" s="762"/>
      <c r="BQ188" s="762"/>
      <c r="BR188" s="762"/>
      <c r="BS188" s="762"/>
      <c r="BT188" s="762"/>
      <c r="BU188" s="762"/>
      <c r="BV188" s="762"/>
      <c r="BW188" s="762"/>
      <c r="BX188" s="762"/>
      <c r="BY188" s="762"/>
      <c r="BZ188" s="762"/>
      <c r="CA188" s="762"/>
      <c r="CB188" s="762"/>
    </row>
    <row r="189" spans="1:80" x14ac:dyDescent="0.2">
      <c r="A189" s="762"/>
      <c r="B189" s="762"/>
      <c r="C189" s="762"/>
      <c r="D189" s="762"/>
      <c r="E189" s="762"/>
      <c r="F189" s="762"/>
      <c r="G189" s="762"/>
      <c r="H189" s="762"/>
      <c r="I189" s="762"/>
      <c r="J189" s="762"/>
      <c r="K189" s="762"/>
      <c r="L189" s="762"/>
      <c r="M189" s="762"/>
      <c r="N189" s="762"/>
      <c r="O189" s="762"/>
      <c r="P189" s="762"/>
      <c r="Q189" s="762"/>
      <c r="R189" s="762"/>
      <c r="S189" s="762"/>
      <c r="T189" s="762"/>
      <c r="U189" s="762"/>
      <c r="V189" s="762"/>
      <c r="W189" s="762"/>
      <c r="X189" s="762"/>
      <c r="Y189" s="732" t="s">
        <v>75</v>
      </c>
      <c r="Z189" s="735" t="str">
        <f>""</f>
        <v/>
      </c>
      <c r="AA189" s="661">
        <v>0</v>
      </c>
      <c r="AB189" s="661" t="str">
        <f>""</f>
        <v/>
      </c>
      <c r="AC189" s="763" t="str">
        <f>""</f>
        <v/>
      </c>
      <c r="AD189" s="737"/>
      <c r="AE189" s="764"/>
      <c r="AF189" s="764"/>
      <c r="AG189" s="764"/>
      <c r="AH189" s="764"/>
      <c r="AI189" s="762"/>
      <c r="AJ189" s="762"/>
      <c r="AK189" s="762"/>
      <c r="AL189" s="762"/>
      <c r="AM189" s="762"/>
      <c r="AN189" s="762"/>
      <c r="AO189" s="762"/>
      <c r="AP189" s="762"/>
      <c r="AQ189" s="762"/>
      <c r="AR189" s="762"/>
      <c r="AS189" s="762"/>
      <c r="AT189" s="762"/>
      <c r="AU189" s="762"/>
      <c r="AV189" s="762"/>
      <c r="AW189" s="762"/>
      <c r="AX189" s="762"/>
      <c r="AY189" s="762"/>
      <c r="AZ189" s="762"/>
      <c r="BA189" s="762"/>
      <c r="BB189" s="762"/>
      <c r="BC189" s="762"/>
      <c r="BD189" s="762"/>
      <c r="BE189" s="762"/>
      <c r="BF189" s="762"/>
      <c r="BG189" s="762"/>
      <c r="BH189" s="762"/>
      <c r="BI189" s="762"/>
      <c r="BJ189" s="762"/>
      <c r="BK189" s="762"/>
      <c r="BL189" s="762"/>
      <c r="BM189" s="762"/>
      <c r="BN189" s="762"/>
      <c r="BO189" s="762"/>
      <c r="BP189" s="762"/>
      <c r="BQ189" s="762"/>
      <c r="BR189" s="762"/>
      <c r="BS189" s="762"/>
      <c r="BT189" s="762"/>
      <c r="BU189" s="762"/>
      <c r="BV189" s="762"/>
      <c r="BW189" s="762"/>
      <c r="BX189" s="762"/>
      <c r="BY189" s="762"/>
      <c r="BZ189" s="762"/>
      <c r="CA189" s="762"/>
      <c r="CB189" s="762"/>
    </row>
    <row r="190" spans="1:80" x14ac:dyDescent="0.2">
      <c r="A190" s="762"/>
      <c r="B190" s="762"/>
      <c r="C190" s="762"/>
      <c r="D190" s="762"/>
      <c r="E190" s="762"/>
      <c r="F190" s="762"/>
      <c r="G190" s="762"/>
      <c r="H190" s="762"/>
      <c r="I190" s="762"/>
      <c r="J190" s="762"/>
      <c r="K190" s="762"/>
      <c r="L190" s="762"/>
      <c r="M190" s="762"/>
      <c r="N190" s="762"/>
      <c r="O190" s="762"/>
      <c r="P190" s="762"/>
      <c r="Q190" s="762"/>
      <c r="R190" s="762"/>
      <c r="S190" s="762"/>
      <c r="T190" s="762"/>
      <c r="U190" s="762"/>
      <c r="V190" s="762"/>
      <c r="W190" s="762"/>
      <c r="X190" s="762"/>
      <c r="Y190" s="732" t="s">
        <v>76</v>
      </c>
      <c r="Z190" s="735" t="str">
        <f>""</f>
        <v/>
      </c>
      <c r="AA190" s="661">
        <v>0</v>
      </c>
      <c r="AB190" s="661" t="str">
        <f>""</f>
        <v/>
      </c>
      <c r="AC190" s="763" t="str">
        <f>""</f>
        <v/>
      </c>
      <c r="AD190" s="737"/>
      <c r="AE190" s="764"/>
      <c r="AF190" s="764"/>
      <c r="AG190" s="764"/>
      <c r="AH190" s="764"/>
      <c r="AI190" s="762"/>
      <c r="AJ190" s="762"/>
      <c r="AK190" s="762"/>
      <c r="AL190" s="762"/>
      <c r="AM190" s="762"/>
      <c r="AN190" s="762"/>
      <c r="AO190" s="762"/>
      <c r="AP190" s="762"/>
      <c r="AQ190" s="762"/>
      <c r="AR190" s="762"/>
      <c r="AS190" s="762"/>
      <c r="AT190" s="762"/>
      <c r="AU190" s="762"/>
      <c r="AV190" s="762"/>
      <c r="AW190" s="762"/>
      <c r="AX190" s="762"/>
      <c r="AY190" s="762"/>
      <c r="AZ190" s="762"/>
      <c r="BA190" s="762"/>
      <c r="BB190" s="762"/>
      <c r="BC190" s="762"/>
      <c r="BD190" s="762"/>
      <c r="BE190" s="762"/>
      <c r="BF190" s="762"/>
      <c r="BG190" s="762"/>
      <c r="BH190" s="762"/>
      <c r="BI190" s="762"/>
      <c r="BJ190" s="762"/>
      <c r="BK190" s="762"/>
      <c r="BL190" s="762"/>
      <c r="BM190" s="762"/>
      <c r="BN190" s="762"/>
      <c r="BO190" s="762"/>
      <c r="BP190" s="762"/>
      <c r="BQ190" s="762"/>
      <c r="BR190" s="762"/>
      <c r="BS190" s="762"/>
      <c r="BT190" s="762"/>
      <c r="BU190" s="762"/>
      <c r="BV190" s="762"/>
      <c r="BW190" s="762"/>
      <c r="BX190" s="762"/>
      <c r="BY190" s="762"/>
      <c r="BZ190" s="762"/>
      <c r="CA190" s="762"/>
      <c r="CB190" s="762"/>
    </row>
    <row r="191" spans="1:80" x14ac:dyDescent="0.2">
      <c r="A191" s="762"/>
      <c r="B191" s="762"/>
      <c r="C191" s="762"/>
      <c r="D191" s="762"/>
      <c r="E191" s="762"/>
      <c r="F191" s="762"/>
      <c r="G191" s="762"/>
      <c r="H191" s="762"/>
      <c r="I191" s="762"/>
      <c r="J191" s="762"/>
      <c r="K191" s="762"/>
      <c r="L191" s="762"/>
      <c r="M191" s="762"/>
      <c r="N191" s="762"/>
      <c r="O191" s="762"/>
      <c r="P191" s="762"/>
      <c r="Q191" s="762"/>
      <c r="R191" s="762"/>
      <c r="S191" s="762"/>
      <c r="T191" s="762"/>
      <c r="U191" s="762"/>
      <c r="V191" s="762"/>
      <c r="W191" s="762"/>
      <c r="X191" s="762"/>
      <c r="Y191" s="732" t="s">
        <v>77</v>
      </c>
      <c r="Z191" s="735" t="str">
        <f>""</f>
        <v/>
      </c>
      <c r="AA191" s="661">
        <v>0</v>
      </c>
      <c r="AB191" s="661" t="str">
        <f>""</f>
        <v/>
      </c>
      <c r="AC191" s="763" t="str">
        <f>""</f>
        <v/>
      </c>
      <c r="AD191" s="737"/>
      <c r="AE191" s="764"/>
      <c r="AF191" s="764"/>
      <c r="AG191" s="764"/>
      <c r="AH191" s="764"/>
      <c r="AI191" s="762"/>
      <c r="AJ191" s="762"/>
      <c r="AK191" s="762"/>
      <c r="AL191" s="762"/>
      <c r="AM191" s="762"/>
      <c r="AN191" s="762"/>
      <c r="AO191" s="762"/>
      <c r="AP191" s="762"/>
      <c r="AQ191" s="762"/>
      <c r="AR191" s="762"/>
      <c r="AS191" s="762"/>
      <c r="AT191" s="762"/>
      <c r="AU191" s="762"/>
      <c r="AV191" s="762"/>
      <c r="AW191" s="762"/>
      <c r="AX191" s="762"/>
      <c r="AY191" s="762"/>
      <c r="AZ191" s="762"/>
      <c r="BA191" s="762"/>
      <c r="BB191" s="762"/>
      <c r="BC191" s="762"/>
      <c r="BD191" s="762"/>
      <c r="BE191" s="762"/>
      <c r="BF191" s="762"/>
      <c r="BG191" s="762"/>
      <c r="BH191" s="762"/>
      <c r="BI191" s="762"/>
      <c r="BJ191" s="762"/>
      <c r="BK191" s="762"/>
      <c r="BL191" s="762"/>
      <c r="BM191" s="762"/>
      <c r="BN191" s="762"/>
      <c r="BO191" s="762"/>
      <c r="BP191" s="762"/>
      <c r="BQ191" s="762"/>
      <c r="BR191" s="762"/>
      <c r="BS191" s="762"/>
      <c r="BT191" s="762"/>
      <c r="BU191" s="762"/>
      <c r="BV191" s="762"/>
      <c r="BW191" s="762"/>
      <c r="BX191" s="762"/>
      <c r="BY191" s="762"/>
      <c r="BZ191" s="762"/>
      <c r="CA191" s="762"/>
      <c r="CB191" s="762"/>
    </row>
    <row r="192" spans="1:80" x14ac:dyDescent="0.2">
      <c r="A192" s="762"/>
      <c r="B192" s="762"/>
      <c r="C192" s="762"/>
      <c r="D192" s="762"/>
      <c r="E192" s="762"/>
      <c r="F192" s="762"/>
      <c r="G192" s="762"/>
      <c r="H192" s="762"/>
      <c r="I192" s="762"/>
      <c r="J192" s="762"/>
      <c r="K192" s="762"/>
      <c r="L192" s="762"/>
      <c r="M192" s="762"/>
      <c r="N192" s="762"/>
      <c r="O192" s="762"/>
      <c r="P192" s="762"/>
      <c r="Q192" s="762"/>
      <c r="R192" s="762"/>
      <c r="S192" s="762"/>
      <c r="T192" s="762"/>
      <c r="U192" s="762"/>
      <c r="V192" s="762"/>
      <c r="W192" s="762"/>
      <c r="X192" s="762"/>
      <c r="Y192" s="732" t="s">
        <v>78</v>
      </c>
      <c r="Z192" s="735" t="str">
        <f>""</f>
        <v/>
      </c>
      <c r="AA192" s="661">
        <v>0</v>
      </c>
      <c r="AB192" s="661" t="str">
        <f>""</f>
        <v/>
      </c>
      <c r="AC192" s="763" t="str">
        <f>""</f>
        <v/>
      </c>
      <c r="AD192" s="737"/>
      <c r="AE192" s="764"/>
      <c r="AF192" s="764"/>
      <c r="AG192" s="764"/>
      <c r="AH192" s="764"/>
      <c r="AI192" s="762"/>
      <c r="AJ192" s="762"/>
      <c r="AK192" s="762"/>
      <c r="AL192" s="762"/>
      <c r="AM192" s="762"/>
      <c r="AN192" s="762"/>
      <c r="AO192" s="762"/>
      <c r="AP192" s="762"/>
      <c r="AQ192" s="762"/>
      <c r="AR192" s="762"/>
      <c r="AS192" s="762"/>
      <c r="AT192" s="762"/>
      <c r="AU192" s="762"/>
      <c r="AV192" s="762"/>
      <c r="AW192" s="762"/>
      <c r="AX192" s="762"/>
      <c r="AY192" s="762"/>
      <c r="AZ192" s="762"/>
      <c r="BA192" s="762"/>
      <c r="BB192" s="762"/>
      <c r="BC192" s="762"/>
      <c r="BD192" s="762"/>
      <c r="BE192" s="762"/>
      <c r="BF192" s="762"/>
      <c r="BG192" s="762"/>
      <c r="BH192" s="762"/>
      <c r="BI192" s="762"/>
      <c r="BJ192" s="762"/>
      <c r="BK192" s="762"/>
      <c r="BL192" s="762"/>
      <c r="BM192" s="762"/>
      <c r="BN192" s="762"/>
      <c r="BO192" s="762"/>
      <c r="BP192" s="762"/>
      <c r="BQ192" s="762"/>
      <c r="BR192" s="762"/>
      <c r="BS192" s="762"/>
      <c r="BT192" s="762"/>
      <c r="BU192" s="762"/>
      <c r="BV192" s="762"/>
      <c r="BW192" s="762"/>
      <c r="BX192" s="762"/>
      <c r="BY192" s="762"/>
      <c r="BZ192" s="762"/>
      <c r="CA192" s="762"/>
      <c r="CB192" s="762"/>
    </row>
    <row r="193" spans="1:80" x14ac:dyDescent="0.2">
      <c r="A193" s="762"/>
      <c r="B193" s="762"/>
      <c r="C193" s="762"/>
      <c r="D193" s="762"/>
      <c r="E193" s="762"/>
      <c r="F193" s="762"/>
      <c r="G193" s="762"/>
      <c r="H193" s="762"/>
      <c r="I193" s="762"/>
      <c r="J193" s="762"/>
      <c r="K193" s="762"/>
      <c r="L193" s="762"/>
      <c r="M193" s="762"/>
      <c r="N193" s="762"/>
      <c r="O193" s="762"/>
      <c r="P193" s="762"/>
      <c r="Q193" s="762"/>
      <c r="R193" s="762"/>
      <c r="S193" s="762"/>
      <c r="T193" s="762"/>
      <c r="U193" s="762"/>
      <c r="V193" s="762"/>
      <c r="W193" s="762"/>
      <c r="X193" s="762"/>
      <c r="Y193" s="732" t="s">
        <v>79</v>
      </c>
      <c r="Z193" s="735" t="str">
        <f>""</f>
        <v/>
      </c>
      <c r="AA193" s="661">
        <v>0</v>
      </c>
      <c r="AB193" s="661" t="str">
        <f>""</f>
        <v/>
      </c>
      <c r="AC193" s="763" t="str">
        <f>""</f>
        <v/>
      </c>
      <c r="AD193" s="737"/>
      <c r="AE193" s="764"/>
      <c r="AF193" s="764"/>
      <c r="AG193" s="764"/>
      <c r="AH193" s="764"/>
      <c r="AI193" s="762"/>
      <c r="AJ193" s="762"/>
      <c r="AK193" s="762"/>
      <c r="AL193" s="762"/>
      <c r="AM193" s="762"/>
      <c r="AN193" s="762"/>
      <c r="AO193" s="762"/>
      <c r="AP193" s="762"/>
      <c r="AQ193" s="762"/>
      <c r="AR193" s="762"/>
      <c r="AS193" s="762"/>
      <c r="AT193" s="762"/>
      <c r="AU193" s="762"/>
      <c r="AV193" s="762"/>
      <c r="AW193" s="762"/>
      <c r="AX193" s="762"/>
      <c r="AY193" s="762"/>
      <c r="AZ193" s="762"/>
      <c r="BA193" s="762"/>
      <c r="BB193" s="762"/>
      <c r="BC193" s="762"/>
      <c r="BD193" s="762"/>
      <c r="BE193" s="762"/>
      <c r="BF193" s="762"/>
      <c r="BG193" s="762"/>
      <c r="BH193" s="762"/>
      <c r="BI193" s="762"/>
      <c r="BJ193" s="762"/>
      <c r="BK193" s="762"/>
      <c r="BL193" s="762"/>
      <c r="BM193" s="762"/>
      <c r="BN193" s="762"/>
      <c r="BO193" s="762"/>
      <c r="BP193" s="762"/>
      <c r="BQ193" s="762"/>
      <c r="BR193" s="762"/>
      <c r="BS193" s="762"/>
      <c r="BT193" s="762"/>
      <c r="BU193" s="762"/>
      <c r="BV193" s="762"/>
      <c r="BW193" s="762"/>
      <c r="BX193" s="762"/>
      <c r="BY193" s="762"/>
      <c r="BZ193" s="762"/>
      <c r="CA193" s="762"/>
      <c r="CB193" s="762"/>
    </row>
    <row r="194" spans="1:80" x14ac:dyDescent="0.2">
      <c r="A194" s="762"/>
      <c r="B194" s="762"/>
      <c r="C194" s="762"/>
      <c r="D194" s="762"/>
      <c r="E194" s="762"/>
      <c r="F194" s="762"/>
      <c r="G194" s="762"/>
      <c r="H194" s="762"/>
      <c r="I194" s="762"/>
      <c r="J194" s="762"/>
      <c r="K194" s="762"/>
      <c r="L194" s="762"/>
      <c r="M194" s="762"/>
      <c r="N194" s="762"/>
      <c r="O194" s="762"/>
      <c r="P194" s="762"/>
      <c r="Q194" s="762"/>
      <c r="R194" s="762"/>
      <c r="S194" s="762"/>
      <c r="T194" s="762"/>
      <c r="U194" s="762"/>
      <c r="V194" s="762"/>
      <c r="W194" s="762"/>
      <c r="X194" s="762"/>
      <c r="Y194" s="732" t="s">
        <v>80</v>
      </c>
      <c r="Z194" s="735" t="str">
        <f>""</f>
        <v/>
      </c>
      <c r="AA194" s="661">
        <v>0</v>
      </c>
      <c r="AB194" s="661" t="str">
        <f>""</f>
        <v/>
      </c>
      <c r="AC194" s="763" t="str">
        <f>""</f>
        <v/>
      </c>
      <c r="AD194" s="737"/>
      <c r="AE194" s="764"/>
      <c r="AF194" s="764"/>
      <c r="AG194" s="764"/>
      <c r="AH194" s="764"/>
      <c r="AI194" s="762"/>
      <c r="AJ194" s="762"/>
      <c r="AK194" s="762"/>
      <c r="AL194" s="762"/>
      <c r="AM194" s="762"/>
      <c r="AN194" s="762"/>
      <c r="AO194" s="762"/>
      <c r="AP194" s="762"/>
      <c r="AQ194" s="762"/>
      <c r="AR194" s="762"/>
      <c r="AS194" s="762"/>
      <c r="AT194" s="762"/>
      <c r="AU194" s="762"/>
      <c r="AV194" s="762"/>
      <c r="AW194" s="762"/>
      <c r="AX194" s="762"/>
      <c r="AY194" s="762"/>
      <c r="AZ194" s="762"/>
      <c r="BA194" s="762"/>
      <c r="BB194" s="762"/>
      <c r="BC194" s="762"/>
      <c r="BD194" s="762"/>
      <c r="BE194" s="762"/>
      <c r="BF194" s="762"/>
      <c r="BG194" s="762"/>
      <c r="BH194" s="762"/>
      <c r="BI194" s="762"/>
      <c r="BJ194" s="762"/>
      <c r="BK194" s="762"/>
      <c r="BL194" s="762"/>
      <c r="BM194" s="762"/>
      <c r="BN194" s="762"/>
      <c r="BO194" s="762"/>
      <c r="BP194" s="762"/>
      <c r="BQ194" s="762"/>
      <c r="BR194" s="762"/>
      <c r="BS194" s="762"/>
      <c r="BT194" s="762"/>
      <c r="BU194" s="762"/>
      <c r="BV194" s="762"/>
      <c r="BW194" s="762"/>
      <c r="BX194" s="762"/>
      <c r="BY194" s="762"/>
      <c r="BZ194" s="762"/>
      <c r="CA194" s="762"/>
      <c r="CB194" s="762"/>
    </row>
    <row r="195" spans="1:80" ht="12.75" thickBot="1" x14ac:dyDescent="0.25">
      <c r="A195" s="762"/>
      <c r="B195" s="762"/>
      <c r="C195" s="762"/>
      <c r="D195" s="762"/>
      <c r="E195" s="762"/>
      <c r="F195" s="762"/>
      <c r="G195" s="762"/>
      <c r="H195" s="762"/>
      <c r="I195" s="762"/>
      <c r="J195" s="762"/>
      <c r="K195" s="762"/>
      <c r="L195" s="762"/>
      <c r="M195" s="762"/>
      <c r="N195" s="762"/>
      <c r="O195" s="762"/>
      <c r="P195" s="762"/>
      <c r="Q195" s="762"/>
      <c r="R195" s="762"/>
      <c r="S195" s="762"/>
      <c r="T195" s="762"/>
      <c r="U195" s="762"/>
      <c r="V195" s="762"/>
      <c r="W195" s="762"/>
      <c r="X195" s="762"/>
      <c r="Y195" s="732" t="s">
        <v>81</v>
      </c>
      <c r="Z195" s="735" t="str">
        <f>""</f>
        <v/>
      </c>
      <c r="AA195" s="661">
        <v>0</v>
      </c>
      <c r="AB195" s="661" t="str">
        <f>""</f>
        <v/>
      </c>
      <c r="AC195" s="763" t="str">
        <f>""</f>
        <v/>
      </c>
      <c r="AD195" s="737"/>
      <c r="AE195" s="764"/>
      <c r="AF195" s="764"/>
      <c r="AG195" s="764"/>
      <c r="AH195" s="764"/>
      <c r="AI195" s="762"/>
      <c r="AJ195" s="762"/>
      <c r="AK195" s="762"/>
      <c r="AL195" s="762"/>
      <c r="AM195" s="762"/>
      <c r="AN195" s="762"/>
      <c r="AO195" s="762"/>
      <c r="AP195" s="762"/>
      <c r="AQ195" s="762"/>
      <c r="AR195" s="762"/>
      <c r="AS195" s="762"/>
      <c r="AT195" s="762"/>
      <c r="AU195" s="762"/>
      <c r="AV195" s="762"/>
      <c r="AW195" s="762"/>
      <c r="AX195" s="762"/>
      <c r="AY195" s="762"/>
      <c r="AZ195" s="762"/>
      <c r="BA195" s="762"/>
      <c r="BB195" s="762"/>
      <c r="BC195" s="762"/>
      <c r="BD195" s="762"/>
      <c r="BE195" s="762"/>
      <c r="BF195" s="762"/>
      <c r="BG195" s="762"/>
      <c r="BH195" s="762"/>
      <c r="BI195" s="762"/>
      <c r="BJ195" s="762"/>
      <c r="BK195" s="762"/>
      <c r="BL195" s="762"/>
      <c r="BM195" s="762"/>
      <c r="BN195" s="762"/>
      <c r="BO195" s="762"/>
      <c r="BP195" s="762"/>
      <c r="BQ195" s="762"/>
      <c r="BR195" s="762"/>
      <c r="BS195" s="762"/>
      <c r="BT195" s="762"/>
      <c r="BU195" s="762"/>
      <c r="BV195" s="762"/>
      <c r="BW195" s="762"/>
      <c r="BX195" s="762"/>
      <c r="BY195" s="762"/>
      <c r="BZ195" s="762"/>
      <c r="CA195" s="762"/>
      <c r="CB195" s="762"/>
    </row>
    <row r="196" spans="1:80" ht="12.75" thickTop="1" x14ac:dyDescent="0.2">
      <c r="A196" s="762"/>
      <c r="B196" s="762"/>
      <c r="C196" s="762"/>
      <c r="D196" s="762"/>
      <c r="E196" s="762"/>
      <c r="F196" s="762"/>
      <c r="G196" s="762"/>
      <c r="H196" s="762"/>
      <c r="I196" s="762"/>
      <c r="J196" s="762"/>
      <c r="K196" s="762"/>
      <c r="L196" s="762"/>
      <c r="M196" s="762"/>
      <c r="N196" s="762"/>
      <c r="O196" s="762"/>
      <c r="P196" s="762"/>
      <c r="Q196" s="762"/>
      <c r="R196" s="762"/>
      <c r="S196" s="762"/>
      <c r="T196" s="762"/>
      <c r="U196" s="762"/>
      <c r="V196" s="762"/>
      <c r="W196" s="762"/>
      <c r="X196" s="762"/>
      <c r="Y196" s="742" t="s">
        <v>82</v>
      </c>
      <c r="Z196" s="746" t="str">
        <f>""</f>
        <v/>
      </c>
      <c r="AA196" s="744">
        <v>0</v>
      </c>
      <c r="AB196" s="744" t="str">
        <f>""</f>
        <v/>
      </c>
      <c r="AC196" s="765"/>
      <c r="AD196" s="737"/>
      <c r="AE196" s="661"/>
      <c r="AF196" s="661"/>
      <c r="AG196" s="661"/>
      <c r="AH196" s="661"/>
      <c r="AI196" s="762"/>
      <c r="AJ196" s="762"/>
      <c r="AK196" s="762"/>
      <c r="AL196" s="762"/>
      <c r="AM196" s="762"/>
      <c r="AN196" s="762"/>
      <c r="AO196" s="762"/>
      <c r="AP196" s="762"/>
      <c r="AQ196" s="762"/>
      <c r="AR196" s="762"/>
      <c r="AS196" s="762"/>
      <c r="AT196" s="762"/>
      <c r="AU196" s="762"/>
      <c r="AV196" s="762"/>
      <c r="AW196" s="762"/>
      <c r="AX196" s="762"/>
      <c r="AY196" s="762"/>
      <c r="AZ196" s="762"/>
      <c r="BA196" s="762"/>
      <c r="BB196" s="762"/>
      <c r="BC196" s="762"/>
      <c r="BD196" s="762"/>
      <c r="BE196" s="762"/>
      <c r="BF196" s="762"/>
      <c r="BG196" s="762"/>
      <c r="BH196" s="762"/>
      <c r="BI196" s="762"/>
      <c r="BJ196" s="762"/>
      <c r="BK196" s="762"/>
      <c r="BL196" s="762"/>
      <c r="BM196" s="762"/>
      <c r="BN196" s="762"/>
      <c r="BO196" s="762"/>
      <c r="BP196" s="762"/>
      <c r="BQ196" s="762"/>
      <c r="BR196" s="762"/>
      <c r="BS196" s="762"/>
      <c r="BT196" s="762"/>
      <c r="BU196" s="762"/>
      <c r="BV196" s="762"/>
      <c r="BW196" s="762"/>
      <c r="BX196" s="762"/>
      <c r="BY196" s="762"/>
      <c r="BZ196" s="762"/>
      <c r="CA196" s="762"/>
      <c r="CB196" s="762"/>
    </row>
    <row r="197" spans="1:80" x14ac:dyDescent="0.2">
      <c r="A197" s="762"/>
      <c r="B197" s="762"/>
      <c r="C197" s="762"/>
      <c r="D197" s="762"/>
      <c r="E197" s="762"/>
      <c r="F197" s="762"/>
      <c r="G197" s="762"/>
      <c r="H197" s="762"/>
      <c r="I197" s="762"/>
      <c r="J197" s="762"/>
      <c r="K197" s="762"/>
      <c r="L197" s="762"/>
      <c r="M197" s="762"/>
      <c r="N197" s="762"/>
      <c r="O197" s="762"/>
      <c r="P197" s="762"/>
      <c r="Q197" s="762"/>
      <c r="R197" s="762"/>
      <c r="S197" s="762"/>
      <c r="T197" s="762"/>
      <c r="U197" s="762"/>
      <c r="V197" s="762"/>
      <c r="W197" s="762"/>
      <c r="X197" s="762"/>
      <c r="Y197" s="732" t="s">
        <v>83</v>
      </c>
      <c r="Z197" s="735" t="str">
        <f>""</f>
        <v/>
      </c>
      <c r="AA197" s="661">
        <v>0</v>
      </c>
      <c r="AB197" s="661" t="str">
        <f>""</f>
        <v/>
      </c>
      <c r="AC197" s="766"/>
      <c r="AD197" s="737"/>
      <c r="AE197" s="764"/>
      <c r="AF197" s="764"/>
      <c r="AG197" s="764"/>
      <c r="AH197" s="764"/>
      <c r="AI197" s="762"/>
      <c r="AJ197" s="762"/>
      <c r="AK197" s="762"/>
      <c r="AL197" s="762"/>
      <c r="AM197" s="762"/>
      <c r="AN197" s="762"/>
      <c r="AO197" s="762"/>
      <c r="AP197" s="762"/>
      <c r="AQ197" s="762"/>
      <c r="AR197" s="762"/>
      <c r="AS197" s="762"/>
      <c r="AT197" s="762"/>
      <c r="AU197" s="762"/>
      <c r="AV197" s="762"/>
      <c r="AW197" s="762"/>
      <c r="AX197" s="762"/>
      <c r="AY197" s="762"/>
      <c r="AZ197" s="762"/>
      <c r="BA197" s="762"/>
      <c r="BB197" s="762"/>
      <c r="BC197" s="762"/>
      <c r="BD197" s="762"/>
      <c r="BE197" s="762"/>
      <c r="BF197" s="762"/>
      <c r="BG197" s="762"/>
      <c r="BH197" s="762"/>
      <c r="BI197" s="762"/>
      <c r="BJ197" s="762"/>
      <c r="BK197" s="762"/>
      <c r="BL197" s="762"/>
      <c r="BM197" s="762"/>
      <c r="BN197" s="762"/>
      <c r="BO197" s="762"/>
      <c r="BP197" s="762"/>
      <c r="BQ197" s="762"/>
      <c r="BR197" s="762"/>
      <c r="BS197" s="762"/>
      <c r="BT197" s="762"/>
      <c r="BU197" s="762"/>
      <c r="BV197" s="762"/>
      <c r="BW197" s="762"/>
      <c r="BX197" s="762"/>
      <c r="BY197" s="762"/>
      <c r="BZ197" s="762"/>
      <c r="CA197" s="762"/>
      <c r="CB197" s="762"/>
    </row>
    <row r="198" spans="1:80" x14ac:dyDescent="0.2">
      <c r="A198" s="762"/>
      <c r="B198" s="762"/>
      <c r="C198" s="762"/>
      <c r="D198" s="762"/>
      <c r="E198" s="762"/>
      <c r="F198" s="762"/>
      <c r="G198" s="762"/>
      <c r="H198" s="762"/>
      <c r="I198" s="762"/>
      <c r="J198" s="762"/>
      <c r="K198" s="762"/>
      <c r="L198" s="762"/>
      <c r="M198" s="762"/>
      <c r="N198" s="762"/>
      <c r="O198" s="762"/>
      <c r="P198" s="762"/>
      <c r="Q198" s="762"/>
      <c r="R198" s="762"/>
      <c r="S198" s="762"/>
      <c r="T198" s="762"/>
      <c r="U198" s="762"/>
      <c r="V198" s="762"/>
      <c r="W198" s="762"/>
      <c r="X198" s="762"/>
      <c r="Y198" s="732" t="s">
        <v>84</v>
      </c>
      <c r="Z198" s="735" t="str">
        <f>""</f>
        <v/>
      </c>
      <c r="AA198" s="661">
        <v>0</v>
      </c>
      <c r="AB198" s="661" t="str">
        <f>""</f>
        <v/>
      </c>
      <c r="AC198" s="766"/>
      <c r="AD198" s="737"/>
      <c r="AE198" s="764"/>
      <c r="AF198" s="764"/>
      <c r="AG198" s="764"/>
      <c r="AH198" s="764"/>
      <c r="AI198" s="762"/>
      <c r="AJ198" s="762"/>
      <c r="AK198" s="762"/>
      <c r="AL198" s="762"/>
      <c r="AM198" s="762"/>
      <c r="AN198" s="762"/>
      <c r="AO198" s="762"/>
      <c r="AP198" s="762"/>
      <c r="AQ198" s="762"/>
      <c r="AR198" s="762"/>
      <c r="AS198" s="762"/>
      <c r="AT198" s="762"/>
      <c r="AU198" s="762"/>
      <c r="AV198" s="762"/>
      <c r="AW198" s="762"/>
      <c r="AX198" s="762"/>
      <c r="AY198" s="762"/>
      <c r="AZ198" s="762"/>
      <c r="BA198" s="762"/>
      <c r="BB198" s="762"/>
      <c r="BC198" s="762"/>
      <c r="BD198" s="762"/>
      <c r="BE198" s="762"/>
      <c r="BF198" s="762"/>
      <c r="BG198" s="762"/>
      <c r="BH198" s="762"/>
      <c r="BI198" s="762"/>
      <c r="BJ198" s="762"/>
      <c r="BK198" s="762"/>
      <c r="BL198" s="762"/>
      <c r="BM198" s="762"/>
      <c r="BN198" s="762"/>
      <c r="BO198" s="762"/>
      <c r="BP198" s="762"/>
      <c r="BQ198" s="762"/>
      <c r="BR198" s="762"/>
      <c r="BS198" s="762"/>
      <c r="BT198" s="762"/>
      <c r="BU198" s="762"/>
      <c r="BV198" s="762"/>
      <c r="BW198" s="762"/>
      <c r="BX198" s="762"/>
      <c r="BY198" s="762"/>
      <c r="BZ198" s="762"/>
      <c r="CA198" s="762"/>
      <c r="CB198" s="762"/>
    </row>
    <row r="199" spans="1:80" x14ac:dyDescent="0.2">
      <c r="A199" s="762"/>
      <c r="B199" s="762"/>
      <c r="C199" s="762"/>
      <c r="D199" s="762"/>
      <c r="E199" s="762"/>
      <c r="F199" s="762"/>
      <c r="G199" s="762"/>
      <c r="H199" s="762"/>
      <c r="I199" s="762"/>
      <c r="J199" s="762"/>
      <c r="K199" s="762"/>
      <c r="L199" s="762"/>
      <c r="M199" s="762"/>
      <c r="N199" s="762"/>
      <c r="O199" s="762"/>
      <c r="P199" s="762"/>
      <c r="Q199" s="762"/>
      <c r="R199" s="762"/>
      <c r="S199" s="762"/>
      <c r="T199" s="762"/>
      <c r="U199" s="762"/>
      <c r="V199" s="762"/>
      <c r="W199" s="762"/>
      <c r="X199" s="762"/>
      <c r="Y199" s="732" t="s">
        <v>85</v>
      </c>
      <c r="Z199" s="735" t="str">
        <f>""</f>
        <v/>
      </c>
      <c r="AA199" s="661">
        <v>0</v>
      </c>
      <c r="AB199" s="661" t="str">
        <f>""</f>
        <v/>
      </c>
      <c r="AC199" s="766"/>
      <c r="AD199" s="737"/>
      <c r="AE199" s="764"/>
      <c r="AF199" s="764"/>
      <c r="AG199" s="764"/>
      <c r="AH199" s="764"/>
      <c r="AI199" s="762"/>
      <c r="AJ199" s="762"/>
      <c r="AK199" s="762"/>
      <c r="AL199" s="762"/>
      <c r="AM199" s="762"/>
      <c r="AN199" s="762"/>
      <c r="AO199" s="762"/>
      <c r="AP199" s="762"/>
      <c r="AQ199" s="762"/>
      <c r="AR199" s="762"/>
      <c r="AS199" s="762"/>
      <c r="AT199" s="762"/>
      <c r="AU199" s="762"/>
      <c r="AV199" s="762"/>
      <c r="AW199" s="762"/>
      <c r="AX199" s="762"/>
      <c r="AY199" s="762"/>
      <c r="AZ199" s="762"/>
      <c r="BA199" s="762"/>
      <c r="BB199" s="762"/>
      <c r="BC199" s="762"/>
      <c r="BD199" s="762"/>
      <c r="BE199" s="762"/>
      <c r="BF199" s="762"/>
      <c r="BG199" s="762"/>
      <c r="BH199" s="762"/>
      <c r="BI199" s="762"/>
      <c r="BJ199" s="762"/>
      <c r="BK199" s="762"/>
      <c r="BL199" s="762"/>
      <c r="BM199" s="762"/>
      <c r="BN199" s="762"/>
      <c r="BO199" s="762"/>
      <c r="BP199" s="762"/>
      <c r="BQ199" s="762"/>
      <c r="BR199" s="762"/>
      <c r="BS199" s="762"/>
      <c r="BT199" s="762"/>
      <c r="BU199" s="762"/>
      <c r="BV199" s="762"/>
      <c r="BW199" s="762"/>
      <c r="BX199" s="762"/>
      <c r="BY199" s="762"/>
      <c r="BZ199" s="762"/>
      <c r="CA199" s="762"/>
      <c r="CB199" s="762"/>
    </row>
    <row r="200" spans="1:80" x14ac:dyDescent="0.2">
      <c r="A200" s="762"/>
      <c r="B200" s="762"/>
      <c r="C200" s="762"/>
      <c r="D200" s="762"/>
      <c r="E200" s="762"/>
      <c r="F200" s="762"/>
      <c r="G200" s="762"/>
      <c r="H200" s="762"/>
      <c r="I200" s="762"/>
      <c r="J200" s="762"/>
      <c r="K200" s="762"/>
      <c r="L200" s="762"/>
      <c r="M200" s="762"/>
      <c r="N200" s="762"/>
      <c r="O200" s="762"/>
      <c r="P200" s="762"/>
      <c r="Q200" s="762"/>
      <c r="R200" s="762"/>
      <c r="S200" s="762"/>
      <c r="T200" s="762"/>
      <c r="U200" s="762"/>
      <c r="V200" s="762"/>
      <c r="W200" s="762"/>
      <c r="X200" s="762"/>
      <c r="Y200" s="732" t="s">
        <v>86</v>
      </c>
      <c r="Z200" s="735" t="str">
        <f>""</f>
        <v/>
      </c>
      <c r="AA200" s="661">
        <v>0</v>
      </c>
      <c r="AB200" s="661" t="str">
        <f>""</f>
        <v/>
      </c>
      <c r="AC200" s="766"/>
      <c r="AD200" s="737"/>
      <c r="AE200" s="764"/>
      <c r="AF200" s="764"/>
      <c r="AG200" s="764"/>
      <c r="AH200" s="764"/>
      <c r="AI200" s="762"/>
      <c r="AJ200" s="762"/>
      <c r="AK200" s="762"/>
      <c r="AL200" s="762"/>
      <c r="AM200" s="762"/>
      <c r="AN200" s="762"/>
      <c r="AO200" s="762"/>
      <c r="AP200" s="762"/>
      <c r="AQ200" s="762"/>
      <c r="AR200" s="762"/>
      <c r="AS200" s="762"/>
      <c r="AT200" s="762"/>
      <c r="AU200" s="762"/>
      <c r="AV200" s="762"/>
      <c r="AW200" s="762"/>
      <c r="AX200" s="762"/>
      <c r="AY200" s="762"/>
      <c r="AZ200" s="762"/>
      <c r="BA200" s="762"/>
      <c r="BB200" s="762"/>
      <c r="BC200" s="762"/>
      <c r="BD200" s="762"/>
      <c r="BE200" s="762"/>
      <c r="BF200" s="762"/>
      <c r="BG200" s="762"/>
      <c r="BH200" s="762"/>
      <c r="BI200" s="762"/>
      <c r="BJ200" s="762"/>
      <c r="BK200" s="762"/>
      <c r="BL200" s="762"/>
      <c r="BM200" s="762"/>
      <c r="BN200" s="762"/>
      <c r="BO200" s="762"/>
      <c r="BP200" s="762"/>
      <c r="BQ200" s="762"/>
      <c r="BR200" s="762"/>
      <c r="BS200" s="762"/>
      <c r="BT200" s="762"/>
      <c r="BU200" s="762"/>
      <c r="BV200" s="762"/>
      <c r="BW200" s="762"/>
      <c r="BX200" s="762"/>
      <c r="BY200" s="762"/>
      <c r="BZ200" s="762"/>
      <c r="CA200" s="762"/>
      <c r="CB200" s="762"/>
    </row>
    <row r="201" spans="1:80" x14ac:dyDescent="0.2">
      <c r="A201" s="762"/>
      <c r="B201" s="762"/>
      <c r="C201" s="762"/>
      <c r="D201" s="762"/>
      <c r="E201" s="762"/>
      <c r="F201" s="762"/>
      <c r="G201" s="762"/>
      <c r="H201" s="762"/>
      <c r="I201" s="762"/>
      <c r="J201" s="762"/>
      <c r="K201" s="762"/>
      <c r="L201" s="762"/>
      <c r="M201" s="762"/>
      <c r="N201" s="762"/>
      <c r="O201" s="762"/>
      <c r="P201" s="762"/>
      <c r="Q201" s="762"/>
      <c r="R201" s="762"/>
      <c r="S201" s="762"/>
      <c r="T201" s="762"/>
      <c r="U201" s="762"/>
      <c r="V201" s="762"/>
      <c r="W201" s="762"/>
      <c r="X201" s="762"/>
      <c r="Y201" s="732" t="s">
        <v>87</v>
      </c>
      <c r="Z201" s="735" t="str">
        <f>""</f>
        <v/>
      </c>
      <c r="AA201" s="661">
        <v>0</v>
      </c>
      <c r="AB201" s="661" t="str">
        <f>""</f>
        <v/>
      </c>
      <c r="AC201" s="766"/>
      <c r="AD201" s="737"/>
      <c r="AE201" s="764"/>
      <c r="AF201" s="764"/>
      <c r="AG201" s="764"/>
      <c r="AH201" s="764"/>
      <c r="AI201" s="762"/>
      <c r="AJ201" s="762"/>
      <c r="AK201" s="762"/>
      <c r="AL201" s="762"/>
      <c r="AM201" s="762"/>
      <c r="AN201" s="762"/>
      <c r="AO201" s="762"/>
      <c r="AP201" s="762"/>
      <c r="AQ201" s="762"/>
      <c r="AR201" s="762"/>
      <c r="AS201" s="762"/>
      <c r="AT201" s="762"/>
      <c r="AU201" s="762"/>
      <c r="AV201" s="762"/>
      <c r="AW201" s="762"/>
      <c r="AX201" s="762"/>
      <c r="AY201" s="762"/>
      <c r="AZ201" s="762"/>
      <c r="BA201" s="762"/>
      <c r="BB201" s="762"/>
      <c r="BC201" s="762"/>
      <c r="BD201" s="762"/>
      <c r="BE201" s="762"/>
      <c r="BF201" s="762"/>
      <c r="BG201" s="762"/>
      <c r="BH201" s="762"/>
      <c r="BI201" s="762"/>
      <c r="BJ201" s="762"/>
      <c r="BK201" s="762"/>
      <c r="BL201" s="762"/>
      <c r="BM201" s="762"/>
      <c r="BN201" s="762"/>
      <c r="BO201" s="762"/>
      <c r="BP201" s="762"/>
      <c r="BQ201" s="762"/>
      <c r="BR201" s="762"/>
      <c r="BS201" s="762"/>
      <c r="BT201" s="762"/>
      <c r="BU201" s="762"/>
      <c r="BV201" s="762"/>
      <c r="BW201" s="762"/>
      <c r="BX201" s="762"/>
      <c r="BY201" s="762"/>
      <c r="BZ201" s="762"/>
      <c r="CA201" s="762"/>
      <c r="CB201" s="762"/>
    </row>
    <row r="202" spans="1:80" x14ac:dyDescent="0.2">
      <c r="A202" s="762"/>
      <c r="B202" s="762"/>
      <c r="C202" s="762"/>
      <c r="D202" s="762"/>
      <c r="E202" s="762"/>
      <c r="F202" s="762"/>
      <c r="G202" s="762"/>
      <c r="H202" s="762"/>
      <c r="I202" s="762"/>
      <c r="J202" s="762"/>
      <c r="K202" s="762"/>
      <c r="L202" s="762"/>
      <c r="M202" s="762"/>
      <c r="N202" s="762"/>
      <c r="O202" s="762"/>
      <c r="P202" s="762"/>
      <c r="Q202" s="762"/>
      <c r="R202" s="762"/>
      <c r="S202" s="762"/>
      <c r="T202" s="762"/>
      <c r="U202" s="762"/>
      <c r="V202" s="762"/>
      <c r="W202" s="762"/>
      <c r="X202" s="762"/>
      <c r="Y202" s="732" t="s">
        <v>88</v>
      </c>
      <c r="Z202" s="735" t="str">
        <f>""</f>
        <v/>
      </c>
      <c r="AA202" s="661">
        <v>0</v>
      </c>
      <c r="AB202" s="661" t="str">
        <f>""</f>
        <v/>
      </c>
      <c r="AC202" s="766"/>
      <c r="AD202" s="737"/>
      <c r="AE202" s="764"/>
      <c r="AF202" s="764"/>
      <c r="AG202" s="764"/>
      <c r="AH202" s="764"/>
      <c r="AI202" s="762"/>
      <c r="AJ202" s="762"/>
      <c r="AK202" s="762"/>
      <c r="AL202" s="762"/>
      <c r="AM202" s="762"/>
      <c r="AN202" s="762"/>
      <c r="AO202" s="762"/>
      <c r="AP202" s="762"/>
      <c r="AQ202" s="762"/>
      <c r="AR202" s="762"/>
      <c r="AS202" s="762"/>
      <c r="AT202" s="762"/>
      <c r="AU202" s="762"/>
      <c r="AV202" s="762"/>
      <c r="AW202" s="762"/>
      <c r="AX202" s="762"/>
      <c r="AY202" s="762"/>
      <c r="AZ202" s="762"/>
      <c r="BA202" s="762"/>
      <c r="BB202" s="762"/>
      <c r="BC202" s="762"/>
      <c r="BD202" s="762"/>
      <c r="BE202" s="762"/>
      <c r="BF202" s="762"/>
      <c r="BG202" s="762"/>
      <c r="BH202" s="762"/>
      <c r="BI202" s="762"/>
      <c r="BJ202" s="762"/>
      <c r="BK202" s="762"/>
      <c r="BL202" s="762"/>
      <c r="BM202" s="762"/>
      <c r="BN202" s="762"/>
      <c r="BO202" s="762"/>
      <c r="BP202" s="762"/>
      <c r="BQ202" s="762"/>
      <c r="BR202" s="762"/>
      <c r="BS202" s="762"/>
      <c r="BT202" s="762"/>
      <c r="BU202" s="762"/>
      <c r="BV202" s="762"/>
      <c r="BW202" s="762"/>
      <c r="BX202" s="762"/>
      <c r="BY202" s="762"/>
      <c r="BZ202" s="762"/>
      <c r="CA202" s="762"/>
      <c r="CB202" s="762"/>
    </row>
    <row r="203" spans="1:80" x14ac:dyDescent="0.2">
      <c r="A203" s="762"/>
      <c r="B203" s="762"/>
      <c r="C203" s="762"/>
      <c r="D203" s="762"/>
      <c r="E203" s="762"/>
      <c r="F203" s="762"/>
      <c r="G203" s="762"/>
      <c r="H203" s="762"/>
      <c r="I203" s="762"/>
      <c r="J203" s="762"/>
      <c r="K203" s="762"/>
      <c r="L203" s="762"/>
      <c r="M203" s="762"/>
      <c r="N203" s="762"/>
      <c r="O203" s="762"/>
      <c r="P203" s="762"/>
      <c r="Q203" s="762"/>
      <c r="R203" s="762"/>
      <c r="S203" s="762"/>
      <c r="T203" s="762"/>
      <c r="U203" s="762"/>
      <c r="V203" s="762"/>
      <c r="W203" s="762"/>
      <c r="X203" s="762"/>
      <c r="Y203" s="732" t="s">
        <v>89</v>
      </c>
      <c r="Z203" s="735" t="str">
        <f>""</f>
        <v/>
      </c>
      <c r="AA203" s="661">
        <v>0</v>
      </c>
      <c r="AB203" s="661" t="str">
        <f>""</f>
        <v/>
      </c>
      <c r="AC203" s="766"/>
      <c r="AD203" s="737"/>
      <c r="AE203" s="764"/>
      <c r="AF203" s="764"/>
      <c r="AG203" s="764"/>
      <c r="AH203" s="764"/>
      <c r="AI203" s="762"/>
      <c r="AJ203" s="762"/>
      <c r="AK203" s="762"/>
      <c r="AL203" s="762"/>
      <c r="AM203" s="762"/>
      <c r="AN203" s="762"/>
      <c r="AO203" s="762"/>
      <c r="AP203" s="762"/>
      <c r="AQ203" s="762"/>
      <c r="AR203" s="762"/>
      <c r="AS203" s="762"/>
      <c r="AT203" s="762"/>
      <c r="AU203" s="762"/>
      <c r="AV203" s="762"/>
      <c r="AW203" s="762"/>
      <c r="AX203" s="762"/>
      <c r="AY203" s="762"/>
      <c r="AZ203" s="762"/>
      <c r="BA203" s="762"/>
      <c r="BB203" s="762"/>
      <c r="BC203" s="762"/>
      <c r="BD203" s="762"/>
      <c r="BE203" s="762"/>
      <c r="BF203" s="762"/>
      <c r="BG203" s="762"/>
      <c r="BH203" s="762"/>
      <c r="BI203" s="762"/>
      <c r="BJ203" s="762"/>
      <c r="BK203" s="762"/>
      <c r="BL203" s="762"/>
      <c r="BM203" s="762"/>
      <c r="BN203" s="762"/>
      <c r="BO203" s="762"/>
      <c r="BP203" s="762"/>
      <c r="BQ203" s="762"/>
      <c r="BR203" s="762"/>
      <c r="BS203" s="762"/>
      <c r="BT203" s="762"/>
      <c r="BU203" s="762"/>
      <c r="BV203" s="762"/>
      <c r="BW203" s="762"/>
      <c r="BX203" s="762"/>
      <c r="BY203" s="762"/>
      <c r="BZ203" s="762"/>
      <c r="CA203" s="762"/>
      <c r="CB203" s="762"/>
    </row>
    <row r="204" spans="1:80" x14ac:dyDescent="0.2">
      <c r="A204" s="762"/>
      <c r="B204" s="762"/>
      <c r="C204" s="762"/>
      <c r="D204" s="762"/>
      <c r="E204" s="762"/>
      <c r="F204" s="762"/>
      <c r="G204" s="762"/>
      <c r="H204" s="762"/>
      <c r="I204" s="762"/>
      <c r="J204" s="762"/>
      <c r="K204" s="762"/>
      <c r="L204" s="762"/>
      <c r="M204" s="762"/>
      <c r="N204" s="762"/>
      <c r="O204" s="762"/>
      <c r="P204" s="762"/>
      <c r="Q204" s="762"/>
      <c r="R204" s="762"/>
      <c r="S204" s="762"/>
      <c r="T204" s="762"/>
      <c r="U204" s="762"/>
      <c r="V204" s="762"/>
      <c r="W204" s="762"/>
      <c r="X204" s="762"/>
      <c r="Y204" s="732" t="s">
        <v>90</v>
      </c>
      <c r="Z204" s="735" t="str">
        <f>""</f>
        <v/>
      </c>
      <c r="AA204" s="661">
        <v>0</v>
      </c>
      <c r="AB204" s="661" t="str">
        <f>""</f>
        <v/>
      </c>
      <c r="AC204" s="766"/>
      <c r="AD204" s="737"/>
      <c r="AE204" s="764"/>
      <c r="AF204" s="764"/>
      <c r="AG204" s="764"/>
      <c r="AH204" s="764"/>
      <c r="AI204" s="762"/>
      <c r="AJ204" s="762"/>
      <c r="AK204" s="762"/>
      <c r="AL204" s="762"/>
      <c r="AM204" s="762"/>
      <c r="AN204" s="762"/>
      <c r="AO204" s="762"/>
      <c r="AP204" s="762"/>
      <c r="AQ204" s="762"/>
      <c r="AR204" s="762"/>
      <c r="AS204" s="762"/>
      <c r="AT204" s="762"/>
      <c r="AU204" s="762"/>
      <c r="AV204" s="762"/>
      <c r="AW204" s="762"/>
      <c r="AX204" s="762"/>
      <c r="AY204" s="762"/>
      <c r="AZ204" s="762"/>
      <c r="BA204" s="762"/>
      <c r="BB204" s="762"/>
      <c r="BC204" s="762"/>
      <c r="BD204" s="762"/>
      <c r="BE204" s="762"/>
      <c r="BF204" s="762"/>
      <c r="BG204" s="762"/>
      <c r="BH204" s="762"/>
      <c r="BI204" s="762"/>
      <c r="BJ204" s="762"/>
      <c r="BK204" s="762"/>
      <c r="BL204" s="762"/>
      <c r="BM204" s="762"/>
      <c r="BN204" s="762"/>
      <c r="BO204" s="762"/>
      <c r="BP204" s="762"/>
      <c r="BQ204" s="762"/>
      <c r="BR204" s="762"/>
      <c r="BS204" s="762"/>
      <c r="BT204" s="762"/>
      <c r="BU204" s="762"/>
      <c r="BV204" s="762"/>
      <c r="BW204" s="762"/>
      <c r="BX204" s="762"/>
      <c r="BY204" s="762"/>
      <c r="BZ204" s="762"/>
      <c r="CA204" s="762"/>
      <c r="CB204" s="762"/>
    </row>
    <row r="205" spans="1:80" x14ac:dyDescent="0.2">
      <c r="A205" s="762"/>
      <c r="B205" s="762"/>
      <c r="C205" s="762"/>
      <c r="D205" s="762"/>
      <c r="E205" s="762"/>
      <c r="F205" s="762"/>
      <c r="G205" s="762"/>
      <c r="H205" s="762"/>
      <c r="I205" s="762"/>
      <c r="J205" s="762"/>
      <c r="K205" s="762"/>
      <c r="L205" s="762"/>
      <c r="M205" s="762"/>
      <c r="N205" s="762"/>
      <c r="O205" s="762"/>
      <c r="P205" s="762"/>
      <c r="Q205" s="762"/>
      <c r="R205" s="762"/>
      <c r="S205" s="762"/>
      <c r="T205" s="762"/>
      <c r="U205" s="762"/>
      <c r="V205" s="762"/>
      <c r="W205" s="762"/>
      <c r="X205" s="762"/>
      <c r="Y205" s="732" t="s">
        <v>91</v>
      </c>
      <c r="Z205" s="735" t="str">
        <f>""</f>
        <v/>
      </c>
      <c r="AA205" s="661">
        <v>0</v>
      </c>
      <c r="AB205" s="661" t="str">
        <f>""</f>
        <v/>
      </c>
      <c r="AC205" s="766"/>
      <c r="AD205" s="737"/>
      <c r="AE205" s="764"/>
      <c r="AF205" s="764"/>
      <c r="AG205" s="764"/>
      <c r="AH205" s="764"/>
      <c r="AI205" s="762"/>
      <c r="AJ205" s="762"/>
      <c r="AK205" s="762"/>
      <c r="AL205" s="762"/>
      <c r="AM205" s="762"/>
      <c r="AN205" s="762"/>
      <c r="AO205" s="762"/>
      <c r="AP205" s="762"/>
      <c r="AQ205" s="762"/>
      <c r="AR205" s="762"/>
      <c r="AS205" s="762"/>
      <c r="AT205" s="762"/>
      <c r="AU205" s="762"/>
      <c r="AV205" s="762"/>
      <c r="AW205" s="762"/>
      <c r="AX205" s="762"/>
      <c r="AY205" s="762"/>
      <c r="AZ205" s="762"/>
      <c r="BA205" s="762"/>
      <c r="BB205" s="762"/>
      <c r="BC205" s="762"/>
      <c r="BD205" s="762"/>
      <c r="BE205" s="762"/>
      <c r="BF205" s="762"/>
      <c r="BG205" s="762"/>
      <c r="BH205" s="762"/>
      <c r="BI205" s="762"/>
      <c r="BJ205" s="762"/>
      <c r="BK205" s="762"/>
      <c r="BL205" s="762"/>
      <c r="BM205" s="762"/>
      <c r="BN205" s="762"/>
      <c r="BO205" s="762"/>
      <c r="BP205" s="762"/>
      <c r="BQ205" s="762"/>
      <c r="BR205" s="762"/>
      <c r="BS205" s="762"/>
      <c r="BT205" s="762"/>
      <c r="BU205" s="762"/>
      <c r="BV205" s="762"/>
      <c r="BW205" s="762"/>
      <c r="BX205" s="762"/>
      <c r="BY205" s="762"/>
      <c r="BZ205" s="762"/>
      <c r="CA205" s="762"/>
      <c r="CB205" s="762"/>
    </row>
    <row r="206" spans="1:80" x14ac:dyDescent="0.2">
      <c r="A206" s="762"/>
      <c r="B206" s="762"/>
      <c r="C206" s="762"/>
      <c r="D206" s="762"/>
      <c r="E206" s="762"/>
      <c r="F206" s="762"/>
      <c r="G206" s="762"/>
      <c r="H206" s="762"/>
      <c r="I206" s="762"/>
      <c r="J206" s="762"/>
      <c r="K206" s="762"/>
      <c r="L206" s="762"/>
      <c r="M206" s="762"/>
      <c r="N206" s="762"/>
      <c r="O206" s="762"/>
      <c r="P206" s="762"/>
      <c r="Q206" s="762"/>
      <c r="R206" s="762"/>
      <c r="S206" s="762"/>
      <c r="T206" s="762"/>
      <c r="U206" s="762"/>
      <c r="V206" s="762"/>
      <c r="W206" s="762"/>
      <c r="X206" s="762"/>
      <c r="Y206" s="732" t="s">
        <v>92</v>
      </c>
      <c r="Z206" s="735" t="str">
        <f>""</f>
        <v/>
      </c>
      <c r="AA206" s="661">
        <v>0</v>
      </c>
      <c r="AB206" s="661" t="str">
        <f>""</f>
        <v/>
      </c>
      <c r="AC206" s="766"/>
      <c r="AD206" s="737"/>
      <c r="AE206" s="764"/>
      <c r="AF206" s="764"/>
      <c r="AG206" s="764"/>
      <c r="AH206" s="764"/>
      <c r="AI206" s="762"/>
      <c r="AJ206" s="762"/>
      <c r="AK206" s="762"/>
      <c r="AL206" s="762"/>
      <c r="AM206" s="762"/>
      <c r="AN206" s="762"/>
      <c r="AO206" s="762"/>
      <c r="AP206" s="762"/>
      <c r="AQ206" s="762"/>
      <c r="AR206" s="762"/>
      <c r="AS206" s="762"/>
      <c r="AT206" s="762"/>
      <c r="AU206" s="762"/>
      <c r="AV206" s="762"/>
      <c r="AW206" s="762"/>
      <c r="AX206" s="762"/>
      <c r="AY206" s="762"/>
      <c r="AZ206" s="762"/>
      <c r="BA206" s="762"/>
      <c r="BB206" s="762"/>
      <c r="BC206" s="762"/>
      <c r="BD206" s="762"/>
      <c r="BE206" s="762"/>
      <c r="BF206" s="762"/>
      <c r="BG206" s="762"/>
      <c r="BH206" s="762"/>
      <c r="BI206" s="762"/>
      <c r="BJ206" s="762"/>
      <c r="BK206" s="762"/>
      <c r="BL206" s="762"/>
      <c r="BM206" s="762"/>
      <c r="BN206" s="762"/>
      <c r="BO206" s="762"/>
      <c r="BP206" s="762"/>
      <c r="BQ206" s="762"/>
      <c r="BR206" s="762"/>
      <c r="BS206" s="762"/>
      <c r="BT206" s="762"/>
      <c r="BU206" s="762"/>
      <c r="BV206" s="762"/>
      <c r="BW206" s="762"/>
      <c r="BX206" s="762"/>
      <c r="BY206" s="762"/>
      <c r="BZ206" s="762"/>
      <c r="CA206" s="762"/>
      <c r="CB206" s="762"/>
    </row>
    <row r="207" spans="1:80" ht="12.75" thickBot="1" x14ac:dyDescent="0.25">
      <c r="A207" s="762"/>
      <c r="B207" s="762"/>
      <c r="C207" s="762"/>
      <c r="D207" s="762"/>
      <c r="E207" s="762"/>
      <c r="F207" s="762"/>
      <c r="G207" s="762"/>
      <c r="H207" s="762"/>
      <c r="I207" s="762"/>
      <c r="J207" s="762"/>
      <c r="K207" s="762"/>
      <c r="L207" s="762"/>
      <c r="M207" s="762"/>
      <c r="N207" s="762"/>
      <c r="O207" s="762"/>
      <c r="P207" s="762"/>
      <c r="Q207" s="762"/>
      <c r="R207" s="762"/>
      <c r="S207" s="762"/>
      <c r="T207" s="762"/>
      <c r="U207" s="762"/>
      <c r="V207" s="762"/>
      <c r="W207" s="762"/>
      <c r="X207" s="762"/>
      <c r="Y207" s="751" t="s">
        <v>93</v>
      </c>
      <c r="Z207" s="767" t="str">
        <f>""</f>
        <v/>
      </c>
      <c r="AA207" s="753">
        <v>0</v>
      </c>
      <c r="AB207" s="755" t="str">
        <f>""</f>
        <v/>
      </c>
      <c r="AC207" s="768"/>
      <c r="AD207" s="737"/>
      <c r="AE207" s="764"/>
      <c r="AF207" s="764"/>
      <c r="AG207" s="764"/>
      <c r="AH207" s="764"/>
      <c r="AI207" s="762"/>
      <c r="AJ207" s="762"/>
      <c r="AK207" s="762"/>
      <c r="AL207" s="762"/>
      <c r="AM207" s="762"/>
      <c r="AN207" s="762"/>
      <c r="AO207" s="762"/>
      <c r="AP207" s="762"/>
      <c r="AQ207" s="762"/>
      <c r="AR207" s="762"/>
      <c r="AS207" s="762"/>
      <c r="AT207" s="762"/>
      <c r="AU207" s="762"/>
      <c r="AV207" s="762"/>
      <c r="AW207" s="762"/>
      <c r="AX207" s="762"/>
      <c r="AY207" s="762"/>
      <c r="AZ207" s="762"/>
      <c r="BA207" s="762"/>
      <c r="BB207" s="762"/>
      <c r="BC207" s="762"/>
      <c r="BD207" s="762"/>
      <c r="BE207" s="762"/>
      <c r="BF207" s="762"/>
      <c r="BG207" s="762"/>
      <c r="BH207" s="762"/>
      <c r="BI207" s="762"/>
      <c r="BJ207" s="762"/>
      <c r="BK207" s="762"/>
      <c r="BL207" s="762"/>
      <c r="BM207" s="762"/>
      <c r="BN207" s="762"/>
      <c r="BO207" s="762"/>
      <c r="BP207" s="762"/>
      <c r="BQ207" s="762"/>
      <c r="BR207" s="762"/>
      <c r="BS207" s="762"/>
      <c r="BT207" s="762"/>
      <c r="BU207" s="762"/>
      <c r="BV207" s="762"/>
      <c r="BW207" s="762"/>
      <c r="BX207" s="762"/>
      <c r="BY207" s="762"/>
      <c r="BZ207" s="762"/>
      <c r="CA207" s="762"/>
      <c r="CB207" s="762"/>
    </row>
    <row r="208" spans="1:80" ht="12.75" thickTop="1" x14ac:dyDescent="0.2">
      <c r="A208" s="762"/>
      <c r="B208" s="762"/>
      <c r="C208" s="762"/>
      <c r="D208" s="762"/>
      <c r="E208" s="762"/>
      <c r="F208" s="762"/>
      <c r="G208" s="762"/>
      <c r="H208" s="762"/>
      <c r="I208" s="762"/>
      <c r="J208" s="762"/>
      <c r="K208" s="762"/>
      <c r="L208" s="762"/>
      <c r="M208" s="762"/>
      <c r="N208" s="762"/>
      <c r="O208" s="762"/>
      <c r="P208" s="762"/>
      <c r="Q208" s="762"/>
      <c r="R208" s="762"/>
      <c r="S208" s="762"/>
      <c r="T208" s="762"/>
      <c r="U208" s="762"/>
      <c r="V208" s="762"/>
      <c r="W208" s="762"/>
      <c r="X208" s="762"/>
      <c r="Y208" s="762"/>
      <c r="Z208" s="762"/>
      <c r="AA208" s="762"/>
      <c r="AB208" s="762"/>
      <c r="AC208" s="762"/>
      <c r="AD208" s="762"/>
      <c r="AE208" s="762"/>
      <c r="AF208" s="762"/>
      <c r="AG208" s="762"/>
      <c r="AH208" s="762"/>
      <c r="AI208" s="762"/>
      <c r="AJ208" s="762"/>
      <c r="AK208" s="762"/>
      <c r="AL208" s="762"/>
      <c r="AM208" s="762"/>
      <c r="AN208" s="762"/>
      <c r="AO208" s="762"/>
      <c r="AP208" s="762"/>
      <c r="AQ208" s="762"/>
      <c r="AR208" s="762"/>
      <c r="AS208" s="762"/>
      <c r="AT208" s="762"/>
      <c r="AU208" s="762"/>
      <c r="AV208" s="762"/>
      <c r="AW208" s="762"/>
      <c r="AX208" s="762"/>
      <c r="AY208" s="762"/>
      <c r="AZ208" s="762"/>
      <c r="BA208" s="762"/>
      <c r="BB208" s="762"/>
      <c r="BC208" s="762"/>
      <c r="BD208" s="762"/>
      <c r="BE208" s="762"/>
      <c r="BF208" s="762"/>
      <c r="BG208" s="762"/>
      <c r="BH208" s="762"/>
      <c r="BI208" s="762"/>
      <c r="BJ208" s="762"/>
      <c r="BK208" s="762"/>
      <c r="BL208" s="762"/>
      <c r="BM208" s="762"/>
      <c r="BN208" s="762"/>
      <c r="BO208" s="762"/>
      <c r="BP208" s="762"/>
      <c r="BQ208" s="762"/>
      <c r="BR208" s="762"/>
      <c r="BS208" s="762"/>
      <c r="BT208" s="762"/>
      <c r="BU208" s="762"/>
      <c r="BV208" s="762"/>
      <c r="BW208" s="762"/>
      <c r="BX208" s="762"/>
      <c r="BY208" s="762"/>
      <c r="BZ208" s="762"/>
      <c r="CA208" s="762"/>
      <c r="CB208" s="762"/>
    </row>
  </sheetData>
  <mergeCells count="18">
    <mergeCell ref="AS29:AZ29"/>
    <mergeCell ref="BA29:BH29"/>
    <mergeCell ref="BI29:BP29"/>
    <mergeCell ref="W3:AA3"/>
    <mergeCell ref="AB3:AF3"/>
    <mergeCell ref="AG3:AK3"/>
    <mergeCell ref="AL3:AP3"/>
    <mergeCell ref="AL63:AM63"/>
    <mergeCell ref="E29:L29"/>
    <mergeCell ref="M29:T29"/>
    <mergeCell ref="U29:AB29"/>
    <mergeCell ref="AC29:AJ29"/>
    <mergeCell ref="AK29:AR29"/>
    <mergeCell ref="X63:Y63"/>
    <mergeCell ref="AD63:AE63"/>
    <mergeCell ref="AF63:AG63"/>
    <mergeCell ref="AH63:AI63"/>
    <mergeCell ref="AJ63:AK63"/>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CF7D7-0CED-43D5-90E4-57E956454223}">
  <sheetPr codeName="Tabelle8"/>
  <dimension ref="A1:Q44"/>
  <sheetViews>
    <sheetView workbookViewId="0">
      <selection activeCell="B1" sqref="B1"/>
    </sheetView>
  </sheetViews>
  <sheetFormatPr baseColWidth="10" defaultColWidth="11.42578125" defaultRowHeight="12.75" x14ac:dyDescent="0.2"/>
  <cols>
    <col min="2" max="2" width="3.7109375" customWidth="1"/>
    <col min="3" max="3" width="8.85546875" customWidth="1"/>
    <col min="4" max="5" width="5.7109375" customWidth="1"/>
    <col min="6" max="7" width="8.85546875" customWidth="1"/>
    <col min="8" max="9" width="5.7109375" customWidth="1"/>
    <col min="10" max="11" width="8.85546875" customWidth="1"/>
    <col min="12" max="13" width="5.7109375" customWidth="1"/>
    <col min="14" max="15" width="8.85546875" customWidth="1"/>
    <col min="16" max="17" width="5.7109375" customWidth="1"/>
    <col min="18" max="18" width="8.85546875" customWidth="1"/>
  </cols>
  <sheetData>
    <row r="1" spans="1:17" x14ac:dyDescent="0.2">
      <c r="A1" s="886" t="str">
        <f>Language!$E$50</f>
        <v>Matchups</v>
      </c>
      <c r="C1" s="162" t="s">
        <v>174</v>
      </c>
      <c r="D1" s="166" t="s">
        <v>184</v>
      </c>
      <c r="E1" s="166" t="s">
        <v>188</v>
      </c>
      <c r="G1" s="162" t="s">
        <v>165</v>
      </c>
      <c r="H1" s="19" t="s">
        <v>186</v>
      </c>
      <c r="I1" s="19" t="s">
        <v>190</v>
      </c>
      <c r="K1" s="162" t="s">
        <v>166</v>
      </c>
      <c r="L1" s="19" t="s">
        <v>192</v>
      </c>
      <c r="M1" s="19" t="s">
        <v>188</v>
      </c>
      <c r="O1" s="162" t="s">
        <v>167</v>
      </c>
      <c r="P1" s="19" t="s">
        <v>186</v>
      </c>
      <c r="Q1" s="19" t="s">
        <v>194</v>
      </c>
    </row>
    <row r="2" spans="1:17" x14ac:dyDescent="0.2">
      <c r="A2" s="886"/>
      <c r="C2" s="226"/>
      <c r="D2" s="166" t="s">
        <v>185</v>
      </c>
      <c r="E2" s="166" t="s">
        <v>189</v>
      </c>
      <c r="G2" s="226"/>
      <c r="H2" s="19" t="s">
        <v>187</v>
      </c>
      <c r="I2" s="19" t="s">
        <v>191</v>
      </c>
      <c r="J2" s="19"/>
      <c r="K2" s="226"/>
      <c r="L2" s="19" t="s">
        <v>193</v>
      </c>
      <c r="M2" s="19" t="s">
        <v>189</v>
      </c>
      <c r="O2" s="226"/>
      <c r="P2" s="19" t="s">
        <v>187</v>
      </c>
      <c r="Q2" s="19" t="s">
        <v>195</v>
      </c>
    </row>
    <row r="3" spans="1:17" ht="12.75" customHeight="1" x14ac:dyDescent="0.2">
      <c r="A3" s="886"/>
      <c r="C3" s="223"/>
      <c r="D3" s="166" t="s">
        <v>184</v>
      </c>
      <c r="E3" s="166" t="s">
        <v>186</v>
      </c>
      <c r="G3" s="223"/>
      <c r="H3" s="19" t="s">
        <v>184</v>
      </c>
      <c r="I3" s="19" t="s">
        <v>188</v>
      </c>
      <c r="K3" s="224"/>
      <c r="L3" s="19" t="s">
        <v>184</v>
      </c>
      <c r="M3" s="19" t="s">
        <v>190</v>
      </c>
      <c r="O3" s="99"/>
      <c r="P3" s="19" t="s">
        <v>192</v>
      </c>
      <c r="Q3" s="19" t="s">
        <v>188</v>
      </c>
    </row>
    <row r="4" spans="1:17" ht="12.75" customHeight="1" x14ac:dyDescent="0.2">
      <c r="A4" s="886"/>
      <c r="C4" s="223"/>
      <c r="D4" s="166" t="s">
        <v>185</v>
      </c>
      <c r="E4" s="166" t="s">
        <v>187</v>
      </c>
      <c r="G4" s="223"/>
      <c r="H4" s="19" t="s">
        <v>185</v>
      </c>
      <c r="I4" s="19" t="s">
        <v>189</v>
      </c>
      <c r="K4" s="224"/>
      <c r="L4" s="19" t="s">
        <v>185</v>
      </c>
      <c r="M4" s="19" t="s">
        <v>191</v>
      </c>
      <c r="O4" s="99"/>
      <c r="P4" s="19" t="s">
        <v>193</v>
      </c>
      <c r="Q4" s="19" t="s">
        <v>189</v>
      </c>
    </row>
    <row r="5" spans="1:17" x14ac:dyDescent="0.2">
      <c r="A5" s="886"/>
      <c r="C5" s="223"/>
      <c r="D5" s="166" t="s">
        <v>186</v>
      </c>
      <c r="E5" s="166" t="s">
        <v>188</v>
      </c>
      <c r="G5" s="223"/>
      <c r="H5" s="19" t="s">
        <v>184</v>
      </c>
      <c r="I5" s="19" t="s">
        <v>186</v>
      </c>
      <c r="K5" s="225"/>
      <c r="L5" s="19" t="s">
        <v>192</v>
      </c>
      <c r="M5" s="19" t="s">
        <v>186</v>
      </c>
      <c r="P5" s="19" t="s">
        <v>184</v>
      </c>
      <c r="Q5" s="19" t="s">
        <v>190</v>
      </c>
    </row>
    <row r="6" spans="1:17" x14ac:dyDescent="0.2">
      <c r="A6" s="886"/>
      <c r="C6" s="223"/>
      <c r="D6" s="166" t="s">
        <v>187</v>
      </c>
      <c r="E6" s="166" t="s">
        <v>189</v>
      </c>
      <c r="G6" s="223"/>
      <c r="H6" s="19" t="s">
        <v>188</v>
      </c>
      <c r="I6" s="19" t="s">
        <v>190</v>
      </c>
      <c r="J6" s="391" t="s">
        <v>272</v>
      </c>
      <c r="K6" s="19"/>
      <c r="L6" s="19" t="s">
        <v>193</v>
      </c>
      <c r="M6" s="19" t="s">
        <v>187</v>
      </c>
      <c r="P6" s="19" t="s">
        <v>185</v>
      </c>
      <c r="Q6" s="19" t="s">
        <v>191</v>
      </c>
    </row>
    <row r="7" spans="1:17" ht="12.75" customHeight="1" x14ac:dyDescent="0.2">
      <c r="A7" s="886"/>
      <c r="C7" s="223"/>
      <c r="D7" s="166"/>
      <c r="E7" s="166"/>
      <c r="G7" s="223"/>
      <c r="H7" s="19" t="s">
        <v>185</v>
      </c>
      <c r="I7" s="19" t="s">
        <v>187</v>
      </c>
      <c r="J7" s="391" t="s">
        <v>272</v>
      </c>
      <c r="K7" s="19"/>
      <c r="L7" s="19" t="s">
        <v>188</v>
      </c>
      <c r="M7" s="19" t="s">
        <v>184</v>
      </c>
      <c r="P7" s="19" t="s">
        <v>192</v>
      </c>
      <c r="Q7" s="19" t="s">
        <v>186</v>
      </c>
    </row>
    <row r="8" spans="1:17" ht="12.75" customHeight="1" x14ac:dyDescent="0.2">
      <c r="A8" s="886"/>
      <c r="C8" s="223"/>
      <c r="D8" s="166"/>
      <c r="E8" s="166"/>
      <c r="G8" s="223"/>
      <c r="H8" s="19" t="s">
        <v>189</v>
      </c>
      <c r="I8" s="19" t="s">
        <v>191</v>
      </c>
      <c r="K8" s="225"/>
      <c r="L8" s="19" t="s">
        <v>189</v>
      </c>
      <c r="M8" s="19" t="s">
        <v>185</v>
      </c>
      <c r="P8" s="19" t="s">
        <v>193</v>
      </c>
      <c r="Q8" s="19" t="s">
        <v>187</v>
      </c>
    </row>
    <row r="9" spans="1:17" x14ac:dyDescent="0.2">
      <c r="A9" s="886"/>
      <c r="C9" s="223"/>
      <c r="D9" s="166"/>
      <c r="E9" s="166"/>
      <c r="G9" s="223"/>
      <c r="H9" s="19" t="s">
        <v>186</v>
      </c>
      <c r="I9" s="19" t="s">
        <v>188</v>
      </c>
      <c r="K9" s="225"/>
      <c r="L9" s="19" t="s">
        <v>186</v>
      </c>
      <c r="M9" s="19" t="s">
        <v>190</v>
      </c>
      <c r="P9" s="19" t="s">
        <v>190</v>
      </c>
      <c r="Q9" s="19" t="s">
        <v>194</v>
      </c>
    </row>
    <row r="10" spans="1:17" x14ac:dyDescent="0.2">
      <c r="A10" s="886"/>
      <c r="C10" s="223"/>
      <c r="D10" s="166"/>
      <c r="E10" s="166"/>
      <c r="G10" s="223"/>
      <c r="H10" s="19" t="s">
        <v>187</v>
      </c>
      <c r="I10" s="19" t="s">
        <v>189</v>
      </c>
      <c r="K10" s="225"/>
      <c r="L10" s="19" t="s">
        <v>187</v>
      </c>
      <c r="M10" s="19" t="s">
        <v>191</v>
      </c>
      <c r="P10" s="19" t="s">
        <v>191</v>
      </c>
      <c r="Q10" s="19" t="s">
        <v>195</v>
      </c>
    </row>
    <row r="11" spans="1:17" ht="13.5" customHeight="1" x14ac:dyDescent="0.2">
      <c r="A11" s="886"/>
      <c r="C11" s="223"/>
      <c r="D11" s="166"/>
      <c r="E11" s="166"/>
      <c r="G11" s="223"/>
      <c r="H11" s="19" t="s">
        <v>190</v>
      </c>
      <c r="I11" s="19" t="s">
        <v>184</v>
      </c>
      <c r="K11" s="223"/>
      <c r="L11" s="19" t="s">
        <v>184</v>
      </c>
      <c r="M11" s="19" t="s">
        <v>192</v>
      </c>
      <c r="P11" s="19" t="s">
        <v>188</v>
      </c>
      <c r="Q11" s="19" t="s">
        <v>184</v>
      </c>
    </row>
    <row r="12" spans="1:17" ht="13.5" customHeight="1" x14ac:dyDescent="0.2">
      <c r="A12" s="886"/>
      <c r="C12" s="223"/>
      <c r="D12" s="166"/>
      <c r="E12" s="166"/>
      <c r="G12" s="223"/>
      <c r="H12" s="19" t="s">
        <v>191</v>
      </c>
      <c r="I12" s="19" t="s">
        <v>185</v>
      </c>
      <c r="K12" s="223"/>
      <c r="L12" s="19" t="s">
        <v>185</v>
      </c>
      <c r="M12" s="19" t="s">
        <v>193</v>
      </c>
      <c r="P12" s="19" t="s">
        <v>189</v>
      </c>
      <c r="Q12" s="19" t="s">
        <v>185</v>
      </c>
    </row>
    <row r="13" spans="1:17" ht="12.75" customHeight="1" x14ac:dyDescent="0.2">
      <c r="A13" s="886"/>
      <c r="D13" s="19"/>
      <c r="E13" s="19"/>
      <c r="G13" s="223"/>
      <c r="H13" s="19"/>
      <c r="I13" s="19"/>
      <c r="K13" s="223"/>
      <c r="L13" s="19" t="s">
        <v>188</v>
      </c>
      <c r="M13" s="19" t="s">
        <v>190</v>
      </c>
      <c r="P13" s="19" t="s">
        <v>186</v>
      </c>
      <c r="Q13" s="19" t="s">
        <v>190</v>
      </c>
    </row>
    <row r="14" spans="1:17" ht="12.75" customHeight="1" x14ac:dyDescent="0.2">
      <c r="A14" s="886"/>
      <c r="D14" s="19"/>
      <c r="E14" s="19"/>
      <c r="G14" s="223"/>
      <c r="K14" s="223"/>
      <c r="L14" s="19" t="s">
        <v>189</v>
      </c>
      <c r="M14" s="19" t="s">
        <v>191</v>
      </c>
      <c r="P14" s="19" t="s">
        <v>187</v>
      </c>
      <c r="Q14" s="19" t="s">
        <v>191</v>
      </c>
    </row>
    <row r="15" spans="1:17" x14ac:dyDescent="0.2">
      <c r="A15" s="886"/>
      <c r="C15" s="167"/>
      <c r="D15" s="19"/>
      <c r="E15" s="19"/>
      <c r="G15" s="223"/>
      <c r="H15" s="19"/>
      <c r="I15" s="392"/>
      <c r="J15" s="391" t="s">
        <v>279</v>
      </c>
      <c r="K15" s="223"/>
      <c r="L15" s="19" t="s">
        <v>184</v>
      </c>
      <c r="M15" s="19" t="s">
        <v>186</v>
      </c>
      <c r="P15" s="19" t="s">
        <v>184</v>
      </c>
      <c r="Q15" s="19" t="s">
        <v>192</v>
      </c>
    </row>
    <row r="16" spans="1:17" x14ac:dyDescent="0.2">
      <c r="A16" s="886"/>
      <c r="C16" s="167"/>
      <c r="D16" s="19"/>
      <c r="E16" s="19"/>
      <c r="G16" s="223"/>
      <c r="H16" s="19"/>
      <c r="I16" s="19"/>
      <c r="J16" s="337" t="s">
        <v>273</v>
      </c>
      <c r="K16" s="223"/>
      <c r="L16" s="19" t="s">
        <v>185</v>
      </c>
      <c r="M16" s="19" t="s">
        <v>187</v>
      </c>
      <c r="P16" s="19" t="s">
        <v>185</v>
      </c>
      <c r="Q16" s="19" t="s">
        <v>193</v>
      </c>
    </row>
    <row r="17" spans="1:17" x14ac:dyDescent="0.2">
      <c r="A17" s="886"/>
      <c r="C17" s="167"/>
      <c r="D17" s="19"/>
      <c r="E17" s="19"/>
      <c r="G17" s="223"/>
      <c r="H17" s="19"/>
      <c r="I17" s="19"/>
      <c r="J17" s="337" t="s">
        <v>155</v>
      </c>
      <c r="K17" s="223"/>
      <c r="L17" s="19" t="s">
        <v>190</v>
      </c>
      <c r="M17" s="19" t="s">
        <v>192</v>
      </c>
      <c r="P17" s="19" t="s">
        <v>194</v>
      </c>
      <c r="Q17" s="19" t="s">
        <v>188</v>
      </c>
    </row>
    <row r="18" spans="1:17" x14ac:dyDescent="0.2">
      <c r="A18" s="886"/>
      <c r="C18" s="167"/>
      <c r="D18" s="19"/>
      <c r="E18" s="19"/>
      <c r="G18" s="223"/>
      <c r="H18" s="19"/>
      <c r="I18" s="19"/>
      <c r="J18" s="337" t="s">
        <v>274</v>
      </c>
      <c r="K18" s="223"/>
      <c r="L18" s="19" t="s">
        <v>191</v>
      </c>
      <c r="M18" s="19" t="s">
        <v>193</v>
      </c>
      <c r="P18" s="19" t="s">
        <v>195</v>
      </c>
      <c r="Q18" s="19" t="s">
        <v>189</v>
      </c>
    </row>
    <row r="19" spans="1:17" x14ac:dyDescent="0.2">
      <c r="A19" s="886"/>
      <c r="C19" s="167"/>
      <c r="D19" s="19"/>
      <c r="E19" s="19"/>
      <c r="G19" s="223"/>
      <c r="H19" s="19"/>
      <c r="I19" s="19"/>
      <c r="J19" s="337" t="s">
        <v>275</v>
      </c>
      <c r="K19" s="223"/>
      <c r="L19" s="19" t="s">
        <v>186</v>
      </c>
      <c r="M19" s="19" t="s">
        <v>188</v>
      </c>
      <c r="P19" s="19" t="s">
        <v>184</v>
      </c>
      <c r="Q19" s="19" t="s">
        <v>186</v>
      </c>
    </row>
    <row r="20" spans="1:17" x14ac:dyDescent="0.2">
      <c r="A20" s="886"/>
      <c r="C20" s="167"/>
      <c r="D20" s="19"/>
      <c r="E20" s="19"/>
      <c r="G20" s="223"/>
      <c r="H20" s="19"/>
      <c r="I20" s="19"/>
      <c r="K20" s="223"/>
      <c r="L20" s="19" t="s">
        <v>187</v>
      </c>
      <c r="M20" s="19" t="s">
        <v>189</v>
      </c>
      <c r="P20" s="19" t="s">
        <v>185</v>
      </c>
      <c r="Q20" s="19" t="s">
        <v>187</v>
      </c>
    </row>
    <row r="21" spans="1:17" x14ac:dyDescent="0.2">
      <c r="A21" s="886"/>
      <c r="C21" s="167"/>
      <c r="D21" s="19"/>
      <c r="E21" s="19"/>
      <c r="G21" s="223"/>
      <c r="H21" s="19"/>
      <c r="I21" s="392"/>
      <c r="J21" s="337" t="s">
        <v>280</v>
      </c>
      <c r="K21" s="223"/>
      <c r="L21" s="19"/>
      <c r="M21" s="19"/>
      <c r="O21" s="223"/>
      <c r="P21" s="19" t="s">
        <v>188</v>
      </c>
      <c r="Q21" s="19" t="s">
        <v>190</v>
      </c>
    </row>
    <row r="22" spans="1:17" x14ac:dyDescent="0.2">
      <c r="A22" s="886"/>
      <c r="C22" s="167"/>
      <c r="D22" s="19"/>
      <c r="E22" s="19"/>
      <c r="G22" s="223"/>
      <c r="H22" s="19"/>
      <c r="I22" s="19"/>
      <c r="J22" s="337" t="s">
        <v>276</v>
      </c>
      <c r="K22" s="223"/>
      <c r="L22" s="19"/>
      <c r="M22" s="19"/>
      <c r="O22" s="223"/>
      <c r="P22" s="19" t="s">
        <v>189</v>
      </c>
      <c r="Q22" s="19" t="s">
        <v>191</v>
      </c>
    </row>
    <row r="23" spans="1:17" x14ac:dyDescent="0.2">
      <c r="A23" s="886"/>
      <c r="D23" s="19"/>
      <c r="E23" s="19"/>
      <c r="H23" s="19"/>
      <c r="I23" s="19"/>
      <c r="J23" s="337" t="s">
        <v>277</v>
      </c>
      <c r="K23" s="223"/>
      <c r="L23" s="19"/>
      <c r="M23" s="19"/>
      <c r="O23" s="223"/>
      <c r="P23" s="19" t="s">
        <v>192</v>
      </c>
      <c r="Q23" s="19" t="s">
        <v>194</v>
      </c>
    </row>
    <row r="24" spans="1:17" x14ac:dyDescent="0.2">
      <c r="A24" s="886"/>
      <c r="D24" s="19"/>
      <c r="E24" s="19"/>
      <c r="H24" s="19"/>
      <c r="I24" s="19"/>
      <c r="J24" s="337" t="s">
        <v>278</v>
      </c>
      <c r="K24" s="223"/>
      <c r="L24" s="19"/>
      <c r="M24" s="19"/>
      <c r="O24" s="223"/>
      <c r="P24" s="19" t="s">
        <v>193</v>
      </c>
      <c r="Q24" s="19" t="s">
        <v>195</v>
      </c>
    </row>
    <row r="25" spans="1:17" x14ac:dyDescent="0.2">
      <c r="A25" s="886"/>
      <c r="J25" s="337"/>
      <c r="K25" s="223"/>
      <c r="L25" s="19"/>
      <c r="M25" s="19"/>
      <c r="O25" s="223"/>
      <c r="P25" s="19" t="s">
        <v>186</v>
      </c>
      <c r="Q25" s="19" t="s">
        <v>188</v>
      </c>
    </row>
    <row r="26" spans="1:17" x14ac:dyDescent="0.2">
      <c r="A26" s="886"/>
      <c r="K26" s="223"/>
      <c r="L26" s="19"/>
      <c r="M26" s="19"/>
      <c r="O26" s="223"/>
      <c r="P26" s="19" t="s">
        <v>187</v>
      </c>
      <c r="Q26" s="19" t="s">
        <v>189</v>
      </c>
    </row>
    <row r="27" spans="1:17" x14ac:dyDescent="0.2">
      <c r="A27" s="886"/>
      <c r="K27" s="223"/>
      <c r="L27" s="19"/>
      <c r="M27" s="19"/>
      <c r="O27" s="223"/>
      <c r="P27" s="19" t="s">
        <v>194</v>
      </c>
      <c r="Q27" s="19" t="s">
        <v>184</v>
      </c>
    </row>
    <row r="28" spans="1:17" x14ac:dyDescent="0.2">
      <c r="A28" s="886"/>
      <c r="K28" s="223"/>
      <c r="L28" s="19"/>
      <c r="M28" s="19"/>
      <c r="O28" s="223"/>
      <c r="P28" s="19" t="s">
        <v>195</v>
      </c>
      <c r="Q28" s="19" t="s">
        <v>185</v>
      </c>
    </row>
    <row r="29" spans="1:17" x14ac:dyDescent="0.2">
      <c r="A29" s="886"/>
      <c r="K29" s="223"/>
      <c r="L29" s="19"/>
      <c r="M29" s="19"/>
      <c r="O29" s="223"/>
      <c r="P29" s="19" t="s">
        <v>190</v>
      </c>
      <c r="Q29" s="19" t="s">
        <v>192</v>
      </c>
    </row>
    <row r="30" spans="1:17" x14ac:dyDescent="0.2">
      <c r="A30" s="886"/>
      <c r="K30" s="225"/>
      <c r="L30" s="19"/>
      <c r="M30" s="19"/>
      <c r="O30" s="223"/>
      <c r="P30" s="19" t="s">
        <v>191</v>
      </c>
      <c r="Q30" s="19" t="s">
        <v>193</v>
      </c>
    </row>
    <row r="31" spans="1:17" x14ac:dyDescent="0.2">
      <c r="A31" s="886"/>
      <c r="L31" s="19"/>
      <c r="M31" s="19"/>
      <c r="O31" s="223"/>
      <c r="P31" s="19"/>
      <c r="Q31" s="19"/>
    </row>
    <row r="32" spans="1:17" x14ac:dyDescent="0.2">
      <c r="A32" s="886"/>
      <c r="L32" s="19"/>
      <c r="M32" s="19"/>
      <c r="O32" s="223"/>
      <c r="P32" s="19"/>
      <c r="Q32" s="19"/>
    </row>
    <row r="33" spans="12:17" x14ac:dyDescent="0.2">
      <c r="L33" s="19"/>
      <c r="M33" s="19"/>
      <c r="O33" s="223"/>
      <c r="P33" s="19"/>
      <c r="Q33" s="19"/>
    </row>
    <row r="34" spans="12:17" x14ac:dyDescent="0.2">
      <c r="L34" s="19"/>
      <c r="M34" s="19"/>
      <c r="O34" s="223"/>
      <c r="P34" s="19"/>
      <c r="Q34" s="19"/>
    </row>
    <row r="35" spans="12:17" x14ac:dyDescent="0.2">
      <c r="P35" s="19"/>
      <c r="Q35" s="19"/>
    </row>
    <row r="36" spans="12:17" x14ac:dyDescent="0.2">
      <c r="P36" s="19"/>
      <c r="Q36" s="19"/>
    </row>
    <row r="37" spans="12:17" x14ac:dyDescent="0.2">
      <c r="P37" s="19"/>
      <c r="Q37" s="19"/>
    </row>
    <row r="38" spans="12:17" x14ac:dyDescent="0.2">
      <c r="P38" s="19"/>
      <c r="Q38" s="19"/>
    </row>
    <row r="39" spans="12:17" x14ac:dyDescent="0.2">
      <c r="P39" s="19"/>
      <c r="Q39" s="19"/>
    </row>
    <row r="40" spans="12:17" x14ac:dyDescent="0.2">
      <c r="P40" s="19"/>
      <c r="Q40" s="19"/>
    </row>
    <row r="41" spans="12:17" x14ac:dyDescent="0.2">
      <c r="P41" s="19"/>
      <c r="Q41" s="19"/>
    </row>
    <row r="42" spans="12:17" x14ac:dyDescent="0.2">
      <c r="P42" s="19"/>
      <c r="Q42" s="19"/>
    </row>
    <row r="43" spans="12:17" x14ac:dyDescent="0.2">
      <c r="P43" s="19"/>
      <c r="Q43" s="19"/>
    </row>
    <row r="44" spans="12:17" x14ac:dyDescent="0.2">
      <c r="P44" s="19"/>
      <c r="Q44" s="19"/>
    </row>
  </sheetData>
  <mergeCells count="1">
    <mergeCell ref="A1:A32"/>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61664-B8BD-4046-90C9-57BD56E2F6FD}">
  <sheetPr codeName="Tabelle5"/>
  <dimension ref="A1:BG43"/>
  <sheetViews>
    <sheetView showGridLines="0" showRowColHeaders="0" tabSelected="1" zoomScaleNormal="100" workbookViewId="0">
      <selection activeCell="I12" sqref="I12"/>
    </sheetView>
  </sheetViews>
  <sheetFormatPr baseColWidth="10" defaultColWidth="0" defaultRowHeight="12.75" zeroHeight="1" x14ac:dyDescent="0.2"/>
  <cols>
    <col min="1" max="1" width="2.7109375" style="7" customWidth="1"/>
    <col min="2" max="2" width="6.7109375" style="7" customWidth="1"/>
    <col min="3" max="3" width="8.5703125" style="7" customWidth="1"/>
    <col min="4" max="4" width="6.5703125" style="7" customWidth="1"/>
    <col min="5" max="5" width="4.85546875" style="7" customWidth="1"/>
    <col min="6" max="6" width="26.7109375" style="7" customWidth="1"/>
    <col min="7" max="7" width="3" style="7" customWidth="1"/>
    <col min="8" max="8" width="26.7109375" style="7" customWidth="1"/>
    <col min="9" max="9" width="4.7109375" style="7" customWidth="1"/>
    <col min="10" max="10" width="2.140625" style="7" customWidth="1"/>
    <col min="11" max="12" width="4.7109375" style="7" customWidth="1"/>
    <col min="13" max="13" width="2.140625" style="7" customWidth="1"/>
    <col min="14" max="15" width="4.7109375" style="7" customWidth="1"/>
    <col min="16" max="16" width="2.140625" style="7" customWidth="1"/>
    <col min="17" max="18" width="4.7109375" style="7" customWidth="1"/>
    <col min="19" max="19" width="2.140625" style="7" customWidth="1"/>
    <col min="20" max="20" width="4.7109375" style="7" customWidth="1"/>
    <col min="21" max="21" width="15.7109375" style="7" customWidth="1"/>
    <col min="22" max="22" width="4.42578125" style="7" customWidth="1"/>
    <col min="23" max="23" width="4.140625" style="7" customWidth="1"/>
    <col min="24" max="24" width="26.7109375" style="7" customWidth="1"/>
    <col min="25" max="28" width="5.7109375" style="7" customWidth="1"/>
    <col min="29" max="29" width="3.7109375" style="7" customWidth="1"/>
    <col min="30" max="30" width="2.140625" style="7" customWidth="1"/>
    <col min="31" max="31" width="3.7109375" style="7" customWidth="1"/>
    <col min="32" max="33" width="5.7109375" style="7" customWidth="1"/>
    <col min="34" max="34" width="2.140625" style="7" customWidth="1"/>
    <col min="35" max="35" width="5.7109375" style="7" customWidth="1"/>
    <col min="36" max="36" width="6.7109375" style="7" customWidth="1"/>
    <col min="37" max="37" width="10.28515625" style="7" customWidth="1"/>
    <col min="38" max="43" width="9.7109375" style="7" customWidth="1"/>
    <col min="44" max="44" width="26.7109375" style="7" customWidth="1"/>
    <col min="45" max="45" width="4.140625" style="7" customWidth="1"/>
    <col min="46" max="46" width="11.42578125" style="7" customWidth="1"/>
    <col min="47" max="47" width="8" style="7" customWidth="1"/>
    <col min="48" max="48" width="30.7109375" style="7" customWidth="1"/>
    <col min="49" max="49" width="2.140625" style="7" customWidth="1"/>
    <col min="50" max="50" width="12.42578125" style="7" customWidth="1"/>
    <col min="51" max="51" width="11.42578125" style="7" customWidth="1"/>
    <col min="52" max="59" width="0" style="7" hidden="1" customWidth="1"/>
    <col min="60" max="16384" width="11.42578125" style="7" hidden="1"/>
  </cols>
  <sheetData>
    <row r="1" spans="1:59" ht="13.5" thickBot="1" x14ac:dyDescent="0.25">
      <c r="B1" s="238"/>
      <c r="C1" s="238"/>
      <c r="D1" s="187"/>
      <c r="E1" s="187"/>
      <c r="F1" s="187"/>
      <c r="G1" s="187"/>
      <c r="H1" s="187"/>
      <c r="I1" s="187"/>
      <c r="J1" s="187"/>
      <c r="K1" s="187"/>
      <c r="L1" s="187"/>
      <c r="M1" s="187"/>
      <c r="N1" s="187"/>
      <c r="O1" s="187"/>
      <c r="P1" s="187"/>
      <c r="Q1" s="187"/>
      <c r="R1" s="187"/>
      <c r="S1" s="187"/>
      <c r="T1" s="187"/>
      <c r="W1" s="911"/>
      <c r="X1" s="911"/>
      <c r="AP1" s="238"/>
      <c r="AQ1" s="238"/>
    </row>
    <row r="2" spans="1:59" ht="36" customHeight="1" thickTop="1" x14ac:dyDescent="0.2">
      <c r="B2" s="186"/>
      <c r="C2" s="186"/>
      <c r="G2" s="778"/>
      <c r="H2" s="916" t="s">
        <v>431</v>
      </c>
      <c r="I2" s="917"/>
      <c r="J2" s="917"/>
      <c r="K2" s="917"/>
      <c r="L2" s="917"/>
      <c r="M2" s="917"/>
      <c r="N2" s="917"/>
      <c r="O2" s="917"/>
      <c r="P2" s="917"/>
      <c r="Q2" s="917"/>
      <c r="R2" s="917"/>
      <c r="S2" s="917"/>
      <c r="T2" s="917"/>
      <c r="U2" s="917"/>
      <c r="V2" s="917"/>
      <c r="W2" s="917"/>
      <c r="X2" s="917"/>
      <c r="Y2" s="917"/>
      <c r="Z2" s="917"/>
      <c r="AA2" s="917"/>
      <c r="AB2" s="918"/>
      <c r="AC2" s="605"/>
      <c r="AD2" s="606"/>
      <c r="AE2" s="606"/>
      <c r="AF2" s="606"/>
      <c r="AG2" s="606"/>
      <c r="AH2" s="606"/>
      <c r="AI2" s="606"/>
      <c r="AJ2" s="606"/>
      <c r="AK2" s="606"/>
      <c r="AL2" s="887" t="s">
        <v>427</v>
      </c>
      <c r="AM2" s="887"/>
    </row>
    <row r="3" spans="1:59" ht="30" customHeight="1" x14ac:dyDescent="0.2">
      <c r="G3" s="779"/>
      <c r="H3" s="899" t="s">
        <v>428</v>
      </c>
      <c r="I3" s="900"/>
      <c r="J3" s="900"/>
      <c r="K3" s="900"/>
      <c r="L3" s="900"/>
      <c r="M3" s="900"/>
      <c r="N3" s="900"/>
      <c r="O3" s="900"/>
      <c r="P3" s="900"/>
      <c r="Q3" s="900"/>
      <c r="R3" s="900"/>
      <c r="S3" s="900"/>
      <c r="T3" s="900"/>
      <c r="U3" s="900"/>
      <c r="V3" s="900"/>
      <c r="W3" s="900"/>
      <c r="X3" s="900"/>
      <c r="Y3" s="900"/>
      <c r="Z3" s="900"/>
      <c r="AA3" s="900"/>
      <c r="AB3" s="901"/>
      <c r="AC3" s="607"/>
      <c r="AD3" s="608"/>
      <c r="AE3" s="608"/>
      <c r="AF3" s="608"/>
      <c r="AG3" s="608"/>
      <c r="AH3" s="608"/>
      <c r="AI3" s="608"/>
      <c r="AJ3" s="608"/>
      <c r="AK3" s="608"/>
      <c r="AL3" s="608"/>
      <c r="AM3" s="608"/>
    </row>
    <row r="4" spans="1:59" ht="30" customHeight="1" x14ac:dyDescent="0.2">
      <c r="G4" s="780"/>
      <c r="H4" s="902" t="s">
        <v>429</v>
      </c>
      <c r="I4" s="903"/>
      <c r="J4" s="903"/>
      <c r="K4" s="903"/>
      <c r="L4" s="903"/>
      <c r="M4" s="903"/>
      <c r="N4" s="903"/>
      <c r="O4" s="903"/>
      <c r="P4" s="903"/>
      <c r="Q4" s="903"/>
      <c r="R4" s="903"/>
      <c r="S4" s="903"/>
      <c r="T4" s="903"/>
      <c r="U4" s="903"/>
      <c r="V4" s="903"/>
      <c r="W4" s="903"/>
      <c r="X4" s="903"/>
      <c r="Y4" s="903"/>
      <c r="Z4" s="903"/>
      <c r="AA4" s="903"/>
      <c r="AB4" s="904"/>
      <c r="AC4" s="609"/>
      <c r="AD4" s="610"/>
      <c r="AE4" s="610"/>
      <c r="AF4" s="610"/>
      <c r="AG4" s="610"/>
      <c r="AH4" s="610"/>
      <c r="AI4" s="610"/>
      <c r="AJ4" s="610"/>
      <c r="AK4" s="610"/>
      <c r="AL4" s="610"/>
      <c r="AM4" s="610"/>
    </row>
    <row r="5" spans="1:59" ht="30" customHeight="1" thickBot="1" x14ac:dyDescent="0.25">
      <c r="G5" s="780"/>
      <c r="H5" s="905" t="s">
        <v>430</v>
      </c>
      <c r="I5" s="906"/>
      <c r="J5" s="906"/>
      <c r="K5" s="906"/>
      <c r="L5" s="906"/>
      <c r="M5" s="906"/>
      <c r="N5" s="906"/>
      <c r="O5" s="906"/>
      <c r="P5" s="906"/>
      <c r="Q5" s="906"/>
      <c r="R5" s="906"/>
      <c r="S5" s="906"/>
      <c r="T5" s="906"/>
      <c r="U5" s="906"/>
      <c r="V5" s="906"/>
      <c r="W5" s="906"/>
      <c r="X5" s="906"/>
      <c r="Y5" s="906"/>
      <c r="Z5" s="906"/>
      <c r="AA5" s="906"/>
      <c r="AB5" s="907"/>
      <c r="AC5" s="609"/>
      <c r="AD5" s="610"/>
      <c r="AE5" s="610"/>
      <c r="AF5" s="610"/>
      <c r="AG5" s="610"/>
      <c r="AH5" s="610"/>
      <c r="AI5" s="610"/>
      <c r="AJ5" s="610"/>
      <c r="AK5" s="610"/>
      <c r="AL5" s="610"/>
      <c r="AM5" s="610"/>
      <c r="AU5" s="347"/>
      <c r="AV5" s="347"/>
      <c r="AW5" s="347"/>
    </row>
    <row r="6" spans="1:59" ht="9" customHeight="1" thickTop="1" x14ac:dyDescent="0.2">
      <c r="B6" s="239"/>
      <c r="C6" s="239"/>
      <c r="D6" s="239"/>
      <c r="E6" s="239"/>
      <c r="F6" s="239"/>
      <c r="G6" s="239"/>
      <c r="H6" s="239"/>
      <c r="I6" s="239"/>
      <c r="J6" s="239"/>
      <c r="K6" s="239"/>
      <c r="L6" s="239"/>
      <c r="M6" s="239"/>
      <c r="N6" s="239"/>
      <c r="O6" s="239"/>
      <c r="P6" s="239"/>
      <c r="Q6" s="239"/>
      <c r="R6" s="239"/>
      <c r="S6" s="239"/>
      <c r="T6" s="239"/>
      <c r="AU6" s="347"/>
      <c r="AV6" s="347"/>
      <c r="AW6" s="347"/>
    </row>
    <row r="7" spans="1:59" ht="30" customHeight="1" x14ac:dyDescent="0.9">
      <c r="B7" s="239"/>
      <c r="C7" s="239"/>
      <c r="D7" s="239"/>
      <c r="E7" s="239"/>
      <c r="F7" s="239"/>
      <c r="G7" s="239"/>
      <c r="H7" s="239"/>
      <c r="I7" s="908" t="str">
        <f>Language!$E$18</f>
        <v>Preliminary round</v>
      </c>
      <c r="J7" s="909"/>
      <c r="K7" s="909"/>
      <c r="L7" s="909"/>
      <c r="M7" s="909"/>
      <c r="N7" s="909"/>
      <c r="O7" s="909"/>
      <c r="P7" s="909"/>
      <c r="Q7" s="909"/>
      <c r="R7" s="909"/>
      <c r="S7" s="909"/>
      <c r="T7" s="909"/>
      <c r="U7" s="909"/>
      <c r="V7" s="909"/>
      <c r="W7" s="909"/>
      <c r="X7" s="909"/>
      <c r="Y7" s="781"/>
      <c r="Z7" s="782"/>
      <c r="AA7" s="782"/>
      <c r="AB7" s="782"/>
      <c r="AC7" s="611"/>
      <c r="AD7" s="611"/>
      <c r="AE7" s="611"/>
      <c r="AF7" s="611"/>
      <c r="AG7" s="611"/>
      <c r="AR7" s="447"/>
      <c r="AU7" s="910" t="str">
        <f>Language!$E$91</f>
        <v>If two or more teams cannot be distinguished and a decision is made, for example, through drawing lots, it is sufficient to enter a bonus point for the preferred team.</v>
      </c>
      <c r="AV7" s="910"/>
      <c r="AW7" s="910"/>
      <c r="AX7" s="910"/>
    </row>
    <row r="8" spans="1:59" ht="30" customHeight="1" x14ac:dyDescent="0.9">
      <c r="B8" s="239"/>
      <c r="C8" s="239"/>
      <c r="D8" s="239"/>
      <c r="E8" s="239"/>
      <c r="F8" s="239"/>
      <c r="G8" s="239"/>
      <c r="H8" s="239"/>
      <c r="I8" s="908"/>
      <c r="J8" s="909"/>
      <c r="K8" s="909"/>
      <c r="L8" s="909"/>
      <c r="M8" s="909"/>
      <c r="N8" s="909"/>
      <c r="O8" s="909"/>
      <c r="P8" s="909"/>
      <c r="Q8" s="909"/>
      <c r="R8" s="909"/>
      <c r="S8" s="909"/>
      <c r="T8" s="909"/>
      <c r="U8" s="909"/>
      <c r="V8" s="909"/>
      <c r="W8" s="909"/>
      <c r="X8" s="909"/>
      <c r="Y8" s="781"/>
      <c r="Z8" s="782"/>
      <c r="AA8" s="782"/>
      <c r="AB8" s="782"/>
      <c r="AC8" s="611"/>
      <c r="AD8" s="611"/>
      <c r="AE8" s="611"/>
      <c r="AF8" s="611"/>
      <c r="AG8" s="611"/>
      <c r="AU8" s="910"/>
      <c r="AV8" s="910"/>
      <c r="AW8" s="910"/>
      <c r="AX8" s="910"/>
    </row>
    <row r="9" spans="1:59" ht="13.5" customHeight="1" thickBot="1" x14ac:dyDescent="0.35">
      <c r="C9" s="8"/>
      <c r="D9" s="8"/>
      <c r="E9" s="8"/>
      <c r="F9" s="237"/>
      <c r="G9" s="237"/>
      <c r="H9" s="237"/>
      <c r="I9" s="237"/>
      <c r="J9" s="237"/>
      <c r="K9" s="237"/>
      <c r="L9" s="237"/>
      <c r="M9" s="237"/>
      <c r="N9" s="237"/>
      <c r="O9" s="237"/>
      <c r="P9" s="237"/>
      <c r="Q9" s="237"/>
      <c r="R9" s="237"/>
      <c r="S9" s="237"/>
      <c r="T9" s="237"/>
      <c r="AL9" s="220"/>
      <c r="AM9" s="220"/>
      <c r="AN9" s="220"/>
      <c r="AO9" s="220"/>
      <c r="AP9" s="220"/>
      <c r="AQ9" s="220"/>
      <c r="BA9" s="814" t="s">
        <v>410</v>
      </c>
    </row>
    <row r="10" spans="1:59" ht="24" customHeight="1" thickBot="1" x14ac:dyDescent="0.45">
      <c r="A10" s="230"/>
      <c r="B10" s="235" t="str">
        <f>Language!$E$11</f>
        <v>Results</v>
      </c>
      <c r="C10" s="231"/>
      <c r="D10" s="231"/>
      <c r="E10" s="231"/>
      <c r="F10" s="236"/>
      <c r="G10" s="236"/>
      <c r="H10" s="236"/>
      <c r="I10" s="236"/>
      <c r="J10" s="236"/>
      <c r="K10" s="236"/>
      <c r="L10" s="237"/>
      <c r="M10" s="237"/>
      <c r="N10" s="237"/>
      <c r="O10" s="237"/>
      <c r="P10" s="237"/>
      <c r="Q10" s="237"/>
      <c r="R10" s="237"/>
      <c r="S10" s="237"/>
      <c r="T10" s="237"/>
      <c r="W10" s="890" t="str">
        <f>Language!$E$16&amp;" A"</f>
        <v>Group A</v>
      </c>
      <c r="X10" s="890"/>
      <c r="Y10" s="124"/>
      <c r="Z10" s="124"/>
      <c r="AA10" s="124"/>
      <c r="AB10" s="124"/>
      <c r="AC10" s="124"/>
      <c r="AD10" s="124"/>
      <c r="AE10" s="124"/>
      <c r="AF10" s="124"/>
      <c r="AG10" s="124"/>
      <c r="AH10" s="124"/>
      <c r="AI10" s="124"/>
      <c r="AJ10" s="124"/>
      <c r="AK10" s="124"/>
      <c r="AL10" s="217" t="str">
        <f ca="1">IF(LEN(X12)&gt;Settings!$C$33,LEFT(X12,Settings!$C$33)&amp;".",X12)</f>
        <v>Maibach.</v>
      </c>
      <c r="AM10" s="218" t="str">
        <f ca="1">IF(LEN(X13)&gt;Settings!$C$33,LEFT(X13,Settings!$C$33)&amp;".",X13)</f>
        <v>VFB Ess.</v>
      </c>
      <c r="AN10" s="218" t="str">
        <f ca="1">IF(LEN(X14)&gt;Settings!$C$33,LEFT(X14,Settings!$C$33)&amp;".",X14)</f>
        <v>1. FC R.</v>
      </c>
      <c r="AO10" s="218" t="str">
        <f ca="1">IF(LEN(X15)&gt;Settings!$C$33,LEFT(X15,Settings!$C$33)&amp;".",X15)</f>
        <v>Eintrac.</v>
      </c>
      <c r="AP10" s="218" t="str">
        <f ca="1">IF(LEN(X16)&gt;Settings!$C$33,LEFT(X16,Settings!$C$33)&amp;".",X16)</f>
        <v>FC Barc.</v>
      </c>
      <c r="AQ10" s="219" t="str">
        <f ca="1">IF(LEN(X17)&gt;Settings!$C$33,LEFT(X17,Settings!$C$33)&amp;".",X17)</f>
        <v/>
      </c>
      <c r="AR10" s="125"/>
      <c r="AU10" s="890" t="str">
        <f>Language!$E$16&amp;" A"</f>
        <v>Group A</v>
      </c>
      <c r="AV10" s="890"/>
      <c r="AX10" s="469" t="str">
        <f>Language!$E$71</f>
        <v>bonus</v>
      </c>
      <c r="BA10" s="815" t="b">
        <f>Settings!$B$38=Language!$E$79</f>
        <v>0</v>
      </c>
    </row>
    <row r="11" spans="1:59" ht="24" customHeight="1" thickTop="1" thickBot="1" x14ac:dyDescent="0.25">
      <c r="B11" s="324" t="str">
        <f>Language!$E$9</f>
        <v>No.</v>
      </c>
      <c r="C11" s="542" t="str">
        <f>Language!$E$39</f>
        <v>Start</v>
      </c>
      <c r="D11" s="542" t="str">
        <f>Language!$E$48</f>
        <v>Field</v>
      </c>
      <c r="E11" s="542" t="str">
        <f>Language!$E$17</f>
        <v>Grp</v>
      </c>
      <c r="F11" s="912" t="str">
        <f>Language!$E$14</f>
        <v>Match pairing</v>
      </c>
      <c r="G11" s="912"/>
      <c r="H11" s="912"/>
      <c r="I11" s="912" t="str">
        <f>Language!$E$61</f>
        <v>1st set</v>
      </c>
      <c r="J11" s="912"/>
      <c r="K11" s="912"/>
      <c r="L11" s="912" t="str">
        <f>Language!$E$62</f>
        <v>2nd set</v>
      </c>
      <c r="M11" s="912"/>
      <c r="N11" s="913"/>
      <c r="O11" s="912" t="str">
        <f>Language!$E$63</f>
        <v>3rd set</v>
      </c>
      <c r="P11" s="912"/>
      <c r="Q11" s="913"/>
      <c r="R11" s="914" t="str">
        <f>Language!$E$25</f>
        <v>sets</v>
      </c>
      <c r="S11" s="912"/>
      <c r="T11" s="915"/>
      <c r="U11" s="592" t="str">
        <f>Language!$E$68</f>
        <v>Referee</v>
      </c>
      <c r="W11" s="891"/>
      <c r="X11" s="892"/>
      <c r="Y11" s="126" t="str">
        <f>Language!$E$21</f>
        <v>Pld</v>
      </c>
      <c r="Z11" s="127" t="str">
        <f>Language!$E$22</f>
        <v>W</v>
      </c>
      <c r="AA11" s="127" t="str">
        <f>Language!$E$23</f>
        <v>D</v>
      </c>
      <c r="AB11" s="128" t="str">
        <f>Language!$E$24</f>
        <v>L</v>
      </c>
      <c r="AC11" s="896" t="str">
        <f>Language!$E$25</f>
        <v>sets</v>
      </c>
      <c r="AD11" s="897"/>
      <c r="AE11" s="898"/>
      <c r="AF11" s="620" t="str">
        <f>Language!$E$26</f>
        <v>GD</v>
      </c>
      <c r="AG11" s="893" t="str">
        <f>Language!$E$60</f>
        <v>balls</v>
      </c>
      <c r="AH11" s="894"/>
      <c r="AI11" s="895"/>
      <c r="AJ11" s="127" t="str">
        <f>IF(Settings!$G$24,Language!$E$26,Language!$E$67)</f>
        <v>Quot.</v>
      </c>
      <c r="AK11" s="129" t="str">
        <f>IF(Settings!$G$9,Language!$E$27,Language!$E$80)</f>
        <v>Setpts.</v>
      </c>
      <c r="AL11" s="130" t="str">
        <f ca="1">X12</f>
        <v>Maibach 1822 eV</v>
      </c>
      <c r="AM11" s="131" t="str">
        <f ca="1">X13</f>
        <v>VFB Essenheim</v>
      </c>
      <c r="AN11" s="131" t="str">
        <f ca="1">X14</f>
        <v>1. FC Riedwald</v>
      </c>
      <c r="AO11" s="131" t="str">
        <f ca="1">X15</f>
        <v>Eintracht Frankfurt</v>
      </c>
      <c r="AP11" s="131" t="str">
        <f ca="1">X16</f>
        <v>FC Barcelona</v>
      </c>
      <c r="AQ11" s="449" t="str">
        <f ca="1">X17</f>
        <v/>
      </c>
      <c r="AR11" s="125"/>
      <c r="AU11" s="346" t="str">
        <f>Language!$E$9</f>
        <v>No.</v>
      </c>
      <c r="AV11" s="467" t="str">
        <f>Language!$E$10</f>
        <v>Participant or team</v>
      </c>
      <c r="AW11" s="464"/>
    </row>
    <row r="12" spans="1:59" ht="24" customHeight="1" x14ac:dyDescent="0.2">
      <c r="B12" s="355">
        <f>Planning!$E6</f>
        <v>1</v>
      </c>
      <c r="C12" s="361">
        <f>Planning!$F6</f>
        <v>0.375</v>
      </c>
      <c r="D12" s="362" t="str">
        <f>Planning!$G6</f>
        <v>1</v>
      </c>
      <c r="E12" s="362" t="str">
        <f ca="1">Planning!$H6</f>
        <v>A</v>
      </c>
      <c r="F12" s="367" t="str">
        <f ca="1">Planning!$L6</f>
        <v>VFB Essenheim</v>
      </c>
      <c r="G12" s="354" t="s">
        <v>4</v>
      </c>
      <c r="H12" s="370" t="str">
        <f ca="1">Planning!$N6</f>
        <v>FC Barcelona</v>
      </c>
      <c r="I12" s="358">
        <v>25</v>
      </c>
      <c r="J12" s="622" t="str">
        <f>Language!$E$99</f>
        <v xml:space="preserve"> - </v>
      </c>
      <c r="K12" s="553">
        <v>15</v>
      </c>
      <c r="L12" s="628">
        <v>25</v>
      </c>
      <c r="M12" s="625" t="str">
        <f>Language!$E$99</f>
        <v xml:space="preserve"> - </v>
      </c>
      <c r="N12" s="631">
        <v>10</v>
      </c>
      <c r="O12" s="633"/>
      <c r="P12" s="634" t="str">
        <f>Language!$E$99</f>
        <v xml:space="preserve"> - </v>
      </c>
      <c r="Q12" s="631"/>
      <c r="R12" s="640">
        <f ca="1">IF(BA12,"",(I12&lt;&gt;"")*(K12&lt;&gt;"")*NOT(BB12)*((I12&gt;K12)+(I12=K12)*0.5)+(L12&lt;&gt;"")*(N12&lt;&gt;"")*NOT(BC12)*((L12&gt;N12)+(L12=N12)*0.5)+(O12&lt;&gt;"")*(Q12&lt;&gt;"")*NOT(BD12)*((O12&gt;Q12)+(O12=Q12)*0.5))</f>
        <v>2</v>
      </c>
      <c r="S12" s="635" t="str">
        <f>Language!$E$99</f>
        <v xml:space="preserve"> - </v>
      </c>
      <c r="T12" s="641">
        <f ca="1">IF(BA12,"",(I12&lt;&gt;"")*(K12&lt;&gt;"")*NOT(BB12)*((I12&lt;K12)+(I12=K12)*0.5)+(L12&lt;&gt;"")*(N12&lt;&gt;"")*NOT(BC12)*((L12&lt;N12)+(L12=N12)*0.5)+(O12&lt;&gt;"")*(Q12&lt;&gt;"")*NOT(BD12)*((O12&lt;Q12)+(O12=Q12)*0.5))</f>
        <v>0</v>
      </c>
      <c r="U12" s="602" t="str">
        <f>IF(Planning!$O6="","",Planning!$O6)</f>
        <v/>
      </c>
      <c r="W12" s="305">
        <f ca="1">IF(Calc1!$K$13=0,"",1)</f>
        <v>1</v>
      </c>
      <c r="X12" s="306" t="str">
        <f ca="1">IF(Calc1!$F$14&lt;3,"",IF(Calc1!$K$13=0,Calc1!$Q64,VLOOKUP(Calc1!B4,Calc1!$C$4:$N$12,4,0)))</f>
        <v>Maibach 1822 eV</v>
      </c>
      <c r="Y12" s="132">
        <f ca="1">IF(Calc1!$K$13=0,"",VLOOKUP(Calc1!B4,Calc1!$C$4:$N$12,9,0))</f>
        <v>4</v>
      </c>
      <c r="Z12" s="133">
        <f ca="1">IF(Calc1!$K$13=0,"",VLOOKUP(Calc1!B4,Calc1!$C$4:$N$12,10,0))</f>
        <v>3</v>
      </c>
      <c r="AA12" s="133">
        <f ca="1">IF(Calc1!$K$13=0,"",VLOOKUP(Calc1!B4,Calc1!$C$4:$N$12,11,0))</f>
        <v>1</v>
      </c>
      <c r="AB12" s="134">
        <f ca="1">IF(Calc1!$K$13=0,"",VLOOKUP(Calc1!B4,Calc1!$C$4:$N$12,12,0))</f>
        <v>0</v>
      </c>
      <c r="AC12" s="135">
        <f ca="1">IF(Calc1!$K$13=0,"",VLOOKUP(Calc1!B4,Calc1!$C$4:$AT$12,44,0))</f>
        <v>7</v>
      </c>
      <c r="AD12" s="414" t="str">
        <f>Language!$E$99</f>
        <v xml:space="preserve"> - </v>
      </c>
      <c r="AE12" s="137">
        <f ca="1">IF(Calc1!$K$13=0,"",VLOOKUP(Calc1!B4,Calc1!$C$4:$AS$12,43,0))</f>
        <v>1</v>
      </c>
      <c r="AF12" s="136">
        <f ca="1">IF(Calc1!$K$13=0,"",AC12-AE12)</f>
        <v>6</v>
      </c>
      <c r="AG12" s="135">
        <f ca="1">IF(Calc1!$K$13=0,"",VLOOKUP(Calc1!B4,Calc1!$C$4:$N$12,5,0))</f>
        <v>178</v>
      </c>
      <c r="AH12" s="414" t="str">
        <f>Language!$E$99</f>
        <v xml:space="preserve"> - </v>
      </c>
      <c r="AI12" s="137">
        <f ca="1">IF(Calc1!$K$13=0,"",VLOOKUP(Calc1!B4,Calc1!$C$4:$N$12,6,0))</f>
        <v>134</v>
      </c>
      <c r="AJ12" s="132">
        <f ca="1">IF(Calc1!$K$13=0,"",IF(VLOOKUP(Calc1!B4,Calc1!$C$4:$AV$12,46,0)=Settings!$F$24,"max",VLOOKUP(Calc1!B4,Calc1!$C$4:$AV$12,46,0)))</f>
        <v>1.3280000000000001</v>
      </c>
      <c r="AK12" s="138">
        <f ca="1">IF(Calc1!$K$13=0,"",VLOOKUP(Calc1!B4,Calc1!$C$4:$AT$12,Settings!$H$9,0))</f>
        <v>7</v>
      </c>
      <c r="AL12" s="139"/>
      <c r="AM12" s="133" t="str">
        <f ca="1">IFERROR(VLOOKUP($X12&amp;AM$11,Calc1!$Z$64:$AC$207,Settings!$G$29,0),"")</f>
        <v>2 - 0</v>
      </c>
      <c r="AN12" s="133" t="str">
        <f ca="1">IFERROR(VLOOKUP($X12&amp;AN$11,Calc1!$Z$64:$AC$207,Settings!$G$29,0),"")</f>
        <v>1 - 1</v>
      </c>
      <c r="AO12" s="133" t="str">
        <f ca="1">IFERROR(VLOOKUP($X12&amp;AO$11,Calc1!$Z$64:$AC$207,Settings!$G$29,0),"")</f>
        <v>2 - 0</v>
      </c>
      <c r="AP12" s="133" t="str">
        <f ca="1">IFERROR(VLOOKUP($X12&amp;AP$11,Calc1!$Z$64:$AC$207,Settings!$G$29,0),"")</f>
        <v>2 - 0</v>
      </c>
      <c r="AQ12" s="140" t="str">
        <f ca="1">IFERROR(VLOOKUP($X12&amp;AQ$11,Calc1!$Z$64:$AC$207,Settings!$G$29,0),"")</f>
        <v/>
      </c>
      <c r="AR12" s="141" t="str">
        <f t="shared" ref="AR12:AR17" ca="1" si="0">X12</f>
        <v>Maibach 1822 eV</v>
      </c>
      <c r="AU12" s="345" t="s">
        <v>186</v>
      </c>
      <c r="AV12" s="468" t="str">
        <f>IF(Planning!$C7="","",Planning!$C7)</f>
        <v>1. FC Riedwald</v>
      </c>
      <c r="AW12" s="465"/>
      <c r="AX12" s="773"/>
      <c r="BA12" s="7" t="b">
        <f t="shared" ref="BA12:BA41" ca="1" si="1">OR(F12="",H12="",AND(OR(I12="",K12="",BB12),OR(L12="",N12="",BC12),OR(O12="",Q12="",BD12)))</f>
        <v>0</v>
      </c>
      <c r="BB12" s="7" t="b">
        <f>ABS(I12-K12)&lt;2*$BA$10</f>
        <v>0</v>
      </c>
      <c r="BC12" s="7" t="b">
        <f>ABS(L12-N12)&lt;2*$BA$10</f>
        <v>0</v>
      </c>
      <c r="BD12" s="7" t="b">
        <f>ABS(O12-Q12)&lt;2*$BA$10</f>
        <v>0</v>
      </c>
      <c r="BE12" s="7" t="b">
        <f t="shared" ref="BE12:BE41" si="2">AND(BB12,I12&lt;&gt;"",K12&lt;&gt;"")</f>
        <v>0</v>
      </c>
      <c r="BF12" s="7" t="b">
        <f t="shared" ref="BF12:BF41" si="3">AND(BC12,L12&lt;&gt;"",N12&lt;&gt;"")</f>
        <v>0</v>
      </c>
      <c r="BG12" s="7" t="b">
        <f t="shared" ref="BG12:BG41" si="4">AND(BD12,O12&lt;&gt;"",Q12&lt;&gt;"")</f>
        <v>0</v>
      </c>
    </row>
    <row r="13" spans="1:59" ht="24" customHeight="1" x14ac:dyDescent="0.2">
      <c r="B13" s="356">
        <f ca="1">Planning!$E7</f>
        <v>2</v>
      </c>
      <c r="C13" s="363">
        <f ca="1">Planning!$F7</f>
        <v>0.375</v>
      </c>
      <c r="D13" s="364">
        <f ca="1">Planning!$G7</f>
        <v>2</v>
      </c>
      <c r="E13" s="364" t="str">
        <f ca="1">Planning!$H7</f>
        <v>B</v>
      </c>
      <c r="F13" s="368" t="str">
        <f ca="1">Planning!$L7</f>
        <v>FC Grönlingen</v>
      </c>
      <c r="G13" s="145" t="s">
        <v>4</v>
      </c>
      <c r="H13" s="371" t="str">
        <f ca="1">Planning!$N7</f>
        <v>Inter Mailand</v>
      </c>
      <c r="I13" s="359">
        <v>15</v>
      </c>
      <c r="J13" s="623" t="str">
        <f>Language!$E$99</f>
        <v xml:space="preserve"> - </v>
      </c>
      <c r="K13" s="554">
        <v>25</v>
      </c>
      <c r="L13" s="629"/>
      <c r="M13" s="626" t="str">
        <f>Language!$E$99</f>
        <v xml:space="preserve"> - </v>
      </c>
      <c r="N13" s="621"/>
      <c r="O13" s="629"/>
      <c r="P13" s="626" t="str">
        <f>Language!$E$99</f>
        <v xml:space="preserve"> - </v>
      </c>
      <c r="Q13" s="621"/>
      <c r="R13" s="642">
        <f t="shared" ref="R13:R41" ca="1" si="5">IF(BA13,"",(I13&lt;&gt;"")*(K13&lt;&gt;"")*NOT(BB13)*((I13&gt;K13)+(I13=K13)*0.5)+(L13&lt;&gt;"")*(N13&lt;&gt;"")*NOT(BC13)*((L13&gt;N13)+(L13=N13)*0.5)+(O13&lt;&gt;"")*(Q13&lt;&gt;"")*NOT(BD13)*((O13&gt;Q13)+(O13=Q13)*0.5))</f>
        <v>0</v>
      </c>
      <c r="S13" s="636" t="str">
        <f>Language!$E$99</f>
        <v xml:space="preserve"> - </v>
      </c>
      <c r="T13" s="637">
        <f t="shared" ref="T13:T41" ca="1" si="6">IF(BA13,"",(I13&lt;&gt;"")*(K13&lt;&gt;"")*NOT(BB13)*((I13&lt;K13)+(I13=K13)*0.5)+(L13&lt;&gt;"")*(N13&lt;&gt;"")*NOT(BC13)*((L13&lt;N13)+(L13=N13)*0.5)+(O13&lt;&gt;"")*(Q13&lt;&gt;"")*NOT(BD13)*((O13&lt;Q13)+(O13=Q13)*0.5))</f>
        <v>1</v>
      </c>
      <c r="U13" s="603" t="str">
        <f>IF(Planning!$O7="","",Planning!$O7)</f>
        <v/>
      </c>
      <c r="W13" s="307">
        <f ca="1">IF(Calc1!$K$13=0,"",IF(VLOOKUP(Calc1!B5,Calc1!$C$4:$E$12,3,0)=MAX(W$12:W12),VLOOKUP(Calc1!B5,Calc1!$C$4:$E$12,3,0),Calc1!B5))</f>
        <v>2</v>
      </c>
      <c r="X13" s="308" t="str">
        <f ca="1">IF(Calc1!$F$14&lt;3,"",IF(Calc1!$K$13=0,Calc1!$Q65,VLOOKUP(Calc1!B5,Calc1!$C$4:$N$12,4,0)))</f>
        <v>VFB Essenheim</v>
      </c>
      <c r="Y13" s="142">
        <f ca="1">IF(Calc1!$K$13=0,"",VLOOKUP(Calc1!B5,Calc1!$C$4:$N$12,9,0))</f>
        <v>4</v>
      </c>
      <c r="Z13" s="123">
        <f ca="1">IF(Calc1!$K$13=0,"",VLOOKUP(Calc1!B5,Calc1!$C$4:$N$12,10,0))</f>
        <v>2</v>
      </c>
      <c r="AA13" s="123">
        <f ca="1">IF(Calc1!$K$13=0,"",VLOOKUP(Calc1!B5,Calc1!$C$4:$N$12,11,0))</f>
        <v>1</v>
      </c>
      <c r="AB13" s="143">
        <f ca="1">IF(Calc1!$K$13=0,"",VLOOKUP(Calc1!B5,Calc1!$C$4:$N$12,12,0))</f>
        <v>1</v>
      </c>
      <c r="AC13" s="144">
        <f ca="1">IF(Calc1!$K$13=0,"",VLOOKUP(Calc1!B5,Calc1!$C$4:$AT$12,44,0))</f>
        <v>5</v>
      </c>
      <c r="AD13" s="417" t="str">
        <f>Language!$E$99</f>
        <v xml:space="preserve"> - </v>
      </c>
      <c r="AE13" s="146">
        <f ca="1">IF(Calc1!$K$13=0,"",VLOOKUP(Calc1!B5,Calc1!$C$4:$AS$12,43,0))</f>
        <v>3</v>
      </c>
      <c r="AF13" s="145">
        <f ca="1">IF(Calc1!$K$13=0,"",AC13-AE13)</f>
        <v>2</v>
      </c>
      <c r="AG13" s="144">
        <f ca="1">IF(Calc1!$K$13=0,"",VLOOKUP(Calc1!B5,Calc1!$C$4:$N$12,5,0))</f>
        <v>185</v>
      </c>
      <c r="AH13" s="417" t="str">
        <f>Language!$E$99</f>
        <v xml:space="preserve"> - </v>
      </c>
      <c r="AI13" s="146">
        <f ca="1">IF(Calc1!$K$13=0,"",VLOOKUP(Calc1!B5,Calc1!$C$4:$N$12,6,0))</f>
        <v>166</v>
      </c>
      <c r="AJ13" s="142">
        <f ca="1">IF(Calc1!$K$13=0,"",IF(VLOOKUP(Calc1!B5,Calc1!$C$4:$AV$12,46,0)=Settings!$F$24,"max",VLOOKUP(Calc1!B5,Calc1!$C$4:$AV$12,46,0)))</f>
        <v>1.1140000000000001</v>
      </c>
      <c r="AK13" s="147">
        <f ca="1">IF(Calc1!$K$13=0,"",VLOOKUP(Calc1!B5,Calc1!$C$4:$AT$12,Settings!$H$9,0))</f>
        <v>5</v>
      </c>
      <c r="AL13" s="148" t="str">
        <f ca="1">IFERROR(VLOOKUP($X13&amp;AL$11,Calc1!$Z$64:$AC$207,Settings!$G$29,0),"")</f>
        <v>0 - 2</v>
      </c>
      <c r="AM13" s="149"/>
      <c r="AN13" s="123" t="str">
        <f ca="1">IFERROR(VLOOKUP($X13&amp;AN$11,Calc1!$Z$64:$AC$207,Settings!$G$29,0),"")</f>
        <v>2 - 0</v>
      </c>
      <c r="AO13" s="123" t="str">
        <f ca="1">IFERROR(VLOOKUP($X13&amp;AO$11,Calc1!$Z$64:$AC$207,Settings!$G$29,0),"")</f>
        <v>1 - 1</v>
      </c>
      <c r="AP13" s="123" t="str">
        <f ca="1">IFERROR(VLOOKUP($X13&amp;AP$11,Calc1!$Z$64:$AC$207,Settings!$G$29,0),"")</f>
        <v>2 - 0</v>
      </c>
      <c r="AQ13" s="150" t="str">
        <f ca="1">IFERROR(VLOOKUP($X13&amp;AQ$11,Calc1!$Z$64:$AC$207,Settings!$G$29,0),"")</f>
        <v/>
      </c>
      <c r="AR13" s="151" t="str">
        <f t="shared" ca="1" si="0"/>
        <v>VFB Essenheim</v>
      </c>
      <c r="AU13" s="343" t="s">
        <v>188</v>
      </c>
      <c r="AV13" s="308" t="str">
        <f>IF(Planning!$C9="","",Planning!$C9)</f>
        <v>FC Barcelona</v>
      </c>
      <c r="AW13" s="465"/>
      <c r="AX13" s="774"/>
      <c r="BA13" s="7" t="b">
        <f t="shared" ca="1" si="1"/>
        <v>0</v>
      </c>
      <c r="BB13" s="7" t="b">
        <f>ABS(I13-K13)&lt;2*$BA$10</f>
        <v>0</v>
      </c>
      <c r="BC13" s="7" t="b">
        <f>ABS(L13-N13)&lt;2*$BA$10</f>
        <v>0</v>
      </c>
      <c r="BD13" s="7" t="b">
        <f>ABS(O13-Q13)&lt;2*$BA$10</f>
        <v>0</v>
      </c>
      <c r="BE13" s="7" t="b">
        <f t="shared" si="2"/>
        <v>0</v>
      </c>
      <c r="BF13" s="7" t="b">
        <f t="shared" si="3"/>
        <v>0</v>
      </c>
      <c r="BG13" s="7" t="b">
        <f t="shared" si="4"/>
        <v>0</v>
      </c>
    </row>
    <row r="14" spans="1:59" ht="24" customHeight="1" x14ac:dyDescent="0.2">
      <c r="B14" s="356">
        <f ca="1">Planning!$E8</f>
        <v>3</v>
      </c>
      <c r="C14" s="363">
        <f ca="1">Planning!$F8</f>
        <v>0.375</v>
      </c>
      <c r="D14" s="364">
        <f ca="1">Planning!$G8</f>
        <v>3</v>
      </c>
      <c r="E14" s="364" t="str">
        <f ca="1">Planning!$H8</f>
        <v>A</v>
      </c>
      <c r="F14" s="368" t="str">
        <f ca="1">Planning!$L8</f>
        <v>Eintracht Frankfurt</v>
      </c>
      <c r="G14" s="145" t="s">
        <v>4</v>
      </c>
      <c r="H14" s="371" t="str">
        <f ca="1">Planning!$N8</f>
        <v>Maibach 1822 eV</v>
      </c>
      <c r="I14" s="359">
        <v>13</v>
      </c>
      <c r="J14" s="623" t="str">
        <f>Language!$E$99</f>
        <v xml:space="preserve"> - </v>
      </c>
      <c r="K14" s="554">
        <v>17</v>
      </c>
      <c r="L14" s="629">
        <v>11</v>
      </c>
      <c r="M14" s="626" t="str">
        <f>Language!$E$99</f>
        <v xml:space="preserve"> - </v>
      </c>
      <c r="N14" s="621">
        <v>18</v>
      </c>
      <c r="O14" s="629"/>
      <c r="P14" s="626" t="str">
        <f>Language!$E$99</f>
        <v xml:space="preserve"> - </v>
      </c>
      <c r="Q14" s="621"/>
      <c r="R14" s="642">
        <f t="shared" ca="1" si="5"/>
        <v>0</v>
      </c>
      <c r="S14" s="636" t="str">
        <f>Language!$E$99</f>
        <v xml:space="preserve"> - </v>
      </c>
      <c r="T14" s="637">
        <f t="shared" ca="1" si="6"/>
        <v>2</v>
      </c>
      <c r="U14" s="603" t="str">
        <f>IF(Planning!$O8="","",Planning!$O8)</f>
        <v/>
      </c>
      <c r="W14" s="307">
        <f ca="1">IF(Calc1!$K$13=0,"",IF(VLOOKUP(Calc1!B6,Calc1!$C$4:$E$12,3,0)=MAX(W$12:W13),VLOOKUP(Calc1!B6,Calc1!$C$4:$E$12,3,0),Calc1!B6))</f>
        <v>3</v>
      </c>
      <c r="X14" s="308" t="str">
        <f ca="1">IF(Calc1!$F$14&lt;3,"",IF(Calc1!$K$13=0,Calc1!$Q66,VLOOKUP(Calc1!B6,Calc1!$C$4:$N$12,4,0)))</f>
        <v>1. FC Riedwald</v>
      </c>
      <c r="Y14" s="142">
        <f ca="1">IF(Calc1!$K$13=0,"",VLOOKUP(Calc1!B6,Calc1!$C$4:$N$12,9,0))</f>
        <v>4</v>
      </c>
      <c r="Z14" s="123">
        <f ca="1">IF(Calc1!$K$13=0,"",VLOOKUP(Calc1!B6,Calc1!$C$4:$N$12,10,0))</f>
        <v>1</v>
      </c>
      <c r="AA14" s="123">
        <f ca="1">IF(Calc1!$K$13=0,"",VLOOKUP(Calc1!B6,Calc1!$C$4:$N$12,11,0))</f>
        <v>2</v>
      </c>
      <c r="AB14" s="143">
        <f ca="1">IF(Calc1!$K$13=0,"",VLOOKUP(Calc1!B6,Calc1!$C$4:$N$12,12,0))</f>
        <v>1</v>
      </c>
      <c r="AC14" s="144">
        <f ca="1">IF(Calc1!$K$13=0,"",VLOOKUP(Calc1!B6,Calc1!$C$4:$AT$12,44,0))</f>
        <v>4</v>
      </c>
      <c r="AD14" s="417" t="str">
        <f>Language!$E$99</f>
        <v xml:space="preserve"> - </v>
      </c>
      <c r="AE14" s="146">
        <f ca="1">IF(Calc1!$K$13=0,"",VLOOKUP(Calc1!B6,Calc1!$C$4:$AS$12,43,0))</f>
        <v>4</v>
      </c>
      <c r="AF14" s="145">
        <f ca="1">IF(Calc1!$K$13=0,"",AC14-AE14)</f>
        <v>0</v>
      </c>
      <c r="AG14" s="144">
        <f ca="1">IF(Calc1!$K$13=0,"",VLOOKUP(Calc1!B6,Calc1!$C$4:$N$12,5,0))</f>
        <v>177</v>
      </c>
      <c r="AH14" s="417" t="str">
        <f>Language!$E$99</f>
        <v xml:space="preserve"> - </v>
      </c>
      <c r="AI14" s="146">
        <f ca="1">IF(Calc1!$K$13=0,"",VLOOKUP(Calc1!B6,Calc1!$C$4:$N$12,6,0))</f>
        <v>176</v>
      </c>
      <c r="AJ14" s="142">
        <f ca="1">IF(Calc1!$K$13=0,"",IF(VLOOKUP(Calc1!B6,Calc1!$C$4:$AV$12,46,0)=Settings!$F$24,"max",VLOOKUP(Calc1!B6,Calc1!$C$4:$AV$12,46,0)))</f>
        <v>1.006</v>
      </c>
      <c r="AK14" s="147">
        <f ca="1">IF(Calc1!$K$13=0,"",VLOOKUP(Calc1!B6,Calc1!$C$4:$AT$12,Settings!$H$9,0))</f>
        <v>4</v>
      </c>
      <c r="AL14" s="148" t="str">
        <f ca="1">IFERROR(VLOOKUP($X14&amp;AL$11,Calc1!$Z$64:$AC$207,Settings!$G$29,0),"")</f>
        <v>1 - 1</v>
      </c>
      <c r="AM14" s="340" t="str">
        <f ca="1">IFERROR(VLOOKUP($X14&amp;AM$11,Calc1!$Z$64:$AC$207,Settings!$G$29,0),"")</f>
        <v>0 - 2</v>
      </c>
      <c r="AN14" s="149"/>
      <c r="AO14" s="123" t="str">
        <f ca="1">IFERROR(VLOOKUP($X14&amp;AO$11,Calc1!$Z$64:$AC$207,Settings!$G$29,0),"")</f>
        <v>1 - 1</v>
      </c>
      <c r="AP14" s="123" t="str">
        <f ca="1">IFERROR(VLOOKUP($X14&amp;AP$11,Calc1!$Z$64:$AC$207,Settings!$G$29,0),"")</f>
        <v>2 - 0</v>
      </c>
      <c r="AQ14" s="150" t="str">
        <f ca="1">IFERROR(VLOOKUP($X14&amp;AQ$11,Calc1!$Z$64:$AC$207,Settings!$G$29,0),"")</f>
        <v/>
      </c>
      <c r="AR14" s="151" t="str">
        <f t="shared" ca="1" si="0"/>
        <v>1. FC Riedwald</v>
      </c>
      <c r="AU14" s="343" t="s">
        <v>184</v>
      </c>
      <c r="AV14" s="308" t="str">
        <f>IF(Planning!$C11="","",Planning!$C11)</f>
        <v>Eintracht Frankfurt</v>
      </c>
      <c r="AW14" s="465"/>
      <c r="AX14" s="774"/>
      <c r="BA14" s="7" t="b">
        <f t="shared" ca="1" si="1"/>
        <v>0</v>
      </c>
      <c r="BB14" s="7" t="b">
        <f t="shared" ref="BB14:BB41" si="7">ABS(I14-K14)&lt;2*$BA$10</f>
        <v>0</v>
      </c>
      <c r="BC14" s="7" t="b">
        <f t="shared" ref="BC14:BC41" si="8">ABS(L14-N14)&lt;2*$BA$10</f>
        <v>0</v>
      </c>
      <c r="BD14" s="7" t="b">
        <f t="shared" ref="BD14:BD41" si="9">ABS(O14-Q14)&lt;2*$BA$10</f>
        <v>0</v>
      </c>
      <c r="BE14" s="7" t="b">
        <f t="shared" si="2"/>
        <v>0</v>
      </c>
      <c r="BF14" s="7" t="b">
        <f t="shared" si="3"/>
        <v>0</v>
      </c>
      <c r="BG14" s="7" t="b">
        <f t="shared" si="4"/>
        <v>0</v>
      </c>
    </row>
    <row r="15" spans="1:59" ht="24" customHeight="1" x14ac:dyDescent="0.2">
      <c r="B15" s="356">
        <f ca="1">Planning!$E9</f>
        <v>4</v>
      </c>
      <c r="C15" s="363">
        <f ca="1">Planning!$F9</f>
        <v>0.375</v>
      </c>
      <c r="D15" s="364">
        <f ca="1">Planning!$G9</f>
        <v>4</v>
      </c>
      <c r="E15" s="364" t="str">
        <f ca="1">Planning!$H9</f>
        <v>B</v>
      </c>
      <c r="F15" s="368" t="str">
        <f ca="1">Planning!$L9</f>
        <v>SSV Wildbach</v>
      </c>
      <c r="G15" s="145" t="s">
        <v>4</v>
      </c>
      <c r="H15" s="371" t="str">
        <f ca="1">Planning!$N9</f>
        <v>Manchester City</v>
      </c>
      <c r="I15" s="359">
        <v>25</v>
      </c>
      <c r="J15" s="623" t="str">
        <f>Language!$E$99</f>
        <v xml:space="preserve"> - </v>
      </c>
      <c r="K15" s="554">
        <v>22</v>
      </c>
      <c r="L15" s="629">
        <v>25</v>
      </c>
      <c r="M15" s="626" t="str">
        <f>Language!$E$99</f>
        <v xml:space="preserve"> - </v>
      </c>
      <c r="N15" s="621">
        <v>20</v>
      </c>
      <c r="O15" s="629"/>
      <c r="P15" s="626" t="str">
        <f>Language!$E$99</f>
        <v xml:space="preserve"> - </v>
      </c>
      <c r="Q15" s="621"/>
      <c r="R15" s="642">
        <f t="shared" ca="1" si="5"/>
        <v>2</v>
      </c>
      <c r="S15" s="636" t="str">
        <f>Language!$E$99</f>
        <v xml:space="preserve"> - </v>
      </c>
      <c r="T15" s="637">
        <f t="shared" ca="1" si="6"/>
        <v>0</v>
      </c>
      <c r="U15" s="603" t="str">
        <f>IF(Planning!$O9="","",Planning!$O9)</f>
        <v/>
      </c>
      <c r="W15" s="307">
        <f ca="1">IF(Calc1!$K$13=0,"",IF(VLOOKUP(Calc1!B7,Calc1!$C$4:$E$12,3,0)=MAX(W$12:W14),VLOOKUP(Calc1!B7,Calc1!$C$4:$E$12,3,0),Calc1!B7))</f>
        <v>4</v>
      </c>
      <c r="X15" s="308" t="str">
        <f ca="1">IF(Calc1!$F$14&lt;3,"",IF(Calc1!$K$13=0,Calc1!$Q67,VLOOKUP(Calc1!B7,Calc1!$C$4:$N$12,4,0)))</f>
        <v>Eintracht Frankfurt</v>
      </c>
      <c r="Y15" s="142">
        <f ca="1">IF(Calc1!$K$13=0,"",VLOOKUP(Calc1!B7,Calc1!$C$4:$N$12,9,0))</f>
        <v>4</v>
      </c>
      <c r="Z15" s="123">
        <f ca="1">IF(Calc1!$K$13=0,"",VLOOKUP(Calc1!B7,Calc1!$C$4:$N$12,10,0))</f>
        <v>0</v>
      </c>
      <c r="AA15" s="123">
        <f ca="1">IF(Calc1!$K$13=0,"",VLOOKUP(Calc1!B7,Calc1!$C$4:$N$12,11,0))</f>
        <v>3</v>
      </c>
      <c r="AB15" s="143">
        <f ca="1">IF(Calc1!$K$13=0,"",VLOOKUP(Calc1!B7,Calc1!$C$4:$N$12,12,0))</f>
        <v>1</v>
      </c>
      <c r="AC15" s="144">
        <f ca="1">IF(Calc1!$K$13=0,"",VLOOKUP(Calc1!B7,Calc1!$C$4:$AT$12,44,0))</f>
        <v>3</v>
      </c>
      <c r="AD15" s="417" t="str">
        <f>Language!$E$99</f>
        <v xml:space="preserve"> - </v>
      </c>
      <c r="AE15" s="146">
        <f ca="1">IF(Calc1!$K$13=0,"",VLOOKUP(Calc1!B7,Calc1!$C$4:$AS$12,43,0))</f>
        <v>5</v>
      </c>
      <c r="AF15" s="145">
        <f ca="1">IF(Calc1!$K$13=0,"",AC15-AE15)</f>
        <v>-2</v>
      </c>
      <c r="AG15" s="144">
        <f ca="1">IF(Calc1!$K$13=0,"",VLOOKUP(Calc1!B7,Calc1!$C$4:$N$12,5,0))</f>
        <v>165</v>
      </c>
      <c r="AH15" s="417" t="str">
        <f>Language!$E$99</f>
        <v xml:space="preserve"> - </v>
      </c>
      <c r="AI15" s="146">
        <f ca="1">IF(Calc1!$K$13=0,"",VLOOKUP(Calc1!B7,Calc1!$C$4:$N$12,6,0))</f>
        <v>170</v>
      </c>
      <c r="AJ15" s="142">
        <f ca="1">IF(Calc1!$K$13=0,"",IF(VLOOKUP(Calc1!B7,Calc1!$C$4:$AV$12,46,0)=Settings!$F$24,"max",VLOOKUP(Calc1!B7,Calc1!$C$4:$AV$12,46,0)))</f>
        <v>0.97099999999999997</v>
      </c>
      <c r="AK15" s="147">
        <f ca="1">IF(Calc1!$K$13=0,"",VLOOKUP(Calc1!B7,Calc1!$C$4:$AT$12,Settings!$H$9,0))</f>
        <v>3</v>
      </c>
      <c r="AL15" s="148" t="str">
        <f ca="1">IFERROR(VLOOKUP($X15&amp;AL$11,Calc1!$Z$64:$AC$207,Settings!$G$29,0),"")</f>
        <v>0 - 2</v>
      </c>
      <c r="AM15" s="340" t="str">
        <f ca="1">IFERROR(VLOOKUP($X15&amp;AM$11,Calc1!$Z$64:$AC$207,Settings!$G$29,0),"")</f>
        <v>1 - 1</v>
      </c>
      <c r="AN15" s="123" t="str">
        <f ca="1">IFERROR(VLOOKUP($X15&amp;AN$11,Calc1!$Z$64:$AC$207,Settings!$G$29,0),"")</f>
        <v>1 - 1</v>
      </c>
      <c r="AO15" s="149"/>
      <c r="AP15" s="123" t="str">
        <f ca="1">IFERROR(VLOOKUP($X15&amp;AP$11,Calc1!$Z$64:$AC$207,Settings!$G$29,0),"")</f>
        <v>1 - 1</v>
      </c>
      <c r="AQ15" s="150" t="str">
        <f ca="1">IFERROR(VLOOKUP($X15&amp;AQ$11,Calc1!$Z$64:$AC$207,Settings!$G$29,0),"")</f>
        <v/>
      </c>
      <c r="AR15" s="151" t="str">
        <f t="shared" ca="1" si="0"/>
        <v>Eintracht Frankfurt</v>
      </c>
      <c r="AU15" s="343" t="s">
        <v>190</v>
      </c>
      <c r="AV15" s="308" t="str">
        <f>IF(Planning!$C13="","",Planning!$C13)</f>
        <v>Maibach 1822 eV</v>
      </c>
      <c r="AW15" s="465"/>
      <c r="AX15" s="774"/>
      <c r="BA15" s="7" t="b">
        <f t="shared" ca="1" si="1"/>
        <v>0</v>
      </c>
      <c r="BB15" s="7" t="b">
        <f t="shared" si="7"/>
        <v>0</v>
      </c>
      <c r="BC15" s="7" t="b">
        <f t="shared" si="8"/>
        <v>0</v>
      </c>
      <c r="BD15" s="7" t="b">
        <f t="shared" si="9"/>
        <v>0</v>
      </c>
      <c r="BE15" s="7" t="b">
        <f t="shared" si="2"/>
        <v>0</v>
      </c>
      <c r="BF15" s="7" t="b">
        <f t="shared" si="3"/>
        <v>0</v>
      </c>
      <c r="BG15" s="7" t="b">
        <f t="shared" si="4"/>
        <v>0</v>
      </c>
    </row>
    <row r="16" spans="1:59" ht="24" customHeight="1" x14ac:dyDescent="0.2">
      <c r="B16" s="356">
        <f ca="1">Planning!$E10</f>
        <v>5</v>
      </c>
      <c r="C16" s="363">
        <f ca="1">Planning!$F10</f>
        <v>0.39930555555555558</v>
      </c>
      <c r="D16" s="364">
        <f ca="1">Planning!$G10</f>
        <v>1</v>
      </c>
      <c r="E16" s="364" t="str">
        <f ca="1">Planning!$H10</f>
        <v>A</v>
      </c>
      <c r="F16" s="368" t="str">
        <f ca="1">Planning!$L10</f>
        <v>VFB Essenheim</v>
      </c>
      <c r="G16" s="145" t="s">
        <v>4</v>
      </c>
      <c r="H16" s="371" t="str">
        <f ca="1">Planning!$N10</f>
        <v>1. FC Riedwald</v>
      </c>
      <c r="I16" s="359">
        <v>25</v>
      </c>
      <c r="J16" s="623" t="str">
        <f>Language!$E$99</f>
        <v xml:space="preserve"> - </v>
      </c>
      <c r="K16" s="554">
        <v>23</v>
      </c>
      <c r="L16" s="629">
        <v>25</v>
      </c>
      <c r="M16" s="626" t="str">
        <f>Language!$E$99</f>
        <v xml:space="preserve"> - </v>
      </c>
      <c r="N16" s="621">
        <v>21</v>
      </c>
      <c r="O16" s="629"/>
      <c r="P16" s="626" t="str">
        <f>Language!$E$99</f>
        <v xml:space="preserve"> - </v>
      </c>
      <c r="Q16" s="621"/>
      <c r="R16" s="642">
        <f t="shared" ca="1" si="5"/>
        <v>2</v>
      </c>
      <c r="S16" s="636" t="str">
        <f>Language!$E$99</f>
        <v xml:space="preserve"> - </v>
      </c>
      <c r="T16" s="637">
        <f t="shared" ca="1" si="6"/>
        <v>0</v>
      </c>
      <c r="U16" s="603" t="str">
        <f>IF(Planning!$O10="","",Planning!$O10)</f>
        <v/>
      </c>
      <c r="W16" s="307">
        <f ca="1">IF(Calc1!$K$13=0,"",IF(VLOOKUP(Calc1!B8,Calc1!$C$4:$E$12,3,0)=MAX(W$12:W15),VLOOKUP(Calc1!B8,Calc1!$C$4:$E$12,3,0),Calc1!B8))</f>
        <v>5</v>
      </c>
      <c r="X16" s="308" t="str">
        <f ca="1">IF(Calc1!$F$14&lt;3,"",IF(Calc1!$K$13=0,Calc1!$Q68,VLOOKUP(Calc1!B8,Calc1!$C$4:$N$12,4,0)))</f>
        <v>FC Barcelona</v>
      </c>
      <c r="Y16" s="142">
        <f ca="1">IF(Calc1!$K$13=0,"",VLOOKUP(Calc1!B8,Calc1!$C$4:$N$12,9,0))</f>
        <v>4</v>
      </c>
      <c r="Z16" s="123">
        <f ca="1">IF(Calc1!$K$13=0,"",VLOOKUP(Calc1!B8,Calc1!$C$4:$N$12,10,0))</f>
        <v>0</v>
      </c>
      <c r="AA16" s="123">
        <f ca="1">IF(Calc1!$K$13=0,"",VLOOKUP(Calc1!B8,Calc1!$C$4:$N$12,11,0))</f>
        <v>1</v>
      </c>
      <c r="AB16" s="143">
        <f ca="1">IF(Calc1!$K$13=0,"",VLOOKUP(Calc1!B8,Calc1!$C$4:$N$12,12,0))</f>
        <v>3</v>
      </c>
      <c r="AC16" s="144">
        <f ca="1">IF(Calc1!$K$13=0,"",VLOOKUP(Calc1!B8,Calc1!$C$4:$AT$12,44,0))</f>
        <v>1</v>
      </c>
      <c r="AD16" s="417" t="str">
        <f>Language!$E$99</f>
        <v xml:space="preserve"> - </v>
      </c>
      <c r="AE16" s="146">
        <f ca="1">IF(Calc1!$K$13=0,"",VLOOKUP(Calc1!B8,Calc1!$C$4:$AS$12,43,0))</f>
        <v>7</v>
      </c>
      <c r="AF16" s="145">
        <f ca="1">IF(Calc1!$K$13=0,"",AC16-AE16)</f>
        <v>-6</v>
      </c>
      <c r="AG16" s="144">
        <f ca="1">IF(Calc1!$K$13=0,"",VLOOKUP(Calc1!B8,Calc1!$C$4:$N$12,5,0))</f>
        <v>139</v>
      </c>
      <c r="AH16" s="417" t="str">
        <f>Language!$E$99</f>
        <v xml:space="preserve"> - </v>
      </c>
      <c r="AI16" s="146">
        <f ca="1">IF(Calc1!$K$13=0,"",VLOOKUP(Calc1!B8,Calc1!$C$4:$N$12,6,0))</f>
        <v>198</v>
      </c>
      <c r="AJ16" s="142">
        <f ca="1">IF(Calc1!$K$13=0,"",IF(VLOOKUP(Calc1!B8,Calc1!$C$4:$AV$12,46,0)=Settings!$F$24,"max",VLOOKUP(Calc1!B8,Calc1!$C$4:$AV$12,46,0)))</f>
        <v>0.70199999999999996</v>
      </c>
      <c r="AK16" s="147">
        <f ca="1">IF(Calc1!$K$13=0,"",VLOOKUP(Calc1!B8,Calc1!$C$4:$AT$12,Settings!$H$9,0))</f>
        <v>1</v>
      </c>
      <c r="AL16" s="148" t="str">
        <f ca="1">IFERROR(VLOOKUP($X16&amp;AL$11,Calc1!$Z$64:$AC$207,Settings!$G$29,0),"")</f>
        <v>0 - 2</v>
      </c>
      <c r="AM16" s="340" t="str">
        <f ca="1">IFERROR(VLOOKUP($X16&amp;AM$11,Calc1!$Z$64:$AC$207,Settings!$G$29,0),"")</f>
        <v>0 - 2</v>
      </c>
      <c r="AN16" s="123" t="str">
        <f ca="1">IFERROR(VLOOKUP($X16&amp;AN$11,Calc1!$Z$64:$AC$207,Settings!$G$29,0),"")</f>
        <v>0 - 2</v>
      </c>
      <c r="AO16" s="123" t="str">
        <f ca="1">IFERROR(VLOOKUP($X16&amp;AO$11,Calc1!$Z$64:$AC$207,Settings!$G$29,0),"")</f>
        <v>1 - 1</v>
      </c>
      <c r="AP16" s="149"/>
      <c r="AQ16" s="150" t="str">
        <f ca="1">IFERROR(VLOOKUP($X16&amp;AQ$11,Calc1!$Z$64:$AC$207,Settings!$G$29,0),"")</f>
        <v/>
      </c>
      <c r="AR16" s="151" t="str">
        <f t="shared" ca="1" si="0"/>
        <v>FC Barcelona</v>
      </c>
      <c r="AU16" s="343" t="s">
        <v>192</v>
      </c>
      <c r="AV16" s="308" t="str">
        <f>IF(Planning!$C15="","",Planning!$C15)</f>
        <v>VFB Essenheim</v>
      </c>
      <c r="AW16" s="465"/>
      <c r="AX16" s="774"/>
      <c r="BA16" s="7" t="b">
        <f t="shared" ca="1" si="1"/>
        <v>0</v>
      </c>
      <c r="BB16" s="7" t="b">
        <f t="shared" si="7"/>
        <v>0</v>
      </c>
      <c r="BC16" s="7" t="b">
        <f t="shared" si="8"/>
        <v>0</v>
      </c>
      <c r="BD16" s="7" t="b">
        <f t="shared" si="9"/>
        <v>0</v>
      </c>
      <c r="BE16" s="7" t="b">
        <f t="shared" si="2"/>
        <v>0</v>
      </c>
      <c r="BF16" s="7" t="b">
        <f t="shared" si="3"/>
        <v>0</v>
      </c>
      <c r="BG16" s="7" t="b">
        <f t="shared" si="4"/>
        <v>0</v>
      </c>
    </row>
    <row r="17" spans="2:59" ht="24" customHeight="1" thickBot="1" x14ac:dyDescent="0.25">
      <c r="B17" s="356">
        <f ca="1">Planning!$E11</f>
        <v>6</v>
      </c>
      <c r="C17" s="363">
        <f ca="1">Planning!$F11</f>
        <v>0.39930555555555558</v>
      </c>
      <c r="D17" s="364">
        <f ca="1">Planning!$G11</f>
        <v>2</v>
      </c>
      <c r="E17" s="364" t="str">
        <f ca="1">Planning!$H11</f>
        <v>B</v>
      </c>
      <c r="F17" s="368" t="str">
        <f ca="1">Planning!$L11</f>
        <v>FC Grönlingen</v>
      </c>
      <c r="G17" s="145" t="s">
        <v>4</v>
      </c>
      <c r="H17" s="371" t="str">
        <f ca="1">Planning!$N11</f>
        <v>Mainz 05</v>
      </c>
      <c r="I17" s="359">
        <v>25</v>
      </c>
      <c r="J17" s="623" t="str">
        <f>Language!$E$99</f>
        <v xml:space="preserve"> - </v>
      </c>
      <c r="K17" s="554">
        <v>17</v>
      </c>
      <c r="L17" s="629">
        <v>25</v>
      </c>
      <c r="M17" s="626" t="str">
        <f>Language!$E$99</f>
        <v xml:space="preserve"> - </v>
      </c>
      <c r="N17" s="621">
        <v>22</v>
      </c>
      <c r="O17" s="629"/>
      <c r="P17" s="626" t="str">
        <f>Language!$E$99</f>
        <v xml:space="preserve"> - </v>
      </c>
      <c r="Q17" s="621"/>
      <c r="R17" s="642">
        <f t="shared" ca="1" si="5"/>
        <v>2</v>
      </c>
      <c r="S17" s="636" t="str">
        <f>Language!$E$99</f>
        <v xml:space="preserve"> - </v>
      </c>
      <c r="T17" s="637">
        <f t="shared" ca="1" si="6"/>
        <v>0</v>
      </c>
      <c r="U17" s="603" t="str">
        <f>IF(Planning!$O11="","",Planning!$O11)</f>
        <v/>
      </c>
      <c r="W17" s="309">
        <f ca="1">IF(Calc1!$K$13=0,"",IF(VLOOKUP(Calc1!B9,Calc1!$C$4:$E$12,3,0)=MAX(W$12:W16),VLOOKUP(Calc1!B9,Calc1!$C$4:$E$12,3,0),Calc1!B9))</f>
        <v>6</v>
      </c>
      <c r="X17" s="310" t="str">
        <f ca="1">IF(Calc1!$F$14&lt;3,"",IF(Calc1!$K$13=0,Calc1!$Q69,VLOOKUP(Calc1!B9,Calc1!$C$4:$N$12,4,0)))</f>
        <v/>
      </c>
      <c r="Y17" s="152">
        <f ca="1">IF(Calc1!$K$13=0,"",VLOOKUP(Calc1!B9,Calc1!$C$4:$N$12,9,0))</f>
        <v>0</v>
      </c>
      <c r="Z17" s="153">
        <f ca="1">IF(Calc1!$K$13=0,"",VLOOKUP(Calc1!B9,Calc1!$C$4:$N$12,10,0))</f>
        <v>0</v>
      </c>
      <c r="AA17" s="153">
        <f ca="1">IF(Calc1!$K$13=0,"",VLOOKUP(Calc1!B9,Calc1!$C$4:$N$12,11,0))</f>
        <v>0</v>
      </c>
      <c r="AB17" s="154">
        <f ca="1">IF(Calc1!$K$13=0,"",VLOOKUP(Calc1!B9,Calc1!$C$4:$N$12,12,0))</f>
        <v>0</v>
      </c>
      <c r="AC17" s="155">
        <f ca="1">IF(Calc1!$K$13=0,"",VLOOKUP(Calc1!B9,Calc1!$C$4:$AT$12,44,0))</f>
        <v>0</v>
      </c>
      <c r="AD17" s="421" t="str">
        <f>Language!$E$99</f>
        <v xml:space="preserve"> - </v>
      </c>
      <c r="AE17" s="157">
        <f ca="1">IF(Calc1!$K$13=0,"",VLOOKUP(Calc1!B9,Calc1!$C$4:$AS$12,43,0))</f>
        <v>0</v>
      </c>
      <c r="AF17" s="156">
        <f ca="1">IF(Calc1!$K$13=0,"",AC17-AE17)</f>
        <v>0</v>
      </c>
      <c r="AG17" s="155">
        <f ca="1">IF(Calc1!$K$13=0,"",VLOOKUP(Calc1!B9,Calc1!$C$4:$N$12,5,0))</f>
        <v>0</v>
      </c>
      <c r="AH17" s="421" t="str">
        <f>Language!$E$99</f>
        <v xml:space="preserve"> - </v>
      </c>
      <c r="AI17" s="157">
        <f ca="1">IF(Calc1!$K$13=0,"",VLOOKUP(Calc1!B9,Calc1!$C$4:$N$12,6,0))</f>
        <v>0</v>
      </c>
      <c r="AJ17" s="152">
        <f ca="1">IF(Calc1!$K$13=0,"",IF(VLOOKUP(Calc1!B9,Calc1!$C$4:$AV$12,46,0)=Settings!$F$24,"max",VLOOKUP(Calc1!B9,Calc1!$C$4:$AV$12,46,0)))</f>
        <v>0</v>
      </c>
      <c r="AK17" s="158">
        <f ca="1">IF(Calc1!$K$13=0,"",VLOOKUP(Calc1!B9,Calc1!$C$4:$AT$12,Settings!$H$9,0))</f>
        <v>0</v>
      </c>
      <c r="AL17" s="159" t="str">
        <f ca="1">IFERROR(VLOOKUP($X17&amp;AL$11,Calc1!$Z$64:$AC$207,Settings!$G$29,0),"")</f>
        <v/>
      </c>
      <c r="AM17" s="153" t="str">
        <f ca="1">IFERROR(VLOOKUP($X17&amp;AM$11,Calc1!$Z$64:$AC$207,Settings!$G$29,0),"")</f>
        <v/>
      </c>
      <c r="AN17" s="153" t="str">
        <f ca="1">IFERROR(VLOOKUP($X17&amp;AN$11,Calc1!$Z$64:$AC$207,Settings!$G$29,0),"")</f>
        <v/>
      </c>
      <c r="AO17" s="153" t="str">
        <f ca="1">IFERROR(VLOOKUP($X17&amp;AO$11,Calc1!$Z$64:$AC$207,Settings!$G$29,0),"")</f>
        <v/>
      </c>
      <c r="AP17" s="153" t="str">
        <f ca="1">IFERROR(VLOOKUP($X17&amp;AP$11,Calc1!$Z$64:$AC$207,Settings!$G$29,0),"")</f>
        <v/>
      </c>
      <c r="AQ17" s="160"/>
      <c r="AR17" s="229" t="str">
        <f t="shared" ca="1" si="0"/>
        <v/>
      </c>
      <c r="AU17" s="344" t="s">
        <v>194</v>
      </c>
      <c r="AV17" s="310" t="str">
        <f>IF(Planning!$C17="","",Planning!$C17)</f>
        <v/>
      </c>
      <c r="AW17" s="465"/>
      <c r="AX17" s="775"/>
      <c r="BA17" s="7" t="b">
        <f t="shared" ca="1" si="1"/>
        <v>0</v>
      </c>
      <c r="BB17" s="7" t="b">
        <f t="shared" si="7"/>
        <v>0</v>
      </c>
      <c r="BC17" s="7" t="b">
        <f t="shared" si="8"/>
        <v>0</v>
      </c>
      <c r="BD17" s="7" t="b">
        <f t="shared" si="9"/>
        <v>0</v>
      </c>
      <c r="BE17" s="7" t="b">
        <f t="shared" si="2"/>
        <v>0</v>
      </c>
      <c r="BF17" s="7" t="b">
        <f t="shared" si="3"/>
        <v>0</v>
      </c>
      <c r="BG17" s="7" t="b">
        <f t="shared" si="4"/>
        <v>0</v>
      </c>
    </row>
    <row r="18" spans="2:59" ht="24" customHeight="1" thickTop="1" x14ac:dyDescent="0.2">
      <c r="B18" s="356">
        <f ca="1">Planning!$E12</f>
        <v>7</v>
      </c>
      <c r="C18" s="363">
        <f ca="1">Planning!$F12</f>
        <v>0.39930555555555558</v>
      </c>
      <c r="D18" s="364">
        <f ca="1">Planning!$G12</f>
        <v>3</v>
      </c>
      <c r="E18" s="364" t="str">
        <f ca="1">Planning!$H12</f>
        <v>A</v>
      </c>
      <c r="F18" s="368" t="str">
        <f ca="1">Planning!$L12</f>
        <v>FC Barcelona</v>
      </c>
      <c r="G18" s="145" t="s">
        <v>4</v>
      </c>
      <c r="H18" s="371" t="str">
        <f ca="1">Planning!$N12</f>
        <v>Eintracht Frankfurt</v>
      </c>
      <c r="I18" s="359">
        <v>23</v>
      </c>
      <c r="J18" s="623" t="str">
        <f>Language!$E$99</f>
        <v xml:space="preserve"> - </v>
      </c>
      <c r="K18" s="554">
        <v>25</v>
      </c>
      <c r="L18" s="629">
        <v>25</v>
      </c>
      <c r="M18" s="626" t="str">
        <f>Language!$E$99</f>
        <v xml:space="preserve"> - </v>
      </c>
      <c r="N18" s="621">
        <v>23</v>
      </c>
      <c r="O18" s="629"/>
      <c r="P18" s="626" t="str">
        <f>Language!$E$99</f>
        <v xml:space="preserve"> - </v>
      </c>
      <c r="Q18" s="621"/>
      <c r="R18" s="642">
        <f t="shared" ca="1" si="5"/>
        <v>1</v>
      </c>
      <c r="S18" s="636" t="str">
        <f>Language!$E$99</f>
        <v xml:space="preserve"> - </v>
      </c>
      <c r="T18" s="637">
        <f t="shared" ca="1" si="6"/>
        <v>1</v>
      </c>
      <c r="U18" s="603" t="str">
        <f>IF(Planning!$O12="","",Planning!$O12)</f>
        <v/>
      </c>
      <c r="W18" s="228"/>
      <c r="X18" s="195"/>
      <c r="Y18" s="196"/>
      <c r="Z18" s="196"/>
      <c r="AA18" s="196"/>
      <c r="AB18" s="196"/>
      <c r="AC18" s="196"/>
      <c r="AD18" s="196"/>
      <c r="AE18" s="196"/>
      <c r="AF18" s="196"/>
      <c r="AG18" s="197"/>
      <c r="AH18" s="196"/>
      <c r="AI18" s="195"/>
      <c r="AJ18" s="196"/>
      <c r="AK18" s="198"/>
      <c r="AL18" s="196"/>
      <c r="AM18" s="196"/>
      <c r="AN18" s="196"/>
      <c r="AO18" s="196"/>
      <c r="AP18" s="196"/>
      <c r="AQ18" s="196"/>
      <c r="AR18" s="195"/>
      <c r="AU18" s="228"/>
      <c r="AV18" s="195"/>
      <c r="AW18" s="466"/>
      <c r="BA18" s="7" t="b">
        <f t="shared" ca="1" si="1"/>
        <v>0</v>
      </c>
      <c r="BB18" s="7" t="b">
        <f t="shared" si="7"/>
        <v>0</v>
      </c>
      <c r="BC18" s="7" t="b">
        <f t="shared" si="8"/>
        <v>0</v>
      </c>
      <c r="BD18" s="7" t="b">
        <f t="shared" si="9"/>
        <v>0</v>
      </c>
      <c r="BE18" s="7" t="b">
        <f t="shared" si="2"/>
        <v>0</v>
      </c>
      <c r="BF18" s="7" t="b">
        <f t="shared" si="3"/>
        <v>0</v>
      </c>
      <c r="BG18" s="7" t="b">
        <f t="shared" si="4"/>
        <v>0</v>
      </c>
    </row>
    <row r="19" spans="2:59" ht="24" customHeight="1" thickBot="1" x14ac:dyDescent="0.25">
      <c r="B19" s="356">
        <f ca="1">Planning!$E13</f>
        <v>8</v>
      </c>
      <c r="C19" s="363">
        <f ca="1">Planning!$F13</f>
        <v>0.39930555555555558</v>
      </c>
      <c r="D19" s="364">
        <f ca="1">Planning!$G13</f>
        <v>4</v>
      </c>
      <c r="E19" s="364" t="str">
        <f ca="1">Planning!$H13</f>
        <v>B</v>
      </c>
      <c r="F19" s="368" t="str">
        <f ca="1">Planning!$L13</f>
        <v>Inter Mailand</v>
      </c>
      <c r="G19" s="145" t="s">
        <v>4</v>
      </c>
      <c r="H19" s="371" t="str">
        <f ca="1">Planning!$N13</f>
        <v>SSV Wildbach</v>
      </c>
      <c r="I19" s="359">
        <v>19</v>
      </c>
      <c r="J19" s="623" t="str">
        <f>Language!$E$99</f>
        <v xml:space="preserve"> - </v>
      </c>
      <c r="K19" s="554">
        <v>25</v>
      </c>
      <c r="L19" s="629">
        <v>25</v>
      </c>
      <c r="M19" s="626" t="str">
        <f>Language!$E$99</f>
        <v xml:space="preserve"> - </v>
      </c>
      <c r="N19" s="621">
        <v>12</v>
      </c>
      <c r="O19" s="629"/>
      <c r="P19" s="626" t="str">
        <f>Language!$E$99</f>
        <v xml:space="preserve"> - </v>
      </c>
      <c r="Q19" s="621"/>
      <c r="R19" s="642">
        <f t="shared" ca="1" si="5"/>
        <v>1</v>
      </c>
      <c r="S19" s="636" t="str">
        <f>Language!$E$99</f>
        <v xml:space="preserve"> - </v>
      </c>
      <c r="T19" s="637">
        <f t="shared" ca="1" si="6"/>
        <v>1</v>
      </c>
      <c r="U19" s="603" t="str">
        <f>IF(Planning!$O13="","",Planning!$O13)</f>
        <v/>
      </c>
      <c r="AL19" s="220"/>
      <c r="AM19" s="220"/>
      <c r="AN19" s="220"/>
      <c r="AO19" s="220"/>
      <c r="AP19" s="220"/>
      <c r="AQ19" s="220"/>
      <c r="AW19" s="466"/>
      <c r="BA19" s="7" t="b">
        <f t="shared" ca="1" si="1"/>
        <v>0</v>
      </c>
      <c r="BB19" s="7" t="b">
        <f t="shared" si="7"/>
        <v>0</v>
      </c>
      <c r="BC19" s="7" t="b">
        <f t="shared" si="8"/>
        <v>0</v>
      </c>
      <c r="BD19" s="7" t="b">
        <f t="shared" si="9"/>
        <v>0</v>
      </c>
      <c r="BE19" s="7" t="b">
        <f t="shared" si="2"/>
        <v>0</v>
      </c>
      <c r="BF19" s="7" t="b">
        <f t="shared" si="3"/>
        <v>0</v>
      </c>
      <c r="BG19" s="7" t="b">
        <f t="shared" si="4"/>
        <v>0</v>
      </c>
    </row>
    <row r="20" spans="2:59" ht="24" customHeight="1" thickBot="1" x14ac:dyDescent="0.45">
      <c r="B20" s="356">
        <f ca="1">Planning!$E14</f>
        <v>9</v>
      </c>
      <c r="C20" s="363">
        <f ca="1">Planning!$F14</f>
        <v>0.4236111111111111</v>
      </c>
      <c r="D20" s="364">
        <f ca="1">Planning!$G14</f>
        <v>1</v>
      </c>
      <c r="E20" s="364" t="str">
        <f ca="1">Planning!$H14</f>
        <v>A</v>
      </c>
      <c r="F20" s="368" t="str">
        <f ca="1">Planning!$L14</f>
        <v>1. FC Riedwald</v>
      </c>
      <c r="G20" s="145" t="s">
        <v>4</v>
      </c>
      <c r="H20" s="371" t="str">
        <f ca="1">Planning!$N14</f>
        <v>Maibach 1822 eV</v>
      </c>
      <c r="I20" s="359">
        <v>16</v>
      </c>
      <c r="J20" s="623" t="str">
        <f>Language!$E$99</f>
        <v xml:space="preserve"> - </v>
      </c>
      <c r="K20" s="554">
        <v>25</v>
      </c>
      <c r="L20" s="629">
        <v>25</v>
      </c>
      <c r="M20" s="626" t="str">
        <f>Language!$E$99</f>
        <v xml:space="preserve"> - </v>
      </c>
      <c r="N20" s="621">
        <v>18</v>
      </c>
      <c r="O20" s="629"/>
      <c r="P20" s="626" t="str">
        <f>Language!$E$99</f>
        <v xml:space="preserve"> - </v>
      </c>
      <c r="Q20" s="621"/>
      <c r="R20" s="642">
        <f t="shared" ca="1" si="5"/>
        <v>1</v>
      </c>
      <c r="S20" s="636" t="str">
        <f>Language!$E$99</f>
        <v xml:space="preserve"> - </v>
      </c>
      <c r="T20" s="637">
        <f t="shared" ca="1" si="6"/>
        <v>1</v>
      </c>
      <c r="U20" s="603" t="str">
        <f>IF(Planning!$O14="","",Planning!$O14)</f>
        <v/>
      </c>
      <c r="W20" s="890" t="str">
        <f>Language!$E$16&amp;" B"</f>
        <v>Group B</v>
      </c>
      <c r="X20" s="890"/>
      <c r="Y20" s="124"/>
      <c r="Z20" s="124"/>
      <c r="AA20" s="124"/>
      <c r="AB20" s="124"/>
      <c r="AC20" s="124"/>
      <c r="AD20" s="124"/>
      <c r="AE20" s="124"/>
      <c r="AF20" s="124"/>
      <c r="AG20" s="124"/>
      <c r="AH20" s="124"/>
      <c r="AI20" s="124"/>
      <c r="AJ20" s="124"/>
      <c r="AK20" s="124"/>
      <c r="AL20" s="217" t="str">
        <f ca="1">IF(LEN(X22)&gt;Settings!$C$33,LEFT(X22,Settings!$C$33)&amp;".",X22)</f>
        <v>Inter M.</v>
      </c>
      <c r="AM20" s="218" t="str">
        <f ca="1">IF(LEN(X23)&gt;Settings!$C$33,LEFT(X23,Settings!$C$33)&amp;".",X23)</f>
        <v>Manches.</v>
      </c>
      <c r="AN20" s="218" t="str">
        <f ca="1">IF(LEN(X24)&gt;Settings!$C$33,LEFT(X24,Settings!$C$33)&amp;".",X24)</f>
        <v>SSV Wil.</v>
      </c>
      <c r="AO20" s="218" t="str">
        <f ca="1">IF(LEN(X25)&gt;Settings!$C$33,LEFT(X25,Settings!$C$33)&amp;".",X25)</f>
        <v>FC Grön.</v>
      </c>
      <c r="AP20" s="218" t="str">
        <f ca="1">IF(LEN(X26)&gt;Settings!$C$33,LEFT(X26,Settings!$C$33)&amp;".",X26)</f>
        <v>Mainz 0.</v>
      </c>
      <c r="AQ20" s="219" t="str">
        <f ca="1">IF(LEN(X27)&gt;Settings!$C$33,LEFT(X27,Settings!$C$33)&amp;".",X27)</f>
        <v/>
      </c>
      <c r="AR20" s="125"/>
      <c r="AU20" s="890" t="str">
        <f>Language!$E$16&amp;" B"</f>
        <v>Group B</v>
      </c>
      <c r="AV20" s="890"/>
      <c r="AW20" s="466"/>
      <c r="BA20" s="7" t="b">
        <f t="shared" ca="1" si="1"/>
        <v>0</v>
      </c>
      <c r="BB20" s="7" t="b">
        <f t="shared" si="7"/>
        <v>0</v>
      </c>
      <c r="BC20" s="7" t="b">
        <f t="shared" si="8"/>
        <v>0</v>
      </c>
      <c r="BD20" s="7" t="b">
        <f t="shared" si="9"/>
        <v>0</v>
      </c>
      <c r="BE20" s="7" t="b">
        <f t="shared" si="2"/>
        <v>0</v>
      </c>
      <c r="BF20" s="7" t="b">
        <f t="shared" si="3"/>
        <v>0</v>
      </c>
      <c r="BG20" s="7" t="b">
        <f t="shared" si="4"/>
        <v>0</v>
      </c>
    </row>
    <row r="21" spans="2:59" ht="24" customHeight="1" thickTop="1" thickBot="1" x14ac:dyDescent="0.25">
      <c r="B21" s="356">
        <f ca="1">Planning!$E15</f>
        <v>10</v>
      </c>
      <c r="C21" s="363">
        <f ca="1">Planning!$F15</f>
        <v>0.4236111111111111</v>
      </c>
      <c r="D21" s="364">
        <f ca="1">Planning!$G15</f>
        <v>2</v>
      </c>
      <c r="E21" s="364" t="str">
        <f ca="1">Planning!$H15</f>
        <v>B</v>
      </c>
      <c r="F21" s="368" t="str">
        <f ca="1">Planning!$L15</f>
        <v>Mainz 05</v>
      </c>
      <c r="G21" s="145" t="s">
        <v>4</v>
      </c>
      <c r="H21" s="371" t="str">
        <f ca="1">Planning!$N15</f>
        <v>Manchester City</v>
      </c>
      <c r="I21" s="359">
        <v>14</v>
      </c>
      <c r="J21" s="623" t="str">
        <f>Language!$E$99</f>
        <v xml:space="preserve"> - </v>
      </c>
      <c r="K21" s="554">
        <v>25</v>
      </c>
      <c r="L21" s="629">
        <v>25</v>
      </c>
      <c r="M21" s="626" t="str">
        <f>Language!$E$99</f>
        <v xml:space="preserve"> - </v>
      </c>
      <c r="N21" s="621">
        <v>19</v>
      </c>
      <c r="O21" s="629"/>
      <c r="P21" s="626" t="str">
        <f>Language!$E$99</f>
        <v xml:space="preserve"> - </v>
      </c>
      <c r="Q21" s="621"/>
      <c r="R21" s="642">
        <f t="shared" ca="1" si="5"/>
        <v>1</v>
      </c>
      <c r="S21" s="636" t="str">
        <f>Language!$E$99</f>
        <v xml:space="preserve"> - </v>
      </c>
      <c r="T21" s="637">
        <f t="shared" ca="1" si="6"/>
        <v>1</v>
      </c>
      <c r="U21" s="603" t="str">
        <f>IF(Planning!$O15="","",Planning!$O15)</f>
        <v/>
      </c>
      <c r="W21" s="891"/>
      <c r="X21" s="892"/>
      <c r="Y21" s="126" t="str">
        <f>Language!$E$21</f>
        <v>Pld</v>
      </c>
      <c r="Z21" s="127" t="str">
        <f>Language!$E$22</f>
        <v>W</v>
      </c>
      <c r="AA21" s="127" t="str">
        <f>Language!$E$23</f>
        <v>D</v>
      </c>
      <c r="AB21" s="185" t="str">
        <f>Language!$E$24</f>
        <v>L</v>
      </c>
      <c r="AC21" s="896" t="str">
        <f>Language!$E$25</f>
        <v>sets</v>
      </c>
      <c r="AD21" s="897"/>
      <c r="AE21" s="898"/>
      <c r="AF21" s="620" t="str">
        <f>Language!$E$26</f>
        <v>GD</v>
      </c>
      <c r="AG21" s="893" t="str">
        <f>Language!$E$60</f>
        <v>balls</v>
      </c>
      <c r="AH21" s="894"/>
      <c r="AI21" s="895"/>
      <c r="AJ21" s="127" t="str">
        <f>IF(Settings!$G$24,Language!$E$26,Language!$E$67)</f>
        <v>Quot.</v>
      </c>
      <c r="AK21" s="129" t="str">
        <f>IF(Settings!$G$9,Language!$E$27,Language!$E$80)</f>
        <v>Setpts.</v>
      </c>
      <c r="AL21" s="130" t="str">
        <f ca="1">X22</f>
        <v>Inter Mailand</v>
      </c>
      <c r="AM21" s="131" t="str">
        <f ca="1">X23</f>
        <v>Manchester City</v>
      </c>
      <c r="AN21" s="131" t="str">
        <f ca="1">X24</f>
        <v>SSV Wildbach</v>
      </c>
      <c r="AO21" s="131" t="str">
        <f ca="1">X25</f>
        <v>FC Grönlingen</v>
      </c>
      <c r="AP21" s="131" t="str">
        <f ca="1">X26</f>
        <v>Mainz 05</v>
      </c>
      <c r="AQ21" s="449" t="str">
        <f ca="1">X27</f>
        <v/>
      </c>
      <c r="AR21" s="125"/>
      <c r="AU21" s="346" t="str">
        <f>Language!$E$9</f>
        <v>No.</v>
      </c>
      <c r="AV21" s="467" t="str">
        <f>Language!$E$10</f>
        <v>Participant or team</v>
      </c>
      <c r="AW21" s="464"/>
      <c r="BA21" s="7" t="b">
        <f t="shared" ca="1" si="1"/>
        <v>0</v>
      </c>
      <c r="BB21" s="7" t="b">
        <f t="shared" si="7"/>
        <v>0</v>
      </c>
      <c r="BC21" s="7" t="b">
        <f t="shared" si="8"/>
        <v>0</v>
      </c>
      <c r="BD21" s="7" t="b">
        <f t="shared" si="9"/>
        <v>0</v>
      </c>
      <c r="BE21" s="7" t="b">
        <f t="shared" si="2"/>
        <v>0</v>
      </c>
      <c r="BF21" s="7" t="b">
        <f t="shared" si="3"/>
        <v>0</v>
      </c>
      <c r="BG21" s="7" t="b">
        <f t="shared" si="4"/>
        <v>0</v>
      </c>
    </row>
    <row r="22" spans="2:59" ht="24" customHeight="1" x14ac:dyDescent="0.2">
      <c r="B22" s="356">
        <f ca="1">Planning!$E16</f>
        <v>11</v>
      </c>
      <c r="C22" s="363">
        <f ca="1">Planning!$F16</f>
        <v>0.4236111111111111</v>
      </c>
      <c r="D22" s="364">
        <f ca="1">Planning!$G16</f>
        <v>3</v>
      </c>
      <c r="E22" s="364" t="str">
        <f ca="1">Planning!$H16</f>
        <v>A</v>
      </c>
      <c r="F22" s="368" t="str">
        <f ca="1">Planning!$L16</f>
        <v>Eintracht Frankfurt</v>
      </c>
      <c r="G22" s="145" t="s">
        <v>4</v>
      </c>
      <c r="H22" s="371" t="str">
        <f ca="1">Planning!$N16</f>
        <v>VFB Essenheim</v>
      </c>
      <c r="I22" s="359">
        <v>22</v>
      </c>
      <c r="J22" s="623" t="str">
        <f>Language!$E$99</f>
        <v xml:space="preserve"> - </v>
      </c>
      <c r="K22" s="554">
        <v>25</v>
      </c>
      <c r="L22" s="629">
        <v>25</v>
      </c>
      <c r="M22" s="626" t="str">
        <f>Language!$E$99</f>
        <v xml:space="preserve"> - </v>
      </c>
      <c r="N22" s="621">
        <v>20</v>
      </c>
      <c r="O22" s="629"/>
      <c r="P22" s="626" t="str">
        <f>Language!$E$99</f>
        <v xml:space="preserve"> - </v>
      </c>
      <c r="Q22" s="621"/>
      <c r="R22" s="642">
        <f t="shared" ca="1" si="5"/>
        <v>1</v>
      </c>
      <c r="S22" s="636" t="str">
        <f>Language!$E$99</f>
        <v xml:space="preserve"> - </v>
      </c>
      <c r="T22" s="637">
        <f t="shared" ca="1" si="6"/>
        <v>1</v>
      </c>
      <c r="U22" s="603" t="str">
        <f>IF(Planning!$O16="","",Planning!$O16)</f>
        <v/>
      </c>
      <c r="W22" s="305">
        <f ca="1">IF(Calc2!$K$13=0,"",1)</f>
        <v>1</v>
      </c>
      <c r="X22" s="306" t="str">
        <f ca="1">IF(Calc1!$F$14&lt;3,"",IF(Calc2!$K$13=0,Calc2!$Q64,VLOOKUP(Calc2!B4,Calc2!$C$4:$N$12,4,0)))</f>
        <v>Inter Mailand</v>
      </c>
      <c r="Y22" s="132">
        <f ca="1">IF(Calc2!$K$13=0,"",VLOOKUP(Calc2!B4,Calc2!$C$4:$N$12,9,0))</f>
        <v>4</v>
      </c>
      <c r="Z22" s="133">
        <f ca="1">IF(Calc2!$K$13=0,"",VLOOKUP(Calc2!B4,Calc2!$C$4:$N$12,10,0))</f>
        <v>2</v>
      </c>
      <c r="AA22" s="133">
        <f ca="1">IF(Calc2!$K$13=0,"",VLOOKUP(Calc2!B4,Calc2!$C$4:$N$12,11,0))</f>
        <v>2</v>
      </c>
      <c r="AB22" s="134">
        <f ca="1">IF(Calc2!$K$13=0,"",VLOOKUP(Calc2!B4,Calc2!$C$4:$N$12,12,0))</f>
        <v>0</v>
      </c>
      <c r="AC22" s="135">
        <f ca="1">IF(Calc2!$K$13=0,"",VLOOKUP(Calc2!B4,Calc2!$C$4:$AT$12,44,0))</f>
        <v>5</v>
      </c>
      <c r="AD22" s="414" t="str">
        <f>Language!$E$99</f>
        <v xml:space="preserve"> - </v>
      </c>
      <c r="AE22" s="137">
        <f ca="1">IF(Calc2!$K$13=0,"",VLOOKUP(Calc2!B4,Calc2!$C$4:$AS$12,43,0))</f>
        <v>2</v>
      </c>
      <c r="AF22" s="136">
        <f ca="1">IF(Calc2!$K$13=0,"",AC22-AE22)</f>
        <v>3</v>
      </c>
      <c r="AG22" s="135">
        <f ca="1">IF(Calc2!$K$13=0,"",VLOOKUP(Calc2!B4,Calc2!$C$4:$N$12,5,0))</f>
        <v>158</v>
      </c>
      <c r="AH22" s="414" t="str">
        <f>Language!$E$99</f>
        <v xml:space="preserve"> - </v>
      </c>
      <c r="AI22" s="137">
        <f ca="1">IF(Calc2!$K$13=0,"",VLOOKUP(Calc2!B4,Calc2!$C$4:$N$12,6,0))</f>
        <v>133</v>
      </c>
      <c r="AJ22" s="132">
        <f ca="1">IF(Calc2!$K$13=0,"",IF(VLOOKUP(Calc2!B4,Calc2!$C$4:$AV$12,46,0)=Settings!$F$24,"max",VLOOKUP(Calc2!B4,Calc2!$C$4:$AV$12,46,0)))</f>
        <v>1.1879999999999999</v>
      </c>
      <c r="AK22" s="138">
        <f ca="1">IF(Calc2!$K$13=0,"",VLOOKUP(Calc2!B4,Calc2!$C$4:$AT$12,Settings!$H$9,0))</f>
        <v>5</v>
      </c>
      <c r="AL22" s="139"/>
      <c r="AM22" s="133" t="str">
        <f ca="1">IFERROR(VLOOKUP($X22&amp;AM$21,Calc2!$Z$64:$AC$207,Settings!$G$29,0),"")</f>
        <v>1 - 1</v>
      </c>
      <c r="AN22" s="133" t="str">
        <f ca="1">IFERROR(VLOOKUP($X22&amp;AN$21,Calc2!$Z$64:$AC$207,Settings!$G$29,0),"")</f>
        <v>1 - 1</v>
      </c>
      <c r="AO22" s="133" t="str">
        <f ca="1">IFERROR(VLOOKUP($X22&amp;AO$21,Calc2!$Z$64:$AC$207,Settings!$G$29,0),"")</f>
        <v>1 - 0</v>
      </c>
      <c r="AP22" s="133" t="str">
        <f ca="1">IFERROR(VLOOKUP($X22&amp;AP$21,Calc2!$Z$64:$AC$207,Settings!$G$29,0),"")</f>
        <v>2 - 0</v>
      </c>
      <c r="AQ22" s="140" t="str">
        <f ca="1">IFERROR(VLOOKUP($X22&amp;AQ$21,Calc2!$Z$64:$AC$207,Settings!$G$29,0),"")</f>
        <v/>
      </c>
      <c r="AR22" s="141" t="str">
        <f t="shared" ref="AR22:AR27" ca="1" si="10">X22</f>
        <v>Inter Mailand</v>
      </c>
      <c r="AU22" s="345" t="s">
        <v>187</v>
      </c>
      <c r="AV22" s="468" t="str">
        <f>IF(Planning!$C24="","",Planning!$C24)</f>
        <v>Mainz 05</v>
      </c>
      <c r="AW22" s="465"/>
      <c r="AX22" s="773"/>
      <c r="BA22" s="7" t="b">
        <f t="shared" ca="1" si="1"/>
        <v>0</v>
      </c>
      <c r="BB22" s="7" t="b">
        <f t="shared" si="7"/>
        <v>0</v>
      </c>
      <c r="BC22" s="7" t="b">
        <f t="shared" si="8"/>
        <v>0</v>
      </c>
      <c r="BD22" s="7" t="b">
        <f t="shared" si="9"/>
        <v>0</v>
      </c>
      <c r="BE22" s="7" t="b">
        <f t="shared" si="2"/>
        <v>0</v>
      </c>
      <c r="BF22" s="7" t="b">
        <f t="shared" si="3"/>
        <v>0</v>
      </c>
      <c r="BG22" s="7" t="b">
        <f t="shared" si="4"/>
        <v>0</v>
      </c>
    </row>
    <row r="23" spans="2:59" ht="24" customHeight="1" x14ac:dyDescent="0.2">
      <c r="B23" s="356">
        <f ca="1">Planning!$E17</f>
        <v>12</v>
      </c>
      <c r="C23" s="363">
        <f ca="1">Planning!$F17</f>
        <v>0.4236111111111111</v>
      </c>
      <c r="D23" s="364">
        <f ca="1">Planning!$G17</f>
        <v>4</v>
      </c>
      <c r="E23" s="364" t="str">
        <f ca="1">Planning!$H17</f>
        <v>B</v>
      </c>
      <c r="F23" s="368" t="str">
        <f ca="1">Planning!$L17</f>
        <v>SSV Wildbach</v>
      </c>
      <c r="G23" s="145" t="s">
        <v>4</v>
      </c>
      <c r="H23" s="371" t="str">
        <f ca="1">Planning!$N17</f>
        <v>FC Grönlingen</v>
      </c>
      <c r="I23" s="359">
        <v>19</v>
      </c>
      <c r="J23" s="623" t="str">
        <f>Language!$E$99</f>
        <v xml:space="preserve"> - </v>
      </c>
      <c r="K23" s="554">
        <v>25</v>
      </c>
      <c r="L23" s="629">
        <v>25</v>
      </c>
      <c r="M23" s="626" t="str">
        <f>Language!$E$99</f>
        <v xml:space="preserve"> - </v>
      </c>
      <c r="N23" s="621">
        <v>19</v>
      </c>
      <c r="O23" s="629"/>
      <c r="P23" s="626" t="str">
        <f>Language!$E$99</f>
        <v xml:space="preserve"> - </v>
      </c>
      <c r="Q23" s="621"/>
      <c r="R23" s="642">
        <f t="shared" ca="1" si="5"/>
        <v>1</v>
      </c>
      <c r="S23" s="636" t="str">
        <f>Language!$E$99</f>
        <v xml:space="preserve"> - </v>
      </c>
      <c r="T23" s="637">
        <f t="shared" ca="1" si="6"/>
        <v>1</v>
      </c>
      <c r="U23" s="603" t="str">
        <f>IF(Planning!$O17="","",Planning!$O17)</f>
        <v/>
      </c>
      <c r="W23" s="307">
        <f ca="1">IF(Calc2!$K$13=0,"",IF(VLOOKUP(Calc2!B5,Calc2!$C$4:$E$12,3,0)=MAX(W$22:W22),VLOOKUP(Calc2!B5,Calc2!$C$4:$E$12,3,0),Calc2!B5))</f>
        <v>2</v>
      </c>
      <c r="X23" s="308" t="str">
        <f ca="1">IF(Calc1!$F$14&lt;3,"",IF(Calc2!$K$13=0,Calc2!$Q65,VLOOKUP(Calc2!B5,Calc2!$C$4:$N$12,4,0)))</f>
        <v>Manchester City</v>
      </c>
      <c r="Y23" s="142">
        <f ca="1">IF(Calc2!$K$13=0,"",VLOOKUP(Calc2!B5,Calc2!$C$4:$N$12,9,0))</f>
        <v>4</v>
      </c>
      <c r="Z23" s="123">
        <f ca="1">IF(Calc2!$K$13=0,"",VLOOKUP(Calc2!B5,Calc2!$C$4:$N$12,10,0))</f>
        <v>1</v>
      </c>
      <c r="AA23" s="123">
        <f ca="1">IF(Calc2!$K$13=0,"",VLOOKUP(Calc2!B5,Calc2!$C$4:$N$12,11,0))</f>
        <v>2</v>
      </c>
      <c r="AB23" s="143">
        <f ca="1">IF(Calc2!$K$13=0,"",VLOOKUP(Calc2!B5,Calc2!$C$4:$N$12,12,0))</f>
        <v>1</v>
      </c>
      <c r="AC23" s="144">
        <f ca="1">IF(Calc2!$K$13=0,"",VLOOKUP(Calc2!B5,Calc2!$C$4:$AT$12,44,0))</f>
        <v>4</v>
      </c>
      <c r="AD23" s="417" t="str">
        <f>Language!$E$99</f>
        <v xml:space="preserve"> - </v>
      </c>
      <c r="AE23" s="146">
        <f ca="1">IF(Calc2!$K$13=0,"",VLOOKUP(Calc2!B5,Calc2!$C$4:$AS$12,43,0))</f>
        <v>4</v>
      </c>
      <c r="AF23" s="145">
        <f ca="1">IF(Calc2!$K$13=0,"",AC23-AE23)</f>
        <v>0</v>
      </c>
      <c r="AG23" s="144">
        <f ca="1">IF(Calc2!$K$13=0,"",VLOOKUP(Calc2!B5,Calc2!$C$4:$N$12,5,0))</f>
        <v>184</v>
      </c>
      <c r="AH23" s="417" t="str">
        <f>Language!$E$99</f>
        <v xml:space="preserve"> - </v>
      </c>
      <c r="AI23" s="146">
        <f ca="1">IF(Calc2!$K$13=0,"",VLOOKUP(Calc2!B5,Calc2!$C$4:$N$12,6,0))</f>
        <v>160</v>
      </c>
      <c r="AJ23" s="142">
        <f ca="1">IF(Calc2!$K$13=0,"",IF(VLOOKUP(Calc2!B5,Calc2!$C$4:$AV$12,46,0)=Settings!$F$24,"max",VLOOKUP(Calc2!B5,Calc2!$C$4:$AV$12,46,0)))</f>
        <v>1.1499999999999999</v>
      </c>
      <c r="AK23" s="147">
        <f ca="1">IF(Calc2!$K$13=0,"",VLOOKUP(Calc2!B5,Calc2!$C$4:$AT$12,Settings!$H$9,0))</f>
        <v>4</v>
      </c>
      <c r="AL23" s="148" t="str">
        <f ca="1">IFERROR(VLOOKUP($X23&amp;AL$21,Calc2!$Z$64:$AC$207,Settings!$G$29,0),"")</f>
        <v>1 - 1</v>
      </c>
      <c r="AM23" s="149"/>
      <c r="AN23" s="123" t="str">
        <f ca="1">IFERROR(VLOOKUP($X23&amp;AN$21,Calc2!$Z$64:$AC$207,Settings!$G$29,0),"")</f>
        <v>0 - 2</v>
      </c>
      <c r="AO23" s="123" t="str">
        <f ca="1">IFERROR(VLOOKUP($X23&amp;AO$21,Calc2!$Z$64:$AC$207,Settings!$G$29,0),"")</f>
        <v>2 - 0</v>
      </c>
      <c r="AP23" s="123" t="str">
        <f ca="1">IFERROR(VLOOKUP($X23&amp;AP$21,Calc2!$Z$64:$AC$207,Settings!$G$29,0),"")</f>
        <v>1 - 1</v>
      </c>
      <c r="AQ23" s="150" t="str">
        <f ca="1">IFERROR(VLOOKUP($X23&amp;AQ$21,Calc2!$Z$64:$AC$207,Settings!$G$29,0),"")</f>
        <v/>
      </c>
      <c r="AR23" s="151" t="str">
        <f t="shared" ca="1" si="10"/>
        <v>Manchester City</v>
      </c>
      <c r="AU23" s="343" t="s">
        <v>189</v>
      </c>
      <c r="AV23" s="308" t="str">
        <f>IF(Planning!$C26="","",Planning!$C26)</f>
        <v>Inter Mailand</v>
      </c>
      <c r="AW23" s="465"/>
      <c r="AX23" s="774"/>
      <c r="BA23" s="7" t="b">
        <f t="shared" ca="1" si="1"/>
        <v>0</v>
      </c>
      <c r="BB23" s="7" t="b">
        <f t="shared" si="7"/>
        <v>0</v>
      </c>
      <c r="BC23" s="7" t="b">
        <f t="shared" si="8"/>
        <v>0</v>
      </c>
      <c r="BD23" s="7" t="b">
        <f t="shared" si="9"/>
        <v>0</v>
      </c>
      <c r="BE23" s="7" t="b">
        <f t="shared" si="2"/>
        <v>0</v>
      </c>
      <c r="BF23" s="7" t="b">
        <f t="shared" si="3"/>
        <v>0</v>
      </c>
      <c r="BG23" s="7" t="b">
        <f t="shared" si="4"/>
        <v>0</v>
      </c>
    </row>
    <row r="24" spans="2:59" ht="24" customHeight="1" x14ac:dyDescent="0.2">
      <c r="B24" s="356">
        <f ca="1">Planning!$E18</f>
        <v>13</v>
      </c>
      <c r="C24" s="363">
        <f ca="1">Planning!$F18</f>
        <v>0.44791666666666669</v>
      </c>
      <c r="D24" s="364">
        <f ca="1">Planning!$G18</f>
        <v>1</v>
      </c>
      <c r="E24" s="364" t="str">
        <f ca="1">Planning!$H18</f>
        <v>A</v>
      </c>
      <c r="F24" s="368" t="str">
        <f ca="1">Planning!$L18</f>
        <v>FC Barcelona</v>
      </c>
      <c r="G24" s="145" t="s">
        <v>4</v>
      </c>
      <c r="H24" s="371" t="str">
        <f ca="1">Planning!$N18</f>
        <v>Maibach 1822 eV</v>
      </c>
      <c r="I24" s="359">
        <v>17</v>
      </c>
      <c r="J24" s="623" t="str">
        <f>Language!$E$99</f>
        <v xml:space="preserve"> - </v>
      </c>
      <c r="K24" s="554">
        <v>25</v>
      </c>
      <c r="L24" s="629">
        <v>12</v>
      </c>
      <c r="M24" s="626" t="str">
        <f>Language!$E$99</f>
        <v xml:space="preserve"> - </v>
      </c>
      <c r="N24" s="621">
        <v>25</v>
      </c>
      <c r="O24" s="629"/>
      <c r="P24" s="626" t="str">
        <f>Language!$E$99</f>
        <v xml:space="preserve"> - </v>
      </c>
      <c r="Q24" s="621"/>
      <c r="R24" s="642">
        <f t="shared" ca="1" si="5"/>
        <v>0</v>
      </c>
      <c r="S24" s="636" t="str">
        <f>Language!$E$99</f>
        <v xml:space="preserve"> - </v>
      </c>
      <c r="T24" s="637">
        <f t="shared" ca="1" si="6"/>
        <v>2</v>
      </c>
      <c r="U24" s="603" t="str">
        <f>IF(Planning!$O18="","",Planning!$O18)</f>
        <v/>
      </c>
      <c r="W24" s="307">
        <f ca="1">IF(Calc2!$K$13=0,"",IF(VLOOKUP(Calc2!B6,Calc2!$C$4:$E$12,3,0)=MAX(W$22:W23),VLOOKUP(Calc2!B6,Calc2!$C$4:$E$12,3,0),Calc2!B6))</f>
        <v>3</v>
      </c>
      <c r="X24" s="308" t="str">
        <f ca="1">IF(Calc1!$F$14&lt;3,"",IF(Calc2!$K$13=0,Calc2!$Q66,VLOOKUP(Calc2!B6,Calc2!$C$4:$N$12,4,0)))</f>
        <v>SSV Wildbach</v>
      </c>
      <c r="Y24" s="142">
        <f ca="1">IF(Calc2!$K$13=0,"",VLOOKUP(Calc2!B6,Calc2!$C$4:$N$12,9,0))</f>
        <v>4</v>
      </c>
      <c r="Z24" s="123">
        <f ca="1">IF(Calc2!$K$13=0,"",VLOOKUP(Calc2!B6,Calc2!$C$4:$N$12,10,0))</f>
        <v>1</v>
      </c>
      <c r="AA24" s="123">
        <f ca="1">IF(Calc2!$K$13=0,"",VLOOKUP(Calc2!B6,Calc2!$C$4:$N$12,11,0))</f>
        <v>2</v>
      </c>
      <c r="AB24" s="143">
        <f ca="1">IF(Calc2!$K$13=0,"",VLOOKUP(Calc2!B6,Calc2!$C$4:$N$12,12,0))</f>
        <v>1</v>
      </c>
      <c r="AC24" s="144">
        <f ca="1">IF(Calc2!$K$13=0,"",VLOOKUP(Calc2!B6,Calc2!$C$4:$AT$12,44,0))</f>
        <v>4</v>
      </c>
      <c r="AD24" s="417" t="str">
        <f>Language!$E$99</f>
        <v xml:space="preserve"> - </v>
      </c>
      <c r="AE24" s="146">
        <f ca="1">IF(Calc2!$K$13=0,"",VLOOKUP(Calc2!B6,Calc2!$C$4:$AS$12,43,0))</f>
        <v>4</v>
      </c>
      <c r="AF24" s="145">
        <f ca="1">IF(Calc2!$K$13=0,"",AC24-AE24)</f>
        <v>0</v>
      </c>
      <c r="AG24" s="144">
        <f ca="1">IF(Calc2!$K$13=0,"",VLOOKUP(Calc2!B6,Calc2!$C$4:$N$12,5,0))</f>
        <v>169</v>
      </c>
      <c r="AH24" s="417" t="str">
        <f>Language!$E$99</f>
        <v xml:space="preserve"> - </v>
      </c>
      <c r="AI24" s="146">
        <f ca="1">IF(Calc2!$K$13=0,"",VLOOKUP(Calc2!B6,Calc2!$C$4:$N$12,6,0))</f>
        <v>180</v>
      </c>
      <c r="AJ24" s="142">
        <f ca="1">IF(Calc2!$K$13=0,"",IF(VLOOKUP(Calc2!B6,Calc2!$C$4:$AV$12,46,0)=Settings!$F$24,"max",VLOOKUP(Calc2!B6,Calc2!$C$4:$AV$12,46,0)))</f>
        <v>0.93899999999999995</v>
      </c>
      <c r="AK24" s="147">
        <f ca="1">IF(Calc2!$K$13=0,"",VLOOKUP(Calc2!B6,Calc2!$C$4:$AT$12,Settings!$H$9,0))</f>
        <v>4</v>
      </c>
      <c r="AL24" s="148" t="str">
        <f ca="1">IFERROR(VLOOKUP($X24&amp;AL$21,Calc2!$Z$64:$AC$207,Settings!$G$29,0),"")</f>
        <v>1 - 1</v>
      </c>
      <c r="AM24" s="340" t="str">
        <f ca="1">IFERROR(VLOOKUP($X24&amp;AM$21,Calc2!$Z$64:$AC$207,Settings!$G$29,0),"")</f>
        <v>2 - 0</v>
      </c>
      <c r="AN24" s="149"/>
      <c r="AO24" s="123" t="str">
        <f ca="1">IFERROR(VLOOKUP($X24&amp;AO$21,Calc2!$Z$64:$AC$207,Settings!$G$29,0),"")</f>
        <v>1 - 1</v>
      </c>
      <c r="AP24" s="123" t="str">
        <f ca="1">IFERROR(VLOOKUP($X24&amp;AP$21,Calc2!$Z$64:$AC$207,Settings!$G$29,0),"")</f>
        <v>0 - 2</v>
      </c>
      <c r="AQ24" s="150" t="str">
        <f ca="1">IFERROR(VLOOKUP($X24&amp;AQ$21,Calc2!$Z$64:$AC$207,Settings!$G$29,0),"")</f>
        <v/>
      </c>
      <c r="AR24" s="151" t="str">
        <f t="shared" ca="1" si="10"/>
        <v>SSV Wildbach</v>
      </c>
      <c r="AU24" s="343" t="s">
        <v>185</v>
      </c>
      <c r="AV24" s="308" t="str">
        <f>IF(Planning!$C28="","",Planning!$C28)</f>
        <v>SSV Wildbach</v>
      </c>
      <c r="AW24" s="465"/>
      <c r="AX24" s="774"/>
      <c r="BA24" s="7" t="b">
        <f t="shared" ca="1" si="1"/>
        <v>0</v>
      </c>
      <c r="BB24" s="7" t="b">
        <f t="shared" si="7"/>
        <v>0</v>
      </c>
      <c r="BC24" s="7" t="b">
        <f t="shared" si="8"/>
        <v>0</v>
      </c>
      <c r="BD24" s="7" t="b">
        <f t="shared" si="9"/>
        <v>0</v>
      </c>
      <c r="BE24" s="7" t="b">
        <f t="shared" si="2"/>
        <v>0</v>
      </c>
      <c r="BF24" s="7" t="b">
        <f t="shared" si="3"/>
        <v>0</v>
      </c>
      <c r="BG24" s="7" t="b">
        <f t="shared" si="4"/>
        <v>0</v>
      </c>
    </row>
    <row r="25" spans="2:59" ht="24" customHeight="1" x14ac:dyDescent="0.2">
      <c r="B25" s="356">
        <f ca="1">Planning!$E19</f>
        <v>14</v>
      </c>
      <c r="C25" s="363">
        <f ca="1">Planning!$F19</f>
        <v>0.44791666666666669</v>
      </c>
      <c r="D25" s="364">
        <f ca="1">Planning!$G19</f>
        <v>2</v>
      </c>
      <c r="E25" s="364" t="str">
        <f ca="1">Planning!$H19</f>
        <v>B</v>
      </c>
      <c r="F25" s="368" t="str">
        <f ca="1">Planning!$L19</f>
        <v>Inter Mailand</v>
      </c>
      <c r="G25" s="145" t="s">
        <v>4</v>
      </c>
      <c r="H25" s="371" t="str">
        <f ca="1">Planning!$N19</f>
        <v>Manchester City</v>
      </c>
      <c r="I25" s="359">
        <v>14</v>
      </c>
      <c r="J25" s="623" t="str">
        <f>Language!$E$99</f>
        <v xml:space="preserve"> - </v>
      </c>
      <c r="K25" s="554">
        <v>25</v>
      </c>
      <c r="L25" s="629">
        <v>25</v>
      </c>
      <c r="M25" s="626" t="str">
        <f>Language!$E$99</f>
        <v xml:space="preserve"> - </v>
      </c>
      <c r="N25" s="621">
        <v>23</v>
      </c>
      <c r="O25" s="629"/>
      <c r="P25" s="626" t="str">
        <f>Language!$E$99</f>
        <v xml:space="preserve"> - </v>
      </c>
      <c r="Q25" s="621"/>
      <c r="R25" s="642">
        <f t="shared" ca="1" si="5"/>
        <v>1</v>
      </c>
      <c r="S25" s="636" t="str">
        <f>Language!$E$99</f>
        <v xml:space="preserve"> - </v>
      </c>
      <c r="T25" s="637">
        <f t="shared" ca="1" si="6"/>
        <v>1</v>
      </c>
      <c r="U25" s="603" t="str">
        <f>IF(Planning!$O19="","",Planning!$O19)</f>
        <v/>
      </c>
      <c r="W25" s="307">
        <f ca="1">IF(Calc2!$K$13=0,"",IF(VLOOKUP(Calc2!B7,Calc2!$C$4:$E$12,3,0)=MAX(W$22:W24),VLOOKUP(Calc2!B7,Calc2!$C$4:$E$12,3,0),Calc2!B7))</f>
        <v>4</v>
      </c>
      <c r="X25" s="308" t="str">
        <f ca="1">IF(Calc1!$F$14&lt;3,"",IF(Calc2!$K$13=0,Calc2!$Q67,VLOOKUP(Calc2!B7,Calc2!$C$4:$N$12,4,0)))</f>
        <v>FC Grönlingen</v>
      </c>
      <c r="Y25" s="142">
        <f ca="1">IF(Calc2!$K$13=0,"",VLOOKUP(Calc2!B7,Calc2!$C$4:$N$12,9,0))</f>
        <v>4</v>
      </c>
      <c r="Z25" s="123">
        <f ca="1">IF(Calc2!$K$13=0,"",VLOOKUP(Calc2!B7,Calc2!$C$4:$N$12,10,0))</f>
        <v>1</v>
      </c>
      <c r="AA25" s="123">
        <f ca="1">IF(Calc2!$K$13=0,"",VLOOKUP(Calc2!B7,Calc2!$C$4:$N$12,11,0))</f>
        <v>1</v>
      </c>
      <c r="AB25" s="143">
        <f ca="1">IF(Calc2!$K$13=0,"",VLOOKUP(Calc2!B7,Calc2!$C$4:$N$12,12,0))</f>
        <v>2</v>
      </c>
      <c r="AC25" s="144">
        <f ca="1">IF(Calc2!$K$13=0,"",VLOOKUP(Calc2!B7,Calc2!$C$4:$AT$12,44,0))</f>
        <v>3</v>
      </c>
      <c r="AD25" s="417" t="str">
        <f>Language!$E$99</f>
        <v xml:space="preserve"> - </v>
      </c>
      <c r="AE25" s="146">
        <f ca="1">IF(Calc2!$K$13=0,"",VLOOKUP(Calc2!B7,Calc2!$C$4:$AS$12,43,0))</f>
        <v>4</v>
      </c>
      <c r="AF25" s="145">
        <f ca="1">IF(Calc2!$K$13=0,"",AC25-AE25)</f>
        <v>-1</v>
      </c>
      <c r="AG25" s="144">
        <f ca="1">IF(Calc2!$K$13=0,"",VLOOKUP(Calc2!B7,Calc2!$C$4:$N$12,5,0))</f>
        <v>141</v>
      </c>
      <c r="AH25" s="417" t="str">
        <f>Language!$E$99</f>
        <v xml:space="preserve"> - </v>
      </c>
      <c r="AI25" s="146">
        <f ca="1">IF(Calc2!$K$13=0,"",VLOOKUP(Calc2!B7,Calc2!$C$4:$N$12,6,0))</f>
        <v>158</v>
      </c>
      <c r="AJ25" s="142">
        <f ca="1">IF(Calc2!$K$13=0,"",IF(VLOOKUP(Calc2!B7,Calc2!$C$4:$AV$12,46,0)=Settings!$F$24,"max",VLOOKUP(Calc2!B7,Calc2!$C$4:$AV$12,46,0)))</f>
        <v>0.89200000000000002</v>
      </c>
      <c r="AK25" s="147">
        <f ca="1">IF(Calc2!$K$13=0,"",VLOOKUP(Calc2!B7,Calc2!$C$4:$AT$12,Settings!$H$9,0))</f>
        <v>3</v>
      </c>
      <c r="AL25" s="148" t="str">
        <f ca="1">IFERROR(VLOOKUP($X25&amp;AL$21,Calc2!$Z$64:$AC$207,Settings!$G$29,0),"")</f>
        <v>0 - 1</v>
      </c>
      <c r="AM25" s="340" t="str">
        <f ca="1">IFERROR(VLOOKUP($X25&amp;AM$21,Calc2!$Z$64:$AC$207,Settings!$G$29,0),"")</f>
        <v>0 - 2</v>
      </c>
      <c r="AN25" s="123" t="str">
        <f ca="1">IFERROR(VLOOKUP($X25&amp;AN$21,Calc2!$Z$64:$AC$207,Settings!$G$29,0),"")</f>
        <v>1 - 1</v>
      </c>
      <c r="AO25" s="149"/>
      <c r="AP25" s="123" t="str">
        <f ca="1">IFERROR(VLOOKUP($X25&amp;AP$21,Calc2!$Z$64:$AC$207,Settings!$G$29,0),"")</f>
        <v>2 - 0</v>
      </c>
      <c r="AQ25" s="150" t="str">
        <f ca="1">IFERROR(VLOOKUP($X25&amp;AQ$21,Calc2!$Z$64:$AC$207,Settings!$G$29,0),"")</f>
        <v/>
      </c>
      <c r="AR25" s="151" t="str">
        <f t="shared" ca="1" si="10"/>
        <v>FC Grönlingen</v>
      </c>
      <c r="AU25" s="343" t="s">
        <v>191</v>
      </c>
      <c r="AV25" s="308" t="str">
        <f>IF(Planning!$C30="","",Planning!$C30)</f>
        <v>Manchester City</v>
      </c>
      <c r="AW25" s="465"/>
      <c r="AX25" s="774"/>
      <c r="BA25" s="7" t="b">
        <f t="shared" ca="1" si="1"/>
        <v>0</v>
      </c>
      <c r="BB25" s="7" t="b">
        <f t="shared" si="7"/>
        <v>0</v>
      </c>
      <c r="BC25" s="7" t="b">
        <f t="shared" si="8"/>
        <v>0</v>
      </c>
      <c r="BD25" s="7" t="b">
        <f t="shared" si="9"/>
        <v>0</v>
      </c>
      <c r="BE25" s="7" t="b">
        <f t="shared" si="2"/>
        <v>0</v>
      </c>
      <c r="BF25" s="7" t="b">
        <f t="shared" si="3"/>
        <v>0</v>
      </c>
      <c r="BG25" s="7" t="b">
        <f t="shared" si="4"/>
        <v>0</v>
      </c>
    </row>
    <row r="26" spans="2:59" ht="24" customHeight="1" x14ac:dyDescent="0.2">
      <c r="B26" s="356">
        <f ca="1">Planning!$E20</f>
        <v>15</v>
      </c>
      <c r="C26" s="363">
        <f ca="1">Planning!$F20</f>
        <v>0.44791666666666669</v>
      </c>
      <c r="D26" s="364">
        <f ca="1">Planning!$G20</f>
        <v>3</v>
      </c>
      <c r="E26" s="364" t="str">
        <f ca="1">Planning!$H20</f>
        <v>A</v>
      </c>
      <c r="F26" s="368" t="str">
        <f ca="1">Planning!$L20</f>
        <v>Eintracht Frankfurt</v>
      </c>
      <c r="G26" s="145" t="s">
        <v>4</v>
      </c>
      <c r="H26" s="371" t="str">
        <f ca="1">Planning!$N20</f>
        <v>1. FC Riedwald</v>
      </c>
      <c r="I26" s="359">
        <v>21</v>
      </c>
      <c r="J26" s="623" t="str">
        <f>Language!$E$99</f>
        <v xml:space="preserve"> - </v>
      </c>
      <c r="K26" s="554">
        <v>25</v>
      </c>
      <c r="L26" s="629">
        <v>25</v>
      </c>
      <c r="M26" s="626" t="str">
        <f>Language!$E$99</f>
        <v xml:space="preserve"> - </v>
      </c>
      <c r="N26" s="621">
        <v>17</v>
      </c>
      <c r="O26" s="629"/>
      <c r="P26" s="626" t="str">
        <f>Language!$E$99</f>
        <v xml:space="preserve"> - </v>
      </c>
      <c r="Q26" s="621"/>
      <c r="R26" s="642">
        <f t="shared" ca="1" si="5"/>
        <v>1</v>
      </c>
      <c r="S26" s="636" t="str">
        <f>Language!$E$99</f>
        <v xml:space="preserve"> - </v>
      </c>
      <c r="T26" s="637">
        <f t="shared" ca="1" si="6"/>
        <v>1</v>
      </c>
      <c r="U26" s="603" t="str">
        <f>IF(Planning!$O20="","",Planning!$O20)</f>
        <v/>
      </c>
      <c r="W26" s="307">
        <f ca="1">IF(Calc2!$K$13=0,"",IF(VLOOKUP(Calc2!B8,Calc2!$C$4:$E$12,3,0)=MAX(W$22:W25),VLOOKUP(Calc2!B8,Calc2!$C$4:$E$12,3,0),Calc2!B8))</f>
        <v>5</v>
      </c>
      <c r="X26" s="308" t="str">
        <f ca="1">IF(Calc1!$F$14&lt;3,"",IF(Calc2!$K$13=0,Calc2!$Q68,VLOOKUP(Calc2!B8,Calc2!$C$4:$N$12,4,0)))</f>
        <v>Mainz 05</v>
      </c>
      <c r="Y26" s="142">
        <f ca="1">IF(Calc2!$K$13=0,"",VLOOKUP(Calc2!B8,Calc2!$C$4:$N$12,9,0))</f>
        <v>4</v>
      </c>
      <c r="Z26" s="123">
        <f ca="1">IF(Calc2!$K$13=0,"",VLOOKUP(Calc2!B8,Calc2!$C$4:$N$12,10,0))</f>
        <v>1</v>
      </c>
      <c r="AA26" s="123">
        <f ca="1">IF(Calc2!$K$13=0,"",VLOOKUP(Calc2!B8,Calc2!$C$4:$N$12,11,0))</f>
        <v>1</v>
      </c>
      <c r="AB26" s="143">
        <f ca="1">IF(Calc2!$K$13=0,"",VLOOKUP(Calc2!B8,Calc2!$C$4:$N$12,12,0))</f>
        <v>2</v>
      </c>
      <c r="AC26" s="144">
        <f ca="1">IF(Calc2!$K$13=0,"",VLOOKUP(Calc2!B8,Calc2!$C$4:$AT$12,44,0))</f>
        <v>3</v>
      </c>
      <c r="AD26" s="417" t="str">
        <f>Language!$E$99</f>
        <v xml:space="preserve"> - </v>
      </c>
      <c r="AE26" s="146">
        <f ca="1">IF(Calc2!$K$13=0,"",VLOOKUP(Calc2!B8,Calc2!$C$4:$AS$12,43,0))</f>
        <v>5</v>
      </c>
      <c r="AF26" s="145">
        <f ca="1">IF(Calc2!$K$13=0,"",AC26-AE26)</f>
        <v>-2</v>
      </c>
      <c r="AG26" s="144">
        <f ca="1">IF(Calc2!$K$13=0,"",VLOOKUP(Calc2!B8,Calc2!$C$4:$N$12,5,0))</f>
        <v>161</v>
      </c>
      <c r="AH26" s="417" t="str">
        <f>Language!$E$99</f>
        <v xml:space="preserve"> - </v>
      </c>
      <c r="AI26" s="146">
        <f ca="1">IF(Calc2!$K$13=0,"",VLOOKUP(Calc2!B8,Calc2!$C$4:$N$12,6,0))</f>
        <v>182</v>
      </c>
      <c r="AJ26" s="142">
        <f ca="1">IF(Calc2!$K$13=0,"",IF(VLOOKUP(Calc2!B8,Calc2!$C$4:$AV$12,46,0)=Settings!$F$24,"max",VLOOKUP(Calc2!B8,Calc2!$C$4:$AV$12,46,0)))</f>
        <v>0.88500000000000001</v>
      </c>
      <c r="AK26" s="147">
        <f ca="1">IF(Calc2!$K$13=0,"",VLOOKUP(Calc2!B8,Calc2!$C$4:$AT$12,Settings!$H$9,0))</f>
        <v>3</v>
      </c>
      <c r="AL26" s="148" t="str">
        <f ca="1">IFERROR(VLOOKUP($X26&amp;AL$21,Calc2!$Z$64:$AC$207,Settings!$G$29,0),"")</f>
        <v>0 - 2</v>
      </c>
      <c r="AM26" s="340" t="str">
        <f ca="1">IFERROR(VLOOKUP($X26&amp;AM$21,Calc2!$Z$64:$AC$207,Settings!$G$29,0),"")</f>
        <v>1 - 1</v>
      </c>
      <c r="AN26" s="123" t="str">
        <f ca="1">IFERROR(VLOOKUP($X26&amp;AN$21,Calc2!$Z$64:$AC$207,Settings!$G$29,0),"")</f>
        <v>2 - 0</v>
      </c>
      <c r="AO26" s="123" t="str">
        <f ca="1">IFERROR(VLOOKUP($X26&amp;AO$21,Calc2!$Z$64:$AC$207,Settings!$G$29,0),"")</f>
        <v>0 - 2</v>
      </c>
      <c r="AP26" s="149"/>
      <c r="AQ26" s="150" t="str">
        <f ca="1">IFERROR(VLOOKUP($X26&amp;AQ$21,Calc2!$Z$64:$AC$207,Settings!$G$29,0),"")</f>
        <v/>
      </c>
      <c r="AR26" s="151" t="str">
        <f t="shared" ca="1" si="10"/>
        <v>Mainz 05</v>
      </c>
      <c r="AU26" s="343" t="s">
        <v>193</v>
      </c>
      <c r="AV26" s="308" t="str">
        <f>IF(Planning!$C32="","",Planning!$C32)</f>
        <v>FC Grönlingen</v>
      </c>
      <c r="AW26" s="465"/>
      <c r="AX26" s="774"/>
      <c r="BA26" s="7" t="b">
        <f t="shared" ca="1" si="1"/>
        <v>0</v>
      </c>
      <c r="BB26" s="7" t="b">
        <f t="shared" si="7"/>
        <v>0</v>
      </c>
      <c r="BC26" s="7" t="b">
        <f t="shared" si="8"/>
        <v>0</v>
      </c>
      <c r="BD26" s="7" t="b">
        <f t="shared" si="9"/>
        <v>0</v>
      </c>
      <c r="BE26" s="7" t="b">
        <f t="shared" si="2"/>
        <v>0</v>
      </c>
      <c r="BF26" s="7" t="b">
        <f t="shared" si="3"/>
        <v>0</v>
      </c>
      <c r="BG26" s="7" t="b">
        <f t="shared" si="4"/>
        <v>0</v>
      </c>
    </row>
    <row r="27" spans="2:59" ht="24" customHeight="1" thickBot="1" x14ac:dyDescent="0.25">
      <c r="B27" s="356">
        <f ca="1">Planning!$E21</f>
        <v>16</v>
      </c>
      <c r="C27" s="363">
        <f ca="1">Planning!$F21</f>
        <v>0.44791666666666669</v>
      </c>
      <c r="D27" s="364">
        <f ca="1">Planning!$G21</f>
        <v>4</v>
      </c>
      <c r="E27" s="364" t="str">
        <f ca="1">Planning!$H21</f>
        <v>B</v>
      </c>
      <c r="F27" s="368" t="str">
        <f ca="1">Planning!$L21</f>
        <v>SSV Wildbach</v>
      </c>
      <c r="G27" s="145" t="s">
        <v>4</v>
      </c>
      <c r="H27" s="371" t="str">
        <f ca="1">Planning!$N21</f>
        <v>Mainz 05</v>
      </c>
      <c r="I27" s="359">
        <v>20</v>
      </c>
      <c r="J27" s="623" t="str">
        <f>Language!$E$99</f>
        <v xml:space="preserve"> - </v>
      </c>
      <c r="K27" s="554">
        <v>25</v>
      </c>
      <c r="L27" s="629">
        <v>18</v>
      </c>
      <c r="M27" s="626" t="str">
        <f>Language!$E$99</f>
        <v xml:space="preserve"> - </v>
      </c>
      <c r="N27" s="621">
        <v>25</v>
      </c>
      <c r="O27" s="629"/>
      <c r="P27" s="626" t="str">
        <f>Language!$E$99</f>
        <v xml:space="preserve"> - </v>
      </c>
      <c r="Q27" s="621"/>
      <c r="R27" s="642">
        <f t="shared" ca="1" si="5"/>
        <v>0</v>
      </c>
      <c r="S27" s="636" t="str">
        <f>Language!$E$99</f>
        <v xml:space="preserve"> - </v>
      </c>
      <c r="T27" s="637">
        <f t="shared" ca="1" si="6"/>
        <v>2</v>
      </c>
      <c r="U27" s="603" t="str">
        <f>IF(Planning!$O21="","",Planning!$O21)</f>
        <v/>
      </c>
      <c r="W27" s="309">
        <f ca="1">IF(Calc2!$K$13=0,"",IF(VLOOKUP(Calc2!B9,Calc2!$C$4:$E$12,3,0)=MAX(W$22:W26),VLOOKUP(Calc2!B9,Calc2!$C$4:$E$12,3,0),Calc2!B9))</f>
        <v>6</v>
      </c>
      <c r="X27" s="310" t="str">
        <f ca="1">IF(Calc1!$F$14&lt;3,"",IF(Calc2!$K$13=0,Calc2!$Q69,VLOOKUP(Calc2!B9,Calc2!$C$4:$N$12,4,0)))</f>
        <v/>
      </c>
      <c r="Y27" s="152">
        <f ca="1">IF(Calc2!$K$13=0,"",VLOOKUP(Calc2!B9,Calc2!$C$4:$N$12,9,0))</f>
        <v>0</v>
      </c>
      <c r="Z27" s="153">
        <f ca="1">IF(Calc2!$K$13=0,"",VLOOKUP(Calc2!B9,Calc2!$C$4:$N$12,10,0))</f>
        <v>0</v>
      </c>
      <c r="AA27" s="153">
        <f ca="1">IF(Calc2!$K$13=0,"",VLOOKUP(Calc2!B9,Calc2!$C$4:$N$12,11,0))</f>
        <v>0</v>
      </c>
      <c r="AB27" s="154">
        <f ca="1">IF(Calc2!$K$13=0,"",VLOOKUP(Calc2!B9,Calc2!$C$4:$N$12,12,0))</f>
        <v>0</v>
      </c>
      <c r="AC27" s="155">
        <f ca="1">IF(Calc2!$K$13=0,"",VLOOKUP(Calc2!B9,Calc2!$C$4:$AT$12,44,0))</f>
        <v>0</v>
      </c>
      <c r="AD27" s="421" t="str">
        <f>Language!$E$99</f>
        <v xml:space="preserve"> - </v>
      </c>
      <c r="AE27" s="157">
        <f ca="1">IF(Calc2!$K$13=0,"",VLOOKUP(Calc2!B9,Calc2!$C$4:$AS$12,43,0))</f>
        <v>0</v>
      </c>
      <c r="AF27" s="156">
        <f ca="1">IF(Calc2!$K$13=0,"",AC27-AE27)</f>
        <v>0</v>
      </c>
      <c r="AG27" s="155">
        <f ca="1">IF(Calc2!$K$13=0,"",VLOOKUP(Calc2!B9,Calc2!$C$4:$N$12,5,0))</f>
        <v>0</v>
      </c>
      <c r="AH27" s="421" t="str">
        <f>Language!$E$99</f>
        <v xml:space="preserve"> - </v>
      </c>
      <c r="AI27" s="157">
        <f ca="1">IF(Calc2!$K$13=0,"",VLOOKUP(Calc2!B9,Calc2!$C$4:$N$12,6,0))</f>
        <v>0</v>
      </c>
      <c r="AJ27" s="152">
        <f ca="1">IF(Calc2!$K$13=0,"",IF(VLOOKUP(Calc2!B9,Calc2!$C$4:$AV$12,46,0)=Settings!$F$24,"max",VLOOKUP(Calc2!B9,Calc2!$C$4:$AV$12,46,0)))</f>
        <v>0</v>
      </c>
      <c r="AK27" s="158">
        <f ca="1">IF(Calc2!$K$13=0,"",VLOOKUP(Calc2!B9,Calc2!$C$4:$AT$12,Settings!$H$9,0))</f>
        <v>0</v>
      </c>
      <c r="AL27" s="159" t="str">
        <f ca="1">IFERROR(VLOOKUP($X27&amp;AL$21,Calc2!$Z$64:$AC$207,Settings!$G$29,0),"")</f>
        <v/>
      </c>
      <c r="AM27" s="153" t="str">
        <f ca="1">IFERROR(VLOOKUP($X27&amp;AM$21,Calc2!$Z$64:$AC$207,Settings!$G$29,0),"")</f>
        <v/>
      </c>
      <c r="AN27" s="153" t="str">
        <f ca="1">IFERROR(VLOOKUP($X27&amp;AN$21,Calc2!$Z$64:$AC$207,Settings!$G$29,0),"")</f>
        <v/>
      </c>
      <c r="AO27" s="153" t="str">
        <f ca="1">IFERROR(VLOOKUP($X27&amp;AO$21,Calc2!$Z$64:$AC$207,Settings!$G$29,0),"")</f>
        <v/>
      </c>
      <c r="AP27" s="153" t="str">
        <f ca="1">IFERROR(VLOOKUP($X27&amp;AP$21,Calc2!$Z$64:$AC$207,Settings!$G$29,0),"")</f>
        <v/>
      </c>
      <c r="AQ27" s="160"/>
      <c r="AR27" s="229" t="str">
        <f t="shared" ca="1" si="10"/>
        <v/>
      </c>
      <c r="AU27" s="344" t="s">
        <v>195</v>
      </c>
      <c r="AV27" s="310" t="str">
        <f>IF(Planning!$C34="","",Planning!$C34)</f>
        <v/>
      </c>
      <c r="AW27" s="465"/>
      <c r="AX27" s="775"/>
      <c r="BA27" s="7" t="b">
        <f t="shared" ca="1" si="1"/>
        <v>0</v>
      </c>
      <c r="BB27" s="7" t="b">
        <f t="shared" si="7"/>
        <v>0</v>
      </c>
      <c r="BC27" s="7" t="b">
        <f t="shared" si="8"/>
        <v>0</v>
      </c>
      <c r="BD27" s="7" t="b">
        <f t="shared" si="9"/>
        <v>0</v>
      </c>
      <c r="BE27" s="7" t="b">
        <f t="shared" si="2"/>
        <v>0</v>
      </c>
      <c r="BF27" s="7" t="b">
        <f t="shared" si="3"/>
        <v>0</v>
      </c>
      <c r="BG27" s="7" t="b">
        <f t="shared" si="4"/>
        <v>0</v>
      </c>
    </row>
    <row r="28" spans="2:59" ht="24" customHeight="1" thickTop="1" x14ac:dyDescent="0.2">
      <c r="B28" s="356">
        <f ca="1">Planning!$E22</f>
        <v>17</v>
      </c>
      <c r="C28" s="363">
        <f ca="1">Planning!$F22</f>
        <v>0.47222222222222221</v>
      </c>
      <c r="D28" s="364">
        <f ca="1">Planning!$G22</f>
        <v>1</v>
      </c>
      <c r="E28" s="364" t="str">
        <f ca="1">Planning!$H22</f>
        <v>A</v>
      </c>
      <c r="F28" s="368" t="str">
        <f ca="1">Planning!$L22</f>
        <v>Maibach 1822 eV</v>
      </c>
      <c r="G28" s="145" t="s">
        <v>4</v>
      </c>
      <c r="H28" s="371" t="str">
        <f ca="1">Planning!$N22</f>
        <v>VFB Essenheim</v>
      </c>
      <c r="I28" s="359">
        <v>25</v>
      </c>
      <c r="J28" s="623" t="str">
        <f>Language!$E$99</f>
        <v xml:space="preserve"> - </v>
      </c>
      <c r="K28" s="554">
        <v>21</v>
      </c>
      <c r="L28" s="629">
        <v>25</v>
      </c>
      <c r="M28" s="626" t="str">
        <f>Language!$E$99</f>
        <v xml:space="preserve"> - </v>
      </c>
      <c r="N28" s="621">
        <v>19</v>
      </c>
      <c r="O28" s="629"/>
      <c r="P28" s="626" t="str">
        <f>Language!$E$99</f>
        <v xml:space="preserve"> - </v>
      </c>
      <c r="Q28" s="621"/>
      <c r="R28" s="642">
        <f t="shared" ca="1" si="5"/>
        <v>2</v>
      </c>
      <c r="S28" s="636" t="str">
        <f>Language!$E$99</f>
        <v xml:space="preserve"> - </v>
      </c>
      <c r="T28" s="637">
        <f t="shared" ca="1" si="6"/>
        <v>0</v>
      </c>
      <c r="U28" s="603" t="str">
        <f>IF(Planning!$O22="","",Planning!$O22)</f>
        <v/>
      </c>
      <c r="BA28" s="7" t="b">
        <f t="shared" ca="1" si="1"/>
        <v>0</v>
      </c>
      <c r="BB28" s="7" t="b">
        <f t="shared" si="7"/>
        <v>0</v>
      </c>
      <c r="BC28" s="7" t="b">
        <f t="shared" si="8"/>
        <v>0</v>
      </c>
      <c r="BD28" s="7" t="b">
        <f t="shared" si="9"/>
        <v>0</v>
      </c>
      <c r="BE28" s="7" t="b">
        <f t="shared" si="2"/>
        <v>0</v>
      </c>
      <c r="BF28" s="7" t="b">
        <f t="shared" si="3"/>
        <v>0</v>
      </c>
      <c r="BG28" s="7" t="b">
        <f t="shared" si="4"/>
        <v>0</v>
      </c>
    </row>
    <row r="29" spans="2:59" ht="24" customHeight="1" x14ac:dyDescent="0.2">
      <c r="B29" s="356">
        <f ca="1">Planning!$E23</f>
        <v>18</v>
      </c>
      <c r="C29" s="363">
        <f ca="1">Planning!$F23</f>
        <v>0.47222222222222221</v>
      </c>
      <c r="D29" s="364">
        <f ca="1">Planning!$G23</f>
        <v>2</v>
      </c>
      <c r="E29" s="364" t="str">
        <f ca="1">Planning!$H23</f>
        <v>B</v>
      </c>
      <c r="F29" s="368" t="str">
        <f ca="1">Planning!$L23</f>
        <v>Manchester City</v>
      </c>
      <c r="G29" s="145" t="s">
        <v>4</v>
      </c>
      <c r="H29" s="371" t="str">
        <f ca="1">Planning!$N23</f>
        <v>FC Grönlingen</v>
      </c>
      <c r="I29" s="359">
        <v>25</v>
      </c>
      <c r="J29" s="623" t="str">
        <f>Language!$E$99</f>
        <v xml:space="preserve"> - </v>
      </c>
      <c r="K29" s="554">
        <v>12</v>
      </c>
      <c r="L29" s="629">
        <v>25</v>
      </c>
      <c r="M29" s="626" t="str">
        <f>Language!$E$99</f>
        <v xml:space="preserve"> - </v>
      </c>
      <c r="N29" s="621">
        <v>20</v>
      </c>
      <c r="O29" s="629"/>
      <c r="P29" s="626" t="str">
        <f>Language!$E$99</f>
        <v xml:space="preserve"> - </v>
      </c>
      <c r="Q29" s="621"/>
      <c r="R29" s="642">
        <f t="shared" ca="1" si="5"/>
        <v>2</v>
      </c>
      <c r="S29" s="636" t="str">
        <f>Language!$E$99</f>
        <v xml:space="preserve"> - </v>
      </c>
      <c r="T29" s="637">
        <f t="shared" ca="1" si="6"/>
        <v>0</v>
      </c>
      <c r="U29" s="603" t="str">
        <f>IF(Planning!$O23="","",Planning!$O23)</f>
        <v/>
      </c>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BA29" s="7" t="b">
        <f t="shared" ca="1" si="1"/>
        <v>0</v>
      </c>
      <c r="BB29" s="7" t="b">
        <f t="shared" si="7"/>
        <v>0</v>
      </c>
      <c r="BC29" s="7" t="b">
        <f t="shared" si="8"/>
        <v>0</v>
      </c>
      <c r="BD29" s="7" t="b">
        <f t="shared" si="9"/>
        <v>0</v>
      </c>
      <c r="BE29" s="7" t="b">
        <f t="shared" si="2"/>
        <v>0</v>
      </c>
      <c r="BF29" s="7" t="b">
        <f t="shared" si="3"/>
        <v>0</v>
      </c>
      <c r="BG29" s="7" t="b">
        <f t="shared" si="4"/>
        <v>0</v>
      </c>
    </row>
    <row r="30" spans="2:59" ht="24" customHeight="1" x14ac:dyDescent="0.2">
      <c r="B30" s="356">
        <f ca="1">Planning!$E24</f>
        <v>19</v>
      </c>
      <c r="C30" s="363">
        <f ca="1">Planning!$F24</f>
        <v>0.47222222222222221</v>
      </c>
      <c r="D30" s="364">
        <f ca="1">Planning!$G24</f>
        <v>3</v>
      </c>
      <c r="E30" s="364" t="str">
        <f ca="1">Planning!$H24</f>
        <v>A</v>
      </c>
      <c r="F30" s="368" t="str">
        <f ca="1">Planning!$L24</f>
        <v>1. FC Riedwald</v>
      </c>
      <c r="G30" s="145" t="s">
        <v>4</v>
      </c>
      <c r="H30" s="371" t="str">
        <f ca="1">Planning!$N24</f>
        <v>FC Barcelona</v>
      </c>
      <c r="I30" s="359">
        <v>25</v>
      </c>
      <c r="J30" s="623" t="str">
        <f>Language!$E$99</f>
        <v xml:space="preserve"> - </v>
      </c>
      <c r="K30" s="554">
        <v>16</v>
      </c>
      <c r="L30" s="629">
        <v>25</v>
      </c>
      <c r="M30" s="626" t="str">
        <f>Language!$E$99</f>
        <v xml:space="preserve"> - </v>
      </c>
      <c r="N30" s="621">
        <v>21</v>
      </c>
      <c r="O30" s="629"/>
      <c r="P30" s="626" t="str">
        <f>Language!$E$99</f>
        <v xml:space="preserve"> - </v>
      </c>
      <c r="Q30" s="621"/>
      <c r="R30" s="642">
        <f t="shared" ca="1" si="5"/>
        <v>2</v>
      </c>
      <c r="S30" s="636" t="str">
        <f>Language!$E$99</f>
        <v xml:space="preserve"> - </v>
      </c>
      <c r="T30" s="637">
        <f t="shared" ca="1" si="6"/>
        <v>0</v>
      </c>
      <c r="U30" s="603" t="str">
        <f>IF(Planning!$O24="","",Planning!$O24)</f>
        <v/>
      </c>
      <c r="W30" s="889" t="str">
        <f>Language!$E$40</f>
        <v>End of preliminary round:</v>
      </c>
      <c r="X30" s="889"/>
      <c r="Y30" s="889"/>
      <c r="Z30" s="889"/>
      <c r="AA30" s="889"/>
      <c r="AB30" s="889"/>
      <c r="AC30" s="889"/>
      <c r="AD30" s="889"/>
      <c r="AE30" s="889"/>
      <c r="AF30" s="889"/>
      <c r="AG30" s="889"/>
      <c r="AH30" s="889"/>
      <c r="AI30" s="889"/>
      <c r="AJ30" s="889"/>
      <c r="AK30" s="888">
        <f ca="1">Planning!$S$13</f>
        <v>0.49305555555555558</v>
      </c>
      <c r="AL30" s="888"/>
      <c r="AM30" s="888"/>
      <c r="AN30" s="888"/>
      <c r="AO30" s="888"/>
      <c r="AP30" s="888"/>
      <c r="AQ30" s="888"/>
      <c r="AR30" s="888"/>
      <c r="BA30" s="7" t="b">
        <f t="shared" ca="1" si="1"/>
        <v>0</v>
      </c>
      <c r="BB30" s="7" t="b">
        <f t="shared" si="7"/>
        <v>0</v>
      </c>
      <c r="BC30" s="7" t="b">
        <f t="shared" si="8"/>
        <v>0</v>
      </c>
      <c r="BD30" s="7" t="b">
        <f t="shared" si="9"/>
        <v>0</v>
      </c>
      <c r="BE30" s="7" t="b">
        <f t="shared" si="2"/>
        <v>0</v>
      </c>
      <c r="BF30" s="7" t="b">
        <f t="shared" si="3"/>
        <v>0</v>
      </c>
      <c r="BG30" s="7" t="b">
        <f t="shared" si="4"/>
        <v>0</v>
      </c>
    </row>
    <row r="31" spans="2:59" ht="24" customHeight="1" x14ac:dyDescent="0.2">
      <c r="B31" s="356">
        <f ca="1">Planning!$E25</f>
        <v>20</v>
      </c>
      <c r="C31" s="363">
        <f ca="1">Planning!$F25</f>
        <v>0.47222222222222221</v>
      </c>
      <c r="D31" s="364">
        <f ca="1">Planning!$G25</f>
        <v>4</v>
      </c>
      <c r="E31" s="364" t="str">
        <f ca="1">Planning!$H25</f>
        <v>B</v>
      </c>
      <c r="F31" s="368" t="str">
        <f ca="1">Planning!$L25</f>
        <v>Mainz 05</v>
      </c>
      <c r="G31" s="145" t="s">
        <v>4</v>
      </c>
      <c r="H31" s="371" t="str">
        <f ca="1">Planning!$N25</f>
        <v>Inter Mailand</v>
      </c>
      <c r="I31" s="359">
        <v>15</v>
      </c>
      <c r="J31" s="623" t="str">
        <f>Language!$E$99</f>
        <v xml:space="preserve"> - </v>
      </c>
      <c r="K31" s="554">
        <v>25</v>
      </c>
      <c r="L31" s="629">
        <v>18</v>
      </c>
      <c r="M31" s="626" t="str">
        <f>Language!$E$99</f>
        <v xml:space="preserve"> - </v>
      </c>
      <c r="N31" s="621">
        <v>25</v>
      </c>
      <c r="O31" s="629"/>
      <c r="P31" s="626" t="str">
        <f>Language!$E$99</f>
        <v xml:space="preserve"> - </v>
      </c>
      <c r="Q31" s="621"/>
      <c r="R31" s="642">
        <f t="shared" ca="1" si="5"/>
        <v>0</v>
      </c>
      <c r="S31" s="636" t="str">
        <f>Language!$E$99</f>
        <v xml:space="preserve"> - </v>
      </c>
      <c r="T31" s="637">
        <f t="shared" ca="1" si="6"/>
        <v>2</v>
      </c>
      <c r="U31" s="603" t="str">
        <f>IF(Planning!$O25="","",Planning!$O25)</f>
        <v/>
      </c>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BA31" s="7" t="b">
        <f t="shared" ca="1" si="1"/>
        <v>0</v>
      </c>
      <c r="BB31" s="7" t="b">
        <f t="shared" si="7"/>
        <v>0</v>
      </c>
      <c r="BC31" s="7" t="b">
        <f t="shared" si="8"/>
        <v>0</v>
      </c>
      <c r="BD31" s="7" t="b">
        <f t="shared" si="9"/>
        <v>0</v>
      </c>
      <c r="BE31" s="7" t="b">
        <f t="shared" si="2"/>
        <v>0</v>
      </c>
      <c r="BF31" s="7" t="b">
        <f t="shared" si="3"/>
        <v>0</v>
      </c>
      <c r="BG31" s="7" t="b">
        <f t="shared" si="4"/>
        <v>0</v>
      </c>
    </row>
    <row r="32" spans="2:59" ht="24" customHeight="1" x14ac:dyDescent="0.4">
      <c r="B32" s="356" t="str">
        <f>Planning!$E26</f>
        <v/>
      </c>
      <c r="C32" s="363" t="str">
        <f>Planning!$F26</f>
        <v/>
      </c>
      <c r="D32" s="364" t="str">
        <f>Planning!$G26</f>
        <v/>
      </c>
      <c r="E32" s="364" t="str">
        <f ca="1">Planning!$H26</f>
        <v/>
      </c>
      <c r="F32" s="368" t="str">
        <f ca="1">Planning!$L26</f>
        <v/>
      </c>
      <c r="G32" s="145" t="s">
        <v>4</v>
      </c>
      <c r="H32" s="371" t="str">
        <f ca="1">Planning!$N26</f>
        <v/>
      </c>
      <c r="I32" s="359"/>
      <c r="J32" s="623" t="str">
        <f>Language!$E$99</f>
        <v xml:space="preserve"> - </v>
      </c>
      <c r="K32" s="554"/>
      <c r="L32" s="629"/>
      <c r="M32" s="626" t="str">
        <f>Language!$E$99</f>
        <v xml:space="preserve"> - </v>
      </c>
      <c r="N32" s="621"/>
      <c r="O32" s="629"/>
      <c r="P32" s="626" t="str">
        <f>Language!$E$99</f>
        <v xml:space="preserve"> - </v>
      </c>
      <c r="Q32" s="621"/>
      <c r="R32" s="642" t="str">
        <f t="shared" ca="1" si="5"/>
        <v/>
      </c>
      <c r="S32" s="636" t="str">
        <f>Language!$E$99</f>
        <v xml:space="preserve"> - </v>
      </c>
      <c r="T32" s="637" t="str">
        <f t="shared" ca="1" si="6"/>
        <v/>
      </c>
      <c r="U32" s="603" t="str">
        <f>IF(Planning!$O26="","",Planning!$O26)</f>
        <v/>
      </c>
      <c r="W32" s="188"/>
      <c r="X32" s="188"/>
      <c r="Y32" s="188"/>
      <c r="Z32" s="188"/>
      <c r="AA32" s="188"/>
      <c r="AB32" s="188"/>
      <c r="AC32" s="188"/>
      <c r="AD32" s="188"/>
      <c r="AE32" s="188"/>
      <c r="AF32" s="188"/>
      <c r="AG32" s="188"/>
      <c r="AH32" s="188"/>
      <c r="AI32" s="188"/>
      <c r="AJ32" s="188"/>
      <c r="AK32" s="188"/>
      <c r="AL32" s="234"/>
      <c r="AM32" s="234"/>
      <c r="AN32" s="234"/>
      <c r="AO32" s="234"/>
      <c r="AP32" s="234"/>
      <c r="AQ32" s="234"/>
      <c r="AR32" s="188"/>
      <c r="BA32" s="7" t="b">
        <f t="shared" ca="1" si="1"/>
        <v>1</v>
      </c>
      <c r="BB32" s="7" t="b">
        <f t="shared" si="7"/>
        <v>0</v>
      </c>
      <c r="BC32" s="7" t="b">
        <f t="shared" si="8"/>
        <v>0</v>
      </c>
      <c r="BD32" s="7" t="b">
        <f t="shared" si="9"/>
        <v>0</v>
      </c>
      <c r="BE32" s="7" t="b">
        <f t="shared" si="2"/>
        <v>0</v>
      </c>
      <c r="BF32" s="7" t="b">
        <f t="shared" si="3"/>
        <v>0</v>
      </c>
      <c r="BG32" s="7" t="b">
        <f t="shared" si="4"/>
        <v>0</v>
      </c>
    </row>
    <row r="33" spans="2:59" ht="24" customHeight="1" x14ac:dyDescent="0.2">
      <c r="B33" s="356" t="str">
        <f>Planning!$E27</f>
        <v/>
      </c>
      <c r="C33" s="363" t="str">
        <f>Planning!$F27</f>
        <v/>
      </c>
      <c r="D33" s="364" t="str">
        <f>Planning!$G27</f>
        <v/>
      </c>
      <c r="E33" s="364" t="str">
        <f ca="1">Planning!$H27</f>
        <v/>
      </c>
      <c r="F33" s="368" t="str">
        <f ca="1">Planning!$L27</f>
        <v/>
      </c>
      <c r="G33" s="145" t="s">
        <v>4</v>
      </c>
      <c r="H33" s="371" t="str">
        <f ca="1">Planning!$N27</f>
        <v/>
      </c>
      <c r="I33" s="359"/>
      <c r="J33" s="623" t="str">
        <f>Language!$E$99</f>
        <v xml:space="preserve"> - </v>
      </c>
      <c r="K33" s="554"/>
      <c r="L33" s="629"/>
      <c r="M33" s="626" t="str">
        <f>Language!$E$99</f>
        <v xml:space="preserve"> - </v>
      </c>
      <c r="N33" s="621"/>
      <c r="O33" s="629"/>
      <c r="P33" s="626" t="str">
        <f>Language!$E$99</f>
        <v xml:space="preserve"> - </v>
      </c>
      <c r="Q33" s="621"/>
      <c r="R33" s="642" t="str">
        <f t="shared" ca="1" si="5"/>
        <v/>
      </c>
      <c r="S33" s="636" t="str">
        <f>Language!$E$99</f>
        <v xml:space="preserve"> - </v>
      </c>
      <c r="T33" s="637" t="str">
        <f t="shared" ca="1" si="6"/>
        <v/>
      </c>
      <c r="U33" s="603" t="str">
        <f>IF(Planning!$O27="","",Planning!$O27)</f>
        <v/>
      </c>
      <c r="W33" s="189"/>
      <c r="X33" s="188"/>
      <c r="Y33" s="188"/>
      <c r="Z33" s="188"/>
      <c r="AA33" s="188"/>
      <c r="AB33" s="188"/>
      <c r="AC33" s="188"/>
      <c r="AD33" s="188"/>
      <c r="AE33" s="188"/>
      <c r="AF33" s="188"/>
      <c r="AG33" s="188"/>
      <c r="AH33" s="188"/>
      <c r="AI33" s="188"/>
      <c r="AJ33" s="188"/>
      <c r="AK33" s="188"/>
      <c r="AL33" s="188"/>
      <c r="AM33" s="188"/>
      <c r="AN33" s="188"/>
      <c r="AO33" s="188"/>
      <c r="AP33" s="188"/>
      <c r="AQ33" s="188"/>
      <c r="AR33" s="188"/>
      <c r="BA33" s="7" t="b">
        <f t="shared" ca="1" si="1"/>
        <v>1</v>
      </c>
      <c r="BB33" s="7" t="b">
        <f t="shared" si="7"/>
        <v>0</v>
      </c>
      <c r="BC33" s="7" t="b">
        <f t="shared" si="8"/>
        <v>0</v>
      </c>
      <c r="BD33" s="7" t="b">
        <f t="shared" si="9"/>
        <v>0</v>
      </c>
      <c r="BE33" s="7" t="b">
        <f t="shared" si="2"/>
        <v>0</v>
      </c>
      <c r="BF33" s="7" t="b">
        <f t="shared" si="3"/>
        <v>0</v>
      </c>
      <c r="BG33" s="7" t="b">
        <f t="shared" si="4"/>
        <v>0</v>
      </c>
    </row>
    <row r="34" spans="2:59" ht="24" customHeight="1" x14ac:dyDescent="0.2">
      <c r="B34" s="356" t="str">
        <f>Planning!$E28</f>
        <v/>
      </c>
      <c r="C34" s="363" t="str">
        <f>Planning!$F28</f>
        <v/>
      </c>
      <c r="D34" s="364" t="str">
        <f>Planning!$G28</f>
        <v/>
      </c>
      <c r="E34" s="364" t="str">
        <f ca="1">Planning!$H28</f>
        <v/>
      </c>
      <c r="F34" s="368" t="str">
        <f ca="1">Planning!$L28</f>
        <v/>
      </c>
      <c r="G34" s="145" t="s">
        <v>4</v>
      </c>
      <c r="H34" s="371" t="str">
        <f ca="1">Planning!$N28</f>
        <v/>
      </c>
      <c r="I34" s="359"/>
      <c r="J34" s="623" t="str">
        <f>Language!$E$99</f>
        <v xml:space="preserve"> - </v>
      </c>
      <c r="K34" s="554"/>
      <c r="L34" s="629"/>
      <c r="M34" s="626" t="str">
        <f>Language!$E$99</f>
        <v xml:space="preserve"> - </v>
      </c>
      <c r="N34" s="621"/>
      <c r="O34" s="629"/>
      <c r="P34" s="626" t="str">
        <f>Language!$E$99</f>
        <v xml:space="preserve"> - </v>
      </c>
      <c r="Q34" s="621"/>
      <c r="R34" s="642" t="str">
        <f t="shared" ca="1" si="5"/>
        <v/>
      </c>
      <c r="S34" s="636" t="str">
        <f>Language!$E$99</f>
        <v xml:space="preserve"> - </v>
      </c>
      <c r="T34" s="637" t="str">
        <f t="shared" ca="1" si="6"/>
        <v/>
      </c>
      <c r="U34" s="603" t="str">
        <f>IF(Planning!$O28="","",Planning!$O28)</f>
        <v/>
      </c>
      <c r="W34" s="190"/>
      <c r="X34" s="190"/>
      <c r="Y34" s="190"/>
      <c r="Z34" s="190"/>
      <c r="AA34" s="190"/>
      <c r="AB34" s="190"/>
      <c r="AC34" s="190"/>
      <c r="AD34" s="190"/>
      <c r="AE34" s="190"/>
      <c r="AF34" s="190"/>
      <c r="AG34" s="190"/>
      <c r="AH34" s="190"/>
      <c r="AI34" s="190"/>
      <c r="AJ34" s="190"/>
      <c r="AK34" s="190"/>
      <c r="AL34" s="191"/>
      <c r="AM34" s="191"/>
      <c r="AN34" s="191"/>
      <c r="AO34" s="191"/>
      <c r="AP34" s="191"/>
      <c r="AQ34" s="191"/>
      <c r="AR34" s="192"/>
      <c r="BA34" s="7" t="b">
        <f t="shared" ca="1" si="1"/>
        <v>1</v>
      </c>
      <c r="BB34" s="7" t="b">
        <f t="shared" si="7"/>
        <v>0</v>
      </c>
      <c r="BC34" s="7" t="b">
        <f t="shared" si="8"/>
        <v>0</v>
      </c>
      <c r="BD34" s="7" t="b">
        <f t="shared" si="9"/>
        <v>0</v>
      </c>
      <c r="BE34" s="7" t="b">
        <f t="shared" si="2"/>
        <v>0</v>
      </c>
      <c r="BF34" s="7" t="b">
        <f t="shared" si="3"/>
        <v>0</v>
      </c>
      <c r="BG34" s="7" t="b">
        <f t="shared" si="4"/>
        <v>0</v>
      </c>
    </row>
    <row r="35" spans="2:59" ht="24" customHeight="1" x14ac:dyDescent="0.2">
      <c r="B35" s="356" t="str">
        <f>Planning!$E29</f>
        <v/>
      </c>
      <c r="C35" s="363" t="str">
        <f>Planning!$F29</f>
        <v/>
      </c>
      <c r="D35" s="364" t="str">
        <f>Planning!$G29</f>
        <v/>
      </c>
      <c r="E35" s="364" t="str">
        <f ca="1">Planning!$H29</f>
        <v/>
      </c>
      <c r="F35" s="368" t="str">
        <f ca="1">Planning!$L29</f>
        <v/>
      </c>
      <c r="G35" s="145" t="s">
        <v>4</v>
      </c>
      <c r="H35" s="371" t="str">
        <f ca="1">Planning!$N29</f>
        <v/>
      </c>
      <c r="I35" s="359"/>
      <c r="J35" s="623" t="str">
        <f>Language!$E$99</f>
        <v xml:space="preserve"> - </v>
      </c>
      <c r="K35" s="554"/>
      <c r="L35" s="629"/>
      <c r="M35" s="626" t="str">
        <f>Language!$E$99</f>
        <v xml:space="preserve"> - </v>
      </c>
      <c r="N35" s="621"/>
      <c r="O35" s="629"/>
      <c r="P35" s="626" t="str">
        <f>Language!$E$99</f>
        <v xml:space="preserve"> - </v>
      </c>
      <c r="Q35" s="621"/>
      <c r="R35" s="642" t="str">
        <f t="shared" ca="1" si="5"/>
        <v/>
      </c>
      <c r="S35" s="636" t="str">
        <f>Language!$E$99</f>
        <v xml:space="preserve"> - </v>
      </c>
      <c r="T35" s="637" t="str">
        <f t="shared" ca="1" si="6"/>
        <v/>
      </c>
      <c r="U35" s="603" t="str">
        <f>IF(Planning!$O29="","",Planning!$O29)</f>
        <v/>
      </c>
      <c r="W35" s="233"/>
      <c r="X35" s="233"/>
      <c r="Y35" s="193"/>
      <c r="Z35" s="193"/>
      <c r="AA35" s="193"/>
      <c r="AB35" s="193"/>
      <c r="AC35" s="193"/>
      <c r="AD35" s="193"/>
      <c r="AE35" s="193"/>
      <c r="AF35" s="193"/>
      <c r="AG35" s="232"/>
      <c r="AH35" s="232"/>
      <c r="AI35" s="232"/>
      <c r="AJ35" s="193"/>
      <c r="AK35" s="193"/>
      <c r="AL35" s="194"/>
      <c r="AM35" s="194"/>
      <c r="AN35" s="194"/>
      <c r="AO35" s="194"/>
      <c r="AP35" s="194"/>
      <c r="AQ35" s="194"/>
      <c r="AR35" s="192"/>
      <c r="BA35" s="7" t="b">
        <f t="shared" ca="1" si="1"/>
        <v>1</v>
      </c>
      <c r="BB35" s="7" t="b">
        <f t="shared" si="7"/>
        <v>0</v>
      </c>
      <c r="BC35" s="7" t="b">
        <f t="shared" si="8"/>
        <v>0</v>
      </c>
      <c r="BD35" s="7" t="b">
        <f t="shared" si="9"/>
        <v>0</v>
      </c>
      <c r="BE35" s="7" t="b">
        <f t="shared" si="2"/>
        <v>0</v>
      </c>
      <c r="BF35" s="7" t="b">
        <f t="shared" si="3"/>
        <v>0</v>
      </c>
      <c r="BG35" s="7" t="b">
        <f t="shared" si="4"/>
        <v>0</v>
      </c>
    </row>
    <row r="36" spans="2:59" ht="24" customHeight="1" x14ac:dyDescent="0.2">
      <c r="B36" s="356" t="str">
        <f>Planning!$E30</f>
        <v/>
      </c>
      <c r="C36" s="363" t="str">
        <f>Planning!$F30</f>
        <v/>
      </c>
      <c r="D36" s="364" t="str">
        <f>Planning!$G30</f>
        <v/>
      </c>
      <c r="E36" s="364" t="str">
        <f ca="1">Planning!$H30</f>
        <v/>
      </c>
      <c r="F36" s="368" t="str">
        <f ca="1">Planning!$L30</f>
        <v/>
      </c>
      <c r="G36" s="145" t="s">
        <v>4</v>
      </c>
      <c r="H36" s="371" t="str">
        <f ca="1">Planning!$N30</f>
        <v/>
      </c>
      <c r="I36" s="359"/>
      <c r="J36" s="623" t="str">
        <f>Language!$E$99</f>
        <v xml:space="preserve"> - </v>
      </c>
      <c r="K36" s="554"/>
      <c r="L36" s="629"/>
      <c r="M36" s="626" t="str">
        <f>Language!$E$99</f>
        <v xml:space="preserve"> - </v>
      </c>
      <c r="N36" s="621"/>
      <c r="O36" s="629"/>
      <c r="P36" s="626" t="str">
        <f>Language!$E$99</f>
        <v xml:space="preserve"> - </v>
      </c>
      <c r="Q36" s="621"/>
      <c r="R36" s="642" t="str">
        <f t="shared" ca="1" si="5"/>
        <v/>
      </c>
      <c r="S36" s="636" t="str">
        <f>Language!$E$99</f>
        <v xml:space="preserve"> - </v>
      </c>
      <c r="T36" s="637" t="str">
        <f t="shared" ca="1" si="6"/>
        <v/>
      </c>
      <c r="U36" s="603" t="str">
        <f>IF(Planning!$O30="","",Planning!$O30)</f>
        <v/>
      </c>
      <c r="W36" s="190"/>
      <c r="X36" s="195"/>
      <c r="Y36" s="196"/>
      <c r="Z36" s="196"/>
      <c r="AA36" s="196"/>
      <c r="AB36" s="196"/>
      <c r="AC36" s="196"/>
      <c r="AD36" s="196"/>
      <c r="AE36" s="196"/>
      <c r="AF36" s="196"/>
      <c r="AG36" s="197"/>
      <c r="AH36" s="196"/>
      <c r="AI36" s="195"/>
      <c r="AJ36" s="196"/>
      <c r="AK36" s="198"/>
      <c r="AL36" s="196"/>
      <c r="AM36" s="196"/>
      <c r="AN36" s="196"/>
      <c r="AO36" s="196"/>
      <c r="AP36" s="196"/>
      <c r="AQ36" s="196"/>
      <c r="AR36" s="195"/>
      <c r="BA36" s="7" t="b">
        <f t="shared" ca="1" si="1"/>
        <v>1</v>
      </c>
      <c r="BB36" s="7" t="b">
        <f t="shared" si="7"/>
        <v>0</v>
      </c>
      <c r="BC36" s="7" t="b">
        <f t="shared" si="8"/>
        <v>0</v>
      </c>
      <c r="BD36" s="7" t="b">
        <f t="shared" si="9"/>
        <v>0</v>
      </c>
      <c r="BE36" s="7" t="b">
        <f t="shared" si="2"/>
        <v>0</v>
      </c>
      <c r="BF36" s="7" t="b">
        <f t="shared" si="3"/>
        <v>0</v>
      </c>
      <c r="BG36" s="7" t="b">
        <f t="shared" si="4"/>
        <v>0</v>
      </c>
    </row>
    <row r="37" spans="2:59" ht="24" customHeight="1" x14ac:dyDescent="0.2">
      <c r="B37" s="356" t="str">
        <f>Planning!$E31</f>
        <v/>
      </c>
      <c r="C37" s="363" t="str">
        <f>Planning!$F31</f>
        <v/>
      </c>
      <c r="D37" s="364" t="str">
        <f>Planning!$G31</f>
        <v/>
      </c>
      <c r="E37" s="364" t="str">
        <f ca="1">Planning!$H31</f>
        <v/>
      </c>
      <c r="F37" s="368" t="str">
        <f ca="1">Planning!$L31</f>
        <v/>
      </c>
      <c r="G37" s="145" t="s">
        <v>4</v>
      </c>
      <c r="H37" s="371" t="str">
        <f ca="1">Planning!$N31</f>
        <v/>
      </c>
      <c r="I37" s="359"/>
      <c r="J37" s="623" t="str">
        <f>Language!$E$99</f>
        <v xml:space="preserve"> - </v>
      </c>
      <c r="K37" s="554"/>
      <c r="L37" s="629"/>
      <c r="M37" s="626" t="str">
        <f>Language!$E$99</f>
        <v xml:space="preserve"> - </v>
      </c>
      <c r="N37" s="621"/>
      <c r="O37" s="629"/>
      <c r="P37" s="626" t="str">
        <f>Language!$E$99</f>
        <v xml:space="preserve"> - </v>
      </c>
      <c r="Q37" s="621"/>
      <c r="R37" s="642" t="str">
        <f t="shared" ca="1" si="5"/>
        <v/>
      </c>
      <c r="S37" s="636" t="str">
        <f>Language!$E$99</f>
        <v xml:space="preserve"> - </v>
      </c>
      <c r="T37" s="637" t="str">
        <f t="shared" ca="1" si="6"/>
        <v/>
      </c>
      <c r="U37" s="603" t="str">
        <f>IF(Planning!$O31="","",Planning!$O31)</f>
        <v/>
      </c>
      <c r="W37" s="190"/>
      <c r="X37" s="195"/>
      <c r="Y37" s="196"/>
      <c r="Z37" s="196"/>
      <c r="AA37" s="196"/>
      <c r="AB37" s="196"/>
      <c r="AC37" s="196"/>
      <c r="AD37" s="196"/>
      <c r="AE37" s="196"/>
      <c r="AF37" s="196"/>
      <c r="AG37" s="197"/>
      <c r="AH37" s="196"/>
      <c r="AI37" s="195"/>
      <c r="AJ37" s="196"/>
      <c r="AK37" s="198"/>
      <c r="AL37" s="196"/>
      <c r="AM37" s="196"/>
      <c r="AN37" s="196"/>
      <c r="AO37" s="196"/>
      <c r="AP37" s="196"/>
      <c r="AQ37" s="196"/>
      <c r="AR37" s="195"/>
      <c r="BA37" s="7" t="b">
        <f t="shared" ca="1" si="1"/>
        <v>1</v>
      </c>
      <c r="BB37" s="7" t="b">
        <f t="shared" si="7"/>
        <v>0</v>
      </c>
      <c r="BC37" s="7" t="b">
        <f t="shared" si="8"/>
        <v>0</v>
      </c>
      <c r="BD37" s="7" t="b">
        <f t="shared" si="9"/>
        <v>0</v>
      </c>
      <c r="BE37" s="7" t="b">
        <f t="shared" si="2"/>
        <v>0</v>
      </c>
      <c r="BF37" s="7" t="b">
        <f t="shared" si="3"/>
        <v>0</v>
      </c>
      <c r="BG37" s="7" t="b">
        <f t="shared" si="4"/>
        <v>0</v>
      </c>
    </row>
    <row r="38" spans="2:59" ht="24" customHeight="1" x14ac:dyDescent="0.2">
      <c r="B38" s="356" t="str">
        <f>Planning!$E32</f>
        <v/>
      </c>
      <c r="C38" s="363" t="str">
        <f>Planning!$F32</f>
        <v/>
      </c>
      <c r="D38" s="364" t="str">
        <f>Planning!$G32</f>
        <v/>
      </c>
      <c r="E38" s="364" t="str">
        <f ca="1">Planning!$H32</f>
        <v/>
      </c>
      <c r="F38" s="368" t="str">
        <f ca="1">Planning!$L32</f>
        <v/>
      </c>
      <c r="G38" s="145" t="s">
        <v>4</v>
      </c>
      <c r="H38" s="371" t="str">
        <f ca="1">Planning!$N32</f>
        <v/>
      </c>
      <c r="I38" s="359"/>
      <c r="J38" s="623" t="str">
        <f>Language!$E$99</f>
        <v xml:space="preserve"> - </v>
      </c>
      <c r="K38" s="554"/>
      <c r="L38" s="629"/>
      <c r="M38" s="626" t="str">
        <f>Language!$E$99</f>
        <v xml:space="preserve"> - </v>
      </c>
      <c r="N38" s="621"/>
      <c r="O38" s="629"/>
      <c r="P38" s="626" t="str">
        <f>Language!$E$99</f>
        <v xml:space="preserve"> - </v>
      </c>
      <c r="Q38" s="621"/>
      <c r="R38" s="642" t="str">
        <f t="shared" ca="1" si="5"/>
        <v/>
      </c>
      <c r="S38" s="636" t="str">
        <f>Language!$E$99</f>
        <v xml:space="preserve"> - </v>
      </c>
      <c r="T38" s="637" t="str">
        <f t="shared" ca="1" si="6"/>
        <v/>
      </c>
      <c r="U38" s="603" t="str">
        <f>IF(Planning!$O32="","",Planning!$O32)</f>
        <v/>
      </c>
      <c r="W38" s="190"/>
      <c r="X38" s="195"/>
      <c r="Y38" s="196"/>
      <c r="Z38" s="196"/>
      <c r="AA38" s="196"/>
      <c r="AB38" s="196"/>
      <c r="AC38" s="196"/>
      <c r="AD38" s="196"/>
      <c r="AE38" s="196"/>
      <c r="AF38" s="196"/>
      <c r="AG38" s="197"/>
      <c r="AH38" s="196"/>
      <c r="AI38" s="195"/>
      <c r="AJ38" s="196"/>
      <c r="AK38" s="198"/>
      <c r="AL38" s="196"/>
      <c r="AM38" s="196"/>
      <c r="AN38" s="196"/>
      <c r="AO38" s="196"/>
      <c r="AP38" s="196"/>
      <c r="AQ38" s="196"/>
      <c r="AR38" s="195"/>
      <c r="BA38" s="7" t="b">
        <f t="shared" ca="1" si="1"/>
        <v>1</v>
      </c>
      <c r="BB38" s="7" t="b">
        <f t="shared" si="7"/>
        <v>0</v>
      </c>
      <c r="BC38" s="7" t="b">
        <f t="shared" si="8"/>
        <v>0</v>
      </c>
      <c r="BD38" s="7" t="b">
        <f t="shared" si="9"/>
        <v>0</v>
      </c>
      <c r="BE38" s="7" t="b">
        <f t="shared" si="2"/>
        <v>0</v>
      </c>
      <c r="BF38" s="7" t="b">
        <f t="shared" si="3"/>
        <v>0</v>
      </c>
      <c r="BG38" s="7" t="b">
        <f t="shared" si="4"/>
        <v>0</v>
      </c>
    </row>
    <row r="39" spans="2:59" ht="24" customHeight="1" x14ac:dyDescent="0.2">
      <c r="B39" s="356" t="str">
        <f>Planning!$E33</f>
        <v/>
      </c>
      <c r="C39" s="363" t="str">
        <f>Planning!$F33</f>
        <v/>
      </c>
      <c r="D39" s="364" t="str">
        <f>Planning!$G33</f>
        <v/>
      </c>
      <c r="E39" s="364" t="str">
        <f ca="1">Planning!$H33</f>
        <v/>
      </c>
      <c r="F39" s="368" t="str">
        <f ca="1">Planning!$L33</f>
        <v/>
      </c>
      <c r="G39" s="145" t="s">
        <v>4</v>
      </c>
      <c r="H39" s="371" t="str">
        <f ca="1">Planning!$N33</f>
        <v/>
      </c>
      <c r="I39" s="359"/>
      <c r="J39" s="623" t="str">
        <f>Language!$E$99</f>
        <v xml:space="preserve"> - </v>
      </c>
      <c r="K39" s="554"/>
      <c r="L39" s="629"/>
      <c r="M39" s="626" t="str">
        <f>Language!$E$99</f>
        <v xml:space="preserve"> - </v>
      </c>
      <c r="N39" s="621"/>
      <c r="O39" s="629"/>
      <c r="P39" s="626" t="str">
        <f>Language!$E$99</f>
        <v xml:space="preserve"> - </v>
      </c>
      <c r="Q39" s="621"/>
      <c r="R39" s="642" t="str">
        <f t="shared" ca="1" si="5"/>
        <v/>
      </c>
      <c r="S39" s="636" t="str">
        <f>Language!$E$99</f>
        <v xml:space="preserve"> - </v>
      </c>
      <c r="T39" s="637" t="str">
        <f t="shared" ca="1" si="6"/>
        <v/>
      </c>
      <c r="U39" s="603" t="str">
        <f>IF(Planning!$O33="","",Planning!$O33)</f>
        <v/>
      </c>
      <c r="W39" s="190"/>
      <c r="X39" s="195"/>
      <c r="Y39" s="196"/>
      <c r="Z39" s="196"/>
      <c r="AA39" s="196"/>
      <c r="AB39" s="196"/>
      <c r="AC39" s="196"/>
      <c r="AD39" s="196"/>
      <c r="AE39" s="196"/>
      <c r="AF39" s="196"/>
      <c r="AG39" s="197"/>
      <c r="AH39" s="196"/>
      <c r="AI39" s="195"/>
      <c r="AJ39" s="196"/>
      <c r="AK39" s="198"/>
      <c r="AL39" s="196"/>
      <c r="AM39" s="196"/>
      <c r="AN39" s="196"/>
      <c r="AO39" s="196"/>
      <c r="AP39" s="196"/>
      <c r="AQ39" s="196"/>
      <c r="AR39" s="195"/>
      <c r="BA39" s="7" t="b">
        <f t="shared" ca="1" si="1"/>
        <v>1</v>
      </c>
      <c r="BB39" s="7" t="b">
        <f t="shared" si="7"/>
        <v>0</v>
      </c>
      <c r="BC39" s="7" t="b">
        <f t="shared" si="8"/>
        <v>0</v>
      </c>
      <c r="BD39" s="7" t="b">
        <f t="shared" si="9"/>
        <v>0</v>
      </c>
      <c r="BE39" s="7" t="b">
        <f t="shared" si="2"/>
        <v>0</v>
      </c>
      <c r="BF39" s="7" t="b">
        <f t="shared" si="3"/>
        <v>0</v>
      </c>
      <c r="BG39" s="7" t="b">
        <f t="shared" si="4"/>
        <v>0</v>
      </c>
    </row>
    <row r="40" spans="2:59" ht="24" customHeight="1" x14ac:dyDescent="0.2">
      <c r="B40" s="356" t="str">
        <f>Planning!$E34</f>
        <v/>
      </c>
      <c r="C40" s="363" t="str">
        <f>Planning!$F34</f>
        <v/>
      </c>
      <c r="D40" s="364" t="str">
        <f>Planning!$G34</f>
        <v/>
      </c>
      <c r="E40" s="364" t="str">
        <f ca="1">Planning!$H34</f>
        <v/>
      </c>
      <c r="F40" s="368" t="str">
        <f ca="1">Planning!$L34</f>
        <v/>
      </c>
      <c r="G40" s="145" t="s">
        <v>4</v>
      </c>
      <c r="H40" s="371" t="str">
        <f ca="1">Planning!$N34</f>
        <v/>
      </c>
      <c r="I40" s="359"/>
      <c r="J40" s="623" t="str">
        <f>Language!$E$99</f>
        <v xml:space="preserve"> - </v>
      </c>
      <c r="K40" s="554"/>
      <c r="L40" s="629"/>
      <c r="M40" s="626" t="str">
        <f>Language!$E$99</f>
        <v xml:space="preserve"> - </v>
      </c>
      <c r="N40" s="621"/>
      <c r="O40" s="629"/>
      <c r="P40" s="626" t="str">
        <f>Language!$E$99</f>
        <v xml:space="preserve"> - </v>
      </c>
      <c r="Q40" s="621"/>
      <c r="R40" s="642" t="str">
        <f t="shared" ca="1" si="5"/>
        <v/>
      </c>
      <c r="S40" s="636" t="str">
        <f>Language!$E$99</f>
        <v xml:space="preserve"> - </v>
      </c>
      <c r="T40" s="637" t="str">
        <f t="shared" ca="1" si="6"/>
        <v/>
      </c>
      <c r="U40" s="603" t="str">
        <f>IF(Planning!$O34="","",Planning!$O34)</f>
        <v/>
      </c>
      <c r="W40" s="190"/>
      <c r="X40" s="195"/>
      <c r="Y40" s="196"/>
      <c r="Z40" s="196"/>
      <c r="AA40" s="196"/>
      <c r="AB40" s="196"/>
      <c r="AC40" s="196"/>
      <c r="AD40" s="196"/>
      <c r="AE40" s="196"/>
      <c r="AF40" s="196"/>
      <c r="AG40" s="197"/>
      <c r="AH40" s="196"/>
      <c r="AI40" s="195"/>
      <c r="AJ40" s="196"/>
      <c r="AK40" s="198"/>
      <c r="AL40" s="196"/>
      <c r="AM40" s="196"/>
      <c r="AN40" s="196"/>
      <c r="AO40" s="196"/>
      <c r="AP40" s="196"/>
      <c r="AQ40" s="196"/>
      <c r="AR40" s="195"/>
      <c r="BA40" s="7" t="b">
        <f t="shared" ca="1" si="1"/>
        <v>1</v>
      </c>
      <c r="BB40" s="7" t="b">
        <f t="shared" si="7"/>
        <v>0</v>
      </c>
      <c r="BC40" s="7" t="b">
        <f t="shared" si="8"/>
        <v>0</v>
      </c>
      <c r="BD40" s="7" t="b">
        <f t="shared" si="9"/>
        <v>0</v>
      </c>
      <c r="BE40" s="7" t="b">
        <f t="shared" si="2"/>
        <v>0</v>
      </c>
      <c r="BF40" s="7" t="b">
        <f t="shared" si="3"/>
        <v>0</v>
      </c>
      <c r="BG40" s="7" t="b">
        <f t="shared" si="4"/>
        <v>0</v>
      </c>
    </row>
    <row r="41" spans="2:59" ht="24" customHeight="1" thickBot="1" x14ac:dyDescent="0.25">
      <c r="B41" s="357" t="str">
        <f>Planning!$E35</f>
        <v/>
      </c>
      <c r="C41" s="365" t="str">
        <f>Planning!$F35</f>
        <v/>
      </c>
      <c r="D41" s="366" t="str">
        <f>Planning!$G35</f>
        <v/>
      </c>
      <c r="E41" s="366" t="str">
        <f ca="1">Planning!$H35</f>
        <v/>
      </c>
      <c r="F41" s="369" t="str">
        <f ca="1">Planning!$L35</f>
        <v/>
      </c>
      <c r="G41" s="156" t="s">
        <v>4</v>
      </c>
      <c r="H41" s="372" t="str">
        <f ca="1">Planning!$N35</f>
        <v/>
      </c>
      <c r="I41" s="360"/>
      <c r="J41" s="624" t="str">
        <f>Language!$E$99</f>
        <v xml:space="preserve"> - </v>
      </c>
      <c r="K41" s="555"/>
      <c r="L41" s="630"/>
      <c r="M41" s="627" t="str">
        <f>Language!$E$99</f>
        <v xml:space="preserve"> - </v>
      </c>
      <c r="N41" s="632"/>
      <c r="O41" s="630"/>
      <c r="P41" s="627" t="str">
        <f>Language!$E$99</f>
        <v xml:space="preserve"> - </v>
      </c>
      <c r="Q41" s="632"/>
      <c r="R41" s="643" t="str">
        <f t="shared" ca="1" si="5"/>
        <v/>
      </c>
      <c r="S41" s="638" t="str">
        <f>Language!$E$99</f>
        <v xml:space="preserve"> - </v>
      </c>
      <c r="T41" s="639" t="str">
        <f t="shared" ca="1" si="6"/>
        <v/>
      </c>
      <c r="U41" s="604" t="str">
        <f>IF(Planning!$O35="","",Planning!$O35)</f>
        <v/>
      </c>
      <c r="W41" s="190"/>
      <c r="X41" s="195"/>
      <c r="Y41" s="196"/>
      <c r="Z41" s="196"/>
      <c r="AA41" s="196"/>
      <c r="AB41" s="196"/>
      <c r="AC41" s="196"/>
      <c r="AD41" s="196"/>
      <c r="AE41" s="196"/>
      <c r="AF41" s="196"/>
      <c r="AG41" s="197"/>
      <c r="AH41" s="196"/>
      <c r="AI41" s="195"/>
      <c r="AJ41" s="196"/>
      <c r="AK41" s="198"/>
      <c r="AL41" s="196"/>
      <c r="AM41" s="196"/>
      <c r="AN41" s="196"/>
      <c r="AO41" s="196"/>
      <c r="AP41" s="196"/>
      <c r="AQ41" s="196"/>
      <c r="AR41" s="195"/>
      <c r="BA41" s="7" t="b">
        <f t="shared" ca="1" si="1"/>
        <v>1</v>
      </c>
      <c r="BB41" s="7" t="b">
        <f t="shared" si="7"/>
        <v>0</v>
      </c>
      <c r="BC41" s="7" t="b">
        <f t="shared" si="8"/>
        <v>0</v>
      </c>
      <c r="BD41" s="7" t="b">
        <f t="shared" si="9"/>
        <v>0</v>
      </c>
      <c r="BE41" s="7" t="b">
        <f t="shared" si="2"/>
        <v>0</v>
      </c>
      <c r="BF41" s="7" t="b">
        <f t="shared" si="3"/>
        <v>0</v>
      </c>
      <c r="BG41" s="7" t="b">
        <f t="shared" si="4"/>
        <v>0</v>
      </c>
    </row>
    <row r="42" spans="2:59" ht="24" customHeight="1" thickTop="1" x14ac:dyDescent="0.2">
      <c r="B42" s="201"/>
      <c r="C42" s="202"/>
      <c r="D42" s="203"/>
      <c r="E42" s="203"/>
      <c r="F42" s="204"/>
      <c r="G42" s="201"/>
      <c r="H42" s="204"/>
      <c r="I42" s="205"/>
      <c r="J42" s="201"/>
      <c r="K42" s="206"/>
      <c r="L42" s="206"/>
      <c r="M42" s="206"/>
      <c r="N42" s="206"/>
      <c r="O42" s="206"/>
      <c r="P42" s="206"/>
      <c r="Q42" s="206"/>
      <c r="R42" s="206"/>
      <c r="S42" s="206"/>
      <c r="T42" s="206"/>
      <c r="W42" s="190"/>
      <c r="X42" s="195"/>
      <c r="Y42" s="196"/>
      <c r="Z42" s="196"/>
      <c r="AA42" s="196"/>
      <c r="AB42" s="196"/>
      <c r="AC42" s="196"/>
      <c r="AD42" s="196"/>
      <c r="AE42" s="196"/>
      <c r="AF42" s="196"/>
      <c r="AG42" s="197"/>
      <c r="AH42" s="196"/>
      <c r="AI42" s="195"/>
      <c r="AJ42" s="196"/>
      <c r="AK42" s="198"/>
      <c r="AL42" s="196"/>
      <c r="AM42" s="196"/>
      <c r="AN42" s="196"/>
      <c r="AO42" s="196"/>
      <c r="AP42" s="196"/>
      <c r="AQ42" s="196"/>
      <c r="AR42" s="195"/>
    </row>
    <row r="43" spans="2:59" x14ac:dyDescent="0.2"/>
  </sheetData>
  <sheetProtection sheet="1" selectLockedCells="1"/>
  <mergeCells count="25">
    <mergeCell ref="W1:X1"/>
    <mergeCell ref="F11:H11"/>
    <mergeCell ref="I11:K11"/>
    <mergeCell ref="AG11:AI11"/>
    <mergeCell ref="W11:X11"/>
    <mergeCell ref="W10:X10"/>
    <mergeCell ref="L11:N11"/>
    <mergeCell ref="AC11:AE11"/>
    <mergeCell ref="O11:Q11"/>
    <mergeCell ref="R11:T11"/>
    <mergeCell ref="H2:AB2"/>
    <mergeCell ref="AL2:AM2"/>
    <mergeCell ref="AK30:AR30"/>
    <mergeCell ref="W30:AJ30"/>
    <mergeCell ref="AU10:AV10"/>
    <mergeCell ref="AU20:AV20"/>
    <mergeCell ref="W21:X21"/>
    <mergeCell ref="AG21:AI21"/>
    <mergeCell ref="W20:X20"/>
    <mergeCell ref="AC21:AE21"/>
    <mergeCell ref="H3:AB3"/>
    <mergeCell ref="H4:AB4"/>
    <mergeCell ref="H5:AB5"/>
    <mergeCell ref="I7:X8"/>
    <mergeCell ref="AU7:AX8"/>
  </mergeCells>
  <conditionalFormatting sqref="B12:T41">
    <cfRule type="expression" dxfId="36" priority="7">
      <formula>OR($F12="",$H12="")</formula>
    </cfRule>
  </conditionalFormatting>
  <conditionalFormatting sqref="W12:AR17 W22:AR27">
    <cfRule type="expression" dxfId="35" priority="6">
      <formula>$X12=""</formula>
    </cfRule>
  </conditionalFormatting>
  <conditionalFormatting sqref="W12:AK17 AR12:AR17 AR22:AR27 W22:AK27">
    <cfRule type="expression" dxfId="34" priority="5">
      <formula>OR(AND($W12=$W11,$X11&lt;&gt;""),AND($W12=$W13,$X13&lt;&gt;""))</formula>
    </cfRule>
  </conditionalFormatting>
  <conditionalFormatting sqref="I12:I41 K12:K41">
    <cfRule type="expression" dxfId="33" priority="3">
      <formula>$BE12</formula>
    </cfRule>
  </conditionalFormatting>
  <conditionalFormatting sqref="L12:L41 N12:N41">
    <cfRule type="expression" dxfId="32" priority="2">
      <formula>$BF12</formula>
    </cfRule>
  </conditionalFormatting>
  <conditionalFormatting sqref="O12:O41 Q12:Q41">
    <cfRule type="expression" dxfId="31" priority="1">
      <formula>$BG12</formula>
    </cfRule>
  </conditionalFormatting>
  <dataValidations count="3">
    <dataValidation type="whole" allowBlank="1" showErrorMessage="1" errorTitle="Error" error="Maximal 999 !" sqref="I12:I42 K12:Q42 R13:T42" xr:uid="{D9E07FCF-67B7-4BAF-9BC8-AE233331B860}">
      <formula1>0</formula1>
      <formula2>999</formula2>
    </dataValidation>
    <dataValidation type="whole" allowBlank="1" showInputMessage="1" showErrorMessage="1" sqref="AW12:AW17 AW22:AW27" xr:uid="{F8B159EB-3E39-407B-B2B3-70A1B1FF45BA}">
      <formula1>-99</formula1>
      <formula2>99</formula2>
    </dataValidation>
    <dataValidation allowBlank="1" showErrorMessage="1" errorTitle="Error" error="Maximal 999 !" sqref="R12:T12" xr:uid="{C1BB115B-34AA-4C64-B740-296CD818215A}"/>
  </dataValidations>
  <pageMargins left="0.7" right="0.7" top="0.78740157499999996" bottom="0.78740157499999996"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8BE99-1B0D-4846-8A87-2EA6DA8B630B}">
  <dimension ref="A1:AE33"/>
  <sheetViews>
    <sheetView showGridLines="0" showRowColHeaders="0" zoomScaleNormal="100" workbookViewId="0">
      <selection activeCell="D12" sqref="D12"/>
    </sheetView>
  </sheetViews>
  <sheetFormatPr baseColWidth="10" defaultColWidth="0" defaultRowHeight="0" customHeight="1" zeroHeight="1" x14ac:dyDescent="0.2"/>
  <cols>
    <col min="1" max="1" width="6.85546875" style="470" customWidth="1"/>
    <col min="2" max="2" width="6.7109375" style="470" customWidth="1"/>
    <col min="3" max="3" width="9.28515625" style="470" customWidth="1"/>
    <col min="4" max="4" width="10.42578125" style="470" customWidth="1"/>
    <col min="5" max="5" width="6.42578125" style="470" customWidth="1"/>
    <col min="6" max="6" width="8.7109375" style="470" customWidth="1"/>
    <col min="7" max="7" width="2" style="470" customWidth="1"/>
    <col min="8" max="8" width="8.7109375" style="470" customWidth="1"/>
    <col min="9" max="9" width="24.7109375" style="470" customWidth="1"/>
    <col min="10" max="10" width="2.85546875" style="470" customWidth="1"/>
    <col min="11" max="11" width="24.7109375" style="470" customWidth="1"/>
    <col min="12" max="12" width="4.7109375" style="470" customWidth="1"/>
    <col min="13" max="13" width="2.42578125" style="470" customWidth="1"/>
    <col min="14" max="15" width="4.7109375" style="470" customWidth="1"/>
    <col min="16" max="16" width="2.7109375" style="471" customWidth="1"/>
    <col min="17" max="18" width="4.7109375" style="470" customWidth="1"/>
    <col min="19" max="19" width="2.7109375" style="470" customWidth="1"/>
    <col min="20" max="20" width="4.7109375" style="470" customWidth="1"/>
    <col min="21" max="21" width="24.7109375" style="470" customWidth="1"/>
    <col min="22" max="22" width="9.140625" style="470" customWidth="1"/>
    <col min="23" max="23" width="8.42578125" style="470" hidden="1" customWidth="1"/>
    <col min="24" max="24" width="6.140625" style="470" hidden="1" customWidth="1"/>
    <col min="25" max="25" width="5.85546875" style="470" hidden="1" customWidth="1"/>
    <col min="26" max="26" width="6.140625" style="470" hidden="1" customWidth="1"/>
    <col min="27" max="27" width="6.42578125" style="470" hidden="1" customWidth="1"/>
    <col min="28" max="28" width="3.28515625" style="470" hidden="1" customWidth="1"/>
    <col min="29" max="30" width="14.140625" style="470" hidden="1" customWidth="1"/>
    <col min="31" max="31" width="11.85546875" style="470" hidden="1" customWidth="1"/>
    <col min="32" max="16384" width="24.7109375" style="470" hidden="1"/>
  </cols>
  <sheetData>
    <row r="1" spans="2:31" ht="13.5" thickBot="1" x14ac:dyDescent="0.25"/>
    <row r="2" spans="2:31" ht="36" customHeight="1" thickTop="1" x14ac:dyDescent="0.2">
      <c r="F2" s="929" t="str">
        <f>PreliminaryRound!$H$2</f>
        <v>International tournament U10 on Jan. 27th, 2026</v>
      </c>
      <c r="G2" s="930"/>
      <c r="H2" s="930"/>
      <c r="I2" s="930"/>
      <c r="J2" s="930"/>
      <c r="K2" s="930"/>
      <c r="L2" s="930"/>
      <c r="M2" s="930"/>
      <c r="N2" s="930"/>
      <c r="O2" s="930"/>
      <c r="P2" s="930"/>
      <c r="Q2" s="930"/>
      <c r="R2" s="930"/>
      <c r="S2" s="930"/>
      <c r="T2" s="930"/>
      <c r="U2" s="931"/>
    </row>
    <row r="3" spans="2:31" ht="30" customHeight="1" x14ac:dyDescent="0.2">
      <c r="F3" s="932" t="str">
        <f>PreliminaryRound!$H$3</f>
        <v>Organizer:  1. FC Riedwald</v>
      </c>
      <c r="G3" s="933"/>
      <c r="H3" s="933"/>
      <c r="I3" s="933"/>
      <c r="J3" s="933"/>
      <c r="K3" s="933"/>
      <c r="L3" s="933"/>
      <c r="M3" s="933"/>
      <c r="N3" s="933"/>
      <c r="O3" s="933"/>
      <c r="P3" s="933"/>
      <c r="Q3" s="933"/>
      <c r="R3" s="933"/>
      <c r="S3" s="933"/>
      <c r="T3" s="933"/>
      <c r="U3" s="934"/>
    </row>
    <row r="4" spans="2:31" ht="30" customHeight="1" x14ac:dyDescent="0.2">
      <c r="F4" s="935" t="str">
        <f>PreliminaryRound!$H$4</f>
        <v>Sports hall Wiesengrund, Wendiger Str. 51, 65432 Riedwald</v>
      </c>
      <c r="G4" s="936"/>
      <c r="H4" s="936"/>
      <c r="I4" s="936"/>
      <c r="J4" s="936"/>
      <c r="K4" s="936"/>
      <c r="L4" s="936"/>
      <c r="M4" s="936"/>
      <c r="N4" s="936"/>
      <c r="O4" s="936"/>
      <c r="P4" s="936"/>
      <c r="Q4" s="936"/>
      <c r="R4" s="936"/>
      <c r="S4" s="936"/>
      <c r="T4" s="936"/>
      <c r="U4" s="937"/>
    </row>
    <row r="5" spans="2:31" ht="30" customHeight="1" thickBot="1" x14ac:dyDescent="0.25">
      <c r="F5" s="938" t="str">
        <f>PreliminaryRound!$H$5</f>
        <v>Start:  9:00 a.m.</v>
      </c>
      <c r="G5" s="939"/>
      <c r="H5" s="939"/>
      <c r="I5" s="939"/>
      <c r="J5" s="939"/>
      <c r="K5" s="939"/>
      <c r="L5" s="939"/>
      <c r="M5" s="939"/>
      <c r="N5" s="939"/>
      <c r="O5" s="939"/>
      <c r="P5" s="939"/>
      <c r="Q5" s="939"/>
      <c r="R5" s="939"/>
      <c r="S5" s="939"/>
      <c r="T5" s="939"/>
      <c r="U5" s="940"/>
    </row>
    <row r="6" spans="2:31" ht="40.5" customHeight="1" thickTop="1" x14ac:dyDescent="0.2"/>
    <row r="7" spans="2:31" ht="30" customHeight="1" x14ac:dyDescent="0.2">
      <c r="H7" s="927" t="str">
        <f>Language!$E$6</f>
        <v>Tie break preliminary round</v>
      </c>
      <c r="I7" s="927"/>
      <c r="J7" s="927"/>
      <c r="K7" s="927"/>
      <c r="L7" s="927"/>
      <c r="M7" s="927"/>
      <c r="N7" s="927"/>
      <c r="O7" s="927"/>
      <c r="P7" s="927"/>
      <c r="Q7" s="927"/>
      <c r="R7" s="927"/>
      <c r="S7" s="927"/>
      <c r="T7" s="927"/>
    </row>
    <row r="8" spans="2:31" ht="30" customHeight="1" x14ac:dyDescent="0.2">
      <c r="H8" s="927"/>
      <c r="I8" s="927"/>
      <c r="J8" s="927"/>
      <c r="K8" s="927"/>
      <c r="L8" s="927"/>
      <c r="M8" s="927"/>
      <c r="N8" s="927"/>
      <c r="O8" s="927"/>
      <c r="P8" s="927"/>
      <c r="Q8" s="927"/>
      <c r="R8" s="927"/>
      <c r="S8" s="927"/>
      <c r="T8" s="927"/>
    </row>
    <row r="9" spans="2:31" ht="15.95" customHeight="1" x14ac:dyDescent="0.2">
      <c r="W9" s="814"/>
    </row>
    <row r="10" spans="2:31" ht="24" customHeight="1" thickBot="1" x14ac:dyDescent="0.3">
      <c r="C10" s="919"/>
      <c r="D10" s="919"/>
      <c r="E10" s="472"/>
      <c r="F10" s="928" t="str">
        <f>Language!$E$66</f>
        <v>e.g.  A2 - A4</v>
      </c>
      <c r="G10" s="928"/>
      <c r="H10" s="928"/>
      <c r="I10" s="472"/>
      <c r="J10" s="472"/>
      <c r="K10" s="472"/>
      <c r="L10" s="473"/>
      <c r="M10" s="473"/>
      <c r="N10" s="473"/>
      <c r="O10" s="474"/>
      <c r="P10" s="475"/>
      <c r="Q10" s="476"/>
      <c r="R10" s="476"/>
      <c r="S10" s="476"/>
      <c r="T10" s="476"/>
      <c r="U10" s="477"/>
      <c r="W10" s="845"/>
    </row>
    <row r="11" spans="2:31" ht="24" customHeight="1" thickTop="1" x14ac:dyDescent="0.2">
      <c r="C11" s="478" t="str">
        <f>Language!$E$33</f>
        <v>Game no.</v>
      </c>
      <c r="D11" s="479" t="str">
        <f>Language!$E$39</f>
        <v>Start</v>
      </c>
      <c r="E11" s="479" t="str">
        <f>Language!$E$48</f>
        <v>Field</v>
      </c>
      <c r="F11" s="920" t="str">
        <f>Language!$E$65</f>
        <v>Team IDs</v>
      </c>
      <c r="G11" s="921"/>
      <c r="H11" s="922"/>
      <c r="I11" s="920" t="str">
        <f>Language!$E$14</f>
        <v>Match pairing</v>
      </c>
      <c r="J11" s="921"/>
      <c r="K11" s="922"/>
      <c r="L11" s="923" t="str">
        <f>Language!$E$61</f>
        <v>1st set</v>
      </c>
      <c r="M11" s="924"/>
      <c r="N11" s="925"/>
      <c r="O11" s="923" t="str">
        <f>Language!$E$62</f>
        <v>2nd set</v>
      </c>
      <c r="P11" s="924"/>
      <c r="Q11" s="925"/>
      <c r="R11" s="923" t="str">
        <f>Language!$E$63</f>
        <v>3rd set</v>
      </c>
      <c r="S11" s="924"/>
      <c r="T11" s="926"/>
      <c r="U11" s="480" t="str">
        <f>Language!$E$121</f>
        <v>Winner</v>
      </c>
      <c r="W11" s="481" t="str">
        <f>Language!$E$63&amp;"?"</f>
        <v>3rd set?</v>
      </c>
      <c r="AC11" s="481" t="s">
        <v>322</v>
      </c>
      <c r="AD11" s="481" t="s">
        <v>323</v>
      </c>
      <c r="AE11" s="481" t="s">
        <v>324</v>
      </c>
    </row>
    <row r="12" spans="2:31" ht="24" customHeight="1" x14ac:dyDescent="0.2">
      <c r="B12" s="482"/>
      <c r="C12" s="483" t="s">
        <v>6</v>
      </c>
      <c r="D12" s="484"/>
      <c r="E12" s="485"/>
      <c r="F12" s="486"/>
      <c r="G12" s="487" t="s">
        <v>4</v>
      </c>
      <c r="H12" s="488"/>
      <c r="I12" s="489" t="str">
        <f>IF($F12="","",IFERROR(VLOOKUP($F12,Planning!$B$7:$C$35,2,0),""))</f>
        <v/>
      </c>
      <c r="J12" s="490" t="s">
        <v>4</v>
      </c>
      <c r="K12" s="491" t="str">
        <f>IF($H12="","",IFERROR(VLOOKUP($H12,Planning!$B$7:$C$35,2,0),""))</f>
        <v/>
      </c>
      <c r="L12" s="492"/>
      <c r="M12" s="493" t="str">
        <f>Language!$E$99</f>
        <v xml:space="preserve"> - </v>
      </c>
      <c r="N12" s="494"/>
      <c r="O12" s="492"/>
      <c r="P12" s="493" t="str">
        <f>Language!$E$99</f>
        <v xml:space="preserve"> - </v>
      </c>
      <c r="Q12" s="494"/>
      <c r="R12" s="495"/>
      <c r="S12" s="493" t="str">
        <f>Language!$E$99</f>
        <v xml:space="preserve"> - </v>
      </c>
      <c r="T12" s="496"/>
      <c r="U12" s="497" t="str">
        <f>IF(OR($AC12,AND($AD12,OR($O12&lt;&gt;"",$Q12&lt;&gt;""))),"",IF($X12+$Z12&gt;$Y12+$AA12,$I12,IF($X12+$Z12&lt;$Y12+$AA12,$K12,"")))</f>
        <v/>
      </c>
      <c r="V12" s="498"/>
      <c r="W12" s="499" t="b">
        <f t="shared" ref="W12:W16" si="0">AND(NOT(OR($AC12,$AD12)),$X12=1,$Y12=1)</f>
        <v>0</v>
      </c>
      <c r="X12" s="499">
        <f t="shared" ref="X12:X16" si="1">IF($AC12,0,($L12&gt;$N12)+IF($AD12,0,$O12&gt;$Q12))</f>
        <v>0</v>
      </c>
      <c r="Y12" s="499">
        <f t="shared" ref="Y12:Y16" si="2">IF($AC12,0,($L12&lt;$N12)+IF($AD12,0,$O12&lt;$Q12))</f>
        <v>0</v>
      </c>
      <c r="Z12" s="499">
        <f t="shared" ref="Z12" si="3">($O12&lt;&gt;"")*($Q12&lt;&gt;"")*($R12&lt;&gt;"")*($T12&lt;&gt;"")*(X12=1)*(Y12=1)*($R12&gt;$T12)</f>
        <v>0</v>
      </c>
      <c r="AA12" s="499">
        <f t="shared" ref="AA12" si="4">($O12&lt;&gt;"")*($Q12&lt;&gt;"")*($R12&lt;&gt;"")*($T12&lt;&gt;"")*(X12=1)*(Y12=1)*($R12&lt;$T12)</f>
        <v>0</v>
      </c>
      <c r="AB12" s="500"/>
      <c r="AC12" s="499" t="b">
        <f t="shared" ref="AC12:AC16" si="5">OR($I12="",$K12="",$L12="",$N12="",AND($L12&lt;&gt;"",$L12=$N12))</f>
        <v>1</v>
      </c>
      <c r="AD12" s="499" t="b">
        <f t="shared" ref="AD12" si="6">OR(AC12,$O12="",$Q12="",AND($O12&lt;&gt;"",$O12=$Q12))</f>
        <v>1</v>
      </c>
      <c r="AE12" s="499" t="b">
        <f t="shared" ref="AE12:AE16" si="7">OR($R12="",$T12="",$R12=$T12)</f>
        <v>1</v>
      </c>
    </row>
    <row r="13" spans="2:31" ht="24" customHeight="1" x14ac:dyDescent="0.2">
      <c r="B13" s="482"/>
      <c r="C13" s="501" t="s">
        <v>7</v>
      </c>
      <c r="D13" s="502"/>
      <c r="E13" s="502"/>
      <c r="F13" s="486"/>
      <c r="G13" s="487" t="s">
        <v>4</v>
      </c>
      <c r="H13" s="488"/>
      <c r="I13" s="503" t="str">
        <f>IF($F13="","",IFERROR(VLOOKUP($F13,Planning!$B$7:$C$35,2,0),""))</f>
        <v/>
      </c>
      <c r="J13" s="504" t="s">
        <v>4</v>
      </c>
      <c r="K13" s="505" t="str">
        <f>IF($H13="","",IFERROR(VLOOKUP($H13,Planning!$B$7:$C$35,2,0),""))</f>
        <v/>
      </c>
      <c r="L13" s="486"/>
      <c r="M13" s="506" t="str">
        <f>Language!$E$99</f>
        <v xml:space="preserve"> - </v>
      </c>
      <c r="N13" s="488"/>
      <c r="O13" s="486"/>
      <c r="P13" s="506" t="str">
        <f>Language!$E$99</f>
        <v xml:space="preserve"> - </v>
      </c>
      <c r="Q13" s="488"/>
      <c r="R13" s="486"/>
      <c r="S13" s="506" t="str">
        <f>Language!$E$99</f>
        <v xml:space="preserve"> - </v>
      </c>
      <c r="T13" s="507"/>
      <c r="U13" s="508" t="str">
        <f t="shared" ref="U13:U17" si="8">IF(OR($AC13,AND($AD13,OR($O13&lt;&gt;"",$Q13&lt;&gt;""))),"",IF($X13+$Z13&gt;$Y13+$AA13,$I13,IF($X13+$Z13&lt;$Y13+$AA13,$K13,"")))</f>
        <v/>
      </c>
      <c r="V13" s="498"/>
      <c r="W13" s="499" t="b">
        <f t="shared" si="0"/>
        <v>0</v>
      </c>
      <c r="X13" s="499">
        <f t="shared" si="1"/>
        <v>0</v>
      </c>
      <c r="Y13" s="499">
        <f t="shared" si="2"/>
        <v>0</v>
      </c>
      <c r="Z13" s="499">
        <f t="shared" ref="Z13:Z16" si="9">($O13&lt;&gt;"")*($Q13&lt;&gt;"")*($R13&lt;&gt;"")*($T13&lt;&gt;"")*(X13=1)*(Y13=1)*($R13&gt;$T13)</f>
        <v>0</v>
      </c>
      <c r="AA13" s="499">
        <f t="shared" ref="AA13:AA16" si="10">($O13&lt;&gt;"")*($Q13&lt;&gt;"")*($R13&lt;&gt;"")*($T13&lt;&gt;"")*(X13=1)*(Y13=1)*($R13&lt;$T13)</f>
        <v>0</v>
      </c>
      <c r="AB13" s="500"/>
      <c r="AC13" s="499" t="b">
        <f t="shared" si="5"/>
        <v>1</v>
      </c>
      <c r="AD13" s="499" t="b">
        <f t="shared" ref="AD13:AD16" si="11">OR(AC13,$O13="",$Q13="",AND($O13&lt;&gt;"",$O13=$Q13))</f>
        <v>1</v>
      </c>
      <c r="AE13" s="499" t="b">
        <f t="shared" si="7"/>
        <v>1</v>
      </c>
    </row>
    <row r="14" spans="2:31" ht="24" customHeight="1" x14ac:dyDescent="0.2">
      <c r="B14" s="482"/>
      <c r="C14" s="501" t="s">
        <v>8</v>
      </c>
      <c r="D14" s="502"/>
      <c r="E14" s="502"/>
      <c r="F14" s="486"/>
      <c r="G14" s="487" t="s">
        <v>4</v>
      </c>
      <c r="H14" s="488"/>
      <c r="I14" s="503" t="str">
        <f>IF($F14="","",IFERROR(VLOOKUP($F14,Planning!$B$7:$C$35,2,0),""))</f>
        <v/>
      </c>
      <c r="J14" s="504" t="s">
        <v>4</v>
      </c>
      <c r="K14" s="505" t="str">
        <f>IF($H14="","",IFERROR(VLOOKUP($H14,Planning!$B$7:$C$35,2,0),""))</f>
        <v/>
      </c>
      <c r="L14" s="486"/>
      <c r="M14" s="506" t="str">
        <f>Language!$E$99</f>
        <v xml:space="preserve"> - </v>
      </c>
      <c r="N14" s="488"/>
      <c r="O14" s="486"/>
      <c r="P14" s="506" t="str">
        <f>Language!$E$99</f>
        <v xml:space="preserve"> - </v>
      </c>
      <c r="Q14" s="488"/>
      <c r="R14" s="486"/>
      <c r="S14" s="506" t="str">
        <f>Language!$E$99</f>
        <v xml:space="preserve"> - </v>
      </c>
      <c r="T14" s="507"/>
      <c r="U14" s="508" t="str">
        <f t="shared" si="8"/>
        <v/>
      </c>
      <c r="V14" s="498"/>
      <c r="W14" s="499" t="b">
        <f t="shared" si="0"/>
        <v>0</v>
      </c>
      <c r="X14" s="499">
        <f t="shared" si="1"/>
        <v>0</v>
      </c>
      <c r="Y14" s="499">
        <f t="shared" si="2"/>
        <v>0</v>
      </c>
      <c r="Z14" s="499">
        <f t="shared" si="9"/>
        <v>0</v>
      </c>
      <c r="AA14" s="499">
        <f t="shared" si="10"/>
        <v>0</v>
      </c>
      <c r="AB14" s="500"/>
      <c r="AC14" s="499" t="b">
        <f t="shared" si="5"/>
        <v>1</v>
      </c>
      <c r="AD14" s="499" t="b">
        <f t="shared" si="11"/>
        <v>1</v>
      </c>
      <c r="AE14" s="499" t="b">
        <f t="shared" si="7"/>
        <v>1</v>
      </c>
    </row>
    <row r="15" spans="2:31" ht="24" customHeight="1" x14ac:dyDescent="0.2">
      <c r="B15" s="482"/>
      <c r="C15" s="501" t="s">
        <v>9</v>
      </c>
      <c r="D15" s="502"/>
      <c r="E15" s="502"/>
      <c r="F15" s="486"/>
      <c r="G15" s="487" t="s">
        <v>4</v>
      </c>
      <c r="H15" s="488"/>
      <c r="I15" s="503" t="str">
        <f>IF($F15="","",IFERROR(VLOOKUP($F15,Planning!$B$7:$C$35,2,0),""))</f>
        <v/>
      </c>
      <c r="J15" s="504" t="s">
        <v>4</v>
      </c>
      <c r="K15" s="505" t="str">
        <f>IF($H15="","",IFERROR(VLOOKUP($H15,Planning!$B$7:$C$35,2,0),""))</f>
        <v/>
      </c>
      <c r="L15" s="486"/>
      <c r="M15" s="506" t="str">
        <f>Language!$E$99</f>
        <v xml:space="preserve"> - </v>
      </c>
      <c r="N15" s="488"/>
      <c r="O15" s="486"/>
      <c r="P15" s="506" t="str">
        <f>Language!$E$99</f>
        <v xml:space="preserve"> - </v>
      </c>
      <c r="Q15" s="488"/>
      <c r="R15" s="486"/>
      <c r="S15" s="506" t="str">
        <f>Language!$E$99</f>
        <v xml:space="preserve"> - </v>
      </c>
      <c r="T15" s="507"/>
      <c r="U15" s="508" t="str">
        <f t="shared" si="8"/>
        <v/>
      </c>
      <c r="V15" s="498"/>
      <c r="W15" s="499" t="b">
        <f t="shared" si="0"/>
        <v>0</v>
      </c>
      <c r="X15" s="499">
        <f t="shared" si="1"/>
        <v>0</v>
      </c>
      <c r="Y15" s="499">
        <f t="shared" si="2"/>
        <v>0</v>
      </c>
      <c r="Z15" s="499">
        <f t="shared" si="9"/>
        <v>0</v>
      </c>
      <c r="AA15" s="499">
        <f t="shared" si="10"/>
        <v>0</v>
      </c>
      <c r="AB15" s="500"/>
      <c r="AC15" s="499" t="b">
        <f t="shared" si="5"/>
        <v>1</v>
      </c>
      <c r="AD15" s="499" t="b">
        <f t="shared" si="11"/>
        <v>1</v>
      </c>
      <c r="AE15" s="499" t="b">
        <f t="shared" si="7"/>
        <v>1</v>
      </c>
    </row>
    <row r="16" spans="2:31" ht="24" customHeight="1" x14ac:dyDescent="0.2">
      <c r="B16" s="482"/>
      <c r="C16" s="501" t="s">
        <v>10</v>
      </c>
      <c r="D16" s="502"/>
      <c r="E16" s="502"/>
      <c r="F16" s="486"/>
      <c r="G16" s="487" t="s">
        <v>4</v>
      </c>
      <c r="H16" s="488"/>
      <c r="I16" s="503" t="str">
        <f>IF($F16="","",IFERROR(VLOOKUP($F16,Planning!$B$7:$C$35,2,0),""))</f>
        <v/>
      </c>
      <c r="J16" s="504" t="s">
        <v>4</v>
      </c>
      <c r="K16" s="505" t="str">
        <f>IF($H16="","",IFERROR(VLOOKUP($H16,Planning!$B$7:$C$35,2,0),""))</f>
        <v/>
      </c>
      <c r="L16" s="486"/>
      <c r="M16" s="506" t="str">
        <f>Language!$E$99</f>
        <v xml:space="preserve"> - </v>
      </c>
      <c r="N16" s="488"/>
      <c r="O16" s="486"/>
      <c r="P16" s="506" t="str">
        <f>Language!$E$99</f>
        <v xml:space="preserve"> - </v>
      </c>
      <c r="Q16" s="488"/>
      <c r="R16" s="486"/>
      <c r="S16" s="506" t="str">
        <f>Language!$E$99</f>
        <v xml:space="preserve"> - </v>
      </c>
      <c r="T16" s="507"/>
      <c r="U16" s="508" t="str">
        <f t="shared" si="8"/>
        <v/>
      </c>
      <c r="V16" s="498"/>
      <c r="W16" s="499" t="b">
        <f t="shared" si="0"/>
        <v>0</v>
      </c>
      <c r="X16" s="499">
        <f t="shared" si="1"/>
        <v>0</v>
      </c>
      <c r="Y16" s="499">
        <f t="shared" si="2"/>
        <v>0</v>
      </c>
      <c r="Z16" s="499">
        <f t="shared" si="9"/>
        <v>0</v>
      </c>
      <c r="AA16" s="499">
        <f t="shared" si="10"/>
        <v>0</v>
      </c>
      <c r="AB16" s="500"/>
      <c r="AC16" s="499" t="b">
        <f t="shared" si="5"/>
        <v>1</v>
      </c>
      <c r="AD16" s="499" t="b">
        <f t="shared" si="11"/>
        <v>1</v>
      </c>
      <c r="AE16" s="499" t="b">
        <f t="shared" si="7"/>
        <v>1</v>
      </c>
    </row>
    <row r="17" spans="2:31" ht="24" customHeight="1" thickBot="1" x14ac:dyDescent="0.25">
      <c r="B17" s="482"/>
      <c r="C17" s="509" t="s">
        <v>11</v>
      </c>
      <c r="D17" s="510"/>
      <c r="E17" s="510"/>
      <c r="F17" s="511"/>
      <c r="G17" s="512" t="s">
        <v>4</v>
      </c>
      <c r="H17" s="513"/>
      <c r="I17" s="514" t="str">
        <f>IF($F17="","",IFERROR(VLOOKUP($F17,Planning!$B$7:$C$35,2,0),""))</f>
        <v/>
      </c>
      <c r="J17" s="515" t="s">
        <v>4</v>
      </c>
      <c r="K17" s="516" t="str">
        <f>IF($H17="","",IFERROR(VLOOKUP($H17,Planning!$B$7:$C$35,2,0),""))</f>
        <v/>
      </c>
      <c r="L17" s="511"/>
      <c r="M17" s="517" t="str">
        <f>Language!$E$99</f>
        <v xml:space="preserve"> - </v>
      </c>
      <c r="N17" s="513"/>
      <c r="O17" s="511"/>
      <c r="P17" s="517" t="str">
        <f>Language!$E$99</f>
        <v xml:space="preserve"> - </v>
      </c>
      <c r="Q17" s="513"/>
      <c r="R17" s="511"/>
      <c r="S17" s="517" t="str">
        <f>Language!$E$99</f>
        <v xml:space="preserve"> - </v>
      </c>
      <c r="T17" s="518"/>
      <c r="U17" s="519" t="str">
        <f t="shared" si="8"/>
        <v/>
      </c>
      <c r="V17" s="498"/>
      <c r="W17" s="499" t="b">
        <f>AND(NOT(OR($AC17,$AD17)),$X17=1,$Y17=1)</f>
        <v>0</v>
      </c>
      <c r="X17" s="499">
        <f>IF($AC17,0,($L17&gt;$N17)+IF($AD17,0,$O17&gt;$Q17))</f>
        <v>0</v>
      </c>
      <c r="Y17" s="499">
        <f>IF($AC17,0,($L17&lt;$N17)+IF($AD17,0,$O17&lt;$Q17))</f>
        <v>0</v>
      </c>
      <c r="Z17" s="499">
        <f>($O17&lt;&gt;"")*($Q17&lt;&gt;"")*($R17&lt;&gt;"")*($T17&lt;&gt;"")*(X17=1)*(Y17=1)*($R17&gt;$T17)</f>
        <v>0</v>
      </c>
      <c r="AA17" s="499">
        <f>($O17&lt;&gt;"")*($Q17&lt;&gt;"")*($R17&lt;&gt;"")*($T17&lt;&gt;"")*(X17=1)*(Y17=1)*($R17&lt;$T17)</f>
        <v>0</v>
      </c>
      <c r="AB17" s="500"/>
      <c r="AC17" s="499" t="b">
        <f>OR($I17="",$K17="",$L17="",$N17="",AND($L17&lt;&gt;"",$L17=$N17))</f>
        <v>1</v>
      </c>
      <c r="AD17" s="499" t="b">
        <f>OR(AC17,$O17="",$Q17="",AND($O17&lt;&gt;"",$O17=$Q17))</f>
        <v>1</v>
      </c>
      <c r="AE17" s="499" t="b">
        <f>OR($R17="",$T17="",$R17=$T17)</f>
        <v>1</v>
      </c>
    </row>
    <row r="18" spans="2:31" ht="36" customHeight="1" thickTop="1" x14ac:dyDescent="0.25">
      <c r="B18" s="520"/>
      <c r="C18" s="521"/>
      <c r="D18" s="522"/>
      <c r="E18" s="523"/>
      <c r="F18" s="524"/>
      <c r="G18" s="525"/>
      <c r="H18" s="526"/>
      <c r="I18" s="527" t="s">
        <v>244</v>
      </c>
      <c r="J18" s="528"/>
      <c r="K18" s="527" t="s">
        <v>244</v>
      </c>
      <c r="L18" s="529"/>
      <c r="M18" s="530"/>
      <c r="N18" s="531"/>
      <c r="O18" s="532"/>
      <c r="P18" s="532"/>
      <c r="Q18" s="532"/>
      <c r="R18" s="532"/>
      <c r="S18" s="532"/>
      <c r="T18" s="532"/>
      <c r="U18" s="498"/>
      <c r="V18" s="498"/>
    </row>
    <row r="19" spans="2:31" ht="24" customHeight="1" x14ac:dyDescent="0.2"/>
    <row r="20" spans="2:31" ht="24" customHeight="1" x14ac:dyDescent="0.2">
      <c r="H20" s="927" t="str">
        <f>Language!$E$64</f>
        <v>Tie break final round 4</v>
      </c>
      <c r="I20" s="927"/>
      <c r="J20" s="927"/>
      <c r="K20" s="927"/>
      <c r="L20" s="927"/>
      <c r="M20" s="927"/>
      <c r="N20" s="927"/>
      <c r="O20" s="927"/>
      <c r="P20" s="927"/>
      <c r="Q20" s="927"/>
      <c r="R20" s="927"/>
      <c r="S20" s="927"/>
      <c r="T20" s="927"/>
    </row>
    <row r="21" spans="2:31" ht="24" customHeight="1" x14ac:dyDescent="0.2">
      <c r="H21" s="927"/>
      <c r="I21" s="927"/>
      <c r="J21" s="927"/>
      <c r="K21" s="927"/>
      <c r="L21" s="927"/>
      <c r="M21" s="927"/>
      <c r="N21" s="927"/>
      <c r="O21" s="927"/>
      <c r="P21" s="927"/>
      <c r="Q21" s="927"/>
      <c r="R21" s="927"/>
      <c r="S21" s="927"/>
      <c r="T21" s="927"/>
    </row>
    <row r="22" spans="2:31" ht="11.25" customHeight="1" x14ac:dyDescent="0.2">
      <c r="W22" s="814"/>
    </row>
    <row r="23" spans="2:31" ht="24" customHeight="1" thickBot="1" x14ac:dyDescent="0.3">
      <c r="C23" s="919"/>
      <c r="D23" s="919"/>
      <c r="E23" s="472"/>
      <c r="F23" s="928" t="str">
        <f>Language!$E$69</f>
        <v>e.g.  1A - 2B</v>
      </c>
      <c r="G23" s="928"/>
      <c r="H23" s="928"/>
      <c r="I23" s="472"/>
      <c r="J23" s="472"/>
      <c r="K23" s="472"/>
      <c r="L23" s="473"/>
      <c r="M23" s="473"/>
      <c r="N23" s="473"/>
      <c r="O23" s="474"/>
      <c r="P23" s="475"/>
      <c r="Q23" s="476"/>
      <c r="R23" s="476"/>
      <c r="S23" s="476"/>
      <c r="T23" s="476"/>
      <c r="U23" s="477"/>
      <c r="W23" s="845"/>
    </row>
    <row r="24" spans="2:31" ht="24" customHeight="1" thickTop="1" x14ac:dyDescent="0.2">
      <c r="C24" s="478" t="str">
        <f>Language!$E$33</f>
        <v>Game no.</v>
      </c>
      <c r="D24" s="479" t="str">
        <f>Language!$E$39</f>
        <v>Start</v>
      </c>
      <c r="E24" s="479" t="str">
        <f>Language!$E$48</f>
        <v>Field</v>
      </c>
      <c r="F24" s="920" t="str">
        <f>Language!$E$65</f>
        <v>Team IDs</v>
      </c>
      <c r="G24" s="921"/>
      <c r="H24" s="922"/>
      <c r="I24" s="920" t="str">
        <f>Language!$E$14</f>
        <v>Match pairing</v>
      </c>
      <c r="J24" s="921"/>
      <c r="K24" s="922"/>
      <c r="L24" s="923" t="str">
        <f>Language!$E$61</f>
        <v>1st set</v>
      </c>
      <c r="M24" s="924"/>
      <c r="N24" s="925"/>
      <c r="O24" s="923" t="str">
        <f>Language!$E$62</f>
        <v>2nd set</v>
      </c>
      <c r="P24" s="924"/>
      <c r="Q24" s="925"/>
      <c r="R24" s="923" t="str">
        <f>Language!$E$63</f>
        <v>3rd set</v>
      </c>
      <c r="S24" s="924"/>
      <c r="T24" s="926"/>
      <c r="U24" s="480" t="str">
        <f>Language!$E$121</f>
        <v>Winner</v>
      </c>
      <c r="W24" s="481" t="str">
        <f>Language!$E$63&amp;"?"</f>
        <v>3rd set?</v>
      </c>
      <c r="AC24" s="481" t="s">
        <v>322</v>
      </c>
      <c r="AD24" s="481" t="s">
        <v>323</v>
      </c>
      <c r="AE24" s="481" t="s">
        <v>324</v>
      </c>
    </row>
    <row r="25" spans="2:31" ht="24" customHeight="1" x14ac:dyDescent="0.2">
      <c r="C25" s="483" t="s">
        <v>6</v>
      </c>
      <c r="D25" s="484"/>
      <c r="E25" s="485"/>
      <c r="F25" s="486"/>
      <c r="G25" s="487" t="s">
        <v>4</v>
      </c>
      <c r="H25" s="488"/>
      <c r="I25" s="489" t="str">
        <f>IF($F25="","",IFERROR(VLOOKUP($F25,'Finals 4'!$AR$12:$AS$29,2,0),""))</f>
        <v/>
      </c>
      <c r="J25" s="490" t="s">
        <v>4</v>
      </c>
      <c r="K25" s="491" t="str">
        <f>IF($H25="","",IFERROR(VLOOKUP($H25,'Finals 4'!$AR$12:$AS$29,2,0),""))</f>
        <v/>
      </c>
      <c r="L25" s="492"/>
      <c r="M25" s="493" t="str">
        <f>Language!$E$99</f>
        <v xml:space="preserve"> - </v>
      </c>
      <c r="N25" s="494"/>
      <c r="O25" s="492"/>
      <c r="P25" s="493" t="str">
        <f>Language!$E$99</f>
        <v xml:space="preserve"> - </v>
      </c>
      <c r="Q25" s="494"/>
      <c r="R25" s="495"/>
      <c r="S25" s="493" t="str">
        <f>Language!$E$99</f>
        <v xml:space="preserve"> - </v>
      </c>
      <c r="T25" s="496"/>
      <c r="U25" s="497" t="str">
        <f>IF(OR($AC25,AND($AD25,OR($O25&lt;&gt;"",$Q25&lt;&gt;""))),"",IF($X25+$Z25&gt;$Y25+$AA25,$I25,IF($X25+$Z25&lt;$Y25+$AA25,$K25,"")))</f>
        <v/>
      </c>
      <c r="V25" s="498"/>
      <c r="W25" s="499" t="b">
        <f t="shared" ref="W25:W29" si="12">AND(NOT(OR($AC25,$AD25)),$X25=1,$Y25=1)</f>
        <v>0</v>
      </c>
      <c r="X25" s="499">
        <f t="shared" ref="X25:X29" si="13">IF($AC25,0,($L25&gt;$N25)+IF($AD25,0,$O25&gt;$Q25))</f>
        <v>0</v>
      </c>
      <c r="Y25" s="499">
        <f t="shared" ref="Y25:Y29" si="14">IF($AC25,0,($L25&lt;$N25)+IF($AD25,0,$O25&lt;$Q25))</f>
        <v>0</v>
      </c>
      <c r="Z25" s="499">
        <f t="shared" ref="Z25:Z29" si="15">($O25&lt;&gt;"")*($Q25&lt;&gt;"")*($R25&lt;&gt;"")*($T25&lt;&gt;"")*(X25=1)*(Y25=1)*($R25&gt;$T25)</f>
        <v>0</v>
      </c>
      <c r="AA25" s="499">
        <f t="shared" ref="AA25:AA29" si="16">($O25&lt;&gt;"")*($Q25&lt;&gt;"")*($R25&lt;&gt;"")*($T25&lt;&gt;"")*(X25=1)*(Y25=1)*($R25&lt;$T25)</f>
        <v>0</v>
      </c>
      <c r="AB25" s="500"/>
      <c r="AC25" s="499" t="b">
        <f t="shared" ref="AC25:AC29" si="17">OR($I25="",$K25="",$L25="",$N25="",AND($L25&lt;&gt;"",$L25=$N25))</f>
        <v>1</v>
      </c>
      <c r="AD25" s="499" t="b">
        <f t="shared" ref="AD25:AD29" si="18">OR(AC25,$O25="",$Q25="",AND($O25&lt;&gt;"",$O25=$Q25))</f>
        <v>1</v>
      </c>
      <c r="AE25" s="499" t="b">
        <f t="shared" ref="AE25:AE29" si="19">OR($R25="",$T25="",$R25=$T25)</f>
        <v>1</v>
      </c>
    </row>
    <row r="26" spans="2:31" ht="24" customHeight="1" x14ac:dyDescent="0.2">
      <c r="C26" s="501" t="s">
        <v>7</v>
      </c>
      <c r="D26" s="502"/>
      <c r="E26" s="502"/>
      <c r="F26" s="486"/>
      <c r="G26" s="487" t="s">
        <v>4</v>
      </c>
      <c r="H26" s="488"/>
      <c r="I26" s="503" t="str">
        <f>IF($F26="","",IFERROR(VLOOKUP($F26,'Finals 4'!$AR$12:$AS$29,2,0),""))</f>
        <v/>
      </c>
      <c r="J26" s="504" t="s">
        <v>4</v>
      </c>
      <c r="K26" s="505" t="str">
        <f>IF($H26="","",IFERROR(VLOOKUP($H26,'Finals 4'!$AR$12:$AS$29,2,0),""))</f>
        <v/>
      </c>
      <c r="L26" s="486"/>
      <c r="M26" s="506" t="str">
        <f>Language!$E$99</f>
        <v xml:space="preserve"> - </v>
      </c>
      <c r="N26" s="488"/>
      <c r="O26" s="486"/>
      <c r="P26" s="506" t="str">
        <f>Language!$E$99</f>
        <v xml:space="preserve"> - </v>
      </c>
      <c r="Q26" s="488"/>
      <c r="R26" s="486"/>
      <c r="S26" s="506" t="str">
        <f>Language!$E$99</f>
        <v xml:space="preserve"> - </v>
      </c>
      <c r="T26" s="507"/>
      <c r="U26" s="508" t="str">
        <f t="shared" ref="U26:U30" si="20">IF(OR($AC26,AND($AD26,OR($O26&lt;&gt;"",$Q26&lt;&gt;""))),"",IF($X26+$Z26&gt;$Y26+$AA26,$I26,IF($X26+$Z26&lt;$Y26+$AA26,$K26,"")))</f>
        <v/>
      </c>
      <c r="V26" s="498"/>
      <c r="W26" s="499" t="b">
        <f t="shared" si="12"/>
        <v>0</v>
      </c>
      <c r="X26" s="499">
        <f t="shared" si="13"/>
        <v>0</v>
      </c>
      <c r="Y26" s="499">
        <f t="shared" si="14"/>
        <v>0</v>
      </c>
      <c r="Z26" s="499">
        <f t="shared" si="15"/>
        <v>0</v>
      </c>
      <c r="AA26" s="499">
        <f t="shared" si="16"/>
        <v>0</v>
      </c>
      <c r="AB26" s="500"/>
      <c r="AC26" s="499" t="b">
        <f t="shared" si="17"/>
        <v>1</v>
      </c>
      <c r="AD26" s="499" t="b">
        <f t="shared" si="18"/>
        <v>1</v>
      </c>
      <c r="AE26" s="499" t="b">
        <f t="shared" si="19"/>
        <v>1</v>
      </c>
    </row>
    <row r="27" spans="2:31" ht="24" customHeight="1" x14ac:dyDescent="0.2">
      <c r="C27" s="501" t="s">
        <v>8</v>
      </c>
      <c r="D27" s="502"/>
      <c r="E27" s="502"/>
      <c r="F27" s="486"/>
      <c r="G27" s="487" t="s">
        <v>4</v>
      </c>
      <c r="H27" s="488"/>
      <c r="I27" s="503" t="str">
        <f>IF($F27="","",IFERROR(VLOOKUP($F27,'Finals 4'!$AR$12:$AS$29,2,0),""))</f>
        <v/>
      </c>
      <c r="J27" s="504" t="s">
        <v>4</v>
      </c>
      <c r="K27" s="505" t="str">
        <f>IF($H27="","",IFERROR(VLOOKUP($H27,'Finals 4'!$AR$12:$AS$29,2,0),""))</f>
        <v/>
      </c>
      <c r="L27" s="486"/>
      <c r="M27" s="506" t="str">
        <f>Language!$E$99</f>
        <v xml:space="preserve"> - </v>
      </c>
      <c r="N27" s="488"/>
      <c r="O27" s="486"/>
      <c r="P27" s="506" t="str">
        <f>Language!$E$99</f>
        <v xml:space="preserve"> - </v>
      </c>
      <c r="Q27" s="488"/>
      <c r="R27" s="486"/>
      <c r="S27" s="506" t="str">
        <f>Language!$E$99</f>
        <v xml:space="preserve"> - </v>
      </c>
      <c r="T27" s="507"/>
      <c r="U27" s="508" t="str">
        <f t="shared" si="20"/>
        <v/>
      </c>
      <c r="V27" s="498"/>
      <c r="W27" s="499" t="b">
        <f t="shared" si="12"/>
        <v>0</v>
      </c>
      <c r="X27" s="499">
        <f t="shared" si="13"/>
        <v>0</v>
      </c>
      <c r="Y27" s="499">
        <f t="shared" si="14"/>
        <v>0</v>
      </c>
      <c r="Z27" s="499">
        <f t="shared" si="15"/>
        <v>0</v>
      </c>
      <c r="AA27" s="499">
        <f t="shared" si="16"/>
        <v>0</v>
      </c>
      <c r="AB27" s="500"/>
      <c r="AC27" s="499" t="b">
        <f t="shared" si="17"/>
        <v>1</v>
      </c>
      <c r="AD27" s="499" t="b">
        <f t="shared" si="18"/>
        <v>1</v>
      </c>
      <c r="AE27" s="499" t="b">
        <f t="shared" si="19"/>
        <v>1</v>
      </c>
    </row>
    <row r="28" spans="2:31" ht="24" customHeight="1" x14ac:dyDescent="0.2">
      <c r="C28" s="501" t="s">
        <v>9</v>
      </c>
      <c r="D28" s="502"/>
      <c r="E28" s="502"/>
      <c r="F28" s="486"/>
      <c r="G28" s="487" t="s">
        <v>4</v>
      </c>
      <c r="H28" s="488"/>
      <c r="I28" s="503" t="str">
        <f>IF($F28="","",IFERROR(VLOOKUP($F28,'Finals 4'!$AR$12:$AS$29,2,0),""))</f>
        <v/>
      </c>
      <c r="J28" s="504" t="s">
        <v>4</v>
      </c>
      <c r="K28" s="505" t="str">
        <f>IF($H28="","",IFERROR(VLOOKUP($H28,'Finals 4'!$AR$12:$AS$29,2,0),""))</f>
        <v/>
      </c>
      <c r="L28" s="486"/>
      <c r="M28" s="506" t="str">
        <f>Language!$E$99</f>
        <v xml:space="preserve"> - </v>
      </c>
      <c r="N28" s="488"/>
      <c r="O28" s="486"/>
      <c r="P28" s="506" t="str">
        <f>Language!$E$99</f>
        <v xml:space="preserve"> - </v>
      </c>
      <c r="Q28" s="488"/>
      <c r="R28" s="486"/>
      <c r="S28" s="506" t="str">
        <f>Language!$E$99</f>
        <v xml:space="preserve"> - </v>
      </c>
      <c r="T28" s="507"/>
      <c r="U28" s="508" t="str">
        <f t="shared" si="20"/>
        <v/>
      </c>
      <c r="V28" s="498"/>
      <c r="W28" s="499" t="b">
        <f t="shared" si="12"/>
        <v>0</v>
      </c>
      <c r="X28" s="499">
        <f t="shared" si="13"/>
        <v>0</v>
      </c>
      <c r="Y28" s="499">
        <f t="shared" si="14"/>
        <v>0</v>
      </c>
      <c r="Z28" s="499">
        <f t="shared" si="15"/>
        <v>0</v>
      </c>
      <c r="AA28" s="499">
        <f t="shared" si="16"/>
        <v>0</v>
      </c>
      <c r="AB28" s="500"/>
      <c r="AC28" s="499" t="b">
        <f t="shared" si="17"/>
        <v>1</v>
      </c>
      <c r="AD28" s="499" t="b">
        <f t="shared" si="18"/>
        <v>1</v>
      </c>
      <c r="AE28" s="499" t="b">
        <f t="shared" si="19"/>
        <v>1</v>
      </c>
    </row>
    <row r="29" spans="2:31" ht="24" customHeight="1" x14ac:dyDescent="0.2">
      <c r="C29" s="501" t="s">
        <v>10</v>
      </c>
      <c r="D29" s="502"/>
      <c r="E29" s="502"/>
      <c r="F29" s="486"/>
      <c r="G29" s="487" t="s">
        <v>4</v>
      </c>
      <c r="H29" s="488"/>
      <c r="I29" s="503" t="str">
        <f>IF($F29="","",IFERROR(VLOOKUP($F29,'Finals 4'!$AR$12:$AS$29,2,0),""))</f>
        <v/>
      </c>
      <c r="J29" s="504" t="s">
        <v>4</v>
      </c>
      <c r="K29" s="505" t="str">
        <f>IF($H29="","",IFERROR(VLOOKUP($H29,'Finals 4'!$AR$12:$AS$29,2,0),""))</f>
        <v/>
      </c>
      <c r="L29" s="486"/>
      <c r="M29" s="506" t="str">
        <f>Language!$E$99</f>
        <v xml:space="preserve"> - </v>
      </c>
      <c r="N29" s="488"/>
      <c r="O29" s="486"/>
      <c r="P29" s="506" t="str">
        <f>Language!$E$99</f>
        <v xml:space="preserve"> - </v>
      </c>
      <c r="Q29" s="488"/>
      <c r="R29" s="486"/>
      <c r="S29" s="506" t="str">
        <f>Language!$E$99</f>
        <v xml:space="preserve"> - </v>
      </c>
      <c r="T29" s="507"/>
      <c r="U29" s="508" t="str">
        <f t="shared" si="20"/>
        <v/>
      </c>
      <c r="V29" s="498"/>
      <c r="W29" s="499" t="b">
        <f t="shared" si="12"/>
        <v>0</v>
      </c>
      <c r="X29" s="499">
        <f t="shared" si="13"/>
        <v>0</v>
      </c>
      <c r="Y29" s="499">
        <f t="shared" si="14"/>
        <v>0</v>
      </c>
      <c r="Z29" s="499">
        <f t="shared" si="15"/>
        <v>0</v>
      </c>
      <c r="AA29" s="499">
        <f t="shared" si="16"/>
        <v>0</v>
      </c>
      <c r="AB29" s="500"/>
      <c r="AC29" s="499" t="b">
        <f t="shared" si="17"/>
        <v>1</v>
      </c>
      <c r="AD29" s="499" t="b">
        <f t="shared" si="18"/>
        <v>1</v>
      </c>
      <c r="AE29" s="499" t="b">
        <f t="shared" si="19"/>
        <v>1</v>
      </c>
    </row>
    <row r="30" spans="2:31" ht="24" customHeight="1" thickBot="1" x14ac:dyDescent="0.25">
      <c r="C30" s="509" t="s">
        <v>11</v>
      </c>
      <c r="D30" s="510"/>
      <c r="E30" s="510"/>
      <c r="F30" s="511"/>
      <c r="G30" s="512" t="s">
        <v>4</v>
      </c>
      <c r="H30" s="513"/>
      <c r="I30" s="514" t="str">
        <f>IF($F30="","",IFERROR(VLOOKUP($F30,'Finals 4'!$AR$12:$AS$29,2,0),""))</f>
        <v/>
      </c>
      <c r="J30" s="515" t="s">
        <v>4</v>
      </c>
      <c r="K30" s="516" t="str">
        <f>IF($H30="","",IFERROR(VLOOKUP($H30,'Finals 4'!$AR$12:$AS$29,2,0),""))</f>
        <v/>
      </c>
      <c r="L30" s="511"/>
      <c r="M30" s="517" t="str">
        <f>Language!$E$99</f>
        <v xml:space="preserve"> - </v>
      </c>
      <c r="N30" s="513"/>
      <c r="O30" s="511"/>
      <c r="P30" s="517" t="str">
        <f>Language!$E$99</f>
        <v xml:space="preserve"> - </v>
      </c>
      <c r="Q30" s="513"/>
      <c r="R30" s="511"/>
      <c r="S30" s="517" t="str">
        <f>Language!$E$99</f>
        <v xml:space="preserve"> - </v>
      </c>
      <c r="T30" s="518"/>
      <c r="U30" s="519" t="str">
        <f t="shared" si="20"/>
        <v/>
      </c>
      <c r="V30" s="498"/>
      <c r="W30" s="499" t="b">
        <f>AND(NOT(OR($AC30,$AD30)),$X30=1,$Y30=1)</f>
        <v>0</v>
      </c>
      <c r="X30" s="499">
        <f>IF($AC30,0,($L30&gt;$N30)+IF($AD30,0,$O30&gt;$Q30))</f>
        <v>0</v>
      </c>
      <c r="Y30" s="499">
        <f>IF($AC30,0,($L30&lt;$N30)+IF($AD30,0,$O30&lt;$Q30))</f>
        <v>0</v>
      </c>
      <c r="Z30" s="499">
        <f>($O30&lt;&gt;"")*($Q30&lt;&gt;"")*($R30&lt;&gt;"")*($T30&lt;&gt;"")*(X30=1)*(Y30=1)*($R30&gt;$T30)</f>
        <v>0</v>
      </c>
      <c r="AA30" s="499">
        <f>($O30&lt;&gt;"")*($Q30&lt;&gt;"")*($R30&lt;&gt;"")*($T30&lt;&gt;"")*(X30=1)*(Y30=1)*($R30&lt;$T30)</f>
        <v>0</v>
      </c>
      <c r="AB30" s="500"/>
      <c r="AC30" s="499" t="b">
        <f>OR($I30="",$K30="",$L30="",$N30="",AND($L30&lt;&gt;"",$L30=$N30))</f>
        <v>1</v>
      </c>
      <c r="AD30" s="499" t="b">
        <f>OR(AC30,$O30="",$Q30="",AND($O30&lt;&gt;"",$O30=$Q30))</f>
        <v>1</v>
      </c>
      <c r="AE30" s="499" t="b">
        <f>OR($R30="",$T30="",$R30=$T30)</f>
        <v>1</v>
      </c>
    </row>
    <row r="31" spans="2:31" ht="39.75" customHeight="1" thickTop="1" x14ac:dyDescent="0.2"/>
    <row r="32" spans="2:31" ht="12.75" customHeight="1" x14ac:dyDescent="0.2"/>
    <row r="33" spans="1:1" ht="12.75" customHeight="1" x14ac:dyDescent="0.2">
      <c r="A33" s="470" t="s">
        <v>426</v>
      </c>
    </row>
  </sheetData>
  <sheetProtection sheet="1" selectLockedCells="1"/>
  <mergeCells count="20">
    <mergeCell ref="C10:D10"/>
    <mergeCell ref="F10:H10"/>
    <mergeCell ref="F2:U2"/>
    <mergeCell ref="F3:U3"/>
    <mergeCell ref="F4:U4"/>
    <mergeCell ref="F5:U5"/>
    <mergeCell ref="H7:T8"/>
    <mergeCell ref="R24:T24"/>
    <mergeCell ref="F11:H11"/>
    <mergeCell ref="I11:K11"/>
    <mergeCell ref="L11:N11"/>
    <mergeCell ref="O11:Q11"/>
    <mergeCell ref="R11:T11"/>
    <mergeCell ref="H20:T21"/>
    <mergeCell ref="F23:H23"/>
    <mergeCell ref="C23:D23"/>
    <mergeCell ref="F24:H24"/>
    <mergeCell ref="I24:K24"/>
    <mergeCell ref="L24:N24"/>
    <mergeCell ref="O24:Q24"/>
  </mergeCells>
  <conditionalFormatting sqref="R12:T17">
    <cfRule type="expression" dxfId="30" priority="3">
      <formula>NOT($W12)</formula>
    </cfRule>
  </conditionalFormatting>
  <conditionalFormatting sqref="R25:T30">
    <cfRule type="expression" dxfId="29" priority="2">
      <formula>NOT($W25)</formula>
    </cfRule>
  </conditionalFormatting>
  <dataValidations count="1">
    <dataValidation allowBlank="1" showInputMessage="1" showErrorMessage="1" errorTitle="Unzulässige Teilnehmernummer" error="Es müssen Zahlen von 1 bis 9 eingetragen werden!" sqref="F12:F18 H12:H18 F25:F30 H25:H30" xr:uid="{481A70DA-7163-4470-8845-CE9376B67CB7}"/>
  </dataValidations>
  <pageMargins left="0.7" right="0.7" top="0.78740157499999996" bottom="0.78740157499999996"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A0E91-86AA-40EF-8716-332BD7E772D1}">
  <dimension ref="A1:AO37"/>
  <sheetViews>
    <sheetView showGridLines="0" showRowColHeaders="0" zoomScaleNormal="100" workbookViewId="0">
      <selection activeCell="J12" sqref="J12"/>
    </sheetView>
  </sheetViews>
  <sheetFormatPr baseColWidth="10" defaultColWidth="0" defaultRowHeight="12.75" zeroHeight="1" x14ac:dyDescent="0.2"/>
  <cols>
    <col min="1" max="1" width="10.42578125" style="9" customWidth="1"/>
    <col min="2" max="2" width="5.28515625" style="9" customWidth="1"/>
    <col min="3" max="3" width="6.85546875" style="9" customWidth="1"/>
    <col min="4" max="4" width="11.42578125" style="9" customWidth="1"/>
    <col min="5" max="5" width="8.42578125" style="9" customWidth="1"/>
    <col min="6" max="6" width="11.42578125" style="9" customWidth="1"/>
    <col min="7" max="7" width="28.7109375" style="9" customWidth="1"/>
    <col min="8" max="8" width="2.85546875" style="9" customWidth="1"/>
    <col min="9" max="9" width="28.7109375" style="9" customWidth="1"/>
    <col min="10" max="10" width="4.7109375" style="9" customWidth="1"/>
    <col min="11" max="11" width="1.7109375" style="9" customWidth="1"/>
    <col min="12" max="13" width="4.7109375" style="9" customWidth="1"/>
    <col min="14" max="14" width="1.7109375" style="9" customWidth="1"/>
    <col min="15" max="16" width="4.7109375" style="9" customWidth="1"/>
    <col min="17" max="17" width="1.7109375" style="9" customWidth="1"/>
    <col min="18" max="18" width="4.7109375" style="9" customWidth="1"/>
    <col min="19" max="19" width="15.7109375" style="9" customWidth="1"/>
    <col min="20" max="20" width="8" style="9" customWidth="1"/>
    <col min="21" max="21" width="6.140625" style="9" customWidth="1"/>
    <col min="22" max="22" width="11.42578125" style="9" customWidth="1"/>
    <col min="23" max="23" width="16.42578125" style="9" hidden="1" customWidth="1"/>
    <col min="24" max="24" width="16.140625" style="9" hidden="1" customWidth="1"/>
    <col min="25" max="26" width="9.7109375" style="9" hidden="1" customWidth="1"/>
    <col min="27" max="27" width="8.7109375" style="9" hidden="1" customWidth="1"/>
    <col min="28" max="28" width="5" style="9" hidden="1" customWidth="1"/>
    <col min="29" max="29" width="4.42578125" style="9" hidden="1" customWidth="1"/>
    <col min="30" max="30" width="4.5703125" style="9" hidden="1" customWidth="1"/>
    <col min="31" max="32" width="9.7109375" style="9" hidden="1" customWidth="1"/>
    <col min="33" max="33" width="4.42578125" style="9" hidden="1" customWidth="1"/>
    <col min="34" max="36" width="9.7109375" style="9" hidden="1" customWidth="1"/>
    <col min="37" max="37" width="5.42578125" style="9" hidden="1" customWidth="1"/>
    <col min="38" max="38" width="5.28515625" style="9" hidden="1" customWidth="1"/>
    <col min="39" max="39" width="5" style="9" hidden="1" customWidth="1"/>
    <col min="40" max="41" width="5.42578125" style="9" hidden="1" customWidth="1"/>
    <col min="42" max="16384" width="11.42578125" style="9" hidden="1"/>
  </cols>
  <sheetData>
    <row r="1" spans="2:41" ht="13.5" thickBot="1" x14ac:dyDescent="0.25"/>
    <row r="2" spans="2:41" ht="36" customHeight="1" thickTop="1" x14ac:dyDescent="0.2">
      <c r="E2" s="962" t="str">
        <f>PreliminaryRound!$H$2</f>
        <v>International tournament U10 on Jan. 27th, 2026</v>
      </c>
      <c r="F2" s="963"/>
      <c r="G2" s="963"/>
      <c r="H2" s="963"/>
      <c r="I2" s="963"/>
      <c r="J2" s="963"/>
      <c r="K2" s="963"/>
      <c r="L2" s="963"/>
      <c r="M2" s="963"/>
      <c r="N2" s="963"/>
      <c r="O2" s="963"/>
      <c r="P2" s="963"/>
      <c r="Q2" s="963"/>
      <c r="R2" s="963"/>
      <c r="S2" s="963"/>
      <c r="T2" s="964"/>
    </row>
    <row r="3" spans="2:41" ht="30" customHeight="1" x14ac:dyDescent="0.2">
      <c r="E3" s="965" t="str">
        <f>PreliminaryRound!$H$3</f>
        <v>Organizer:  1. FC Riedwald</v>
      </c>
      <c r="F3" s="966"/>
      <c r="G3" s="966"/>
      <c r="H3" s="966"/>
      <c r="I3" s="966"/>
      <c r="J3" s="966"/>
      <c r="K3" s="966"/>
      <c r="L3" s="966"/>
      <c r="M3" s="966"/>
      <c r="N3" s="966"/>
      <c r="O3" s="966"/>
      <c r="P3" s="966"/>
      <c r="Q3" s="966"/>
      <c r="R3" s="966"/>
      <c r="S3" s="966"/>
      <c r="T3" s="967"/>
    </row>
    <row r="4" spans="2:41" ht="30" customHeight="1" x14ac:dyDescent="0.2">
      <c r="E4" s="968" t="str">
        <f>PreliminaryRound!$H$4</f>
        <v>Sports hall Wiesengrund, Wendiger Str. 51, 65432 Riedwald</v>
      </c>
      <c r="F4" s="969"/>
      <c r="G4" s="969"/>
      <c r="H4" s="969"/>
      <c r="I4" s="969"/>
      <c r="J4" s="969"/>
      <c r="K4" s="969"/>
      <c r="L4" s="969"/>
      <c r="M4" s="969"/>
      <c r="N4" s="969"/>
      <c r="O4" s="969"/>
      <c r="P4" s="969"/>
      <c r="Q4" s="969"/>
      <c r="R4" s="969"/>
      <c r="S4" s="969"/>
      <c r="T4" s="970"/>
    </row>
    <row r="5" spans="2:41" ht="30" customHeight="1" thickBot="1" x14ac:dyDescent="0.25">
      <c r="E5" s="971" t="str">
        <f>PreliminaryRound!$H$5</f>
        <v>Start:  9:00 a.m.</v>
      </c>
      <c r="F5" s="972"/>
      <c r="G5" s="972"/>
      <c r="H5" s="972"/>
      <c r="I5" s="972"/>
      <c r="J5" s="972"/>
      <c r="K5" s="972"/>
      <c r="L5" s="972"/>
      <c r="M5" s="972"/>
      <c r="N5" s="972"/>
      <c r="O5" s="972"/>
      <c r="P5" s="972"/>
      <c r="Q5" s="972"/>
      <c r="R5" s="972"/>
      <c r="S5" s="972"/>
      <c r="T5" s="973"/>
    </row>
    <row r="6" spans="2:41" ht="18" customHeight="1" thickTop="1" thickBot="1" x14ac:dyDescent="0.25"/>
    <row r="7" spans="2:41" ht="30" customHeight="1" thickTop="1" x14ac:dyDescent="0.2">
      <c r="G7" s="975" t="str">
        <f>Language!$E$19</f>
        <v>Final round</v>
      </c>
      <c r="H7" s="976"/>
      <c r="I7" s="976"/>
      <c r="J7" s="976"/>
      <c r="K7" s="976"/>
      <c r="L7" s="976"/>
      <c r="M7" s="976"/>
      <c r="N7" s="976"/>
      <c r="O7" s="976"/>
      <c r="P7" s="976"/>
      <c r="Q7" s="976"/>
      <c r="R7" s="977"/>
    </row>
    <row r="8" spans="2:41" ht="30" customHeight="1" thickBot="1" x14ac:dyDescent="0.25">
      <c r="G8" s="978"/>
      <c r="H8" s="979"/>
      <c r="I8" s="979"/>
      <c r="J8" s="979"/>
      <c r="K8" s="979"/>
      <c r="L8" s="979"/>
      <c r="M8" s="979"/>
      <c r="N8" s="979"/>
      <c r="O8" s="979"/>
      <c r="P8" s="979"/>
      <c r="Q8" s="979"/>
      <c r="R8" s="980"/>
    </row>
    <row r="9" spans="2:41" ht="12.6" customHeight="1" thickTop="1" x14ac:dyDescent="0.2">
      <c r="T9" s="849" t="str">
        <f>Language!$E$20</f>
        <v>Addit. Pause (min)</v>
      </c>
      <c r="W9" s="818" t="s">
        <v>423</v>
      </c>
    </row>
    <row r="10" spans="2:41" ht="27.95" customHeight="1" thickBot="1" x14ac:dyDescent="0.35">
      <c r="C10" s="961" t="str">
        <f>Language!$E$55&amp;IF(MIN(Calc1!$F$13,Calc2!$F$13)*2&lt;2,""," 1 - "&amp;MIN(Calc1!$F$13,Calc2!$F$13)*2)</f>
        <v>Games for places  1 - 10</v>
      </c>
      <c r="D10" s="961"/>
      <c r="E10" s="961"/>
      <c r="F10" s="961"/>
      <c r="T10" s="849"/>
      <c r="W10" s="819" t="b">
        <f>Settings!$B$43=Language!$E$79</f>
        <v>0</v>
      </c>
      <c r="Y10" s="942" t="s">
        <v>422</v>
      </c>
      <c r="Z10" s="942"/>
      <c r="AA10" s="942"/>
      <c r="AB10" s="942"/>
      <c r="AC10" s="942"/>
      <c r="AE10" s="943" t="s">
        <v>425</v>
      </c>
      <c r="AF10" s="943"/>
      <c r="AH10" s="942" t="s">
        <v>424</v>
      </c>
      <c r="AI10" s="942"/>
      <c r="AJ10" s="942"/>
      <c r="AK10" s="942"/>
      <c r="AL10" s="942"/>
    </row>
    <row r="11" spans="2:41" ht="24" customHeight="1" thickTop="1" thickBot="1" x14ac:dyDescent="0.25">
      <c r="B11" s="279"/>
      <c r="C11" s="324" t="str">
        <f>Language!$E$9</f>
        <v>No.</v>
      </c>
      <c r="D11" s="275" t="str">
        <f>Language!$E$39</f>
        <v>Start</v>
      </c>
      <c r="E11" s="265" t="str">
        <f>Language!$E$48</f>
        <v>Field</v>
      </c>
      <c r="F11" s="265"/>
      <c r="G11" s="956" t="str">
        <f>Language!$E$14</f>
        <v>Match pairing</v>
      </c>
      <c r="H11" s="957"/>
      <c r="I11" s="958"/>
      <c r="J11" s="960" t="str">
        <f>Language!$E$61</f>
        <v>1st set</v>
      </c>
      <c r="K11" s="957"/>
      <c r="L11" s="958"/>
      <c r="M11" s="974" t="str">
        <f>Language!$E$62</f>
        <v>2nd set</v>
      </c>
      <c r="N11" s="912"/>
      <c r="O11" s="912"/>
      <c r="P11" s="912" t="str">
        <f>Language!$E$63</f>
        <v>3rd set</v>
      </c>
      <c r="Q11" s="912"/>
      <c r="R11" s="915"/>
      <c r="S11" s="612" t="str">
        <f>Language!$E$68</f>
        <v>Referee</v>
      </c>
      <c r="T11" s="850"/>
      <c r="W11" s="557" t="s">
        <v>353</v>
      </c>
      <c r="X11" s="557" t="s">
        <v>354</v>
      </c>
      <c r="Y11" s="556" t="s">
        <v>352</v>
      </c>
      <c r="Z11" s="817" t="s">
        <v>356</v>
      </c>
      <c r="AA11" s="817" t="s">
        <v>355</v>
      </c>
      <c r="AB11" s="941" t="s">
        <v>318</v>
      </c>
      <c r="AC11" s="941"/>
      <c r="AE11" s="817" t="s">
        <v>413</v>
      </c>
      <c r="AF11" s="813" t="s">
        <v>414</v>
      </c>
      <c r="AH11" s="813" t="s">
        <v>419</v>
      </c>
      <c r="AI11" s="813" t="s">
        <v>420</v>
      </c>
      <c r="AJ11" s="813" t="s">
        <v>355</v>
      </c>
      <c r="AK11" s="941" t="s">
        <v>318</v>
      </c>
      <c r="AL11" s="941"/>
      <c r="AN11" s="941" t="s">
        <v>421</v>
      </c>
      <c r="AO11" s="941"/>
    </row>
    <row r="12" spans="2:41" s="252" customFormat="1" ht="24" customHeight="1" x14ac:dyDescent="0.2">
      <c r="B12" s="311"/>
      <c r="C12" s="323">
        <f t="array" aca="1" ref="C12" ca="1">31-SUM(((Planning!$L$6:$L$35="")+(Planning!$N$6:$N$35="")&gt;0)*1)</f>
        <v>21</v>
      </c>
      <c r="D12" s="276">
        <f ca="1">IF(Planning!$V$15,"",Planning!$S$13+(Planning!$S$9+Planning!$Q$35)/1440)</f>
        <v>0.49652777777777779</v>
      </c>
      <c r="E12" s="273">
        <f>IF(Planning!$V$15,"",1)</f>
        <v>1</v>
      </c>
      <c r="F12" s="261" t="s">
        <v>202</v>
      </c>
      <c r="G12" s="262" t="str">
        <f ca="1">PreliminaryRound!$X$17</f>
        <v/>
      </c>
      <c r="H12" s="263" t="s">
        <v>4</v>
      </c>
      <c r="I12" s="264" t="str">
        <f ca="1">PreliminaryRound!$X$27</f>
        <v/>
      </c>
      <c r="J12" s="786"/>
      <c r="K12" s="270" t="str">
        <f>Language!$E$99</f>
        <v xml:space="preserve"> - </v>
      </c>
      <c r="L12" s="823"/>
      <c r="M12" s="820"/>
      <c r="N12" s="270" t="str">
        <f>Language!$E$99</f>
        <v xml:space="preserve"> - </v>
      </c>
      <c r="O12" s="788"/>
      <c r="P12" s="787"/>
      <c r="Q12" s="535" t="str">
        <f>Language!$E$99</f>
        <v xml:space="preserve"> - </v>
      </c>
      <c r="R12" s="826"/>
      <c r="S12" s="613"/>
      <c r="T12" s="538"/>
      <c r="W12" s="252" t="str">
        <f ca="1">IF(AN12&gt;AO12,$G12,IF(AN12&lt;AO12,$I12,""))</f>
        <v/>
      </c>
      <c r="X12" s="252" t="str">
        <f ca="1">IF(AN12&lt;AO12,$G12,IF(AN12&gt;AO12,$I12,""))</f>
        <v/>
      </c>
      <c r="Y12" s="252" t="b">
        <f>OR(NOT($W$10),AND($J12&lt;&gt;"",$L12&lt;&gt;"",$M12&lt;&gt;"",$O12&lt;&gt;"",$J12&lt;&gt;$L12,$M12&lt;&gt;$O12,($J12&gt;$L12)+($M12&gt;$O12)=1))</f>
        <v>1</v>
      </c>
      <c r="Z12" s="558" t="b">
        <f ca="1">AND($J12&lt;&gt;"",$L12&lt;&gt;"",$J12&lt;&gt;$L12,OR(AND($M12="",$O12=""),AND($M12&lt;&gt;"",$O12&lt;&gt;"",$M12&lt;&gt;$O12)),$G12&lt;&gt;"",$I12&lt;&gt;"",$G12&lt;&gt;$I12)</f>
        <v>0</v>
      </c>
      <c r="AA12" s="252" t="b">
        <f>AND(Y12,$P12&lt;&gt;"",$R12&lt;&gt;"",$P12&lt;&gt;$R12)</f>
        <v>0</v>
      </c>
      <c r="AB12" s="558">
        <f ca="1">(($J12&gt;$L12)+($M12&gt;$O12)+($P12&gt;$R12)*AA12)*Z12</f>
        <v>0</v>
      </c>
      <c r="AC12" s="558">
        <f ca="1">(($J12&lt;$L12)+($M12&lt;$O12)+($P12&lt;$R12)*AA12)*Z12</f>
        <v>0</v>
      </c>
      <c r="AE12" s="252" t="b">
        <f>AND($W$10,OR(AND($J12&lt;&gt;"",$J12=$L12),AND($M12&lt;&gt;"",$M12=$O12)))</f>
        <v>0</v>
      </c>
      <c r="AF12" s="252" t="b">
        <f>AND($W$10,$P12&lt;&gt;"",$R12&lt;&gt;"",$P12=$R12,$Y12)</f>
        <v>0</v>
      </c>
      <c r="AH12" s="252" t="b">
        <f ca="1">AND($J12&lt;&gt;"",$L12&lt;&gt;"",$G12&lt;&gt;"",$I12&lt;&gt;"",$G12&lt;&gt;$I12)</f>
        <v>0</v>
      </c>
      <c r="AI12" s="252" t="b">
        <f ca="1">AND($M12&lt;&gt;"",$O12&lt;&gt;"",$G12&lt;&gt;"",$I12&lt;&gt;"",$G12&lt;&gt;$I12)</f>
        <v>0</v>
      </c>
      <c r="AJ12" s="252" t="b">
        <f ca="1">AND($P12&lt;&gt;"",$R12&lt;&gt;"",$G12&lt;&gt;"",$I12&lt;&gt;"",$G12&lt;&gt;$I12)</f>
        <v>0</v>
      </c>
      <c r="AK12" s="558">
        <f ca="1">(($J12&gt;$L12)+($J12=$L12)*0.5)*$AH12+(($M12&gt;$O12)+($M12=$O12)*0.5)*$AI12+(($P12&gt;$R12)+($P12=$R12)*0.5)*$AJ12</f>
        <v>0</v>
      </c>
      <c r="AL12" s="558">
        <f ca="1">(($J12&lt;$L12)+($J12=$L12)*0.5)*$AH12+(($M12&lt;$O12)+($M12=$O12)*0.5)*$AI12+(($P12&lt;$R12)+($P12=$R12)*0.5)*$AJ12</f>
        <v>0</v>
      </c>
      <c r="AN12" s="558">
        <f ca="1">IF($W$10,$AB12,$AK12)</f>
        <v>0</v>
      </c>
      <c r="AO12" s="558">
        <f ca="1">IF($W$10,$AC12,$AL12)</f>
        <v>0</v>
      </c>
    </row>
    <row r="13" spans="2:41" s="252" customFormat="1" ht="24" customHeight="1" x14ac:dyDescent="0.2">
      <c r="B13" s="311"/>
      <c r="C13" s="313">
        <f t="array" aca="1" ref="C13" ca="1">ROW(32:32)-SUM(((Planning!$L$6:$L$35="")+(Planning!$N$6:$N$35="")&gt;0)*1)-SUM((($G$12:$G12="")+($I$12:$I12="")&gt;0)*1)</f>
        <v>21</v>
      </c>
      <c r="D13" s="277">
        <f t="array" aca="1" ref="D13" ca="1">IF(Planning!$V$15,"",$D$12+QUOTIENT(($C13-$C$12),Planning!$V$11)*(Planning!$S$7+Planning!$S$9)/1440+SUM($T$12:$T12)/1440)</f>
        <v>0.49652777777777779</v>
      </c>
      <c r="E13" s="273">
        <f ca="1">IF(Planning!$V$15,"",MOD($C13-$C$12,Planning!$V$11)+1)</f>
        <v>1</v>
      </c>
      <c r="F13" s="259" t="s">
        <v>203</v>
      </c>
      <c r="G13" s="255" t="str">
        <f ca="1">PreliminaryRound!$X$16</f>
        <v>FC Barcelona</v>
      </c>
      <c r="H13" s="89" t="s">
        <v>4</v>
      </c>
      <c r="I13" s="257" t="str">
        <f ca="1">PreliminaryRound!$X$26</f>
        <v>Mainz 05</v>
      </c>
      <c r="J13" s="783">
        <v>25</v>
      </c>
      <c r="K13" s="270" t="str">
        <f>Language!$E$99</f>
        <v xml:space="preserve"> - </v>
      </c>
      <c r="L13" s="824">
        <v>23</v>
      </c>
      <c r="M13" s="821">
        <v>25</v>
      </c>
      <c r="N13" s="270" t="str">
        <f>Language!$E$99</f>
        <v xml:space="preserve"> - </v>
      </c>
      <c r="O13" s="789">
        <v>22</v>
      </c>
      <c r="P13" s="783"/>
      <c r="Q13" s="536" t="str">
        <f>Language!$E$99</f>
        <v xml:space="preserve"> - </v>
      </c>
      <c r="R13" s="827"/>
      <c r="S13" s="600"/>
      <c r="T13" s="539"/>
      <c r="W13" s="252" t="str">
        <f t="shared" ref="W13:W17" ca="1" si="0">IF(AN13&gt;AO13,$G13,IF(AN13&lt;AO13,$I13,""))</f>
        <v>FC Barcelona</v>
      </c>
      <c r="X13" s="252" t="str">
        <f t="shared" ref="X13:X17" ca="1" si="1">IF(AN13&lt;AO13,$G13,IF(AN13&gt;AO13,$I13,""))</f>
        <v>Mainz 05</v>
      </c>
      <c r="Y13" s="252" t="b">
        <f t="shared" ref="Y13:Y17" si="2">OR(NOT($W$10),AND($J13&lt;&gt;"",$L13&lt;&gt;"",$M13&lt;&gt;"",$O13&lt;&gt;"",$J13&lt;&gt;$L13,$M13&lt;&gt;$O13,($J13&gt;$L13)+($M13&gt;$O13)=1))</f>
        <v>1</v>
      </c>
      <c r="Z13" s="558" t="b">
        <f t="shared" ref="Z13:Z17" ca="1" si="3">AND($J13&lt;&gt;"",$L13&lt;&gt;"",$J13&lt;&gt;$L13,OR(AND($M13="",$O13=""),AND($M13&lt;&gt;"",$O13&lt;&gt;"",$M13&lt;&gt;$O13)),$G13&lt;&gt;"",$I13&lt;&gt;"",$G13&lt;&gt;$I13)</f>
        <v>1</v>
      </c>
      <c r="AA13" s="252" t="b">
        <f t="shared" ref="AA13:AA17" si="4">AND($Y13,$P13&lt;&gt;"",$R13&lt;&gt;"",$P13&lt;&gt;$R13)</f>
        <v>0</v>
      </c>
      <c r="AB13" s="558">
        <f t="shared" ref="AB13:AB17" ca="1" si="5">(($J13&gt;$L13)+($M13&gt;$O13)+($P13&gt;$R13)*$AA13)*$Z13</f>
        <v>2</v>
      </c>
      <c r="AC13" s="558">
        <f t="shared" ref="AC13:AC17" ca="1" si="6">(($J13&lt;$L13)+($M13&lt;$O13)+($P13&lt;$R13)*$AA13)*$Z13</f>
        <v>0</v>
      </c>
      <c r="AE13" s="252" t="b">
        <f t="shared" ref="AE13:AE17" si="7">AND($W$10,OR(AND($J13&lt;&gt;"",$J13=$L13),AND($M13&lt;&gt;"",$M13=$O13)))</f>
        <v>0</v>
      </c>
      <c r="AF13" s="252" t="b">
        <f t="shared" ref="AF13:AF17" si="8">AND($W$10,$P13&lt;&gt;"",$R13&lt;&gt;"",$P13=$R13,$Y13)</f>
        <v>0</v>
      </c>
      <c r="AH13" s="252" t="b">
        <f t="shared" ref="AH13:AH17" ca="1" si="9">AND($J13&lt;&gt;"",$L13&lt;&gt;"",$G13&lt;&gt;"",$I13&lt;&gt;"",$G13&lt;&gt;$I13)</f>
        <v>1</v>
      </c>
      <c r="AI13" s="252" t="b">
        <f t="shared" ref="AI13:AI17" ca="1" si="10">AND($M13&lt;&gt;"",$O13&lt;&gt;"",$G13&lt;&gt;"",$I13&lt;&gt;"",$G13&lt;&gt;$I13)</f>
        <v>1</v>
      </c>
      <c r="AJ13" s="252" t="b">
        <f t="shared" ref="AJ13:AJ17" ca="1" si="11">AND($P13&lt;&gt;"",$R13&lt;&gt;"",$G13&lt;&gt;"",$I13&lt;&gt;"",$G13&lt;&gt;$I13)</f>
        <v>0</v>
      </c>
      <c r="AK13" s="558">
        <f t="shared" ref="AK13:AK17" ca="1" si="12">(($J13&gt;$L13)+($J13=$L13)*0.5)*$AH13+(($M13&gt;$O13)+($M13=$O13)*0.5)*$AI13+(($P13&gt;$R13)+($P13=$R13)*0.5)*$AJ13</f>
        <v>2</v>
      </c>
      <c r="AL13" s="558">
        <f t="shared" ref="AL13:AL17" ca="1" si="13">(($J13&lt;$L13)+($J13=$L13)*0.5)*$AH13+(($M13&lt;$O13)+($M13=$O13)*0.5)*$AI13+(($P13&lt;$R13)+($P13=$R13)*0.5)*$AJ13</f>
        <v>0</v>
      </c>
      <c r="AN13" s="558">
        <f t="shared" ref="AN13:AN17" ca="1" si="14">IF($W$10,$AB13,$AK13)</f>
        <v>2</v>
      </c>
      <c r="AO13" s="558">
        <f t="shared" ref="AO13:AO17" ca="1" si="15">IF($W$10,$AC13,$AL13)</f>
        <v>0</v>
      </c>
    </row>
    <row r="14" spans="2:41" s="252" customFormat="1" ht="24" customHeight="1" x14ac:dyDescent="0.2">
      <c r="B14" s="311"/>
      <c r="C14" s="313">
        <f t="array" aca="1" ref="C14" ca="1">ROW(33:33)-SUM(((Planning!$L$6:$L$35="")+(Planning!$N$6:$N$35="")&gt;0)*1)-SUM((($G$12:$G13="")+($I$12:$I13="")&gt;0)*1)</f>
        <v>22</v>
      </c>
      <c r="D14" s="277">
        <f t="array" aca="1" ref="D14" ca="1">IF(Planning!$V$15,"",$D$12+QUOTIENT(($C14-$C$12),Planning!$V$11)*(Planning!$S$7+Planning!$S$9)/1440+SUM($T$12:$T13)/1440)</f>
        <v>0.49652777777777779</v>
      </c>
      <c r="E14" s="273">
        <f ca="1">IF(Planning!$V$15,"",MOD($C14-$C$12,Planning!$V$11)+1)</f>
        <v>2</v>
      </c>
      <c r="F14" s="259" t="s">
        <v>204</v>
      </c>
      <c r="G14" s="255" t="str">
        <f ca="1">PreliminaryRound!$X$15</f>
        <v>Eintracht Frankfurt</v>
      </c>
      <c r="H14" s="89" t="s">
        <v>4</v>
      </c>
      <c r="I14" s="257" t="str">
        <f ca="1">PreliminaryRound!$X$25</f>
        <v>FC Grönlingen</v>
      </c>
      <c r="J14" s="783">
        <v>19</v>
      </c>
      <c r="K14" s="270" t="str">
        <f>Language!$E$99</f>
        <v xml:space="preserve"> - </v>
      </c>
      <c r="L14" s="824">
        <v>25</v>
      </c>
      <c r="M14" s="821">
        <v>25</v>
      </c>
      <c r="N14" s="270" t="str">
        <f>Language!$E$99</f>
        <v xml:space="preserve"> - </v>
      </c>
      <c r="O14" s="789">
        <v>20</v>
      </c>
      <c r="P14" s="783">
        <v>15</v>
      </c>
      <c r="Q14" s="536" t="str">
        <f>Language!$E$99</f>
        <v xml:space="preserve"> - </v>
      </c>
      <c r="R14" s="827">
        <v>17</v>
      </c>
      <c r="S14" s="600"/>
      <c r="T14" s="539"/>
      <c r="W14" s="252" t="str">
        <f t="shared" ca="1" si="0"/>
        <v>FC Grönlingen</v>
      </c>
      <c r="X14" s="252" t="str">
        <f t="shared" ca="1" si="1"/>
        <v>Eintracht Frankfurt</v>
      </c>
      <c r="Y14" s="252" t="b">
        <f t="shared" si="2"/>
        <v>1</v>
      </c>
      <c r="Z14" s="558" t="b">
        <f t="shared" ca="1" si="3"/>
        <v>1</v>
      </c>
      <c r="AA14" s="252" t="b">
        <f t="shared" si="4"/>
        <v>1</v>
      </c>
      <c r="AB14" s="558">
        <f t="shared" ca="1" si="5"/>
        <v>1</v>
      </c>
      <c r="AC14" s="558">
        <f t="shared" ca="1" si="6"/>
        <v>2</v>
      </c>
      <c r="AE14" s="252" t="b">
        <f t="shared" si="7"/>
        <v>0</v>
      </c>
      <c r="AF14" s="252" t="b">
        <f t="shared" si="8"/>
        <v>0</v>
      </c>
      <c r="AH14" s="252" t="b">
        <f t="shared" ca="1" si="9"/>
        <v>1</v>
      </c>
      <c r="AI14" s="252" t="b">
        <f t="shared" ca="1" si="10"/>
        <v>1</v>
      </c>
      <c r="AJ14" s="252" t="b">
        <f t="shared" ca="1" si="11"/>
        <v>1</v>
      </c>
      <c r="AK14" s="558">
        <f t="shared" ca="1" si="12"/>
        <v>1</v>
      </c>
      <c r="AL14" s="558">
        <f t="shared" ca="1" si="13"/>
        <v>2</v>
      </c>
      <c r="AN14" s="558">
        <f t="shared" ca="1" si="14"/>
        <v>1</v>
      </c>
      <c r="AO14" s="558">
        <f t="shared" ca="1" si="15"/>
        <v>2</v>
      </c>
    </row>
    <row r="15" spans="2:41" s="252" customFormat="1" ht="24" customHeight="1" x14ac:dyDescent="0.2">
      <c r="B15" s="311"/>
      <c r="C15" s="313">
        <f t="array" aca="1" ref="C15" ca="1">ROW(34:34)-SUM(((Planning!$L$6:$L$35="")+(Planning!$N$6:$N$35="")&gt;0)*1)-SUM((($G$12:$G14="")+($I$12:$I14="")&gt;0)*1)</f>
        <v>23</v>
      </c>
      <c r="D15" s="277">
        <f t="array" aca="1" ref="D15" ca="1">IF(Planning!$V$15,"",$D$12+QUOTIENT(($C15-$C$12),Planning!$V$11)*(Planning!$S$7+Planning!$S$9)/1440+SUM($T$12:$T14)/1440)</f>
        <v>0.49652777777777779</v>
      </c>
      <c r="E15" s="273">
        <f ca="1">IF(Planning!$V$15,"",MOD($C15-$C$12,Planning!$V$11)+1)</f>
        <v>3</v>
      </c>
      <c r="F15" s="259" t="s">
        <v>205</v>
      </c>
      <c r="G15" s="255" t="str">
        <f ca="1">PreliminaryRound!$X$14</f>
        <v>1. FC Riedwald</v>
      </c>
      <c r="H15" s="89" t="s">
        <v>4</v>
      </c>
      <c r="I15" s="257" t="str">
        <f ca="1">PreliminaryRound!$X$24</f>
        <v>SSV Wildbach</v>
      </c>
      <c r="J15" s="783">
        <v>25</v>
      </c>
      <c r="K15" s="271" t="str">
        <f>Language!$E$99</f>
        <v xml:space="preserve"> - </v>
      </c>
      <c r="L15" s="824">
        <v>23</v>
      </c>
      <c r="M15" s="821">
        <v>25</v>
      </c>
      <c r="N15" s="271" t="str">
        <f>Language!$E$99</f>
        <v xml:space="preserve"> - </v>
      </c>
      <c r="O15" s="789">
        <v>21</v>
      </c>
      <c r="P15" s="783"/>
      <c r="Q15" s="536" t="str">
        <f>Language!$E$99</f>
        <v xml:space="preserve"> - </v>
      </c>
      <c r="R15" s="827"/>
      <c r="S15" s="600"/>
      <c r="T15" s="539"/>
      <c r="W15" s="252" t="str">
        <f t="shared" ca="1" si="0"/>
        <v>1. FC Riedwald</v>
      </c>
      <c r="X15" s="252" t="str">
        <f t="shared" ca="1" si="1"/>
        <v>SSV Wildbach</v>
      </c>
      <c r="Y15" s="252" t="b">
        <f t="shared" si="2"/>
        <v>1</v>
      </c>
      <c r="Z15" s="558" t="b">
        <f t="shared" ca="1" si="3"/>
        <v>1</v>
      </c>
      <c r="AA15" s="252" t="b">
        <f t="shared" si="4"/>
        <v>0</v>
      </c>
      <c r="AB15" s="558">
        <f t="shared" ca="1" si="5"/>
        <v>2</v>
      </c>
      <c r="AC15" s="558">
        <f t="shared" ca="1" si="6"/>
        <v>0</v>
      </c>
      <c r="AE15" s="252" t="b">
        <f t="shared" si="7"/>
        <v>0</v>
      </c>
      <c r="AF15" s="252" t="b">
        <f t="shared" si="8"/>
        <v>0</v>
      </c>
      <c r="AH15" s="252" t="b">
        <f t="shared" ca="1" si="9"/>
        <v>1</v>
      </c>
      <c r="AI15" s="252" t="b">
        <f t="shared" ca="1" si="10"/>
        <v>1</v>
      </c>
      <c r="AJ15" s="252" t="b">
        <f t="shared" ca="1" si="11"/>
        <v>0</v>
      </c>
      <c r="AK15" s="558">
        <f t="shared" ca="1" si="12"/>
        <v>2</v>
      </c>
      <c r="AL15" s="558">
        <f t="shared" ca="1" si="13"/>
        <v>0</v>
      </c>
      <c r="AN15" s="558">
        <f t="shared" ca="1" si="14"/>
        <v>2</v>
      </c>
      <c r="AO15" s="558">
        <f t="shared" ca="1" si="15"/>
        <v>0</v>
      </c>
    </row>
    <row r="16" spans="2:41" s="252" customFormat="1" ht="24" customHeight="1" x14ac:dyDescent="0.2">
      <c r="B16" s="311"/>
      <c r="C16" s="313">
        <f t="array" aca="1" ref="C16" ca="1">ROW(35:35)-SUM(((Planning!$L$6:$L$35="")+(Planning!$N$6:$N$35="")&gt;0)*1)-SUM((($G$12:$G15="")+($I$12:$I15="")&gt;0)*1)</f>
        <v>24</v>
      </c>
      <c r="D16" s="277">
        <f t="array" aca="1" ref="D16" ca="1">IF(Planning!$V$15,"",$D$12+QUOTIENT(($C16-$C$12),Planning!$V$11)*(Planning!$S$7+Planning!$S$9)/1440+SUM($T$12:$T15)/1440)</f>
        <v>0.49652777777777779</v>
      </c>
      <c r="E16" s="273">
        <f ca="1">IF(Planning!$V$15,"",MOD($C16-$C$12,Planning!$V$11)+1)</f>
        <v>4</v>
      </c>
      <c r="F16" s="259" t="s">
        <v>206</v>
      </c>
      <c r="G16" s="255" t="str">
        <f ca="1">PreliminaryRound!$X$13</f>
        <v>VFB Essenheim</v>
      </c>
      <c r="H16" s="89" t="s">
        <v>4</v>
      </c>
      <c r="I16" s="257" t="str">
        <f ca="1">PreliminaryRound!$X$23</f>
        <v>Manchester City</v>
      </c>
      <c r="J16" s="783">
        <v>26</v>
      </c>
      <c r="K16" s="271" t="str">
        <f>Language!$E$99</f>
        <v xml:space="preserve"> - </v>
      </c>
      <c r="L16" s="824">
        <v>24</v>
      </c>
      <c r="M16" s="821">
        <v>25</v>
      </c>
      <c r="N16" s="271" t="str">
        <f>Language!$E$99</f>
        <v xml:space="preserve"> - </v>
      </c>
      <c r="O16" s="789">
        <v>23</v>
      </c>
      <c r="P16" s="785"/>
      <c r="Q16" s="537" t="str">
        <f>Language!$E$99</f>
        <v xml:space="preserve"> - </v>
      </c>
      <c r="R16" s="828"/>
      <c r="S16" s="614"/>
      <c r="T16" s="540"/>
      <c r="W16" s="252" t="str">
        <f t="shared" ca="1" si="0"/>
        <v>VFB Essenheim</v>
      </c>
      <c r="X16" s="252" t="str">
        <f t="shared" ca="1" si="1"/>
        <v>Manchester City</v>
      </c>
      <c r="Y16" s="252" t="b">
        <f t="shared" si="2"/>
        <v>1</v>
      </c>
      <c r="Z16" s="558" t="b">
        <f t="shared" ca="1" si="3"/>
        <v>1</v>
      </c>
      <c r="AA16" s="252" t="b">
        <f t="shared" si="4"/>
        <v>0</v>
      </c>
      <c r="AB16" s="558">
        <f t="shared" ca="1" si="5"/>
        <v>2</v>
      </c>
      <c r="AC16" s="558">
        <f t="shared" ca="1" si="6"/>
        <v>0</v>
      </c>
      <c r="AE16" s="252" t="b">
        <f t="shared" si="7"/>
        <v>0</v>
      </c>
      <c r="AF16" s="252" t="b">
        <f t="shared" si="8"/>
        <v>0</v>
      </c>
      <c r="AH16" s="252" t="b">
        <f t="shared" ca="1" si="9"/>
        <v>1</v>
      </c>
      <c r="AI16" s="252" t="b">
        <f t="shared" ca="1" si="10"/>
        <v>1</v>
      </c>
      <c r="AJ16" s="252" t="b">
        <f t="shared" ca="1" si="11"/>
        <v>0</v>
      </c>
      <c r="AK16" s="558">
        <f t="shared" ca="1" si="12"/>
        <v>2</v>
      </c>
      <c r="AL16" s="558">
        <f t="shared" ca="1" si="13"/>
        <v>0</v>
      </c>
      <c r="AN16" s="558">
        <f t="shared" ca="1" si="14"/>
        <v>2</v>
      </c>
      <c r="AO16" s="558">
        <f t="shared" ca="1" si="15"/>
        <v>0</v>
      </c>
    </row>
    <row r="17" spans="2:41" s="252" customFormat="1" ht="24" customHeight="1" thickBot="1" x14ac:dyDescent="0.25">
      <c r="B17" s="311"/>
      <c r="C17" s="314">
        <f t="array" aca="1" ref="C17" ca="1">ROW(36:36)-SUM(((Planning!$L$6:$L$35="")+(Planning!$N$6:$N$35="")&gt;0)*1)-SUM((($G$12:$G16="")+($I$12:$I16="")&gt;0)*1)</f>
        <v>25</v>
      </c>
      <c r="D17" s="278">
        <f t="array" aca="1" ref="D17" ca="1">IF(Planning!$V$15,"",$D$12+QUOTIENT(($C17-$C$12),Planning!$V$11)*(Planning!$S$7+Planning!$S$9)/1440+SUM($T$12:$T16)/1440)</f>
        <v>0.52083333333333337</v>
      </c>
      <c r="E17" s="274">
        <f ca="1">IF(Planning!$V$15,"",MOD($C17-$C$12,Planning!$V$11)+1)</f>
        <v>1</v>
      </c>
      <c r="F17" s="260" t="s">
        <v>207</v>
      </c>
      <c r="G17" s="256" t="str">
        <f ca="1">PreliminaryRound!$X$12</f>
        <v>Maibach 1822 eV</v>
      </c>
      <c r="H17" s="90" t="s">
        <v>4</v>
      </c>
      <c r="I17" s="258" t="str">
        <f ca="1">PreliminaryRound!$X$22</f>
        <v>Inter Mailand</v>
      </c>
      <c r="J17" s="784">
        <v>14</v>
      </c>
      <c r="K17" s="272" t="str">
        <f>Language!$E$99</f>
        <v xml:space="preserve"> - </v>
      </c>
      <c r="L17" s="825">
        <v>25</v>
      </c>
      <c r="M17" s="822">
        <v>12</v>
      </c>
      <c r="N17" s="272" t="str">
        <f>Language!$E$99</f>
        <v xml:space="preserve"> - </v>
      </c>
      <c r="O17" s="790">
        <v>25</v>
      </c>
      <c r="P17" s="784"/>
      <c r="Q17" s="551" t="str">
        <f>Language!$E$99</f>
        <v xml:space="preserve"> - </v>
      </c>
      <c r="R17" s="829"/>
      <c r="S17" s="615"/>
      <c r="T17" s="548"/>
      <c r="W17" s="252" t="str">
        <f t="shared" ca="1" si="0"/>
        <v>Inter Mailand</v>
      </c>
      <c r="X17" s="252" t="str">
        <f t="shared" ca="1" si="1"/>
        <v>Maibach 1822 eV</v>
      </c>
      <c r="Y17" s="252" t="b">
        <f t="shared" si="2"/>
        <v>1</v>
      </c>
      <c r="Z17" s="558" t="b">
        <f t="shared" ca="1" si="3"/>
        <v>1</v>
      </c>
      <c r="AA17" s="252" t="b">
        <f t="shared" si="4"/>
        <v>0</v>
      </c>
      <c r="AB17" s="558">
        <f t="shared" ca="1" si="5"/>
        <v>0</v>
      </c>
      <c r="AC17" s="558">
        <f t="shared" ca="1" si="6"/>
        <v>2</v>
      </c>
      <c r="AE17" s="252" t="b">
        <f t="shared" si="7"/>
        <v>0</v>
      </c>
      <c r="AF17" s="252" t="b">
        <f t="shared" si="8"/>
        <v>0</v>
      </c>
      <c r="AH17" s="252" t="b">
        <f t="shared" ca="1" si="9"/>
        <v>1</v>
      </c>
      <c r="AI17" s="252" t="b">
        <f t="shared" ca="1" si="10"/>
        <v>1</v>
      </c>
      <c r="AJ17" s="252" t="b">
        <f t="shared" ca="1" si="11"/>
        <v>0</v>
      </c>
      <c r="AK17" s="558">
        <f t="shared" ca="1" si="12"/>
        <v>0</v>
      </c>
      <c r="AL17" s="558">
        <f t="shared" ca="1" si="13"/>
        <v>2</v>
      </c>
      <c r="AN17" s="558">
        <f t="shared" ca="1" si="14"/>
        <v>0</v>
      </c>
      <c r="AO17" s="558">
        <f t="shared" ca="1" si="15"/>
        <v>2</v>
      </c>
    </row>
    <row r="18" spans="2:41" ht="13.5" thickTop="1" x14ac:dyDescent="0.2"/>
    <row r="19" spans="2:41" ht="24" customHeight="1" x14ac:dyDescent="0.2">
      <c r="C19" s="282"/>
      <c r="D19" s="282"/>
      <c r="E19" s="282"/>
      <c r="F19" s="282"/>
      <c r="G19" s="959" t="str">
        <f>Language!$E$29</f>
        <v>Tournament end:</v>
      </c>
      <c r="H19" s="959"/>
      <c r="I19" s="283">
        <f ca="1">IF(Planning!$S$13="","",$D$17+Planning!$S$7/1440)</f>
        <v>0.54166666666666674</v>
      </c>
      <c r="J19" s="284"/>
      <c r="K19" s="284"/>
      <c r="L19" s="284"/>
      <c r="M19" s="284"/>
      <c r="N19" s="284"/>
      <c r="O19" s="284"/>
      <c r="P19" s="284"/>
      <c r="Q19" s="284"/>
      <c r="R19" s="284"/>
      <c r="S19" s="284"/>
      <c r="T19" s="284"/>
    </row>
    <row r="20" spans="2:41" x14ac:dyDescent="0.2">
      <c r="D20" s="280"/>
    </row>
    <row r="21" spans="2:41" ht="13.5" thickBot="1" x14ac:dyDescent="0.25">
      <c r="D21" s="280"/>
    </row>
    <row r="22" spans="2:41" ht="22.5" customHeight="1" thickBot="1" x14ac:dyDescent="0.25">
      <c r="F22" s="374" t="str">
        <f>Language!$E$107</f>
        <v>Rank</v>
      </c>
      <c r="G22" s="946" t="str">
        <f>"  "&amp;Language!$E$10</f>
        <v xml:space="preserve">  Participant or team</v>
      </c>
      <c r="H22" s="946"/>
      <c r="I22" s="947"/>
    </row>
    <row r="23" spans="2:41" ht="24" customHeight="1" thickTop="1" x14ac:dyDescent="0.2">
      <c r="E23" s="281">
        <v>1</v>
      </c>
      <c r="F23" s="325">
        <v>1</v>
      </c>
      <c r="G23" s="950" t="str">
        <f ca="1">W17</f>
        <v>Inter Mailand</v>
      </c>
      <c r="H23" s="950"/>
      <c r="I23" s="951"/>
    </row>
    <row r="24" spans="2:41" ht="24" customHeight="1" x14ac:dyDescent="0.2">
      <c r="E24" s="281">
        <v>2</v>
      </c>
      <c r="F24" s="326">
        <v>2</v>
      </c>
      <c r="G24" s="952" t="str">
        <f ca="1">X17</f>
        <v>Maibach 1822 eV</v>
      </c>
      <c r="H24" s="952"/>
      <c r="I24" s="953"/>
    </row>
    <row r="25" spans="2:41" ht="24" customHeight="1" x14ac:dyDescent="0.2">
      <c r="E25" s="281">
        <v>3</v>
      </c>
      <c r="F25" s="327">
        <v>3</v>
      </c>
      <c r="G25" s="954" t="str">
        <f ca="1">W16</f>
        <v>VFB Essenheim</v>
      </c>
      <c r="H25" s="954"/>
      <c r="I25" s="955"/>
    </row>
    <row r="26" spans="2:41" ht="24" customHeight="1" x14ac:dyDescent="0.2">
      <c r="E26" s="281">
        <v>4</v>
      </c>
      <c r="F26" s="328">
        <v>4</v>
      </c>
      <c r="G26" s="948" t="str">
        <f ca="1">X16</f>
        <v>Manchester City</v>
      </c>
      <c r="H26" s="948"/>
      <c r="I26" s="949"/>
    </row>
    <row r="27" spans="2:41" ht="24" customHeight="1" x14ac:dyDescent="0.2">
      <c r="E27" s="281">
        <v>5</v>
      </c>
      <c r="F27" s="328">
        <v>5</v>
      </c>
      <c r="G27" s="948" t="str">
        <f ca="1">W15</f>
        <v>1. FC Riedwald</v>
      </c>
      <c r="H27" s="948"/>
      <c r="I27" s="949"/>
    </row>
    <row r="28" spans="2:41" ht="24" customHeight="1" x14ac:dyDescent="0.2">
      <c r="E28" s="281">
        <v>6</v>
      </c>
      <c r="F28" s="328">
        <v>6</v>
      </c>
      <c r="G28" s="948" t="str">
        <f ca="1">X15</f>
        <v>SSV Wildbach</v>
      </c>
      <c r="H28" s="948"/>
      <c r="I28" s="949"/>
    </row>
    <row r="29" spans="2:41" ht="24" customHeight="1" x14ac:dyDescent="0.2">
      <c r="E29" s="281">
        <v>7</v>
      </c>
      <c r="F29" s="328">
        <v>7</v>
      </c>
      <c r="G29" s="948" t="str">
        <f ca="1">W14</f>
        <v>FC Grönlingen</v>
      </c>
      <c r="H29" s="948"/>
      <c r="I29" s="949"/>
    </row>
    <row r="30" spans="2:41" ht="24" customHeight="1" x14ac:dyDescent="0.2">
      <c r="E30" s="281">
        <v>8</v>
      </c>
      <c r="F30" s="328">
        <v>8</v>
      </c>
      <c r="G30" s="948" t="str">
        <f ca="1">X14</f>
        <v>Eintracht Frankfurt</v>
      </c>
      <c r="H30" s="948"/>
      <c r="I30" s="949"/>
    </row>
    <row r="31" spans="2:41" ht="24" customHeight="1" x14ac:dyDescent="0.2">
      <c r="E31" s="281">
        <v>9</v>
      </c>
      <c r="F31" s="328">
        <v>9</v>
      </c>
      <c r="G31" s="948" t="str">
        <f ca="1">W13</f>
        <v>FC Barcelona</v>
      </c>
      <c r="H31" s="948"/>
      <c r="I31" s="949"/>
    </row>
    <row r="32" spans="2:41" ht="24" customHeight="1" x14ac:dyDescent="0.2">
      <c r="E32" s="281">
        <v>10</v>
      </c>
      <c r="F32" s="328">
        <v>10</v>
      </c>
      <c r="G32" s="948" t="str">
        <f ca="1">X13</f>
        <v>Mainz 05</v>
      </c>
      <c r="H32" s="948"/>
      <c r="I32" s="949"/>
    </row>
    <row r="33" spans="5:9" ht="24" customHeight="1" x14ac:dyDescent="0.2">
      <c r="E33" s="281">
        <v>11</v>
      </c>
      <c r="F33" s="328">
        <v>11</v>
      </c>
      <c r="G33" s="948" t="str">
        <f ca="1">W12</f>
        <v/>
      </c>
      <c r="H33" s="948"/>
      <c r="I33" s="949"/>
    </row>
    <row r="34" spans="5:9" ht="24" customHeight="1" thickBot="1" x14ac:dyDescent="0.25">
      <c r="E34" s="281">
        <v>12</v>
      </c>
      <c r="F34" s="329">
        <v>12</v>
      </c>
      <c r="G34" s="944" t="str">
        <f ca="1">X12</f>
        <v/>
      </c>
      <c r="H34" s="944"/>
      <c r="I34" s="945"/>
    </row>
    <row r="35" spans="5:9" ht="13.5" thickTop="1" x14ac:dyDescent="0.2"/>
    <row r="36" spans="5:9" x14ac:dyDescent="0.2"/>
    <row r="37" spans="5:9" x14ac:dyDescent="0.2"/>
  </sheetData>
  <sheetProtection sheet="1" selectLockedCells="1"/>
  <mergeCells count="31">
    <mergeCell ref="G11:I11"/>
    <mergeCell ref="G19:H19"/>
    <mergeCell ref="J11:L11"/>
    <mergeCell ref="C10:F10"/>
    <mergeCell ref="E2:T2"/>
    <mergeCell ref="E3:T3"/>
    <mergeCell ref="E4:T4"/>
    <mergeCell ref="E5:T5"/>
    <mergeCell ref="T9:T11"/>
    <mergeCell ref="M11:O11"/>
    <mergeCell ref="P11:R11"/>
    <mergeCell ref="G7:R8"/>
    <mergeCell ref="G34:I34"/>
    <mergeCell ref="G22:I22"/>
    <mergeCell ref="G28:I28"/>
    <mergeCell ref="G29:I29"/>
    <mergeCell ref="G30:I30"/>
    <mergeCell ref="G31:I31"/>
    <mergeCell ref="G32:I32"/>
    <mergeCell ref="G33:I33"/>
    <mergeCell ref="G23:I23"/>
    <mergeCell ref="G24:I24"/>
    <mergeCell ref="G25:I25"/>
    <mergeCell ref="G26:I26"/>
    <mergeCell ref="G27:I27"/>
    <mergeCell ref="AK11:AL11"/>
    <mergeCell ref="AN11:AO11"/>
    <mergeCell ref="Y10:AC10"/>
    <mergeCell ref="AH10:AL10"/>
    <mergeCell ref="AE10:AF10"/>
    <mergeCell ref="AB11:AC11"/>
  </mergeCells>
  <conditionalFormatting sqref="C12:R17">
    <cfRule type="expression" dxfId="28" priority="4">
      <formula>OR($G12="",$I12="")</formula>
    </cfRule>
  </conditionalFormatting>
  <conditionalFormatting sqref="J12:O17">
    <cfRule type="expression" dxfId="27" priority="3">
      <formula>$AE12</formula>
    </cfRule>
  </conditionalFormatting>
  <conditionalFormatting sqref="P12:R17">
    <cfRule type="expression" dxfId="26" priority="1">
      <formula>NOT($Y12)</formula>
    </cfRule>
    <cfRule type="expression" dxfId="25" priority="2">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5" id="{17BB91E0-A3CE-4ED3-B5A3-AE335022FDB6}">
            <xm:f>$F26&gt;2*#REF!-MOD((#REF!+Calc2!$F$13),2)</xm:f>
            <x14:dxf>
              <numFmt numFmtId="165" formatCode=";;;"/>
            </x14:dxf>
          </x14:cfRule>
          <xm:sqref>F26:F34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3CCBC-5822-4495-B3C7-DB0CA00BC521}">
  <dimension ref="A1:AO42"/>
  <sheetViews>
    <sheetView showGridLines="0" showRowColHeaders="0" workbookViewId="0">
      <selection activeCell="J12" sqref="J12"/>
    </sheetView>
  </sheetViews>
  <sheetFormatPr baseColWidth="10" defaultColWidth="0" defaultRowHeight="12.75" zeroHeight="1" x14ac:dyDescent="0.2"/>
  <cols>
    <col min="1" max="1" width="10.42578125" style="9" customWidth="1"/>
    <col min="2" max="2" width="5.28515625" style="9" customWidth="1"/>
    <col min="3" max="3" width="6.7109375" style="9" customWidth="1"/>
    <col min="4" max="6" width="11.42578125" style="9" customWidth="1"/>
    <col min="7" max="7" width="28.7109375" style="9" customWidth="1"/>
    <col min="8" max="8" width="2.85546875" style="9" customWidth="1"/>
    <col min="9" max="9" width="28.7109375" style="9" customWidth="1"/>
    <col min="10" max="10" width="4.7109375" style="9" customWidth="1"/>
    <col min="11" max="11" width="2.28515625" style="9" customWidth="1"/>
    <col min="12" max="13" width="4.7109375" style="9" customWidth="1"/>
    <col min="14" max="14" width="2.28515625" style="9" customWidth="1"/>
    <col min="15" max="16" width="4.7109375" style="9" customWidth="1"/>
    <col min="17" max="17" width="2.28515625" style="9" customWidth="1"/>
    <col min="18" max="18" width="4.7109375" style="9" customWidth="1"/>
    <col min="19" max="19" width="15.7109375" style="9" customWidth="1"/>
    <col min="20" max="21" width="8" style="9" customWidth="1"/>
    <col min="22" max="22" width="11.42578125" customWidth="1"/>
    <col min="23" max="23" width="17.85546875" hidden="1" customWidth="1"/>
    <col min="24" max="24" width="17.5703125" hidden="1" customWidth="1"/>
    <col min="25" max="27" width="9.7109375" hidden="1" customWidth="1"/>
    <col min="28" max="28" width="5.42578125" hidden="1" customWidth="1"/>
    <col min="29" max="29" width="5.7109375" hidden="1" customWidth="1"/>
    <col min="30" max="30" width="4.42578125" hidden="1" customWidth="1"/>
    <col min="31" max="32" width="9.7109375" hidden="1" customWidth="1"/>
    <col min="33" max="33" width="4.5703125" hidden="1" customWidth="1"/>
    <col min="34" max="36" width="9.7109375" hidden="1" customWidth="1"/>
    <col min="37" max="37" width="5" hidden="1" customWidth="1"/>
    <col min="38" max="38" width="5.5703125" hidden="1" customWidth="1"/>
    <col min="39" max="39" width="4.7109375" hidden="1" customWidth="1"/>
    <col min="40" max="40" width="5.28515625" hidden="1" customWidth="1"/>
    <col min="41" max="41" width="5" hidden="1" customWidth="1"/>
    <col min="42" max="16384" width="11.42578125" hidden="1"/>
  </cols>
  <sheetData>
    <row r="1" spans="1:41" ht="13.5" thickBot="1" x14ac:dyDescent="0.25"/>
    <row r="2" spans="1:41" ht="36.75" thickTop="1" x14ac:dyDescent="0.2">
      <c r="E2" s="962" t="str">
        <f>PreliminaryRound!$H$2</f>
        <v>International tournament U10 on Jan. 27th, 2026</v>
      </c>
      <c r="F2" s="963"/>
      <c r="G2" s="963"/>
      <c r="H2" s="963"/>
      <c r="I2" s="963"/>
      <c r="J2" s="963"/>
      <c r="K2" s="963"/>
      <c r="L2" s="963"/>
      <c r="M2" s="963"/>
      <c r="N2" s="963"/>
      <c r="O2" s="963"/>
      <c r="P2" s="963"/>
      <c r="Q2" s="963"/>
      <c r="R2" s="963"/>
      <c r="S2" s="963"/>
      <c r="T2" s="964"/>
    </row>
    <row r="3" spans="1:41" ht="30" customHeight="1" x14ac:dyDescent="0.2">
      <c r="E3" s="965" t="str">
        <f>PreliminaryRound!$H$3</f>
        <v>Organizer:  1. FC Riedwald</v>
      </c>
      <c r="F3" s="966"/>
      <c r="G3" s="966"/>
      <c r="H3" s="966"/>
      <c r="I3" s="966"/>
      <c r="J3" s="966"/>
      <c r="K3" s="966"/>
      <c r="L3" s="966"/>
      <c r="M3" s="966"/>
      <c r="N3" s="966"/>
      <c r="O3" s="966"/>
      <c r="P3" s="966"/>
      <c r="Q3" s="966"/>
      <c r="R3" s="966"/>
      <c r="S3" s="966"/>
      <c r="T3" s="967"/>
    </row>
    <row r="4" spans="1:41" ht="30" customHeight="1" x14ac:dyDescent="0.2">
      <c r="E4" s="968" t="str">
        <f>PreliminaryRound!$H$4</f>
        <v>Sports hall Wiesengrund, Wendiger Str. 51, 65432 Riedwald</v>
      </c>
      <c r="F4" s="969"/>
      <c r="G4" s="969"/>
      <c r="H4" s="969"/>
      <c r="I4" s="969"/>
      <c r="J4" s="969"/>
      <c r="K4" s="969"/>
      <c r="L4" s="969"/>
      <c r="M4" s="969"/>
      <c r="N4" s="969"/>
      <c r="O4" s="969"/>
      <c r="P4" s="969"/>
      <c r="Q4" s="969"/>
      <c r="R4" s="969"/>
      <c r="S4" s="969"/>
      <c r="T4" s="970"/>
    </row>
    <row r="5" spans="1:41" ht="30" customHeight="1" thickBot="1" x14ac:dyDescent="0.25">
      <c r="E5" s="971" t="str">
        <f>PreliminaryRound!$H$5</f>
        <v>Start:  9:00 a.m.</v>
      </c>
      <c r="F5" s="972"/>
      <c r="G5" s="972"/>
      <c r="H5" s="972"/>
      <c r="I5" s="972"/>
      <c r="J5" s="972"/>
      <c r="K5" s="972"/>
      <c r="L5" s="972"/>
      <c r="M5" s="972"/>
      <c r="N5" s="972"/>
      <c r="O5" s="972"/>
      <c r="P5" s="972"/>
      <c r="Q5" s="972"/>
      <c r="R5" s="972"/>
      <c r="S5" s="972"/>
      <c r="T5" s="973"/>
    </row>
    <row r="6" spans="1:41" ht="18" customHeight="1" thickTop="1" thickBot="1" x14ac:dyDescent="0.25"/>
    <row r="7" spans="1:41" ht="30" customHeight="1" thickTop="1" x14ac:dyDescent="0.2">
      <c r="G7" s="975" t="str">
        <f>Language!$E$19</f>
        <v>Final round</v>
      </c>
      <c r="H7" s="976"/>
      <c r="I7" s="976"/>
      <c r="J7" s="976"/>
      <c r="K7" s="976"/>
      <c r="L7" s="976"/>
      <c r="M7" s="976"/>
      <c r="N7" s="976"/>
      <c r="O7" s="976"/>
      <c r="P7" s="976"/>
      <c r="Q7" s="977"/>
    </row>
    <row r="8" spans="1:41" ht="30" customHeight="1" thickBot="1" x14ac:dyDescent="0.25">
      <c r="G8" s="978"/>
      <c r="H8" s="979"/>
      <c r="I8" s="979"/>
      <c r="J8" s="979"/>
      <c r="K8" s="979"/>
      <c r="L8" s="979"/>
      <c r="M8" s="979"/>
      <c r="N8" s="979"/>
      <c r="O8" s="979"/>
      <c r="P8" s="979"/>
      <c r="Q8" s="980"/>
    </row>
    <row r="9" spans="1:41" ht="12.6" customHeight="1" thickTop="1" x14ac:dyDescent="0.2">
      <c r="T9" s="849" t="str">
        <f>Language!$E$20</f>
        <v>Addit. Pause (min)</v>
      </c>
      <c r="W9" s="818" t="s">
        <v>423</v>
      </c>
      <c r="X9" s="9"/>
      <c r="Y9" s="9"/>
      <c r="Z9" s="9"/>
      <c r="AA9" s="9"/>
      <c r="AB9" s="9"/>
      <c r="AC9" s="9"/>
      <c r="AD9" s="9"/>
      <c r="AE9" s="9"/>
      <c r="AF9" s="9"/>
      <c r="AG9" s="9"/>
      <c r="AH9" s="9"/>
      <c r="AI9" s="9"/>
      <c r="AJ9" s="9"/>
      <c r="AK9" s="9"/>
      <c r="AL9" s="9"/>
      <c r="AM9" s="9"/>
      <c r="AN9" s="9"/>
      <c r="AO9" s="9"/>
    </row>
    <row r="10" spans="1:41" ht="27.95" customHeight="1" thickBot="1" x14ac:dyDescent="0.35">
      <c r="C10" s="961" t="str">
        <f>Language!$E$55&amp;IF(MIN(Calc1!$F$13,Calc2!$F$13)*2&lt;6,""," 5 - "&amp;MIN(Calc1!$F$13,Calc2!$F$13)*2)</f>
        <v>Games for places  5 - 10</v>
      </c>
      <c r="D10" s="961"/>
      <c r="E10" s="961"/>
      <c r="F10" s="961"/>
      <c r="T10" s="849"/>
      <c r="W10" s="819" t="b">
        <f>Settings!$B$43=Language!$E$79</f>
        <v>0</v>
      </c>
      <c r="X10" s="9"/>
      <c r="Y10" s="942" t="s">
        <v>422</v>
      </c>
      <c r="Z10" s="942"/>
      <c r="AA10" s="942"/>
      <c r="AB10" s="942"/>
      <c r="AC10" s="942"/>
      <c r="AD10" s="9"/>
      <c r="AE10" s="943" t="s">
        <v>425</v>
      </c>
      <c r="AF10" s="943"/>
      <c r="AG10" s="9"/>
      <c r="AH10" s="942" t="s">
        <v>424</v>
      </c>
      <c r="AI10" s="942"/>
      <c r="AJ10" s="942"/>
      <c r="AK10" s="942"/>
      <c r="AL10" s="942"/>
      <c r="AM10" s="9"/>
      <c r="AN10" s="9"/>
      <c r="AO10" s="9"/>
    </row>
    <row r="11" spans="1:41" ht="24" customHeight="1" thickTop="1" thickBot="1" x14ac:dyDescent="0.25">
      <c r="B11" s="279"/>
      <c r="C11" s="324" t="str">
        <f>Language!$E$9</f>
        <v>No.</v>
      </c>
      <c r="D11" s="275" t="str">
        <f>Language!$E$39</f>
        <v>Start</v>
      </c>
      <c r="E11" s="265" t="str">
        <f>Language!$E$48</f>
        <v>Field</v>
      </c>
      <c r="F11" s="265"/>
      <c r="G11" s="912" t="str">
        <f>Language!$E$14</f>
        <v>Match pairing</v>
      </c>
      <c r="H11" s="912"/>
      <c r="I11" s="912"/>
      <c r="J11" s="912" t="str">
        <f>Language!$E$61</f>
        <v>1st set</v>
      </c>
      <c r="K11" s="912"/>
      <c r="L11" s="912"/>
      <c r="M11" s="912" t="str">
        <f>Language!$E$62</f>
        <v>2nd set</v>
      </c>
      <c r="N11" s="912"/>
      <c r="O11" s="912"/>
      <c r="P11" s="912" t="str">
        <f>Language!$E$63</f>
        <v>3rd set</v>
      </c>
      <c r="Q11" s="912"/>
      <c r="R11" s="915"/>
      <c r="S11" s="612" t="str">
        <f>Language!$E$68</f>
        <v>Referee</v>
      </c>
      <c r="T11" s="850"/>
      <c r="W11" s="557" t="s">
        <v>353</v>
      </c>
      <c r="X11" s="557" t="s">
        <v>354</v>
      </c>
      <c r="Y11" s="817" t="s">
        <v>352</v>
      </c>
      <c r="Z11" s="817" t="s">
        <v>356</v>
      </c>
      <c r="AA11" s="817" t="s">
        <v>355</v>
      </c>
      <c r="AB11" s="941" t="s">
        <v>318</v>
      </c>
      <c r="AC11" s="941"/>
      <c r="AD11" s="9"/>
      <c r="AE11" s="817" t="s">
        <v>413</v>
      </c>
      <c r="AF11" s="817" t="s">
        <v>414</v>
      </c>
      <c r="AG11" s="9"/>
      <c r="AH11" s="817" t="s">
        <v>419</v>
      </c>
      <c r="AI11" s="817" t="s">
        <v>420</v>
      </c>
      <c r="AJ11" s="817" t="s">
        <v>355</v>
      </c>
      <c r="AK11" s="941" t="s">
        <v>318</v>
      </c>
      <c r="AL11" s="941"/>
      <c r="AM11" s="9"/>
      <c r="AN11" s="941" t="s">
        <v>421</v>
      </c>
      <c r="AO11" s="941"/>
    </row>
    <row r="12" spans="1:41" ht="24" customHeight="1" x14ac:dyDescent="0.2">
      <c r="A12" s="252"/>
      <c r="B12" s="311"/>
      <c r="C12" s="315">
        <f t="array" aca="1" ref="C12" ca="1">31-SUM(((Planning!$L$6:$L$35="")+(Planning!$N$6:$N$35="")&gt;0)*1)</f>
        <v>21</v>
      </c>
      <c r="D12" s="318">
        <f ca="1">IF(Planning!$V$15,"",Planning!$S$13+(Planning!$S$9+Planning!$Q$35)/1440)</f>
        <v>0.49652777777777779</v>
      </c>
      <c r="E12" s="299">
        <f>IF(Planning!$V$15,"",1)</f>
        <v>1</v>
      </c>
      <c r="F12" s="300" t="s">
        <v>202</v>
      </c>
      <c r="G12" s="301" t="str">
        <f ca="1">PreliminaryRound!$X$17</f>
        <v/>
      </c>
      <c r="H12" s="88" t="s">
        <v>4</v>
      </c>
      <c r="I12" s="302" t="str">
        <f ca="1">PreliminaryRound!$X$27</f>
        <v/>
      </c>
      <c r="J12" s="303"/>
      <c r="K12" s="304" t="str">
        <f>Language!$E$99</f>
        <v xml:space="preserve"> - </v>
      </c>
      <c r="L12" s="543"/>
      <c r="M12" s="303"/>
      <c r="N12" s="304" t="str">
        <f>Language!$E$99</f>
        <v xml:space="preserve"> - </v>
      </c>
      <c r="O12" s="543"/>
      <c r="P12" s="266"/>
      <c r="Q12" s="535" t="str">
        <f>Language!$E$99</f>
        <v xml:space="preserve"> - </v>
      </c>
      <c r="R12" s="267"/>
      <c r="S12" s="613"/>
      <c r="T12" s="538"/>
      <c r="U12" s="252"/>
      <c r="W12" s="252" t="str">
        <f ca="1">IF(AN12&gt;AO12,$G12,IF(AN12&lt;AO12,$I12,""))</f>
        <v/>
      </c>
      <c r="X12" s="252" t="str">
        <f ca="1">IF(AN12&lt;AO12,$G12,IF(AN12&gt;AO12,$I12,""))</f>
        <v/>
      </c>
      <c r="Y12" s="252" t="b">
        <f>OR(NOT($W$10),AND($J12&lt;&gt;"",$L12&lt;&gt;"",$M12&lt;&gt;"",$O12&lt;&gt;"",$J12&lt;&gt;$L12,$M12&lt;&gt;$O12,($J12&gt;$L12)+($M12&gt;$O12)=1))</f>
        <v>1</v>
      </c>
      <c r="Z12" s="558" t="b">
        <f ca="1">AND($J12&lt;&gt;"",$L12&lt;&gt;"",$J12&lt;&gt;$L12,OR(AND($M12="",$O12=""),AND($M12&lt;&gt;"",$O12&lt;&gt;"",$M12&lt;&gt;$O12)),$G12&lt;&gt;"",$I12&lt;&gt;"",$G12&lt;&gt;$I12)</f>
        <v>0</v>
      </c>
      <c r="AA12" s="252" t="b">
        <f>AND(Y12,$P12&lt;&gt;"",$R12&lt;&gt;"",$P12&lt;&gt;$R12)</f>
        <v>0</v>
      </c>
      <c r="AB12" s="558">
        <f ca="1">(($J12&gt;$L12)+($M12&gt;$O12)+($P12&gt;$R12)*AA12)*Z12</f>
        <v>0</v>
      </c>
      <c r="AC12" s="558">
        <f ca="1">(($J12&lt;$L12)+($M12&lt;$O12)+($P12&lt;$R12)*AA12)*Z12</f>
        <v>0</v>
      </c>
      <c r="AD12" s="252"/>
      <c r="AE12" s="252" t="b">
        <f>AND($W$10,OR(AND($J12&lt;&gt;"",$J12=$L12),AND($M12&lt;&gt;"",$M12=$O12)))</f>
        <v>0</v>
      </c>
      <c r="AF12" s="252" t="b">
        <f>AND($W$10,$P12&lt;&gt;"",$R12&lt;&gt;"",$P12=$R12,$Y12)</f>
        <v>0</v>
      </c>
      <c r="AG12" s="252"/>
      <c r="AH12" s="252" t="b">
        <f ca="1">AND($J12&lt;&gt;"",$L12&lt;&gt;"",$G12&lt;&gt;"",$I12&lt;&gt;"",$G12&lt;&gt;$I12)</f>
        <v>0</v>
      </c>
      <c r="AI12" s="252" t="b">
        <f ca="1">AND($M12&lt;&gt;"",$O12&lt;&gt;"",$G12&lt;&gt;"",$I12&lt;&gt;"",$G12&lt;&gt;$I12)</f>
        <v>0</v>
      </c>
      <c r="AJ12" s="252" t="b">
        <f ca="1">AND($P12&lt;&gt;"",$R12&lt;&gt;"",$G12&lt;&gt;"",$I12&lt;&gt;"",$G12&lt;&gt;$I12)</f>
        <v>0</v>
      </c>
      <c r="AK12" s="558">
        <f ca="1">(($J12&gt;$L12)+($J12=$L12)*0.5)*$AH12+(($M12&gt;$O12)+($M12=$O12)*0.5)*$AI12+(($P12&gt;$R12)+($P12=$R12)*0.5)*$AJ12</f>
        <v>0</v>
      </c>
      <c r="AL12" s="558">
        <f ca="1">(($J12&lt;$L12)+($J12=$L12)*0.5)*$AH12+(($M12&lt;$O12)+($M12=$O12)*0.5)*$AI12+(($P12&lt;$R12)+($P12=$R12)*0.5)*$AJ12</f>
        <v>0</v>
      </c>
      <c r="AM12" s="252"/>
      <c r="AN12" s="558">
        <f ca="1">IF($W$10,$AB12,$AK12)</f>
        <v>0</v>
      </c>
      <c r="AO12" s="558">
        <f ca="1">IF($W$10,$AC12,$AL12)</f>
        <v>0</v>
      </c>
    </row>
    <row r="13" spans="1:41" ht="24" customHeight="1" x14ac:dyDescent="0.2">
      <c r="A13" s="252"/>
      <c r="B13" s="311"/>
      <c r="C13" s="316">
        <f t="array" aca="1" ref="C13" ca="1">ROW(32:32)-SUM(((Planning!$L$6:$L$35="")+(Planning!$N$6:$N$35="")&gt;0)*1)-SUM((($G$12:$G12="")+($I$12:$I12="")&gt;0)*1)</f>
        <v>21</v>
      </c>
      <c r="D13" s="319">
        <f t="array" aca="1" ref="D13" ca="1">IF(Planning!$V$15,"",$D$12+QUOTIENT(($C13-$C$12),Planning!$V$11)*(Planning!$S$7+Planning!$S$9)/1440+SUM($T$12:$T12)/1440)</f>
        <v>0.49652777777777779</v>
      </c>
      <c r="E13" s="436">
        <f ca="1">IF(Planning!$V$15,"",MOD($C13-$C$12,Planning!$V$11)+1)</f>
        <v>1</v>
      </c>
      <c r="F13" s="259" t="s">
        <v>203</v>
      </c>
      <c r="G13" s="255" t="str">
        <f ca="1">PreliminaryRound!$X$16</f>
        <v>FC Barcelona</v>
      </c>
      <c r="H13" s="89" t="s">
        <v>4</v>
      </c>
      <c r="I13" s="257" t="str">
        <f ca="1">PreliminaryRound!$X$26</f>
        <v>Mainz 05</v>
      </c>
      <c r="J13" s="268">
        <v>19</v>
      </c>
      <c r="K13" s="270" t="str">
        <f>Language!$E$99</f>
        <v xml:space="preserve"> - </v>
      </c>
      <c r="L13" s="544">
        <v>25</v>
      </c>
      <c r="M13" s="268">
        <v>25</v>
      </c>
      <c r="N13" s="270" t="str">
        <f>Language!$E$99</f>
        <v xml:space="preserve"> - </v>
      </c>
      <c r="O13" s="544">
        <v>17</v>
      </c>
      <c r="P13" s="268">
        <v>18</v>
      </c>
      <c r="Q13" s="536" t="str">
        <f>Language!$E$99</f>
        <v xml:space="preserve"> - </v>
      </c>
      <c r="R13" s="253">
        <v>15</v>
      </c>
      <c r="S13" s="600"/>
      <c r="T13" s="539"/>
      <c r="U13" s="252"/>
      <c r="W13" s="252" t="str">
        <f t="shared" ref="W13:W21" ca="1" si="0">IF(AN13&gt;AO13,$G13,IF(AN13&lt;AO13,$I13,""))</f>
        <v>FC Barcelona</v>
      </c>
      <c r="X13" s="252" t="str">
        <f t="shared" ref="X13:X21" ca="1" si="1">IF(AN13&lt;AO13,$G13,IF(AN13&gt;AO13,$I13,""))</f>
        <v>Mainz 05</v>
      </c>
      <c r="Y13" s="252" t="b">
        <f>OR(NOT($W$10),AND($J13&lt;&gt;"",$L13&lt;&gt;"",$M13&lt;&gt;"",$O13&lt;&gt;"",$J13&lt;&gt;$L13,$M13&lt;&gt;$O13,($J13&gt;$L13)+($M13&gt;$O13)=1))</f>
        <v>1</v>
      </c>
      <c r="Z13" s="558" t="b">
        <f t="shared" ref="Z13:Z21" ca="1" si="2">AND($J13&lt;&gt;"",$L13&lt;&gt;"",$J13&lt;&gt;$L13,OR(AND($M13="",$O13=""),AND($M13&lt;&gt;"",$O13&lt;&gt;"",$M13&lt;&gt;$O13)),$G13&lt;&gt;"",$I13&lt;&gt;"",$G13&lt;&gt;$I13)</f>
        <v>1</v>
      </c>
      <c r="AA13" s="252" t="b">
        <f t="shared" ref="AA13:AA21" si="3">AND(Y13,$P13&lt;&gt;"",$R13&lt;&gt;"",$P13&lt;&gt;$R13)</f>
        <v>1</v>
      </c>
      <c r="AB13" s="558">
        <f t="shared" ref="AB13:AB21" ca="1" si="4">(($J13&gt;$L13)+($M13&gt;$O13)+($P13&gt;$R13)*AA13)*Z13</f>
        <v>2</v>
      </c>
      <c r="AC13" s="558">
        <f t="shared" ref="AC13:AC21" ca="1" si="5">(($J13&lt;$L13)+($M13&lt;$O13)+($P13&lt;$R13)*AA13)*Z13</f>
        <v>1</v>
      </c>
      <c r="AD13" s="252"/>
      <c r="AE13" s="252" t="b">
        <f t="shared" ref="AE13:AE21" si="6">AND($W$10,OR(AND($J13&lt;&gt;"",$J13=$L13),AND($M13&lt;&gt;"",$M13=$O13)))</f>
        <v>0</v>
      </c>
      <c r="AF13" s="252" t="b">
        <f t="shared" ref="AF13:AF21" si="7">AND($W$10,$P13&lt;&gt;"",$R13&lt;&gt;"",$P13=$R13,$Y13)</f>
        <v>0</v>
      </c>
      <c r="AG13" s="252"/>
      <c r="AH13" s="252" t="b">
        <f t="shared" ref="AH13:AH21" ca="1" si="8">AND($J13&lt;&gt;"",$L13&lt;&gt;"",$G13&lt;&gt;"",$I13&lt;&gt;"",$G13&lt;&gt;$I13)</f>
        <v>1</v>
      </c>
      <c r="AI13" s="252" t="b">
        <f t="shared" ref="AI13:AI21" ca="1" si="9">AND($M13&lt;&gt;"",$O13&lt;&gt;"",$G13&lt;&gt;"",$I13&lt;&gt;"",$G13&lt;&gt;$I13)</f>
        <v>1</v>
      </c>
      <c r="AJ13" s="252" t="b">
        <f t="shared" ref="AJ13:AJ21" ca="1" si="10">AND($P13&lt;&gt;"",$R13&lt;&gt;"",$G13&lt;&gt;"",$I13&lt;&gt;"",$G13&lt;&gt;$I13)</f>
        <v>1</v>
      </c>
      <c r="AK13" s="558">
        <f t="shared" ref="AK13:AK21" ca="1" si="11">(($J13&gt;$L13)+($J13=$L13)*0.5)*$AH13+(($M13&gt;$O13)+($M13=$O13)*0.5)*$AI13+(($P13&gt;$R13)+($P13=$R13)*0.5)*$AJ13</f>
        <v>2</v>
      </c>
      <c r="AL13" s="558">
        <f t="shared" ref="AL13:AL21" ca="1" si="12">(($J13&lt;$L13)+($J13=$L13)*0.5)*$AH13+(($M13&lt;$O13)+($M13=$O13)*0.5)*$AI13+(($P13&lt;$R13)+($P13=$R13)*0.5)*$AJ13</f>
        <v>1</v>
      </c>
      <c r="AM13" s="252"/>
      <c r="AN13" s="558">
        <f t="shared" ref="AN13:AN21" ca="1" si="13">IF($W$10,$AB13,$AK13)</f>
        <v>2</v>
      </c>
      <c r="AO13" s="558">
        <f t="shared" ref="AO13:AO21" ca="1" si="14">IF($W$10,$AC13,$AL13)</f>
        <v>1</v>
      </c>
    </row>
    <row r="14" spans="1:41" ht="24" customHeight="1" x14ac:dyDescent="0.2">
      <c r="A14" s="252"/>
      <c r="B14" s="311"/>
      <c r="C14" s="316">
        <f t="array" aca="1" ref="C14" ca="1">ROW(33:33)-SUM(((Planning!$L$6:$L$35="")+(Planning!$N$6:$N$35="")&gt;0)*1)-SUM((($G$12:$G13="")+($I$12:$I13="")&gt;0)*1)</f>
        <v>22</v>
      </c>
      <c r="D14" s="319">
        <f t="array" aca="1" ref="D14" ca="1">IF(Planning!$V$15,"",$D$12+QUOTIENT(($C14-$C$12),Planning!$V$11)*(Planning!$S$7+Planning!$S$9)/1440+SUM($T$12:$T13)/1440)</f>
        <v>0.49652777777777779</v>
      </c>
      <c r="E14" s="436">
        <f ca="1">IF(Planning!$V$15,"",MOD($C14-$C$12,Planning!$V$11)+1)</f>
        <v>2</v>
      </c>
      <c r="F14" s="259" t="s">
        <v>204</v>
      </c>
      <c r="G14" s="255" t="str">
        <f ca="1">PreliminaryRound!$X$15</f>
        <v>Eintracht Frankfurt</v>
      </c>
      <c r="H14" s="89" t="s">
        <v>4</v>
      </c>
      <c r="I14" s="257" t="str">
        <f ca="1">PreliminaryRound!$X$25</f>
        <v>FC Grönlingen</v>
      </c>
      <c r="J14" s="268">
        <v>15</v>
      </c>
      <c r="K14" s="270" t="str">
        <f>Language!$E$99</f>
        <v xml:space="preserve"> - </v>
      </c>
      <c r="L14" s="544">
        <v>25</v>
      </c>
      <c r="M14" s="268">
        <v>20</v>
      </c>
      <c r="N14" s="270" t="str">
        <f>Language!$E$99</f>
        <v xml:space="preserve"> - </v>
      </c>
      <c r="O14" s="544">
        <v>25</v>
      </c>
      <c r="P14" s="268"/>
      <c r="Q14" s="536" t="str">
        <f>Language!$E$99</f>
        <v xml:space="preserve"> - </v>
      </c>
      <c r="R14" s="253"/>
      <c r="S14" s="600"/>
      <c r="T14" s="539"/>
      <c r="U14" s="252"/>
      <c r="W14" s="252" t="str">
        <f t="shared" ca="1" si="0"/>
        <v>FC Grönlingen</v>
      </c>
      <c r="X14" s="252" t="str">
        <f t="shared" ca="1" si="1"/>
        <v>Eintracht Frankfurt</v>
      </c>
      <c r="Y14" s="252" t="b">
        <f t="shared" ref="Y14:Y21" si="15">OR(NOT($W$10),AND($J14&lt;&gt;"",$L14&lt;&gt;"",$M14&lt;&gt;"",$O14&lt;&gt;"",$J14&lt;&gt;$L14,$M14&lt;&gt;$O14,($J14&gt;$L14)+($M14&gt;$O14)=1))</f>
        <v>1</v>
      </c>
      <c r="Z14" s="558" t="b">
        <f t="shared" ca="1" si="2"/>
        <v>1</v>
      </c>
      <c r="AA14" s="252" t="b">
        <f t="shared" si="3"/>
        <v>0</v>
      </c>
      <c r="AB14" s="558">
        <f t="shared" ca="1" si="4"/>
        <v>0</v>
      </c>
      <c r="AC14" s="558">
        <f t="shared" ca="1" si="5"/>
        <v>2</v>
      </c>
      <c r="AD14" s="252"/>
      <c r="AE14" s="252" t="b">
        <f t="shared" si="6"/>
        <v>0</v>
      </c>
      <c r="AF14" s="252" t="b">
        <f t="shared" si="7"/>
        <v>0</v>
      </c>
      <c r="AG14" s="252"/>
      <c r="AH14" s="252" t="b">
        <f t="shared" ca="1" si="8"/>
        <v>1</v>
      </c>
      <c r="AI14" s="252" t="b">
        <f t="shared" ca="1" si="9"/>
        <v>1</v>
      </c>
      <c r="AJ14" s="252" t="b">
        <f t="shared" ca="1" si="10"/>
        <v>0</v>
      </c>
      <c r="AK14" s="558">
        <f t="shared" ca="1" si="11"/>
        <v>0</v>
      </c>
      <c r="AL14" s="558">
        <f t="shared" ca="1" si="12"/>
        <v>2</v>
      </c>
      <c r="AM14" s="252"/>
      <c r="AN14" s="558">
        <f t="shared" ca="1" si="13"/>
        <v>0</v>
      </c>
      <c r="AO14" s="558">
        <f t="shared" ca="1" si="14"/>
        <v>2</v>
      </c>
    </row>
    <row r="15" spans="1:41" ht="24" customHeight="1" thickBot="1" x14ac:dyDescent="0.25">
      <c r="A15" s="252"/>
      <c r="B15" s="311"/>
      <c r="C15" s="317">
        <f t="array" aca="1" ref="C15" ca="1">ROW(34:34)-SUM(((Planning!$L$6:$L$35="")+(Planning!$N$6:$N$35="")&gt;0)*1)-SUM((($G$12:$G14="")+($I$12:$I14="")&gt;0)*1)</f>
        <v>23</v>
      </c>
      <c r="D15" s="320">
        <f t="array" aca="1" ref="D15" ca="1">IF(Planning!$V$15,"",$D$12+QUOTIENT(($C15-$C$12),Planning!$V$11)*(Planning!$S$7+Planning!$S$9)/1440+SUM($T$12:$T14)/1440)</f>
        <v>0.49652777777777779</v>
      </c>
      <c r="E15" s="297">
        <f ca="1">IF(Planning!$V$15,"",MOD($C15-$C$12,Planning!$V$11)+1)</f>
        <v>3</v>
      </c>
      <c r="F15" s="260" t="s">
        <v>205</v>
      </c>
      <c r="G15" s="256" t="str">
        <f ca="1">PreliminaryRound!$X$14</f>
        <v>1. FC Riedwald</v>
      </c>
      <c r="H15" s="90" t="s">
        <v>4</v>
      </c>
      <c r="I15" s="258" t="str">
        <f ca="1">PreliminaryRound!$X$24</f>
        <v>SSV Wildbach</v>
      </c>
      <c r="J15" s="269">
        <v>26</v>
      </c>
      <c r="K15" s="298" t="str">
        <f>Language!$E$99</f>
        <v xml:space="preserve"> - </v>
      </c>
      <c r="L15" s="545">
        <v>24</v>
      </c>
      <c r="M15" s="269">
        <v>25</v>
      </c>
      <c r="N15" s="298" t="str">
        <f>Language!$E$99</f>
        <v xml:space="preserve"> - </v>
      </c>
      <c r="O15" s="545">
        <v>22</v>
      </c>
      <c r="P15" s="269"/>
      <c r="Q15" s="551" t="str">
        <f>Language!$E$99</f>
        <v xml:space="preserve"> - </v>
      </c>
      <c r="R15" s="254"/>
      <c r="S15" s="615"/>
      <c r="T15" s="549"/>
      <c r="U15" s="252"/>
      <c r="W15" s="252" t="str">
        <f t="shared" ca="1" si="0"/>
        <v>1. FC Riedwald</v>
      </c>
      <c r="X15" s="252" t="str">
        <f t="shared" ca="1" si="1"/>
        <v>SSV Wildbach</v>
      </c>
      <c r="Y15" s="252" t="b">
        <f t="shared" si="15"/>
        <v>1</v>
      </c>
      <c r="Z15" s="558" t="b">
        <f t="shared" ca="1" si="2"/>
        <v>1</v>
      </c>
      <c r="AA15" s="252" t="b">
        <f t="shared" si="3"/>
        <v>0</v>
      </c>
      <c r="AB15" s="558">
        <f t="shared" ca="1" si="4"/>
        <v>2</v>
      </c>
      <c r="AC15" s="558">
        <f t="shared" ca="1" si="5"/>
        <v>0</v>
      </c>
      <c r="AD15" s="252"/>
      <c r="AE15" s="252" t="b">
        <f t="shared" si="6"/>
        <v>0</v>
      </c>
      <c r="AF15" s="252" t="b">
        <f t="shared" si="7"/>
        <v>0</v>
      </c>
      <c r="AG15" s="252"/>
      <c r="AH15" s="252" t="b">
        <f t="shared" ca="1" si="8"/>
        <v>1</v>
      </c>
      <c r="AI15" s="252" t="b">
        <f t="shared" ca="1" si="9"/>
        <v>1</v>
      </c>
      <c r="AJ15" s="252" t="b">
        <f t="shared" ca="1" si="10"/>
        <v>0</v>
      </c>
      <c r="AK15" s="558">
        <f t="shared" ca="1" si="11"/>
        <v>2</v>
      </c>
      <c r="AL15" s="558">
        <f t="shared" ca="1" si="12"/>
        <v>0</v>
      </c>
      <c r="AM15" s="252"/>
      <c r="AN15" s="558">
        <f t="shared" ca="1" si="13"/>
        <v>2</v>
      </c>
      <c r="AO15" s="558">
        <f t="shared" ca="1" si="14"/>
        <v>0</v>
      </c>
    </row>
    <row r="16" spans="1:41" ht="27.95" customHeight="1" thickTop="1" thickBot="1" x14ac:dyDescent="0.35">
      <c r="A16" s="252"/>
      <c r="B16" s="312"/>
      <c r="C16" s="993" t="str">
        <f>Language!$E$53</f>
        <v>Semi-finals</v>
      </c>
      <c r="D16" s="993"/>
      <c r="E16" s="993"/>
      <c r="F16" s="993"/>
      <c r="G16" s="330" t="s">
        <v>244</v>
      </c>
      <c r="H16" s="63"/>
      <c r="I16" s="330" t="s">
        <v>244</v>
      </c>
      <c r="J16" s="286"/>
      <c r="K16" s="286"/>
      <c r="L16" s="286"/>
      <c r="M16" s="286"/>
      <c r="N16" s="286"/>
      <c r="O16" s="286"/>
      <c r="P16" s="286"/>
      <c r="Q16" s="286"/>
      <c r="R16" s="286"/>
      <c r="S16" s="214"/>
      <c r="T16" s="288"/>
      <c r="U16" s="252"/>
      <c r="W16" s="252"/>
      <c r="X16" s="252"/>
      <c r="Y16" s="252"/>
      <c r="Z16" s="558"/>
      <c r="AA16" s="252"/>
      <c r="AB16" s="558"/>
      <c r="AC16" s="558"/>
      <c r="AD16" s="252"/>
      <c r="AE16" s="252"/>
      <c r="AF16" s="252"/>
      <c r="AG16" s="252"/>
      <c r="AH16" s="252"/>
      <c r="AI16" s="252"/>
      <c r="AJ16" s="252"/>
      <c r="AK16" s="558"/>
      <c r="AL16" s="558"/>
      <c r="AM16" s="252"/>
      <c r="AN16" s="558"/>
      <c r="AO16" s="558"/>
    </row>
    <row r="17" spans="1:41" ht="24" customHeight="1" thickTop="1" x14ac:dyDescent="0.2">
      <c r="A17" s="252"/>
      <c r="B17" s="311"/>
      <c r="C17" s="321">
        <f t="array" aca="1" ref="C17" ca="1">ROW(35:35)-SUM(((Planning!$L$6:$L$35="")+(Planning!$N$6:$N$35="")&gt;0)*1)-SUM((($G$12:$G16="")+($I$12:$I16="")&gt;0)*1)</f>
        <v>24</v>
      </c>
      <c r="D17" s="322">
        <f t="array" aca="1" ref="D17" ca="1">IF(Planning!$V$15,"",$D$12+QUOTIENT(($C17-$C$12),Planning!$V$11)*(Planning!$S$7+Planning!$S$9)/1440+SUM($T$12:$T16)/1440)</f>
        <v>0.49652777777777779</v>
      </c>
      <c r="E17" s="289">
        <f ca="1">IF(Planning!$V$15,"",MOD($C17-$C$12,Planning!$V$11)+1)</f>
        <v>4</v>
      </c>
      <c r="F17" s="290" t="s">
        <v>221</v>
      </c>
      <c r="G17" s="291" t="str">
        <f ca="1">PreliminaryRound!$X$12</f>
        <v>Maibach 1822 eV</v>
      </c>
      <c r="H17" s="292" t="s">
        <v>4</v>
      </c>
      <c r="I17" s="293" t="str">
        <f ca="1">PreliminaryRound!$X$23</f>
        <v>Manchester City</v>
      </c>
      <c r="J17" s="294">
        <v>15</v>
      </c>
      <c r="K17" s="295" t="str">
        <f>Language!$E$99</f>
        <v xml:space="preserve"> - </v>
      </c>
      <c r="L17" s="550">
        <v>25</v>
      </c>
      <c r="M17" s="294">
        <v>20</v>
      </c>
      <c r="N17" s="295" t="str">
        <f>Language!$E$99</f>
        <v xml:space="preserve"> - </v>
      </c>
      <c r="O17" s="550">
        <v>25</v>
      </c>
      <c r="P17" s="294"/>
      <c r="Q17" s="552" t="str">
        <f>Language!$E$99</f>
        <v xml:space="preserve"> - </v>
      </c>
      <c r="R17" s="296"/>
      <c r="S17" s="619"/>
      <c r="T17" s="538"/>
      <c r="U17" s="252"/>
      <c r="W17" s="252" t="str">
        <f t="shared" ca="1" si="0"/>
        <v>Manchester City</v>
      </c>
      <c r="X17" s="252" t="str">
        <f t="shared" ca="1" si="1"/>
        <v>Maibach 1822 eV</v>
      </c>
      <c r="Y17" s="252" t="b">
        <f t="shared" si="15"/>
        <v>1</v>
      </c>
      <c r="Z17" s="558" t="b">
        <f t="shared" ca="1" si="2"/>
        <v>1</v>
      </c>
      <c r="AA17" s="252" t="b">
        <f t="shared" si="3"/>
        <v>0</v>
      </c>
      <c r="AB17" s="558">
        <f t="shared" ca="1" si="4"/>
        <v>0</v>
      </c>
      <c r="AC17" s="558">
        <f t="shared" ca="1" si="5"/>
        <v>2</v>
      </c>
      <c r="AD17" s="252"/>
      <c r="AE17" s="252" t="b">
        <f t="shared" si="6"/>
        <v>0</v>
      </c>
      <c r="AF17" s="252" t="b">
        <f t="shared" si="7"/>
        <v>0</v>
      </c>
      <c r="AG17" s="252"/>
      <c r="AH17" s="252" t="b">
        <f t="shared" ca="1" si="8"/>
        <v>1</v>
      </c>
      <c r="AI17" s="252" t="b">
        <f t="shared" ca="1" si="9"/>
        <v>1</v>
      </c>
      <c r="AJ17" s="252" t="b">
        <f t="shared" ca="1" si="10"/>
        <v>0</v>
      </c>
      <c r="AK17" s="558">
        <f t="shared" ca="1" si="11"/>
        <v>0</v>
      </c>
      <c r="AL17" s="558">
        <f t="shared" ca="1" si="12"/>
        <v>2</v>
      </c>
      <c r="AM17" s="252"/>
      <c r="AN17" s="558">
        <f t="shared" ca="1" si="13"/>
        <v>0</v>
      </c>
      <c r="AO17" s="558">
        <f t="shared" ca="1" si="14"/>
        <v>2</v>
      </c>
    </row>
    <row r="18" spans="1:41" ht="24" customHeight="1" thickBot="1" x14ac:dyDescent="0.25">
      <c r="A18" s="252"/>
      <c r="B18" s="311"/>
      <c r="C18" s="317">
        <f ca="1">$C$17+1</f>
        <v>25</v>
      </c>
      <c r="D18" s="320">
        <f t="array" aca="1" ref="D18" ca="1">IF(Planning!$V$15,"",$D$12+QUOTIENT(($C18-$C$12),Planning!$V$11)*(Planning!$S$7+Planning!$S$9)/1440+SUM($T$12:$T17)/1440)</f>
        <v>0.52083333333333337</v>
      </c>
      <c r="E18" s="297">
        <f ca="1">IF(Planning!$V$15,"",MOD($C18-$C$12,Planning!$V$11)+1)</f>
        <v>1</v>
      </c>
      <c r="F18" s="260" t="s">
        <v>222</v>
      </c>
      <c r="G18" s="256" t="str">
        <f ca="1">PreliminaryRound!$X$22</f>
        <v>Inter Mailand</v>
      </c>
      <c r="H18" s="90" t="s">
        <v>4</v>
      </c>
      <c r="I18" s="258" t="str">
        <f ca="1">PreliminaryRound!$X$13</f>
        <v>VFB Essenheim</v>
      </c>
      <c r="J18" s="269">
        <v>26</v>
      </c>
      <c r="K18" s="298" t="str">
        <f>Language!$E$99</f>
        <v xml:space="preserve"> - </v>
      </c>
      <c r="L18" s="545">
        <v>24</v>
      </c>
      <c r="M18" s="269">
        <v>25</v>
      </c>
      <c r="N18" s="298" t="str">
        <f>Language!$E$99</f>
        <v xml:space="preserve"> - </v>
      </c>
      <c r="O18" s="545">
        <v>22</v>
      </c>
      <c r="P18" s="269"/>
      <c r="Q18" s="551" t="str">
        <f>Language!$E$99</f>
        <v xml:space="preserve"> - </v>
      </c>
      <c r="R18" s="254"/>
      <c r="S18" s="618"/>
      <c r="T18" s="549"/>
      <c r="U18" s="252"/>
      <c r="W18" s="252" t="str">
        <f t="shared" ca="1" si="0"/>
        <v>Inter Mailand</v>
      </c>
      <c r="X18" s="252" t="str">
        <f t="shared" ca="1" si="1"/>
        <v>VFB Essenheim</v>
      </c>
      <c r="Y18" s="252" t="b">
        <f t="shared" si="15"/>
        <v>1</v>
      </c>
      <c r="Z18" s="558" t="b">
        <f t="shared" ca="1" si="2"/>
        <v>1</v>
      </c>
      <c r="AA18" s="252" t="b">
        <f t="shared" si="3"/>
        <v>0</v>
      </c>
      <c r="AB18" s="558">
        <f t="shared" ca="1" si="4"/>
        <v>2</v>
      </c>
      <c r="AC18" s="558">
        <f t="shared" ca="1" si="5"/>
        <v>0</v>
      </c>
      <c r="AD18" s="252"/>
      <c r="AE18" s="252" t="b">
        <f t="shared" si="6"/>
        <v>0</v>
      </c>
      <c r="AF18" s="252" t="b">
        <f t="shared" si="7"/>
        <v>0</v>
      </c>
      <c r="AG18" s="252"/>
      <c r="AH18" s="252" t="b">
        <f t="shared" ca="1" si="8"/>
        <v>1</v>
      </c>
      <c r="AI18" s="252" t="b">
        <f t="shared" ca="1" si="9"/>
        <v>1</v>
      </c>
      <c r="AJ18" s="252" t="b">
        <f t="shared" ca="1" si="10"/>
        <v>0</v>
      </c>
      <c r="AK18" s="558">
        <f t="shared" ca="1" si="11"/>
        <v>2</v>
      </c>
      <c r="AL18" s="558">
        <f t="shared" ca="1" si="12"/>
        <v>0</v>
      </c>
      <c r="AM18" s="252"/>
      <c r="AN18" s="558">
        <f t="shared" ca="1" si="13"/>
        <v>2</v>
      </c>
      <c r="AO18" s="558">
        <f t="shared" ca="1" si="14"/>
        <v>0</v>
      </c>
    </row>
    <row r="19" spans="1:41" ht="27.95" customHeight="1" thickTop="1" thickBot="1" x14ac:dyDescent="0.35">
      <c r="A19" s="252"/>
      <c r="B19" s="312"/>
      <c r="C19" s="993" t="str">
        <f>Language!$E$54</f>
        <v>Finals</v>
      </c>
      <c r="D19" s="993"/>
      <c r="E19" s="993"/>
      <c r="F19" s="993"/>
      <c r="G19" s="373"/>
      <c r="H19" s="63"/>
      <c r="I19" s="373"/>
      <c r="J19" s="286"/>
      <c r="K19" s="286"/>
      <c r="L19" s="286"/>
      <c r="M19" s="286"/>
      <c r="N19" s="286"/>
      <c r="O19" s="286"/>
      <c r="P19" s="286"/>
      <c r="Q19" s="286"/>
      <c r="R19" s="286"/>
      <c r="S19" s="214"/>
      <c r="T19" s="288"/>
      <c r="U19" s="252"/>
      <c r="W19" s="252"/>
      <c r="X19" s="252"/>
      <c r="Y19" s="252"/>
      <c r="Z19" s="558"/>
      <c r="AA19" s="252"/>
      <c r="AB19" s="558"/>
      <c r="AC19" s="558"/>
      <c r="AD19" s="252"/>
      <c r="AE19" s="252"/>
      <c r="AF19" s="252"/>
      <c r="AG19" s="252"/>
      <c r="AH19" s="252"/>
      <c r="AI19" s="252"/>
      <c r="AJ19" s="252"/>
      <c r="AK19" s="558"/>
      <c r="AL19" s="558"/>
      <c r="AM19" s="252"/>
      <c r="AN19" s="558"/>
      <c r="AO19" s="558"/>
    </row>
    <row r="20" spans="1:41" ht="24" customHeight="1" thickTop="1" x14ac:dyDescent="0.2">
      <c r="A20" s="252"/>
      <c r="B20" s="311"/>
      <c r="C20" s="321">
        <f ca="1">$C$17+2</f>
        <v>26</v>
      </c>
      <c r="D20" s="322">
        <f ca="1">IF(Planning!$V$15,"",$D$18+($T$18+Planning!$S$9+Planning!$S$7)/1440)</f>
        <v>0.54513888888888895</v>
      </c>
      <c r="E20" s="289">
        <f>IF(Planning!$V$15,"",1)</f>
        <v>1</v>
      </c>
      <c r="F20" s="290" t="str">
        <f>Language!$E$108</f>
        <v>3rd place</v>
      </c>
      <c r="G20" s="291" t="str">
        <f ca="1">X17</f>
        <v>Maibach 1822 eV</v>
      </c>
      <c r="H20" s="292" t="s">
        <v>4</v>
      </c>
      <c r="I20" s="293" t="str">
        <f ca="1">X18</f>
        <v>VFB Essenheim</v>
      </c>
      <c r="J20" s="294">
        <v>19</v>
      </c>
      <c r="K20" s="295" t="str">
        <f>Language!$E$99</f>
        <v xml:space="preserve"> - </v>
      </c>
      <c r="L20" s="550">
        <v>25</v>
      </c>
      <c r="M20" s="294">
        <v>25</v>
      </c>
      <c r="N20" s="295" t="str">
        <f>Language!$E$99</f>
        <v xml:space="preserve"> - </v>
      </c>
      <c r="O20" s="550">
        <v>17</v>
      </c>
      <c r="P20" s="294">
        <v>14</v>
      </c>
      <c r="Q20" s="552" t="str">
        <f>Language!$E$99</f>
        <v xml:space="preserve"> - </v>
      </c>
      <c r="R20" s="296">
        <v>16</v>
      </c>
      <c r="S20" s="619"/>
      <c r="T20" s="538"/>
      <c r="U20" s="252"/>
      <c r="W20" s="252" t="str">
        <f t="shared" ca="1" si="0"/>
        <v>VFB Essenheim</v>
      </c>
      <c r="X20" s="252" t="str">
        <f t="shared" ca="1" si="1"/>
        <v>Maibach 1822 eV</v>
      </c>
      <c r="Y20" s="252" t="b">
        <f t="shared" si="15"/>
        <v>1</v>
      </c>
      <c r="Z20" s="558" t="b">
        <f t="shared" ca="1" si="2"/>
        <v>1</v>
      </c>
      <c r="AA20" s="252" t="b">
        <f t="shared" si="3"/>
        <v>1</v>
      </c>
      <c r="AB20" s="558">
        <f t="shared" ca="1" si="4"/>
        <v>1</v>
      </c>
      <c r="AC20" s="558">
        <f t="shared" ca="1" si="5"/>
        <v>2</v>
      </c>
      <c r="AD20" s="252"/>
      <c r="AE20" s="252" t="b">
        <f t="shared" si="6"/>
        <v>0</v>
      </c>
      <c r="AF20" s="252" t="b">
        <f t="shared" si="7"/>
        <v>0</v>
      </c>
      <c r="AG20" s="252"/>
      <c r="AH20" s="252" t="b">
        <f t="shared" ca="1" si="8"/>
        <v>1</v>
      </c>
      <c r="AI20" s="252" t="b">
        <f t="shared" ca="1" si="9"/>
        <v>1</v>
      </c>
      <c r="AJ20" s="252" t="b">
        <f t="shared" ca="1" si="10"/>
        <v>1</v>
      </c>
      <c r="AK20" s="558">
        <f t="shared" ca="1" si="11"/>
        <v>1</v>
      </c>
      <c r="AL20" s="558">
        <f t="shared" ca="1" si="12"/>
        <v>2</v>
      </c>
      <c r="AM20" s="252"/>
      <c r="AN20" s="558">
        <f t="shared" ca="1" si="13"/>
        <v>1</v>
      </c>
      <c r="AO20" s="558">
        <f t="shared" ca="1" si="14"/>
        <v>2</v>
      </c>
    </row>
    <row r="21" spans="1:41" ht="24" customHeight="1" thickBot="1" x14ac:dyDescent="0.25">
      <c r="A21" s="252"/>
      <c r="B21" s="311"/>
      <c r="C21" s="317">
        <f ca="1">$C$17+3</f>
        <v>27</v>
      </c>
      <c r="D21" s="320">
        <f ca="1">IF(Planning!$V$15,"",$D$20+($T$20+Planning!$S$9+Planning!$S$7)/1440)</f>
        <v>0.56944444444444453</v>
      </c>
      <c r="E21" s="297">
        <f>IF(Planning!$V$15,"",1)</f>
        <v>1</v>
      </c>
      <c r="F21" s="260" t="str">
        <f>Language!$E$109</f>
        <v>Final</v>
      </c>
      <c r="G21" s="256" t="str">
        <f ca="1">W17</f>
        <v>Manchester City</v>
      </c>
      <c r="H21" s="90" t="s">
        <v>4</v>
      </c>
      <c r="I21" s="258" t="str">
        <f ca="1">W18</f>
        <v>Inter Mailand</v>
      </c>
      <c r="J21" s="269">
        <v>15</v>
      </c>
      <c r="K21" s="298" t="str">
        <f>Language!$E$99</f>
        <v xml:space="preserve"> - </v>
      </c>
      <c r="L21" s="545">
        <v>25</v>
      </c>
      <c r="M21" s="269">
        <v>20</v>
      </c>
      <c r="N21" s="298" t="str">
        <f>Language!$E$99</f>
        <v xml:space="preserve"> - </v>
      </c>
      <c r="O21" s="545">
        <v>25</v>
      </c>
      <c r="P21" s="269"/>
      <c r="Q21" s="551" t="str">
        <f>Language!$E$99</f>
        <v xml:space="preserve"> - </v>
      </c>
      <c r="R21" s="254"/>
      <c r="S21" s="618"/>
      <c r="T21" s="548"/>
      <c r="U21" s="252"/>
      <c r="W21" s="252" t="str">
        <f t="shared" ca="1" si="0"/>
        <v>Inter Mailand</v>
      </c>
      <c r="X21" s="252" t="str">
        <f t="shared" ca="1" si="1"/>
        <v>Manchester City</v>
      </c>
      <c r="Y21" s="252" t="b">
        <f t="shared" si="15"/>
        <v>1</v>
      </c>
      <c r="Z21" s="558" t="b">
        <f t="shared" ca="1" si="2"/>
        <v>1</v>
      </c>
      <c r="AA21" s="252" t="b">
        <f t="shared" si="3"/>
        <v>0</v>
      </c>
      <c r="AB21" s="558">
        <f t="shared" ca="1" si="4"/>
        <v>0</v>
      </c>
      <c r="AC21" s="558">
        <f t="shared" ca="1" si="5"/>
        <v>2</v>
      </c>
      <c r="AD21" s="252"/>
      <c r="AE21" s="252" t="b">
        <f t="shared" si="6"/>
        <v>0</v>
      </c>
      <c r="AF21" s="252" t="b">
        <f t="shared" si="7"/>
        <v>0</v>
      </c>
      <c r="AG21" s="252"/>
      <c r="AH21" s="252" t="b">
        <f t="shared" ca="1" si="8"/>
        <v>1</v>
      </c>
      <c r="AI21" s="252" t="b">
        <f t="shared" ca="1" si="9"/>
        <v>1</v>
      </c>
      <c r="AJ21" s="252" t="b">
        <f t="shared" ca="1" si="10"/>
        <v>0</v>
      </c>
      <c r="AK21" s="558">
        <f t="shared" ca="1" si="11"/>
        <v>0</v>
      </c>
      <c r="AL21" s="558">
        <f t="shared" ca="1" si="12"/>
        <v>2</v>
      </c>
      <c r="AM21" s="252"/>
      <c r="AN21" s="558">
        <f t="shared" ca="1" si="13"/>
        <v>0</v>
      </c>
      <c r="AO21" s="558">
        <f t="shared" ca="1" si="14"/>
        <v>2</v>
      </c>
    </row>
    <row r="22" spans="1:41" ht="12.75" customHeight="1" thickTop="1" x14ac:dyDescent="0.2"/>
    <row r="23" spans="1:41" ht="24" customHeight="1" x14ac:dyDescent="0.2">
      <c r="C23" s="282"/>
      <c r="D23" s="282"/>
      <c r="E23" s="282"/>
      <c r="F23" s="282"/>
      <c r="G23" s="959" t="str">
        <f>Language!$E$29</f>
        <v>Tournament end:</v>
      </c>
      <c r="H23" s="959"/>
      <c r="I23" s="283">
        <f ca="1">IF(Planning!$S$13="","",$D$21+Planning!$S$7/1440)</f>
        <v>0.5902777777777779</v>
      </c>
      <c r="J23" s="284"/>
      <c r="K23" s="284"/>
      <c r="L23" s="284"/>
      <c r="M23" s="284"/>
      <c r="N23" s="284"/>
      <c r="O23" s="284"/>
      <c r="P23" s="284"/>
      <c r="Q23" s="284"/>
      <c r="R23" s="284"/>
      <c r="S23" s="284"/>
      <c r="T23" s="284"/>
    </row>
    <row r="24" spans="1:41" ht="12.75" customHeight="1" x14ac:dyDescent="0.2">
      <c r="D24" s="280"/>
    </row>
    <row r="25" spans="1:41" ht="12.75" customHeight="1" x14ac:dyDescent="0.2">
      <c r="D25" s="280"/>
    </row>
    <row r="26" spans="1:41" ht="24" customHeight="1" thickBot="1" x14ac:dyDescent="0.25">
      <c r="F26" s="285" t="str">
        <f>Language!$E$107</f>
        <v>Rank</v>
      </c>
      <c r="G26" s="983" t="str">
        <f>"  "&amp;Language!$E$10</f>
        <v xml:space="preserve">  Participant or team</v>
      </c>
      <c r="H26" s="983"/>
      <c r="I26" s="984"/>
    </row>
    <row r="27" spans="1:41" ht="24" customHeight="1" thickTop="1" x14ac:dyDescent="0.2">
      <c r="E27" s="281">
        <v>1</v>
      </c>
      <c r="F27" s="325">
        <v>1</v>
      </c>
      <c r="G27" s="985" t="str">
        <f ca="1">W21</f>
        <v>Inter Mailand</v>
      </c>
      <c r="H27" s="985"/>
      <c r="I27" s="986"/>
    </row>
    <row r="28" spans="1:41" ht="24" customHeight="1" x14ac:dyDescent="0.2">
      <c r="E28" s="281">
        <v>2</v>
      </c>
      <c r="F28" s="326">
        <v>2</v>
      </c>
      <c r="G28" s="987" t="str">
        <f ca="1">X21</f>
        <v>Manchester City</v>
      </c>
      <c r="H28" s="987"/>
      <c r="I28" s="988"/>
    </row>
    <row r="29" spans="1:41" ht="24" customHeight="1" x14ac:dyDescent="0.2">
      <c r="E29" s="281">
        <v>3</v>
      </c>
      <c r="F29" s="327">
        <v>3</v>
      </c>
      <c r="G29" s="981" t="str">
        <f ca="1">W20</f>
        <v>VFB Essenheim</v>
      </c>
      <c r="H29" s="981"/>
      <c r="I29" s="982"/>
    </row>
    <row r="30" spans="1:41" ht="24" customHeight="1" x14ac:dyDescent="0.2">
      <c r="E30" s="281">
        <v>4</v>
      </c>
      <c r="F30" s="328">
        <v>4</v>
      </c>
      <c r="G30" s="989" t="str">
        <f ca="1">X20</f>
        <v>Maibach 1822 eV</v>
      </c>
      <c r="H30" s="989"/>
      <c r="I30" s="990"/>
    </row>
    <row r="31" spans="1:41" ht="24" customHeight="1" x14ac:dyDescent="0.2">
      <c r="E31" s="281">
        <v>5</v>
      </c>
      <c r="F31" s="328">
        <v>5</v>
      </c>
      <c r="G31" s="989" t="str">
        <f ca="1">W15</f>
        <v>1. FC Riedwald</v>
      </c>
      <c r="H31" s="989"/>
      <c r="I31" s="990"/>
    </row>
    <row r="32" spans="1:41" ht="24" customHeight="1" x14ac:dyDescent="0.2">
      <c r="E32" s="281">
        <v>6</v>
      </c>
      <c r="F32" s="328">
        <v>6</v>
      </c>
      <c r="G32" s="989" t="str">
        <f ca="1">X15</f>
        <v>SSV Wildbach</v>
      </c>
      <c r="H32" s="989"/>
      <c r="I32" s="990"/>
    </row>
    <row r="33" spans="5:9" ht="24" customHeight="1" x14ac:dyDescent="0.2">
      <c r="E33" s="281">
        <v>7</v>
      </c>
      <c r="F33" s="328">
        <v>7</v>
      </c>
      <c r="G33" s="989" t="str">
        <f ca="1">W14</f>
        <v>FC Grönlingen</v>
      </c>
      <c r="H33" s="989"/>
      <c r="I33" s="990"/>
    </row>
    <row r="34" spans="5:9" ht="24" customHeight="1" x14ac:dyDescent="0.2">
      <c r="E34" s="281">
        <v>8</v>
      </c>
      <c r="F34" s="328">
        <v>8</v>
      </c>
      <c r="G34" s="989" t="str">
        <f ca="1">X14</f>
        <v>Eintracht Frankfurt</v>
      </c>
      <c r="H34" s="989"/>
      <c r="I34" s="990"/>
    </row>
    <row r="35" spans="5:9" ht="24" customHeight="1" x14ac:dyDescent="0.2">
      <c r="E35" s="281">
        <v>9</v>
      </c>
      <c r="F35" s="328">
        <v>9</v>
      </c>
      <c r="G35" s="989" t="str">
        <f ca="1">W13</f>
        <v>FC Barcelona</v>
      </c>
      <c r="H35" s="989"/>
      <c r="I35" s="990"/>
    </row>
    <row r="36" spans="5:9" ht="24" customHeight="1" x14ac:dyDescent="0.2">
      <c r="E36" s="281">
        <v>10</v>
      </c>
      <c r="F36" s="328">
        <v>10</v>
      </c>
      <c r="G36" s="989" t="str">
        <f ca="1">X13</f>
        <v>Mainz 05</v>
      </c>
      <c r="H36" s="989"/>
      <c r="I36" s="990"/>
    </row>
    <row r="37" spans="5:9" ht="24" customHeight="1" x14ac:dyDescent="0.2">
      <c r="E37" s="281">
        <v>11</v>
      </c>
      <c r="F37" s="328">
        <v>11</v>
      </c>
      <c r="G37" s="989" t="str">
        <f ca="1">W12</f>
        <v/>
      </c>
      <c r="H37" s="989"/>
      <c r="I37" s="990"/>
    </row>
    <row r="38" spans="5:9" ht="24" customHeight="1" thickBot="1" x14ac:dyDescent="0.25">
      <c r="E38" s="281">
        <v>12</v>
      </c>
      <c r="F38" s="329">
        <v>12</v>
      </c>
      <c r="G38" s="991" t="str">
        <f ca="1">X12</f>
        <v/>
      </c>
      <c r="H38" s="991"/>
      <c r="I38" s="992"/>
    </row>
    <row r="39" spans="5:9" ht="13.5" thickTop="1" x14ac:dyDescent="0.2"/>
    <row r="40" spans="5:9" x14ac:dyDescent="0.2"/>
    <row r="41" spans="5:9" x14ac:dyDescent="0.2"/>
    <row r="42" spans="5:9" x14ac:dyDescent="0.2"/>
  </sheetData>
  <sheetProtection sheet="1" selectLockedCells="1"/>
  <mergeCells count="33">
    <mergeCell ref="Y10:AC10"/>
    <mergeCell ref="AE10:AF10"/>
    <mergeCell ref="AH10:AL10"/>
    <mergeCell ref="AK11:AL11"/>
    <mergeCell ref="AN11:AO11"/>
    <mergeCell ref="AB11:AC11"/>
    <mergeCell ref="C16:F16"/>
    <mergeCell ref="C19:F19"/>
    <mergeCell ref="T9:T11"/>
    <mergeCell ref="G11:I11"/>
    <mergeCell ref="J11:L11"/>
    <mergeCell ref="M11:O11"/>
    <mergeCell ref="P11:R11"/>
    <mergeCell ref="E2:T2"/>
    <mergeCell ref="E3:T3"/>
    <mergeCell ref="E4:T4"/>
    <mergeCell ref="E5:T5"/>
    <mergeCell ref="C10:F10"/>
    <mergeCell ref="G7:Q8"/>
    <mergeCell ref="G36:I36"/>
    <mergeCell ref="G37:I37"/>
    <mergeCell ref="G38:I38"/>
    <mergeCell ref="G30:I30"/>
    <mergeCell ref="G31:I31"/>
    <mergeCell ref="G32:I32"/>
    <mergeCell ref="G33:I33"/>
    <mergeCell ref="G34:I34"/>
    <mergeCell ref="G35:I35"/>
    <mergeCell ref="G29:I29"/>
    <mergeCell ref="G26:I26"/>
    <mergeCell ref="G27:I27"/>
    <mergeCell ref="G28:I28"/>
    <mergeCell ref="G23:H23"/>
  </mergeCells>
  <conditionalFormatting sqref="C12:R15 J17:R18 J20:R21">
    <cfRule type="expression" dxfId="23" priority="7">
      <formula>OR($G12="",$I12="")</formula>
    </cfRule>
  </conditionalFormatting>
  <conditionalFormatting sqref="J12:O15 J17:O18 J20:O21">
    <cfRule type="expression" dxfId="22" priority="6">
      <formula>$AE12</formula>
    </cfRule>
  </conditionalFormatting>
  <conditionalFormatting sqref="P12:R15 P17:R18 P20:R21">
    <cfRule type="expression" dxfId="21" priority="4">
      <formula>NOT($Y12)</formula>
    </cfRule>
    <cfRule type="expression" dxfId="20" priority="5">
      <formula>$AF12</formula>
    </cfRule>
  </conditionalFormatting>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2" id="{2F853DF4-ED67-4F75-899F-808BA77A2FD7}">
            <xm:f>$F30&gt;2*#REF!-MOD((#REF!+Calc2!$F$13),2)</xm:f>
            <x14:dxf>
              <numFmt numFmtId="165" formatCode=";;;"/>
            </x14:dxf>
          </x14:cfRule>
          <xm:sqref>F30:F38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DA9DF-D06C-44D5-94E1-8B0FEE44FD79}">
  <dimension ref="A1:AO28"/>
  <sheetViews>
    <sheetView showGridLines="0" showRowColHeaders="0" workbookViewId="0">
      <selection activeCell="J12" sqref="J12"/>
    </sheetView>
  </sheetViews>
  <sheetFormatPr baseColWidth="10" defaultColWidth="0" defaultRowHeight="12.75" zeroHeight="1" x14ac:dyDescent="0.2"/>
  <cols>
    <col min="1" max="1" width="11.42578125" customWidth="1"/>
    <col min="2" max="2" width="4.5703125" customWidth="1"/>
    <col min="3" max="3" width="5.28515625" customWidth="1"/>
    <col min="4" max="4" width="9.42578125" customWidth="1"/>
    <col min="5" max="5" width="9.28515625" customWidth="1"/>
    <col min="6" max="6" width="9.85546875" customWidth="1"/>
    <col min="7" max="7" width="28.7109375" customWidth="1"/>
    <col min="8" max="8" width="3" customWidth="1"/>
    <col min="9" max="9" width="28.7109375" customWidth="1"/>
    <col min="10" max="10" width="4.7109375" customWidth="1"/>
    <col min="11" max="11" width="2.28515625" customWidth="1"/>
    <col min="12" max="13" width="4.7109375" customWidth="1"/>
    <col min="14" max="14" width="2.28515625" customWidth="1"/>
    <col min="15" max="16" width="4.7109375" customWidth="1"/>
    <col min="17" max="17" width="2.28515625" customWidth="1"/>
    <col min="18" max="18" width="4.7109375" customWidth="1"/>
    <col min="19" max="19" width="17.85546875" customWidth="1"/>
    <col min="20" max="20" width="7.140625" customWidth="1"/>
    <col min="21" max="21" width="7" customWidth="1"/>
    <col min="22" max="22" width="11.42578125" customWidth="1"/>
    <col min="23" max="24" width="16.7109375" hidden="1" customWidth="1"/>
    <col min="25" max="27" width="9.7109375" hidden="1" customWidth="1"/>
    <col min="28" max="28" width="5.28515625" hidden="1" customWidth="1"/>
    <col min="29" max="29" width="5" hidden="1" customWidth="1"/>
    <col min="30" max="30" width="4.140625" hidden="1" customWidth="1"/>
    <col min="31" max="32" width="9.7109375" hidden="1" customWidth="1"/>
    <col min="33" max="33" width="3.7109375" hidden="1" customWidth="1"/>
    <col min="34" max="36" width="9.7109375" hidden="1" customWidth="1"/>
    <col min="37" max="37" width="5.28515625" hidden="1" customWidth="1"/>
    <col min="38" max="38" width="5.42578125" hidden="1" customWidth="1"/>
    <col min="39" max="39" width="4.28515625" hidden="1" customWidth="1"/>
    <col min="40" max="40" width="4.85546875" hidden="1" customWidth="1"/>
    <col min="41" max="41" width="5.28515625" hidden="1" customWidth="1"/>
    <col min="42" max="16384" width="11.42578125" hidden="1"/>
  </cols>
  <sheetData>
    <row r="1" spans="1:41" ht="13.5" thickBot="1" x14ac:dyDescent="0.25">
      <c r="A1" s="9"/>
      <c r="B1" s="9"/>
      <c r="C1" s="9"/>
      <c r="D1" s="9"/>
      <c r="E1" s="9"/>
      <c r="F1" s="9"/>
      <c r="G1" s="9"/>
      <c r="H1" s="9"/>
      <c r="I1" s="9"/>
      <c r="J1" s="9"/>
      <c r="K1" s="9"/>
      <c r="L1" s="9"/>
      <c r="M1" s="9"/>
      <c r="N1" s="9"/>
      <c r="O1" s="9"/>
      <c r="P1" s="9"/>
      <c r="Q1" s="9"/>
      <c r="R1" s="9"/>
      <c r="S1" s="9"/>
      <c r="T1" s="9"/>
      <c r="U1" s="9"/>
    </row>
    <row r="2" spans="1:41" ht="36.75" thickTop="1" x14ac:dyDescent="0.2">
      <c r="A2" s="9"/>
      <c r="B2" s="9"/>
      <c r="C2" s="9"/>
      <c r="D2" s="9"/>
      <c r="E2" s="962" t="str">
        <f>PreliminaryRound!$H$2</f>
        <v>International tournament U10 on Jan. 27th, 2026</v>
      </c>
      <c r="F2" s="963"/>
      <c r="G2" s="963"/>
      <c r="H2" s="963"/>
      <c r="I2" s="963"/>
      <c r="J2" s="963"/>
      <c r="K2" s="963"/>
      <c r="L2" s="963"/>
      <c r="M2" s="963"/>
      <c r="N2" s="963"/>
      <c r="O2" s="963"/>
      <c r="P2" s="963"/>
      <c r="Q2" s="963"/>
      <c r="R2" s="963"/>
      <c r="S2" s="963"/>
      <c r="T2" s="964"/>
      <c r="U2" s="9"/>
    </row>
    <row r="3" spans="1:41" ht="30" customHeight="1" x14ac:dyDescent="0.2">
      <c r="A3" s="9"/>
      <c r="B3" s="9"/>
      <c r="C3" s="9"/>
      <c r="D3" s="9"/>
      <c r="E3" s="965" t="str">
        <f>PreliminaryRound!$H$3</f>
        <v>Organizer:  1. FC Riedwald</v>
      </c>
      <c r="F3" s="966"/>
      <c r="G3" s="966"/>
      <c r="H3" s="966"/>
      <c r="I3" s="966"/>
      <c r="J3" s="966"/>
      <c r="K3" s="966"/>
      <c r="L3" s="966"/>
      <c r="M3" s="966"/>
      <c r="N3" s="966"/>
      <c r="O3" s="966"/>
      <c r="P3" s="966"/>
      <c r="Q3" s="966"/>
      <c r="R3" s="966"/>
      <c r="S3" s="966"/>
      <c r="T3" s="967"/>
      <c r="U3" s="9"/>
    </row>
    <row r="4" spans="1:41" ht="30" customHeight="1" x14ac:dyDescent="0.2">
      <c r="A4" s="9"/>
      <c r="B4" s="9"/>
      <c r="C4" s="9"/>
      <c r="D4" s="9"/>
      <c r="E4" s="968" t="str">
        <f>PreliminaryRound!$H$4</f>
        <v>Sports hall Wiesengrund, Wendiger Str. 51, 65432 Riedwald</v>
      </c>
      <c r="F4" s="969"/>
      <c r="G4" s="969"/>
      <c r="H4" s="969"/>
      <c r="I4" s="969"/>
      <c r="J4" s="969"/>
      <c r="K4" s="969"/>
      <c r="L4" s="969"/>
      <c r="M4" s="969"/>
      <c r="N4" s="969"/>
      <c r="O4" s="969"/>
      <c r="P4" s="969"/>
      <c r="Q4" s="969"/>
      <c r="R4" s="969"/>
      <c r="S4" s="969"/>
      <c r="T4" s="970"/>
      <c r="U4" s="9"/>
    </row>
    <row r="5" spans="1:41" ht="30" customHeight="1" thickBot="1" x14ac:dyDescent="0.25">
      <c r="A5" s="9"/>
      <c r="B5" s="9"/>
      <c r="C5" s="9"/>
      <c r="D5" s="9"/>
      <c r="E5" s="971" t="str">
        <f>PreliminaryRound!$H$5</f>
        <v>Start:  9:00 a.m.</v>
      </c>
      <c r="F5" s="972"/>
      <c r="G5" s="972"/>
      <c r="H5" s="972"/>
      <c r="I5" s="972"/>
      <c r="J5" s="972"/>
      <c r="K5" s="972"/>
      <c r="L5" s="972"/>
      <c r="M5" s="972"/>
      <c r="N5" s="972"/>
      <c r="O5" s="972"/>
      <c r="P5" s="972"/>
      <c r="Q5" s="972"/>
      <c r="R5" s="972"/>
      <c r="S5" s="972"/>
      <c r="T5" s="973"/>
      <c r="U5" s="9"/>
    </row>
    <row r="6" spans="1:41" ht="14.25" thickTop="1" thickBot="1" x14ac:dyDescent="0.25">
      <c r="A6" s="9"/>
      <c r="B6" s="9"/>
      <c r="C6" s="9"/>
      <c r="D6" s="9"/>
      <c r="E6" s="9"/>
      <c r="F6" s="9"/>
      <c r="G6" s="9"/>
      <c r="H6" s="9"/>
      <c r="I6" s="9"/>
      <c r="J6" s="9"/>
      <c r="K6" s="9"/>
      <c r="L6" s="9"/>
      <c r="M6" s="9"/>
      <c r="N6" s="9"/>
      <c r="O6" s="9"/>
      <c r="P6" s="9"/>
      <c r="Q6" s="9"/>
      <c r="R6" s="9"/>
      <c r="S6" s="9"/>
      <c r="T6" s="9"/>
      <c r="U6" s="9"/>
    </row>
    <row r="7" spans="1:41" ht="30" customHeight="1" thickTop="1" x14ac:dyDescent="0.2">
      <c r="A7" s="9"/>
      <c r="B7" s="9"/>
      <c r="C7" s="9"/>
      <c r="D7" s="9"/>
      <c r="E7" s="9"/>
      <c r="F7" s="9"/>
      <c r="G7" s="975" t="str">
        <f>Language!$E$19</f>
        <v>Final round</v>
      </c>
      <c r="H7" s="976"/>
      <c r="I7" s="976"/>
      <c r="J7" s="976"/>
      <c r="K7" s="976"/>
      <c r="L7" s="976"/>
      <c r="M7" s="976"/>
      <c r="N7" s="976"/>
      <c r="O7" s="976"/>
      <c r="P7" s="976"/>
      <c r="Q7" s="977"/>
      <c r="R7" s="9"/>
      <c r="S7" s="9"/>
      <c r="T7" s="9"/>
      <c r="U7" s="9"/>
    </row>
    <row r="8" spans="1:41" ht="30" customHeight="1" thickBot="1" x14ac:dyDescent="0.25">
      <c r="A8" s="9"/>
      <c r="B8" s="9"/>
      <c r="C8" s="9"/>
      <c r="D8" s="9"/>
      <c r="E8" s="9"/>
      <c r="F8" s="9"/>
      <c r="G8" s="978"/>
      <c r="H8" s="979"/>
      <c r="I8" s="979"/>
      <c r="J8" s="979"/>
      <c r="K8" s="979"/>
      <c r="L8" s="979"/>
      <c r="M8" s="979"/>
      <c r="N8" s="979"/>
      <c r="O8" s="979"/>
      <c r="P8" s="979"/>
      <c r="Q8" s="980"/>
      <c r="R8" s="9"/>
      <c r="S8" s="9"/>
      <c r="T8" s="9"/>
      <c r="U8" s="9"/>
    </row>
    <row r="9" spans="1:41" ht="13.5" thickTop="1" x14ac:dyDescent="0.2">
      <c r="A9" s="9"/>
      <c r="B9" s="9"/>
      <c r="C9" s="9"/>
      <c r="D9" s="9"/>
      <c r="E9" s="9"/>
      <c r="F9" s="9"/>
      <c r="G9" s="9"/>
      <c r="H9" s="9"/>
      <c r="I9" s="9"/>
      <c r="J9" s="9"/>
      <c r="K9" s="9"/>
      <c r="L9" s="9"/>
      <c r="M9" s="9"/>
      <c r="N9" s="9"/>
      <c r="O9" s="9"/>
      <c r="P9" s="9"/>
      <c r="Q9" s="9"/>
      <c r="R9" s="9"/>
      <c r="S9" s="9"/>
      <c r="T9" s="849" t="str">
        <f>Language!$E$20</f>
        <v>Addit. Pause (min)</v>
      </c>
      <c r="U9" s="9"/>
      <c r="W9" s="818" t="s">
        <v>423</v>
      </c>
      <c r="X9" s="9"/>
      <c r="Y9" s="9"/>
      <c r="Z9" s="9"/>
      <c r="AA9" s="9"/>
      <c r="AB9" s="9"/>
      <c r="AC9" s="9"/>
      <c r="AD9" s="9"/>
      <c r="AE9" s="9"/>
      <c r="AF9" s="9"/>
      <c r="AG9" s="9"/>
      <c r="AH9" s="9"/>
      <c r="AI9" s="9"/>
      <c r="AJ9" s="9"/>
      <c r="AK9" s="9"/>
      <c r="AL9" s="9"/>
      <c r="AM9" s="9"/>
      <c r="AN9" s="9"/>
      <c r="AO9" s="9"/>
    </row>
    <row r="10" spans="1:41" ht="27.95" customHeight="1" thickBot="1" x14ac:dyDescent="0.35">
      <c r="A10" s="9"/>
      <c r="B10" s="9"/>
      <c r="C10" s="961" t="str">
        <f>Language!$E$53</f>
        <v>Semi-finals</v>
      </c>
      <c r="D10" s="961"/>
      <c r="E10" s="961"/>
      <c r="F10" s="961"/>
      <c r="G10" s="9"/>
      <c r="H10" s="9"/>
      <c r="I10" s="9"/>
      <c r="J10" s="9"/>
      <c r="K10" s="9"/>
      <c r="L10" s="9"/>
      <c r="M10" s="9"/>
      <c r="N10" s="9"/>
      <c r="O10" s="9"/>
      <c r="P10" s="9"/>
      <c r="Q10" s="9"/>
      <c r="R10" s="9"/>
      <c r="S10" s="9"/>
      <c r="T10" s="849"/>
      <c r="U10" s="9"/>
      <c r="W10" s="819" t="b">
        <f>Settings!$B$43=Language!$E$79</f>
        <v>0</v>
      </c>
      <c r="X10" s="9"/>
      <c r="Y10" s="942" t="s">
        <v>422</v>
      </c>
      <c r="Z10" s="942"/>
      <c r="AA10" s="942"/>
      <c r="AB10" s="942"/>
      <c r="AC10" s="942"/>
      <c r="AD10" s="9"/>
      <c r="AE10" s="943" t="s">
        <v>425</v>
      </c>
      <c r="AF10" s="943"/>
      <c r="AG10" s="9"/>
      <c r="AH10" s="942" t="s">
        <v>424</v>
      </c>
      <c r="AI10" s="942"/>
      <c r="AJ10" s="942"/>
      <c r="AK10" s="942"/>
      <c r="AL10" s="942"/>
      <c r="AM10" s="9"/>
      <c r="AN10" s="9"/>
      <c r="AO10" s="9"/>
    </row>
    <row r="11" spans="1:41" ht="24" customHeight="1" thickTop="1" thickBot="1" x14ac:dyDescent="0.25">
      <c r="A11" s="9"/>
      <c r="B11" s="279"/>
      <c r="C11" s="324" t="str">
        <f>Language!$E$9</f>
        <v>No.</v>
      </c>
      <c r="D11" s="275" t="str">
        <f>Language!$E$39</f>
        <v>Start</v>
      </c>
      <c r="E11" s="830" t="str">
        <f>Language!$E$48</f>
        <v>Field</v>
      </c>
      <c r="F11" s="830"/>
      <c r="G11" s="912" t="str">
        <f>Language!$E$14</f>
        <v>Match pairing</v>
      </c>
      <c r="H11" s="912"/>
      <c r="I11" s="912"/>
      <c r="J11" s="912" t="str">
        <f>Language!$E$61</f>
        <v>1st set</v>
      </c>
      <c r="K11" s="912"/>
      <c r="L11" s="912"/>
      <c r="M11" s="912" t="str">
        <f>Language!$E$62</f>
        <v>2nd set</v>
      </c>
      <c r="N11" s="912"/>
      <c r="O11" s="912"/>
      <c r="P11" s="912" t="str">
        <f>Language!$E$63</f>
        <v>3rd set</v>
      </c>
      <c r="Q11" s="912"/>
      <c r="R11" s="915"/>
      <c r="S11" s="612" t="str">
        <f>Language!$E$68</f>
        <v>Referee</v>
      </c>
      <c r="T11" s="850"/>
      <c r="U11" s="9"/>
      <c r="W11" s="557" t="s">
        <v>353</v>
      </c>
      <c r="X11" s="557" t="s">
        <v>354</v>
      </c>
      <c r="Y11" s="831" t="s">
        <v>352</v>
      </c>
      <c r="Z11" s="831" t="s">
        <v>356</v>
      </c>
      <c r="AA11" s="831" t="s">
        <v>355</v>
      </c>
      <c r="AB11" s="941" t="s">
        <v>318</v>
      </c>
      <c r="AC11" s="941"/>
      <c r="AD11" s="9"/>
      <c r="AE11" s="831" t="s">
        <v>413</v>
      </c>
      <c r="AF11" s="831" t="s">
        <v>414</v>
      </c>
      <c r="AG11" s="9"/>
      <c r="AH11" s="831" t="s">
        <v>419</v>
      </c>
      <c r="AI11" s="831" t="s">
        <v>420</v>
      </c>
      <c r="AJ11" s="831" t="s">
        <v>355</v>
      </c>
      <c r="AK11" s="941" t="s">
        <v>318</v>
      </c>
      <c r="AL11" s="941"/>
      <c r="AM11" s="9"/>
      <c r="AN11" s="941" t="s">
        <v>421</v>
      </c>
      <c r="AO11" s="941"/>
    </row>
    <row r="12" spans="1:41" ht="24" customHeight="1" x14ac:dyDescent="0.2">
      <c r="A12" s="252"/>
      <c r="B12" s="311"/>
      <c r="C12" s="395">
        <f t="array" aca="1" ref="C12" ca="1">31-SUM(((Planning!$L$6:$L$35="")+(Planning!$N$6:$N$35="")&gt;0)*1)</f>
        <v>21</v>
      </c>
      <c r="D12" s="396">
        <f ca="1">IF(Planning!$V$15,"",Planning!$S$13+(Planning!$S$9+Planning!$Q$35)/1440)</f>
        <v>0.49652777777777779</v>
      </c>
      <c r="E12" s="273">
        <f>IF(Planning!$V$15,"",1)</f>
        <v>1</v>
      </c>
      <c r="F12" s="261" t="s">
        <v>221</v>
      </c>
      <c r="G12" s="262" t="str">
        <f ca="1">PreliminaryRound!$X$12</f>
        <v>Maibach 1822 eV</v>
      </c>
      <c r="H12" s="263" t="s">
        <v>4</v>
      </c>
      <c r="I12" s="264" t="str">
        <f ca="1">PreliminaryRound!$X$23</f>
        <v>Manchester City</v>
      </c>
      <c r="J12" s="786">
        <v>13</v>
      </c>
      <c r="K12" s="270" t="str">
        <f>Language!$E$99</f>
        <v xml:space="preserve"> - </v>
      </c>
      <c r="L12" s="834">
        <v>25</v>
      </c>
      <c r="M12" s="786">
        <v>8</v>
      </c>
      <c r="N12" s="270" t="str">
        <f>Language!$E$99</f>
        <v xml:space="preserve"> - </v>
      </c>
      <c r="O12" s="834">
        <v>25</v>
      </c>
      <c r="P12" s="786"/>
      <c r="Q12" s="535" t="str">
        <f>Language!$E$99</f>
        <v xml:space="preserve"> - </v>
      </c>
      <c r="R12" s="826"/>
      <c r="S12" s="613"/>
      <c r="T12" s="538"/>
      <c r="U12" s="252"/>
      <c r="W12" s="252" t="str">
        <f ca="1">IF(AN12&gt;AO12,$G12,IF(AN12&lt;AO12,$I12,""))</f>
        <v>Manchester City</v>
      </c>
      <c r="X12" s="252" t="str">
        <f ca="1">IF(AN12&lt;AO12,$G12,IF(AN12&gt;AO12,$I12,""))</f>
        <v>Maibach 1822 eV</v>
      </c>
      <c r="Y12" s="252" t="b">
        <f>OR(NOT($W$10),AND($J12&lt;&gt;"",$L12&lt;&gt;"",$M12&lt;&gt;"",$O12&lt;&gt;"",$J12&lt;&gt;$L12,$M12&lt;&gt;$O12,($J12&gt;$L12)+($M12&gt;$O12)=1))</f>
        <v>1</v>
      </c>
      <c r="Z12" s="558" t="b">
        <f ca="1">AND($J12&lt;&gt;"",$L12&lt;&gt;"",$J12&lt;&gt;$L12,OR(AND($M12="",$O12=""),AND($M12&lt;&gt;"",$O12&lt;&gt;"",$M12&lt;&gt;$O12)),$G12&lt;&gt;"",$I12&lt;&gt;"",$G12&lt;&gt;$I12)</f>
        <v>1</v>
      </c>
      <c r="AA12" s="252" t="b">
        <f>AND(Y12,$P12&lt;&gt;"",$R12&lt;&gt;"",$P12&lt;&gt;$R12)</f>
        <v>0</v>
      </c>
      <c r="AB12" s="558">
        <f ca="1">(($J12&gt;$L12)+($M12&gt;$O12)+($P12&gt;$R12)*AA12)*Z12</f>
        <v>0</v>
      </c>
      <c r="AC12" s="558">
        <f ca="1">(($J12&lt;$L12)+($M12&lt;$O12)+($P12&lt;$R12)*AA12)*Z12</f>
        <v>2</v>
      </c>
      <c r="AD12" s="252"/>
      <c r="AE12" s="252" t="b">
        <f>AND($W$10,OR(AND($J12&lt;&gt;"",$J12=$L12),AND($M12&lt;&gt;"",$M12=$O12)))</f>
        <v>0</v>
      </c>
      <c r="AF12" s="252" t="b">
        <f>AND($W$10,$P12&lt;&gt;"",$R12&lt;&gt;"",$P12=$R12,$Y12)</f>
        <v>0</v>
      </c>
      <c r="AG12" s="252"/>
      <c r="AH12" s="252" t="b">
        <f ca="1">AND($J12&lt;&gt;"",$L12&lt;&gt;"",$G12&lt;&gt;"",$I12&lt;&gt;"",$G12&lt;&gt;$I12)</f>
        <v>1</v>
      </c>
      <c r="AI12" s="252" t="b">
        <f ca="1">AND($M12&lt;&gt;"",$O12&lt;&gt;"",$G12&lt;&gt;"",$I12&lt;&gt;"",$G12&lt;&gt;$I12)</f>
        <v>1</v>
      </c>
      <c r="AJ12" s="252" t="b">
        <f ca="1">AND($P12&lt;&gt;"",$R12&lt;&gt;"",$G12&lt;&gt;"",$I12&lt;&gt;"",$G12&lt;&gt;$I12)</f>
        <v>0</v>
      </c>
      <c r="AK12" s="558">
        <f ca="1">(($J12&gt;$L12)+($J12=$L12)*0.5)*$AH12+(($M12&gt;$O12)+($M12=$O12)*0.5)*$AI12+(($P12&gt;$R12)+($P12=$R12)*0.5)*$AJ12</f>
        <v>0</v>
      </c>
      <c r="AL12" s="558">
        <f ca="1">(($J12&lt;$L12)+($J12=$L12)*0.5)*$AH12+(($M12&lt;$O12)+($M12=$O12)*0.5)*$AI12+(($P12&lt;$R12)+($P12=$R12)*0.5)*$AJ12</f>
        <v>2</v>
      </c>
      <c r="AM12" s="252"/>
      <c r="AN12" s="558">
        <f ca="1">IF($W$10,$AB12,$AK12)</f>
        <v>0</v>
      </c>
      <c r="AO12" s="558">
        <f ca="1">IF($W$10,$AC12,$AL12)</f>
        <v>2</v>
      </c>
    </row>
    <row r="13" spans="1:41" ht="24" customHeight="1" thickBot="1" x14ac:dyDescent="0.25">
      <c r="A13" s="252"/>
      <c r="B13" s="311"/>
      <c r="C13" s="317">
        <f ca="1">$C$12+1</f>
        <v>22</v>
      </c>
      <c r="D13" s="320">
        <f ca="1">IF(Planning!$V$15,"",$D$12+QUOTIENT(1,Planning!$V$11)*(Planning!$S$7+Planning!$S$9)/1440+$T12/1440)</f>
        <v>0.49652777777777779</v>
      </c>
      <c r="E13" s="297">
        <f>IF(Planning!$V$15,"",MOD(1,Planning!$V$11)+1)</f>
        <v>2</v>
      </c>
      <c r="F13" s="260" t="s">
        <v>222</v>
      </c>
      <c r="G13" s="256" t="str">
        <f ca="1">PreliminaryRound!$X$22</f>
        <v>Inter Mailand</v>
      </c>
      <c r="H13" s="90" t="s">
        <v>4</v>
      </c>
      <c r="I13" s="258" t="str">
        <f ca="1">PreliminaryRound!$X$13</f>
        <v>VFB Essenheim</v>
      </c>
      <c r="J13" s="784">
        <v>25</v>
      </c>
      <c r="K13" s="298" t="str">
        <f>Language!$E$99</f>
        <v xml:space="preserve"> - </v>
      </c>
      <c r="L13" s="790">
        <v>21</v>
      </c>
      <c r="M13" s="784">
        <v>22</v>
      </c>
      <c r="N13" s="298" t="str">
        <f>Language!$E$99</f>
        <v xml:space="preserve"> - </v>
      </c>
      <c r="O13" s="790">
        <v>25</v>
      </c>
      <c r="P13" s="784">
        <v>13</v>
      </c>
      <c r="Q13" s="551" t="str">
        <f>Language!$E$99</f>
        <v xml:space="preserve"> - </v>
      </c>
      <c r="R13" s="829">
        <v>15</v>
      </c>
      <c r="S13" s="615"/>
      <c r="T13" s="549"/>
      <c r="U13" s="252"/>
      <c r="W13" s="252" t="str">
        <f t="shared" ref="W13:W16" ca="1" si="0">IF(AN13&gt;AO13,$G13,IF(AN13&lt;AO13,$I13,""))</f>
        <v>VFB Essenheim</v>
      </c>
      <c r="X13" s="252" t="str">
        <f t="shared" ref="X13:X16" ca="1" si="1">IF(AN13&lt;AO13,$G13,IF(AN13&gt;AO13,$I13,""))</f>
        <v>Inter Mailand</v>
      </c>
      <c r="Y13" s="252" t="b">
        <f t="shared" ref="Y13:Y16" si="2">OR(NOT($W$10),AND($J13&lt;&gt;"",$L13&lt;&gt;"",$M13&lt;&gt;"",$O13&lt;&gt;"",$J13&lt;&gt;$L13,$M13&lt;&gt;$O13,($J13&gt;$L13)+($M13&gt;$O13)=1))</f>
        <v>1</v>
      </c>
      <c r="Z13" s="558" t="b">
        <f t="shared" ref="Z13:Z16" ca="1" si="3">AND($J13&lt;&gt;"",$L13&lt;&gt;"",$J13&lt;&gt;$L13,OR(AND($M13="",$O13=""),AND($M13&lt;&gt;"",$O13&lt;&gt;"",$M13&lt;&gt;$O13)),$G13&lt;&gt;"",$I13&lt;&gt;"",$G13&lt;&gt;$I13)</f>
        <v>1</v>
      </c>
      <c r="AA13" s="252" t="b">
        <f t="shared" ref="AA13:AA16" si="4">AND(Y13,$P13&lt;&gt;"",$R13&lt;&gt;"",$P13&lt;&gt;$R13)</f>
        <v>1</v>
      </c>
      <c r="AB13" s="558">
        <f t="shared" ref="AB13:AB16" ca="1" si="5">(($J13&gt;$L13)+($M13&gt;$O13)+($P13&gt;$R13)*AA13)*Z13</f>
        <v>1</v>
      </c>
      <c r="AC13" s="558">
        <f t="shared" ref="AC13:AC16" ca="1" si="6">(($J13&lt;$L13)+($M13&lt;$O13)+($P13&lt;$R13)*AA13)*Z13</f>
        <v>2</v>
      </c>
      <c r="AD13" s="252"/>
      <c r="AE13" s="252" t="b">
        <f t="shared" ref="AE13:AE16" si="7">AND($W$10,OR(AND($J13&lt;&gt;"",$J13=$L13),AND($M13&lt;&gt;"",$M13=$O13)))</f>
        <v>0</v>
      </c>
      <c r="AF13" s="252" t="b">
        <f t="shared" ref="AF13:AF16" si="8">AND($W$10,$P13&lt;&gt;"",$R13&lt;&gt;"",$P13=$R13,$Y13)</f>
        <v>0</v>
      </c>
      <c r="AG13" s="252"/>
      <c r="AH13" s="252" t="b">
        <f t="shared" ref="AH13:AH16" ca="1" si="9">AND($J13&lt;&gt;"",$L13&lt;&gt;"",$G13&lt;&gt;"",$I13&lt;&gt;"",$G13&lt;&gt;$I13)</f>
        <v>1</v>
      </c>
      <c r="AI13" s="252" t="b">
        <f t="shared" ref="AI13:AI16" ca="1" si="10">AND($M13&lt;&gt;"",$O13&lt;&gt;"",$G13&lt;&gt;"",$I13&lt;&gt;"",$G13&lt;&gt;$I13)</f>
        <v>1</v>
      </c>
      <c r="AJ13" s="252" t="b">
        <f t="shared" ref="AJ13:AJ16" ca="1" si="11">AND($P13&lt;&gt;"",$R13&lt;&gt;"",$G13&lt;&gt;"",$I13&lt;&gt;"",$G13&lt;&gt;$I13)</f>
        <v>1</v>
      </c>
      <c r="AK13" s="558">
        <f t="shared" ref="AK13:AK16" ca="1" si="12">(($J13&gt;$L13)+($J13=$L13)*0.5)*$AH13+(($M13&gt;$O13)+($M13=$O13)*0.5)*$AI13+(($P13&gt;$R13)+($P13=$R13)*0.5)*$AJ13</f>
        <v>1</v>
      </c>
      <c r="AL13" s="558">
        <f t="shared" ref="AL13:AL16" ca="1" si="13">(($J13&lt;$L13)+($J13=$L13)*0.5)*$AH13+(($M13&lt;$O13)+($M13=$O13)*0.5)*$AI13+(($P13&lt;$R13)+($P13=$R13)*0.5)*$AJ13</f>
        <v>2</v>
      </c>
      <c r="AM13" s="252"/>
      <c r="AN13" s="558">
        <f t="shared" ref="AN13:AN16" ca="1" si="14">IF($W$10,$AB13,$AK13)</f>
        <v>1</v>
      </c>
      <c r="AO13" s="558">
        <f t="shared" ref="AO13:AO16" ca="1" si="15">IF($W$10,$AC13,$AL13)</f>
        <v>2</v>
      </c>
    </row>
    <row r="14" spans="1:41" ht="27.95" customHeight="1" thickTop="1" thickBot="1" x14ac:dyDescent="0.35">
      <c r="A14" s="252"/>
      <c r="B14" s="312"/>
      <c r="C14" s="993" t="str">
        <f>Language!$E$54</f>
        <v>Finals</v>
      </c>
      <c r="D14" s="993"/>
      <c r="E14" s="993"/>
      <c r="F14" s="993"/>
      <c r="G14" s="373"/>
      <c r="H14" s="63"/>
      <c r="I14" s="373"/>
      <c r="J14" s="832"/>
      <c r="K14" s="286"/>
      <c r="L14" s="835"/>
      <c r="M14" s="832"/>
      <c r="N14" s="286"/>
      <c r="O14" s="835"/>
      <c r="P14" s="832"/>
      <c r="Q14" s="286"/>
      <c r="R14" s="835"/>
      <c r="S14" s="214"/>
      <c r="T14" s="288"/>
      <c r="U14" s="252"/>
      <c r="W14" s="252"/>
      <c r="X14" s="252"/>
      <c r="Y14" s="252"/>
      <c r="Z14" s="558"/>
      <c r="AA14" s="252"/>
      <c r="AB14" s="558"/>
      <c r="AC14" s="558"/>
      <c r="AD14" s="252"/>
      <c r="AE14" s="252"/>
      <c r="AF14" s="252"/>
      <c r="AG14" s="252"/>
      <c r="AH14" s="252"/>
      <c r="AI14" s="252"/>
      <c r="AJ14" s="252"/>
      <c r="AK14" s="558"/>
      <c r="AL14" s="558"/>
      <c r="AM14" s="252"/>
      <c r="AN14" s="558"/>
      <c r="AO14" s="558"/>
    </row>
    <row r="15" spans="1:41" ht="24" customHeight="1" thickTop="1" x14ac:dyDescent="0.2">
      <c r="A15" s="252"/>
      <c r="B15" s="311"/>
      <c r="C15" s="321">
        <f ca="1">$C$12+2</f>
        <v>23</v>
      </c>
      <c r="D15" s="322">
        <f ca="1">IF(Planning!$V$15,"",$D$13+($T$13+Planning!$S$9+Planning!$S$7)/1440)</f>
        <v>0.52083333333333337</v>
      </c>
      <c r="E15" s="289">
        <f>IF(Planning!$V$15,"",1)</f>
        <v>1</v>
      </c>
      <c r="F15" s="290" t="str">
        <f>Language!$E$108</f>
        <v>3rd place</v>
      </c>
      <c r="G15" s="291" t="str">
        <f ca="1">X12</f>
        <v>Maibach 1822 eV</v>
      </c>
      <c r="H15" s="292" t="s">
        <v>4</v>
      </c>
      <c r="I15" s="293" t="str">
        <f ca="1">X13</f>
        <v>Inter Mailand</v>
      </c>
      <c r="J15" s="833">
        <v>19</v>
      </c>
      <c r="K15" s="295" t="str">
        <f>Language!$E$99</f>
        <v xml:space="preserve"> - </v>
      </c>
      <c r="L15" s="836">
        <v>25</v>
      </c>
      <c r="M15" s="833">
        <v>16</v>
      </c>
      <c r="N15" s="295" t="str">
        <f>Language!$E$99</f>
        <v xml:space="preserve"> - </v>
      </c>
      <c r="O15" s="836">
        <v>25</v>
      </c>
      <c r="P15" s="833"/>
      <c r="Q15" s="552" t="str">
        <f>Language!$E$99</f>
        <v xml:space="preserve"> - </v>
      </c>
      <c r="R15" s="837"/>
      <c r="S15" s="619"/>
      <c r="T15" s="538"/>
      <c r="U15" s="252"/>
      <c r="W15" s="252" t="str">
        <f t="shared" ca="1" si="0"/>
        <v>Inter Mailand</v>
      </c>
      <c r="X15" s="252" t="str">
        <f t="shared" ca="1" si="1"/>
        <v>Maibach 1822 eV</v>
      </c>
      <c r="Y15" s="252" t="b">
        <f t="shared" si="2"/>
        <v>1</v>
      </c>
      <c r="Z15" s="558" t="b">
        <f t="shared" ca="1" si="3"/>
        <v>1</v>
      </c>
      <c r="AA15" s="252" t="b">
        <f t="shared" si="4"/>
        <v>0</v>
      </c>
      <c r="AB15" s="558">
        <f t="shared" ca="1" si="5"/>
        <v>0</v>
      </c>
      <c r="AC15" s="558">
        <f t="shared" ca="1" si="6"/>
        <v>2</v>
      </c>
      <c r="AD15" s="252"/>
      <c r="AE15" s="252" t="b">
        <f t="shared" si="7"/>
        <v>0</v>
      </c>
      <c r="AF15" s="252" t="b">
        <f t="shared" si="8"/>
        <v>0</v>
      </c>
      <c r="AG15" s="252"/>
      <c r="AH15" s="252" t="b">
        <f t="shared" ca="1" si="9"/>
        <v>1</v>
      </c>
      <c r="AI15" s="252" t="b">
        <f t="shared" ca="1" si="10"/>
        <v>1</v>
      </c>
      <c r="AJ15" s="252" t="b">
        <f t="shared" ca="1" si="11"/>
        <v>0</v>
      </c>
      <c r="AK15" s="558">
        <f t="shared" ca="1" si="12"/>
        <v>0</v>
      </c>
      <c r="AL15" s="558">
        <f t="shared" ca="1" si="13"/>
        <v>2</v>
      </c>
      <c r="AM15" s="252"/>
      <c r="AN15" s="558">
        <f t="shared" ca="1" si="14"/>
        <v>0</v>
      </c>
      <c r="AO15" s="558">
        <f t="shared" ca="1" si="15"/>
        <v>2</v>
      </c>
    </row>
    <row r="16" spans="1:41" ht="24" customHeight="1" thickBot="1" x14ac:dyDescent="0.25">
      <c r="A16" s="252"/>
      <c r="B16" s="311"/>
      <c r="C16" s="317">
        <f ca="1">$C$12+3</f>
        <v>24</v>
      </c>
      <c r="D16" s="320">
        <f ca="1">IF(Planning!$V$15,"",$D$15+($T$15+Planning!$S$9+Planning!$S$7)/1440)</f>
        <v>0.54513888888888895</v>
      </c>
      <c r="E16" s="297">
        <f>IF(Planning!$V$15,"",1)</f>
        <v>1</v>
      </c>
      <c r="F16" s="260" t="str">
        <f>Language!$E$109</f>
        <v>Final</v>
      </c>
      <c r="G16" s="256" t="str">
        <f ca="1">W12</f>
        <v>Manchester City</v>
      </c>
      <c r="H16" s="90" t="s">
        <v>4</v>
      </c>
      <c r="I16" s="258" t="str">
        <f ca="1">W13</f>
        <v>VFB Essenheim</v>
      </c>
      <c r="J16" s="784">
        <v>21</v>
      </c>
      <c r="K16" s="298" t="str">
        <f>Language!$E$99</f>
        <v xml:space="preserve"> - </v>
      </c>
      <c r="L16" s="790">
        <v>25</v>
      </c>
      <c r="M16" s="784">
        <v>25</v>
      </c>
      <c r="N16" s="298" t="str">
        <f>Language!$E$99</f>
        <v xml:space="preserve"> - </v>
      </c>
      <c r="O16" s="790">
        <v>23</v>
      </c>
      <c r="P16" s="784">
        <v>13</v>
      </c>
      <c r="Q16" s="551" t="str">
        <f>Language!$E$99</f>
        <v xml:space="preserve"> - </v>
      </c>
      <c r="R16" s="829">
        <v>15</v>
      </c>
      <c r="S16" s="618"/>
      <c r="T16" s="548"/>
      <c r="U16" s="252"/>
      <c r="W16" s="252" t="str">
        <f t="shared" ca="1" si="0"/>
        <v>VFB Essenheim</v>
      </c>
      <c r="X16" s="252" t="str">
        <f t="shared" ca="1" si="1"/>
        <v>Manchester City</v>
      </c>
      <c r="Y16" s="252" t="b">
        <f t="shared" si="2"/>
        <v>1</v>
      </c>
      <c r="Z16" s="558" t="b">
        <f t="shared" ca="1" si="3"/>
        <v>1</v>
      </c>
      <c r="AA16" s="252" t="b">
        <f t="shared" si="4"/>
        <v>1</v>
      </c>
      <c r="AB16" s="558">
        <f t="shared" ca="1" si="5"/>
        <v>1</v>
      </c>
      <c r="AC16" s="558">
        <f t="shared" ca="1" si="6"/>
        <v>2</v>
      </c>
      <c r="AD16" s="252"/>
      <c r="AE16" s="252" t="b">
        <f t="shared" si="7"/>
        <v>0</v>
      </c>
      <c r="AF16" s="252" t="b">
        <f t="shared" si="8"/>
        <v>0</v>
      </c>
      <c r="AG16" s="252"/>
      <c r="AH16" s="252" t="b">
        <f t="shared" ca="1" si="9"/>
        <v>1</v>
      </c>
      <c r="AI16" s="252" t="b">
        <f t="shared" ca="1" si="10"/>
        <v>1</v>
      </c>
      <c r="AJ16" s="252" t="b">
        <f t="shared" ca="1" si="11"/>
        <v>1</v>
      </c>
      <c r="AK16" s="558">
        <f t="shared" ca="1" si="12"/>
        <v>1</v>
      </c>
      <c r="AL16" s="558">
        <f t="shared" ca="1" si="13"/>
        <v>2</v>
      </c>
      <c r="AM16" s="252"/>
      <c r="AN16" s="558">
        <f t="shared" ca="1" si="14"/>
        <v>1</v>
      </c>
      <c r="AO16" s="558">
        <f t="shared" ca="1" si="15"/>
        <v>2</v>
      </c>
    </row>
    <row r="17" spans="1:21" ht="13.5" thickTop="1" x14ac:dyDescent="0.2">
      <c r="A17" s="9"/>
      <c r="B17" s="9"/>
      <c r="C17" s="9"/>
      <c r="D17" s="9"/>
      <c r="E17" s="9"/>
      <c r="F17" s="9"/>
      <c r="G17" s="9"/>
      <c r="H17" s="9"/>
      <c r="I17" s="9"/>
      <c r="J17" s="9"/>
      <c r="K17" s="9"/>
      <c r="L17" s="9"/>
      <c r="M17" s="9"/>
      <c r="N17" s="9"/>
      <c r="O17" s="9"/>
      <c r="P17" s="9"/>
      <c r="Q17" s="9"/>
      <c r="R17" s="9"/>
      <c r="S17" s="9"/>
      <c r="T17" s="9"/>
      <c r="U17" s="9"/>
    </row>
    <row r="18" spans="1:21" ht="24" customHeight="1" x14ac:dyDescent="0.2">
      <c r="A18" s="9"/>
      <c r="B18" s="9"/>
      <c r="C18" s="282"/>
      <c r="D18" s="282"/>
      <c r="E18" s="282"/>
      <c r="F18" s="282"/>
      <c r="G18" s="959" t="str">
        <f>Language!$E$29</f>
        <v>Tournament end:</v>
      </c>
      <c r="H18" s="959"/>
      <c r="I18" s="283">
        <f ca="1">IF(Planning!$S$13="","",$D$16+Planning!$S$7/1440)</f>
        <v>0.56597222222222232</v>
      </c>
      <c r="J18" s="284"/>
      <c r="K18" s="284"/>
      <c r="L18" s="284"/>
      <c r="M18" s="284"/>
      <c r="N18" s="284"/>
      <c r="O18" s="284"/>
      <c r="P18" s="284"/>
      <c r="Q18" s="284"/>
      <c r="R18" s="284"/>
      <c r="S18" s="284"/>
      <c r="T18" s="284"/>
      <c r="U18" s="9"/>
    </row>
    <row r="19" spans="1:21" x14ac:dyDescent="0.2">
      <c r="A19" s="9"/>
      <c r="B19" s="9"/>
      <c r="C19" s="9"/>
      <c r="D19" s="280"/>
      <c r="E19" s="9"/>
      <c r="F19" s="9"/>
      <c r="G19" s="9"/>
      <c r="H19" s="9"/>
      <c r="I19" s="9"/>
      <c r="J19" s="9"/>
      <c r="K19" s="9"/>
      <c r="L19" s="9"/>
      <c r="M19" s="9"/>
      <c r="N19" s="9"/>
      <c r="O19" s="9"/>
      <c r="P19" s="9"/>
      <c r="Q19" s="9"/>
      <c r="R19" s="9"/>
      <c r="S19" s="9"/>
      <c r="T19" s="9"/>
      <c r="U19" s="9"/>
    </row>
    <row r="20" spans="1:21" x14ac:dyDescent="0.2">
      <c r="A20" s="9"/>
      <c r="B20" s="9"/>
      <c r="C20" s="9"/>
      <c r="D20" s="280"/>
      <c r="E20" s="9"/>
      <c r="F20" s="9"/>
      <c r="G20" s="9"/>
      <c r="H20" s="9"/>
      <c r="I20" s="9"/>
      <c r="J20" s="9"/>
      <c r="K20" s="9"/>
      <c r="L20" s="9"/>
      <c r="M20" s="9"/>
      <c r="N20" s="9"/>
      <c r="O20" s="9"/>
      <c r="P20" s="9"/>
      <c r="Q20" s="9"/>
      <c r="R20" s="9"/>
      <c r="S20" s="9"/>
      <c r="T20" s="9"/>
      <c r="U20" s="9"/>
    </row>
    <row r="21" spans="1:21" ht="24" customHeight="1" thickBot="1" x14ac:dyDescent="0.25">
      <c r="A21" s="9"/>
      <c r="B21" s="9"/>
      <c r="C21" s="9"/>
      <c r="D21" s="9"/>
      <c r="E21" s="9"/>
      <c r="F21" s="285" t="str">
        <f>Language!$E$107</f>
        <v>Rank</v>
      </c>
      <c r="G21" s="983" t="str">
        <f>"  "&amp;Language!$E$10</f>
        <v xml:space="preserve">  Participant or team</v>
      </c>
      <c r="H21" s="983"/>
      <c r="I21" s="984"/>
      <c r="J21" s="9"/>
      <c r="K21" s="9"/>
      <c r="L21" s="9"/>
      <c r="M21" s="9"/>
      <c r="N21" s="9"/>
      <c r="O21" s="9"/>
      <c r="P21" s="9"/>
      <c r="Q21" s="9"/>
      <c r="R21" s="9"/>
      <c r="S21" s="9"/>
      <c r="T21" s="9"/>
      <c r="U21" s="9"/>
    </row>
    <row r="22" spans="1:21" ht="24" customHeight="1" thickTop="1" x14ac:dyDescent="0.2">
      <c r="A22" s="9"/>
      <c r="B22" s="9"/>
      <c r="C22" s="9"/>
      <c r="D22" s="9"/>
      <c r="E22" s="281">
        <v>1</v>
      </c>
      <c r="F22" s="325">
        <v>1</v>
      </c>
      <c r="G22" s="985" t="str">
        <f ca="1">W16</f>
        <v>VFB Essenheim</v>
      </c>
      <c r="H22" s="985"/>
      <c r="I22" s="986"/>
      <c r="J22" s="9"/>
      <c r="K22" s="9"/>
      <c r="L22" s="9"/>
      <c r="M22" s="9"/>
      <c r="N22" s="9"/>
      <c r="O22" s="9"/>
      <c r="P22" s="9"/>
      <c r="Q22" s="9"/>
      <c r="R22" s="9"/>
      <c r="S22" s="9"/>
      <c r="T22" s="9"/>
      <c r="U22" s="9"/>
    </row>
    <row r="23" spans="1:21" ht="24" customHeight="1" x14ac:dyDescent="0.2">
      <c r="A23" s="9"/>
      <c r="B23" s="9"/>
      <c r="C23" s="9"/>
      <c r="D23" s="9"/>
      <c r="E23" s="281">
        <v>2</v>
      </c>
      <c r="F23" s="326">
        <v>2</v>
      </c>
      <c r="G23" s="987" t="str">
        <f ca="1">X16</f>
        <v>Manchester City</v>
      </c>
      <c r="H23" s="987"/>
      <c r="I23" s="988"/>
      <c r="J23" s="9"/>
      <c r="K23" s="9"/>
      <c r="L23" s="9"/>
      <c r="M23" s="9"/>
      <c r="N23" s="9"/>
      <c r="O23" s="9"/>
      <c r="P23" s="9"/>
      <c r="Q23" s="9"/>
      <c r="R23" s="9"/>
      <c r="S23" s="9"/>
      <c r="T23" s="9"/>
      <c r="U23" s="9"/>
    </row>
    <row r="24" spans="1:21" ht="24" customHeight="1" x14ac:dyDescent="0.2">
      <c r="A24" s="9"/>
      <c r="B24" s="9"/>
      <c r="C24" s="9"/>
      <c r="D24" s="9"/>
      <c r="E24" s="281">
        <v>3</v>
      </c>
      <c r="F24" s="327">
        <v>3</v>
      </c>
      <c r="G24" s="981" t="str">
        <f ca="1">W15</f>
        <v>Inter Mailand</v>
      </c>
      <c r="H24" s="981"/>
      <c r="I24" s="982"/>
      <c r="J24" s="9"/>
      <c r="K24" s="9"/>
      <c r="L24" s="9"/>
      <c r="M24" s="9"/>
      <c r="N24" s="9"/>
      <c r="O24" s="9"/>
      <c r="P24" s="9"/>
      <c r="Q24" s="9"/>
      <c r="R24" s="9"/>
      <c r="S24" s="9"/>
      <c r="T24" s="9"/>
      <c r="U24" s="9"/>
    </row>
    <row r="25" spans="1:21" ht="24" customHeight="1" thickBot="1" x14ac:dyDescent="0.25">
      <c r="A25" s="9"/>
      <c r="B25" s="9"/>
      <c r="C25" s="9"/>
      <c r="D25" s="9"/>
      <c r="E25" s="281">
        <v>4</v>
      </c>
      <c r="F25" s="329">
        <v>4</v>
      </c>
      <c r="G25" s="991" t="str">
        <f ca="1">X15</f>
        <v>Maibach 1822 eV</v>
      </c>
      <c r="H25" s="991"/>
      <c r="I25" s="992"/>
      <c r="J25" s="9"/>
      <c r="K25" s="9"/>
      <c r="L25" s="9"/>
      <c r="M25" s="9"/>
      <c r="N25" s="9"/>
      <c r="O25" s="9"/>
      <c r="P25" s="9"/>
      <c r="Q25" s="9"/>
      <c r="R25" s="9"/>
      <c r="S25" s="9"/>
      <c r="T25" s="9"/>
      <c r="U25" s="9"/>
    </row>
    <row r="26" spans="1:21" ht="13.5" thickTop="1" x14ac:dyDescent="0.2"/>
    <row r="27" spans="1:21" x14ac:dyDescent="0.2"/>
    <row r="28" spans="1:21" x14ac:dyDescent="0.2"/>
  </sheetData>
  <sheetProtection sheet="1" objects="1" scenarios="1" selectLockedCells="1"/>
  <mergeCells count="24">
    <mergeCell ref="C10:F10"/>
    <mergeCell ref="E2:T2"/>
    <mergeCell ref="E3:T3"/>
    <mergeCell ref="E4:T4"/>
    <mergeCell ref="E5:T5"/>
    <mergeCell ref="G7:Q8"/>
    <mergeCell ref="Y10:AC10"/>
    <mergeCell ref="AE10:AF10"/>
    <mergeCell ref="AH10:AL10"/>
    <mergeCell ref="G11:I11"/>
    <mergeCell ref="J11:L11"/>
    <mergeCell ref="M11:O11"/>
    <mergeCell ref="P11:R11"/>
    <mergeCell ref="AB11:AC11"/>
    <mergeCell ref="AK11:AL11"/>
    <mergeCell ref="T9:T11"/>
    <mergeCell ref="G24:I24"/>
    <mergeCell ref="G25:I25"/>
    <mergeCell ref="AN11:AO11"/>
    <mergeCell ref="C14:F14"/>
    <mergeCell ref="G18:H18"/>
    <mergeCell ref="G21:I21"/>
    <mergeCell ref="G22:I22"/>
    <mergeCell ref="G23:I23"/>
  </mergeCells>
  <conditionalFormatting sqref="J12:O13 J15:O16">
    <cfRule type="expression" dxfId="18" priority="4">
      <formula>$AE12</formula>
    </cfRule>
  </conditionalFormatting>
  <conditionalFormatting sqref="J12:R13 J15:R16">
    <cfRule type="expression" dxfId="17" priority="3">
      <formula>OR($G12="",$I12="")</formula>
    </cfRule>
  </conditionalFormatting>
  <conditionalFormatting sqref="P12:R13 P15:R16">
    <cfRule type="expression" dxfId="16" priority="1">
      <formula>NOT($Y12)</formula>
    </cfRule>
    <cfRule type="expression" dxfId="15" priority="2">
      <formula>$AF12</formula>
    </cfRule>
  </conditionalFormatting>
  <pageMargins left="0.7" right="0.7" top="0.78740157499999996" bottom="0.78740157499999996" header="0.3" footer="0.3"/>
  <drawing r:id="rId1"/>
  <extLst>
    <ext xmlns:x14="http://schemas.microsoft.com/office/spreadsheetml/2009/9/main" uri="{78C0D931-6437-407d-A8EE-F0AAD7539E65}">
      <x14:conditionalFormattings>
        <x14:conditionalFormatting xmlns:xm="http://schemas.microsoft.com/office/excel/2006/main">
          <x14:cfRule type="expression" priority="5" id="{02309C18-649D-49D4-8A4B-33A329AF08D8}">
            <xm:f>$F25&gt;2*#REF!-MOD((#REF!+Calc2!$F$13),2)</xm:f>
            <x14:dxf>
              <numFmt numFmtId="165" formatCode=";;;"/>
            </x14:dxf>
          </x14:cfRule>
          <xm:sqref>F25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B9099-21AB-4C82-AFD2-D55F9FF470F8}">
  <dimension ref="A1:BC47"/>
  <sheetViews>
    <sheetView showGridLines="0" showRowColHeaders="0" zoomScaleNormal="100" workbookViewId="0">
      <selection activeCell="L12" sqref="L12"/>
    </sheetView>
  </sheetViews>
  <sheetFormatPr baseColWidth="10" defaultColWidth="0" defaultRowHeight="0" customHeight="1" zeroHeight="1" x14ac:dyDescent="0.2"/>
  <cols>
    <col min="1" max="1" width="1.140625" style="9" customWidth="1"/>
    <col min="2" max="2" width="1.85546875" style="9" customWidth="1"/>
    <col min="3" max="3" width="6.85546875" style="9" customWidth="1"/>
    <col min="4" max="4" width="11.42578125" style="9" customWidth="1"/>
    <col min="5" max="5" width="8.42578125" style="9" customWidth="1"/>
    <col min="6" max="6" width="4.7109375" style="9" customWidth="1"/>
    <col min="7" max="7" width="2.42578125" style="9" customWidth="1"/>
    <col min="8" max="8" width="4.7109375" style="9" customWidth="1"/>
    <col min="9" max="9" width="26.7109375" style="9" customWidth="1"/>
    <col min="10" max="10" width="2.85546875" style="9" customWidth="1"/>
    <col min="11" max="11" width="26.7109375" style="9" customWidth="1"/>
    <col min="12" max="12" width="4.7109375" style="9" customWidth="1"/>
    <col min="13" max="13" width="2.140625" style="9" customWidth="1"/>
    <col min="14" max="15" width="4.7109375" style="9" customWidth="1"/>
    <col min="16" max="16" width="2.140625" style="9" customWidth="1"/>
    <col min="17" max="18" width="4.7109375" style="9" customWidth="1"/>
    <col min="19" max="19" width="2.140625" style="9" customWidth="1"/>
    <col min="20" max="21" width="4.7109375" style="9" customWidth="1"/>
    <col min="22" max="22" width="2.140625" style="9" customWidth="1"/>
    <col min="23" max="23" width="4.7109375" style="9" customWidth="1"/>
    <col min="24" max="24" width="15.7109375" style="9" customWidth="1"/>
    <col min="25" max="25" width="8" style="9" customWidth="1"/>
    <col min="26" max="26" width="3.42578125" style="9" customWidth="1"/>
    <col min="27" max="27" width="4.5703125" style="9" customWidth="1"/>
    <col min="28" max="28" width="26.7109375" style="9" customWidth="1"/>
    <col min="29" max="33" width="4.7109375" style="9" customWidth="1"/>
    <col min="34" max="34" width="2.140625" style="9" customWidth="1"/>
    <col min="35" max="35" width="4.7109375" style="9" customWidth="1"/>
    <col min="36" max="36" width="5.7109375" style="9" customWidth="1"/>
    <col min="37" max="37" width="6.7109375" style="9" customWidth="1"/>
    <col min="38" max="38" width="1.140625" style="9" customWidth="1"/>
    <col min="39" max="39" width="6.7109375" style="9" customWidth="1"/>
    <col min="40" max="40" width="7.42578125" style="9" customWidth="1"/>
    <col min="41" max="41" width="8.85546875" style="9" customWidth="1"/>
    <col min="42" max="42" width="1.85546875" style="9" customWidth="1"/>
    <col min="43" max="43" width="1.42578125" style="9" customWidth="1"/>
    <col min="44" max="44" width="6.7109375" style="9" customWidth="1"/>
    <col min="45" max="45" width="28.7109375" style="9" customWidth="1"/>
    <col min="46" max="46" width="1.42578125" style="9" customWidth="1"/>
    <col min="47" max="47" width="12.42578125" style="9" customWidth="1"/>
    <col min="48" max="48" width="5.28515625" style="9" customWidth="1"/>
    <col min="49" max="16384" width="11.42578125" style="9" hidden="1"/>
  </cols>
  <sheetData>
    <row r="1" spans="2:55" ht="13.5" thickBot="1" x14ac:dyDescent="0.25"/>
    <row r="2" spans="2:55" ht="36" customHeight="1" thickTop="1" x14ac:dyDescent="0.2">
      <c r="F2" s="441"/>
      <c r="G2" s="441"/>
      <c r="H2" s="441"/>
      <c r="I2" s="442"/>
      <c r="J2" s="962" t="str">
        <f>PreliminaryRound!$H$2</f>
        <v>International tournament U10 on Jan. 27th, 2026</v>
      </c>
      <c r="K2" s="963"/>
      <c r="L2" s="963"/>
      <c r="M2" s="963"/>
      <c r="N2" s="963"/>
      <c r="O2" s="963"/>
      <c r="P2" s="963"/>
      <c r="Q2" s="963"/>
      <c r="R2" s="963"/>
      <c r="S2" s="963"/>
      <c r="T2" s="963"/>
      <c r="U2" s="963"/>
      <c r="V2" s="963"/>
      <c r="W2" s="963"/>
      <c r="X2" s="963"/>
      <c r="Y2" s="963"/>
      <c r="Z2" s="963"/>
      <c r="AA2" s="963"/>
      <c r="AB2" s="963"/>
      <c r="AC2" s="964"/>
      <c r="AD2" s="800"/>
      <c r="AE2" s="441"/>
      <c r="AF2" s="441"/>
      <c r="AG2" s="441"/>
      <c r="AH2" s="441"/>
      <c r="AI2" s="441"/>
      <c r="AJ2" s="441"/>
      <c r="AK2" s="441"/>
      <c r="AL2" s="441"/>
      <c r="AM2" s="441"/>
    </row>
    <row r="3" spans="2:55" ht="30" customHeight="1" x14ac:dyDescent="0.2">
      <c r="F3" s="443"/>
      <c r="G3" s="443"/>
      <c r="H3" s="443"/>
      <c r="I3" s="444"/>
      <c r="J3" s="965" t="str">
        <f>PreliminaryRound!$H$3</f>
        <v>Organizer:  1. FC Riedwald</v>
      </c>
      <c r="K3" s="966"/>
      <c r="L3" s="966"/>
      <c r="M3" s="966"/>
      <c r="N3" s="966"/>
      <c r="O3" s="966"/>
      <c r="P3" s="966"/>
      <c r="Q3" s="966"/>
      <c r="R3" s="966"/>
      <c r="S3" s="966"/>
      <c r="T3" s="966"/>
      <c r="U3" s="966"/>
      <c r="V3" s="966"/>
      <c r="W3" s="966"/>
      <c r="X3" s="966"/>
      <c r="Y3" s="966"/>
      <c r="Z3" s="966"/>
      <c r="AA3" s="966"/>
      <c r="AB3" s="966"/>
      <c r="AC3" s="967"/>
      <c r="AD3" s="801"/>
      <c r="AE3" s="443"/>
      <c r="AF3" s="443"/>
      <c r="AG3" s="443"/>
      <c r="AH3" s="443"/>
      <c r="AI3" s="443"/>
      <c r="AJ3" s="443"/>
      <c r="AK3" s="443"/>
      <c r="AL3" s="443"/>
      <c r="AM3" s="443"/>
    </row>
    <row r="4" spans="2:55" ht="30" customHeight="1" x14ac:dyDescent="0.2">
      <c r="F4" s="445"/>
      <c r="G4" s="445"/>
      <c r="H4" s="445"/>
      <c r="I4" s="446"/>
      <c r="J4" s="968" t="str">
        <f>PreliminaryRound!$H$4</f>
        <v>Sports hall Wiesengrund, Wendiger Str. 51, 65432 Riedwald</v>
      </c>
      <c r="K4" s="969"/>
      <c r="L4" s="969"/>
      <c r="M4" s="969"/>
      <c r="N4" s="969"/>
      <c r="O4" s="969"/>
      <c r="P4" s="969"/>
      <c r="Q4" s="969"/>
      <c r="R4" s="969"/>
      <c r="S4" s="969"/>
      <c r="T4" s="969"/>
      <c r="U4" s="969"/>
      <c r="V4" s="969"/>
      <c r="W4" s="969"/>
      <c r="X4" s="969"/>
      <c r="Y4" s="969"/>
      <c r="Z4" s="969"/>
      <c r="AA4" s="969"/>
      <c r="AB4" s="969"/>
      <c r="AC4" s="970"/>
      <c r="AD4" s="802"/>
      <c r="AE4" s="445"/>
      <c r="AF4" s="445"/>
      <c r="AG4" s="445"/>
      <c r="AH4" s="445"/>
      <c r="AI4" s="445"/>
      <c r="AJ4" s="445"/>
      <c r="AK4" s="445"/>
      <c r="AL4" s="445"/>
      <c r="AM4" s="445"/>
    </row>
    <row r="5" spans="2:55" ht="30" customHeight="1" thickBot="1" x14ac:dyDescent="0.25">
      <c r="F5" s="445"/>
      <c r="G5" s="445"/>
      <c r="H5" s="445"/>
      <c r="I5" s="446"/>
      <c r="J5" s="971" t="str">
        <f>PreliminaryRound!$H$5</f>
        <v>Start:  9:00 a.m.</v>
      </c>
      <c r="K5" s="972"/>
      <c r="L5" s="972"/>
      <c r="M5" s="972"/>
      <c r="N5" s="972"/>
      <c r="O5" s="972"/>
      <c r="P5" s="972"/>
      <c r="Q5" s="972"/>
      <c r="R5" s="972"/>
      <c r="S5" s="972"/>
      <c r="T5" s="972"/>
      <c r="U5" s="972"/>
      <c r="V5" s="972"/>
      <c r="W5" s="972"/>
      <c r="X5" s="972"/>
      <c r="Y5" s="972"/>
      <c r="Z5" s="972"/>
      <c r="AA5" s="972"/>
      <c r="AB5" s="972"/>
      <c r="AC5" s="973"/>
      <c r="AD5" s="802"/>
      <c r="AE5" s="445"/>
      <c r="AF5" s="445"/>
      <c r="AG5" s="445"/>
      <c r="AH5" s="445"/>
      <c r="AI5" s="445"/>
      <c r="AJ5" s="445"/>
      <c r="AK5" s="445"/>
      <c r="AL5" s="445"/>
      <c r="AM5" s="445"/>
    </row>
    <row r="6" spans="2:55" ht="18" customHeight="1" thickTop="1" thickBot="1" x14ac:dyDescent="0.25"/>
    <row r="7" spans="2:55" ht="30" customHeight="1" thickTop="1" x14ac:dyDescent="0.2">
      <c r="K7" s="803"/>
      <c r="L7" s="975" t="str">
        <f>Language!$E$19</f>
        <v>Final round</v>
      </c>
      <c r="M7" s="976"/>
      <c r="N7" s="976"/>
      <c r="O7" s="976"/>
      <c r="P7" s="976"/>
      <c r="Q7" s="976"/>
      <c r="R7" s="976"/>
      <c r="S7" s="976"/>
      <c r="T7" s="976"/>
      <c r="U7" s="976"/>
      <c r="V7" s="976"/>
      <c r="W7" s="976"/>
      <c r="X7" s="976"/>
      <c r="Y7" s="976"/>
      <c r="Z7" s="976"/>
      <c r="AA7" s="977"/>
      <c r="AB7" s="804"/>
    </row>
    <row r="8" spans="2:55" ht="30" customHeight="1" thickBot="1" x14ac:dyDescent="0.25">
      <c r="K8" s="803"/>
      <c r="L8" s="978"/>
      <c r="M8" s="979"/>
      <c r="N8" s="979"/>
      <c r="O8" s="979"/>
      <c r="P8" s="979"/>
      <c r="Q8" s="979"/>
      <c r="R8" s="979"/>
      <c r="S8" s="979"/>
      <c r="T8" s="979"/>
      <c r="U8" s="979"/>
      <c r="V8" s="979"/>
      <c r="W8" s="979"/>
      <c r="X8" s="979"/>
      <c r="Y8" s="979"/>
      <c r="Z8" s="979"/>
      <c r="AA8" s="980"/>
      <c r="AB8" s="804"/>
    </row>
    <row r="9" spans="2:55" ht="12.6" customHeight="1" thickTop="1" x14ac:dyDescent="0.2">
      <c r="AW9" s="814" t="s">
        <v>410</v>
      </c>
    </row>
    <row r="10" spans="2:55" ht="27.95" customHeight="1" thickBot="1" x14ac:dyDescent="0.45">
      <c r="C10" s="961" t="str">
        <f>Language!$E$55&amp;IF(MIN(Calc1!$F$13,Calc2!$F$13)*2&lt;2,""," 1 - "&amp;MIN(Calc1!$F$13,Calc2!$F$13)*2)</f>
        <v>Games for places  1 - 10</v>
      </c>
      <c r="D10" s="961"/>
      <c r="E10" s="961"/>
      <c r="F10" s="961"/>
      <c r="G10" s="405"/>
      <c r="H10" s="405"/>
      <c r="Y10" s="849" t="str">
        <f>Language!$E$20</f>
        <v>Addit. Pause (min)</v>
      </c>
      <c r="AA10" s="997" t="str">
        <f>Language!$E$57</f>
        <v>First and second in the group</v>
      </c>
      <c r="AB10" s="997"/>
      <c r="AC10" s="997"/>
      <c r="AD10" s="997"/>
      <c r="AE10" s="997"/>
      <c r="AF10" s="997"/>
      <c r="AG10" s="795"/>
      <c r="AH10" s="795"/>
      <c r="AI10" s="795"/>
      <c r="AJ10" s="795"/>
      <c r="AK10" s="124"/>
      <c r="AL10" s="124"/>
      <c r="AM10" s="124"/>
      <c r="AN10" s="124"/>
      <c r="AO10" s="124"/>
      <c r="AR10" s="998" t="str">
        <f>$AA10</f>
        <v>First and second in the group</v>
      </c>
      <c r="AS10" s="998"/>
      <c r="AT10" s="999"/>
      <c r="AU10" s="469" t="str">
        <f>Language!$E$71</f>
        <v>bonus</v>
      </c>
      <c r="AW10" s="815" t="b">
        <f>Settings!$B$43=Language!$E$79</f>
        <v>0</v>
      </c>
    </row>
    <row r="11" spans="2:55" ht="24" customHeight="1" thickTop="1" thickBot="1" x14ac:dyDescent="0.25">
      <c r="B11" s="279"/>
      <c r="C11" s="324" t="str">
        <f>Language!$E$9</f>
        <v>No.</v>
      </c>
      <c r="D11" s="275" t="str">
        <f>Language!$E$39</f>
        <v>Start</v>
      </c>
      <c r="E11" s="265" t="str">
        <f>Language!$E$48</f>
        <v>Field</v>
      </c>
      <c r="F11" s="409"/>
      <c r="G11" s="406"/>
      <c r="H11" s="275"/>
      <c r="I11" s="956" t="str">
        <f>Language!$E$14</f>
        <v>Match pairing</v>
      </c>
      <c r="J11" s="957"/>
      <c r="K11" s="958"/>
      <c r="L11" s="974" t="str">
        <f>Language!$E$61</f>
        <v>1st set</v>
      </c>
      <c r="M11" s="912"/>
      <c r="N11" s="912"/>
      <c r="O11" s="912" t="str">
        <f>Language!$E$62</f>
        <v>2nd set</v>
      </c>
      <c r="P11" s="912"/>
      <c r="Q11" s="912"/>
      <c r="R11" s="912" t="str">
        <f>Language!$E$63</f>
        <v>3rd set</v>
      </c>
      <c r="S11" s="912"/>
      <c r="T11" s="1002"/>
      <c r="U11" s="914" t="str">
        <f>Language!$E$25</f>
        <v>sets</v>
      </c>
      <c r="V11" s="912"/>
      <c r="W11" s="915"/>
      <c r="X11" s="612" t="str">
        <f>Language!$E$68</f>
        <v>Referee</v>
      </c>
      <c r="Y11" s="850"/>
      <c r="AA11" s="1000"/>
      <c r="AB11" s="1001"/>
      <c r="AC11" s="126" t="str">
        <f>Language!$E$21</f>
        <v>Pld</v>
      </c>
      <c r="AD11" s="127" t="str">
        <f>Language!$E$22</f>
        <v>W</v>
      </c>
      <c r="AE11" s="127" t="str">
        <f>Language!$E$23</f>
        <v>D</v>
      </c>
      <c r="AF11" s="404" t="str">
        <f>Language!$E$24</f>
        <v>L</v>
      </c>
      <c r="AG11" s="896" t="str">
        <f>Language!$E$25</f>
        <v>sets</v>
      </c>
      <c r="AH11" s="897"/>
      <c r="AI11" s="898"/>
      <c r="AJ11" s="770" t="str">
        <f>Language!$E$26</f>
        <v>GD</v>
      </c>
      <c r="AK11" s="893" t="str">
        <f>Language!$E$60</f>
        <v>balls</v>
      </c>
      <c r="AL11" s="894"/>
      <c r="AM11" s="895"/>
      <c r="AN11" s="127" t="str">
        <f>IF(Settings!$G$24,Language!$E$26,Language!$E$67)</f>
        <v>Quot.</v>
      </c>
      <c r="AO11" s="129" t="str">
        <f>IF(Settings!$G$9,Language!$E$27,Language!$E$80)</f>
        <v>Setpts.</v>
      </c>
      <c r="AR11" s="410"/>
      <c r="AS11" s="411" t="str">
        <f>Language!$E$10</f>
        <v>Participant or team</v>
      </c>
      <c r="AT11" s="546" t="str">
        <f>Language!$E$49</f>
        <v>Tie break</v>
      </c>
    </row>
    <row r="12" spans="2:55" s="252" customFormat="1" ht="24" customHeight="1" x14ac:dyDescent="0.2">
      <c r="B12" s="311"/>
      <c r="C12" s="323">
        <f t="array" aca="1" ref="C12" ca="1">31-SUM(((Planning!$L$6:$L$35="")+(Planning!$N$6:$N$35="")&gt;0)*1)</f>
        <v>21</v>
      </c>
      <c r="D12" s="276">
        <f ca="1">IF(Planning!$V$15,"",Planning!$S$13+(Planning!$S$9+Planning!$Q$35)/1440)</f>
        <v>0.49652777777777779</v>
      </c>
      <c r="E12" s="273">
        <f>IF(Planning!$V$15,"",1)</f>
        <v>1</v>
      </c>
      <c r="F12" s="427" t="s">
        <v>302</v>
      </c>
      <c r="G12" s="428" t="s">
        <v>4</v>
      </c>
      <c r="H12" s="429" t="s">
        <v>305</v>
      </c>
      <c r="I12" s="407" t="str">
        <f t="shared" ref="I12:I29" ca="1" si="0">IF($F12="","",IF(VLOOKUP($F12,$AR$12:$AS$29,2,0)="","",VLOOKUP($F12,$AR$12:$AS$29,2,0)))</f>
        <v>FC Barcelona</v>
      </c>
      <c r="J12" s="263" t="s">
        <v>4</v>
      </c>
      <c r="K12" s="264" t="str">
        <f t="shared" ref="K12:K29" ca="1" si="1">IF($H12="","",IF(VLOOKUP($H12,$AR$12:$AS$29,2,0)="","",VLOOKUP($H12,$AR$12:$AS$29,2,0)))</f>
        <v/>
      </c>
      <c r="L12" s="786"/>
      <c r="M12" s="270" t="str">
        <f>Language!$E$99</f>
        <v xml:space="preserve"> - </v>
      </c>
      <c r="N12" s="788"/>
      <c r="O12" s="787"/>
      <c r="P12" s="535" t="str">
        <f>Language!$E$99</f>
        <v xml:space="preserve"> - </v>
      </c>
      <c r="Q12" s="788"/>
      <c r="R12" s="787"/>
      <c r="S12" s="535" t="str">
        <f>Language!$E$99</f>
        <v xml:space="preserve"> - </v>
      </c>
      <c r="T12" s="792"/>
      <c r="U12" s="640" t="str">
        <f ca="1">IF(AW12,"",(L12&lt;&gt;"")*(N12&lt;&gt;"")*NOT(AX12)*((L12&gt;N12)+(L12=N12)*0.5)+(O12&lt;&gt;"")*(Q12&lt;&gt;"")*NOT(AY12)*((O12&gt;Q12)+(O12=Q12)*0.5)+(R12&lt;&gt;"")*(T12&lt;&gt;"")*NOT(AZ12)*((R12&gt;T12)+(R12=T12)*0.5))</f>
        <v/>
      </c>
      <c r="V12" s="796" t="str">
        <f>Language!$E$99</f>
        <v xml:space="preserve"> - </v>
      </c>
      <c r="W12" s="641" t="str">
        <f ca="1">IF(AW12,"",(L12&lt;&gt;"")*(N12&lt;&gt;"")*NOT(AX12)*((L12&lt;N12)+(L12=N12)*0.5)+(O12&lt;&gt;"")*(Q12&lt;&gt;"")*NOT(AY12)*((O12&lt;Q12)+(O12=Q12)*0.5)+(R12&lt;&gt;"")*(T12&lt;&gt;"")*NOT(AZ12)*((R12&lt;T12)+(R12=T12)*0.5))</f>
        <v/>
      </c>
      <c r="X12" s="613"/>
      <c r="Y12" s="538"/>
      <c r="AA12" s="412">
        <f ca="1">IF(CalcE1!$K$13=0,"",1)</f>
        <v>1</v>
      </c>
      <c r="AB12" s="306" t="str">
        <f ca="1">IF(Calc1!$F$14&lt;3,"",IF(CalcE1!$K$13=0,CalcE1!$Q$64,VLOOKUP(CalcE1!$B$4,CalcE1!$C$4:$N$12,4,0)))</f>
        <v>Manchester City</v>
      </c>
      <c r="AC12" s="413">
        <f ca="1">IF(CalcE1!$K$13=0,"",VLOOKUP(CalcE1!$B$4,CalcE1!$C$4:$N$12,9,0))</f>
        <v>3</v>
      </c>
      <c r="AD12" s="133">
        <f ca="1">IF(CalcE1!$K$13=0,"",VLOOKUP(CalcE1!$B$4,CalcE1!$C$4:$N$12,10,0))</f>
        <v>1</v>
      </c>
      <c r="AE12" s="133">
        <f ca="1">IF(CalcE1!$K$13=0,"",VLOOKUP(CalcE1!$B$4,CalcE1!$C$4:$N$12,11,0))</f>
        <v>2</v>
      </c>
      <c r="AF12" s="133">
        <f ca="1">IF(CalcE1!$K$13=0,"",VLOOKUP(CalcE1!$B$4,CalcE1!$C$4:$N$12,12,0))</f>
        <v>0</v>
      </c>
      <c r="AG12" s="135">
        <f ca="1">IF(CalcE1!$K$13=0,"",VLOOKUP(CalcE1!B4,CalcE1!$C$4:$AT$12,44,0))</f>
        <v>4</v>
      </c>
      <c r="AH12" s="414" t="str">
        <f>Language!$E$99</f>
        <v xml:space="preserve"> - </v>
      </c>
      <c r="AI12" s="137">
        <f ca="1">IF(CalcE1!$K$13=0,"",VLOOKUP(CalcE1!B4,CalcE1!$C$4:$AS$12,43,0))</f>
        <v>2</v>
      </c>
      <c r="AJ12" s="134">
        <f ca="1">IF(CalcE1!$K$13=0,"",AG12-AI12)</f>
        <v>2</v>
      </c>
      <c r="AK12" s="135">
        <f ca="1">IF(CalcE1!$K$13=0,"",VLOOKUP(CalcE1!$B$4,CalcE1!$C$4:$N$12,5,0))</f>
        <v>136</v>
      </c>
      <c r="AL12" s="414" t="str">
        <f>Language!$E$99</f>
        <v xml:space="preserve"> - </v>
      </c>
      <c r="AM12" s="137">
        <f ca="1">IF(CalcE1!$K$13=0,"",VLOOKUP(CalcE1!$B$4,CalcE1!$C$4:$N$12,6,0))</f>
        <v>125</v>
      </c>
      <c r="AN12" s="133">
        <f ca="1">IF(CalcE1!$K$13=0,"",IF(VLOOKUP(CalcE1!B4,CalcE1!$C$4:$AV$12,46,0)=Settings!$F$24,"max",VLOOKUP(CalcE1!B4,CalcE1!$C$4:$AV$12,46,0)))</f>
        <v>1.0880000000000001</v>
      </c>
      <c r="AO12" s="138">
        <f ca="1">IF(CalcE1!$K$13=0,"",VLOOKUP(CalcE1!B4,CalcE1!$C$4:$AT$12,Settings!$H$9,0))</f>
        <v>4</v>
      </c>
      <c r="AP12" s="9"/>
      <c r="AQ12" s="9"/>
      <c r="AR12" s="533" t="s">
        <v>296</v>
      </c>
      <c r="AS12" s="415" t="str">
        <f ca="1">IF(PreliminaryRound!$X$12="","",PreliminaryRound!$X$12)</f>
        <v>Maibach 1822 eV</v>
      </c>
      <c r="AT12" s="547">
        <f ca="1">IF($AS12="",0,COUNTIF(Playoffs!$U$25:$U$30,$AS12))</f>
        <v>0</v>
      </c>
      <c r="AU12" s="805"/>
      <c r="AW12" s="7" t="b">
        <f ca="1">OR(I12="",K12="",AND(OR(L12="",N12="",AX12),OR(O12="",Q12="",AY12),OR(R12="",T12="",AZ12)))</f>
        <v>1</v>
      </c>
      <c r="AX12" s="7" t="b">
        <f>ABS(L12-N12)&lt;2*$AW$10</f>
        <v>0</v>
      </c>
      <c r="AY12" s="7" t="b">
        <f>ABS(O12-Q12)&lt;2*$AW$10</f>
        <v>0</v>
      </c>
      <c r="AZ12" s="7" t="b">
        <f>ABS(R12-T12)&lt;2*$AW$10</f>
        <v>0</v>
      </c>
      <c r="BA12" s="7" t="b">
        <f>AND(AX12,L12&lt;&gt;"",N12&lt;&gt;"")</f>
        <v>0</v>
      </c>
      <c r="BB12" s="7" t="b">
        <f>AND(AY12,O12&lt;&gt;"",Q12&lt;&gt;"")</f>
        <v>0</v>
      </c>
      <c r="BC12" s="7" t="b">
        <f>AND(AZ12,R12&lt;&gt;"",T12&lt;&gt;"")</f>
        <v>0</v>
      </c>
    </row>
    <row r="13" spans="2:55" s="252" customFormat="1" ht="24" customHeight="1" x14ac:dyDescent="0.2">
      <c r="B13" s="311"/>
      <c r="C13" s="313">
        <f t="array" aca="1" ref="C13" ca="1">$C$12+ROW(1:1)-SUM((($I$12:$I12="")+($K$12:$K12="")&gt;0)*1)</f>
        <v>21</v>
      </c>
      <c r="D13" s="277">
        <f t="array" aca="1" ref="D13" ca="1">IF(Planning!$V$15,"",$D$12+QUOTIENT(($C13-$C$12),Planning!$V$11)*(Planning!$S$7+Planning!$S$9)/1440+SUM($Y$12:$Y12)/1440)</f>
        <v>0.49652777777777779</v>
      </c>
      <c r="E13" s="273">
        <f ca="1">IF(Planning!$V$15,"",MOD($C13-$C$12,Planning!$V$11)+1)</f>
        <v>1</v>
      </c>
      <c r="F13" s="430" t="s">
        <v>288</v>
      </c>
      <c r="G13" s="431" t="s">
        <v>4</v>
      </c>
      <c r="H13" s="432" t="s">
        <v>301</v>
      </c>
      <c r="I13" s="407" t="str">
        <f t="shared" ca="1" si="0"/>
        <v>1. FC Riedwald</v>
      </c>
      <c r="J13" s="263" t="s">
        <v>4</v>
      </c>
      <c r="K13" s="264" t="str">
        <f t="shared" ca="1" si="1"/>
        <v>FC Grönlingen</v>
      </c>
      <c r="L13" s="783">
        <v>25</v>
      </c>
      <c r="M13" s="270" t="str">
        <f>Language!$E$99</f>
        <v xml:space="preserve"> - </v>
      </c>
      <c r="N13" s="789">
        <v>20</v>
      </c>
      <c r="O13" s="783">
        <v>17</v>
      </c>
      <c r="P13" s="536" t="str">
        <f>Language!$E$99</f>
        <v xml:space="preserve"> - </v>
      </c>
      <c r="Q13" s="789">
        <v>25</v>
      </c>
      <c r="R13" s="783">
        <v>15</v>
      </c>
      <c r="S13" s="536" t="str">
        <f>Language!$E$99</f>
        <v xml:space="preserve"> - </v>
      </c>
      <c r="T13" s="793">
        <v>11</v>
      </c>
      <c r="U13" s="839">
        <f t="shared" ref="U13:U29" ca="1" si="2">IF(AW13,"",(L13&lt;&gt;"")*(N13&lt;&gt;"")*NOT(AX13)*((L13&gt;N13)+(L13=N13)*0.5)+(O13&lt;&gt;"")*(Q13&lt;&gt;"")*NOT(AY13)*((O13&gt;Q13)+(O13=Q13)*0.5)+(R13&lt;&gt;"")*(T13&lt;&gt;"")*NOT(AZ13)*((R13&gt;T13)+(R13=T13)*0.5))</f>
        <v>2</v>
      </c>
      <c r="V13" s="797" t="str">
        <f>Language!$E$99</f>
        <v xml:space="preserve"> - </v>
      </c>
      <c r="W13" s="841">
        <f t="shared" ref="W13:W29" ca="1" si="3">IF(AW13,"",(L13&lt;&gt;"")*(N13&lt;&gt;"")*NOT(AX13)*((L13&lt;N13)+(L13=N13)*0.5)+(O13&lt;&gt;"")*(Q13&lt;&gt;"")*NOT(AY13)*((O13&lt;Q13)+(O13=Q13)*0.5)+(R13&lt;&gt;"")*(T13&lt;&gt;"")*NOT(AZ13)*((R13&lt;T13)+(R13=T13)*0.5))</f>
        <v>1</v>
      </c>
      <c r="X13" s="600"/>
      <c r="Y13" s="539"/>
      <c r="AA13" s="416">
        <f ca="1">IF(CalcE1!$K$13=0,"",IF(VLOOKUP(CalcE1!$B$5,CalcE1!$C$4:$E$12,3,0)=MAX($AA12:$AA12),VLOOKUP(CalcE1!$B$5,CalcE1!$C$4:$E$12,3,0),CalcE1!$B$5))</f>
        <v>2</v>
      </c>
      <c r="AB13" s="308" t="str">
        <f ca="1">IF(Calc1!$F$14&lt;3,"",IF(CalcE1!$K$13=0,CalcE1!$Q$65,VLOOKUP(CalcE1!$B$5,CalcE1!$C$4:$N$12,4,0)))</f>
        <v>VFB Essenheim</v>
      </c>
      <c r="AC13" s="148">
        <f ca="1">IF(CalcE1!$K$13=0,"",VLOOKUP(CalcE1!$B$5,CalcE1!$C$4:$N$12,9,0))</f>
        <v>3</v>
      </c>
      <c r="AD13" s="123">
        <f ca="1">IF(CalcE1!$K$13=0,"",VLOOKUP(CalcE1!$B$5,CalcE1!$C$4:$N$12,10,0))</f>
        <v>1</v>
      </c>
      <c r="AE13" s="123">
        <f ca="1">IF(CalcE1!$K$13=0,"",VLOOKUP(CalcE1!$B$5,CalcE1!$C$4:$N$12,11,0))</f>
        <v>1</v>
      </c>
      <c r="AF13" s="123">
        <f ca="1">IF(CalcE1!$K$13=0,"",VLOOKUP(CalcE1!$B$5,CalcE1!$C$4:$N$12,12,0))</f>
        <v>1</v>
      </c>
      <c r="AG13" s="144">
        <f ca="1">IF(CalcE1!$K$13=0,"",VLOOKUP(CalcE1!B5,CalcE1!$C$4:$AT$12,44,0))</f>
        <v>3</v>
      </c>
      <c r="AH13" s="417" t="str">
        <f>Language!$E$99</f>
        <v xml:space="preserve"> - </v>
      </c>
      <c r="AI13" s="146">
        <f ca="1">IF(CalcE1!$K$13=0,"",VLOOKUP(CalcE1!B5,CalcE1!$C$4:$AS$12,43,0))</f>
        <v>3</v>
      </c>
      <c r="AJ13" s="143">
        <f ca="1">IF(CalcE1!$K$13=0,"",AG13-AI13)</f>
        <v>0</v>
      </c>
      <c r="AK13" s="144">
        <f ca="1">IF(CalcE1!$K$13=0,"",VLOOKUP(CalcE1!$B$5,CalcE1!$C$4:$N$12,5,0))</f>
        <v>135</v>
      </c>
      <c r="AL13" s="417" t="str">
        <f>Language!$E$99</f>
        <v xml:space="preserve"> - </v>
      </c>
      <c r="AM13" s="146">
        <f ca="1">IF(CalcE1!$K$13=0,"",VLOOKUP(CalcE1!$B$5,CalcE1!$C$4:$N$12,6,0))</f>
        <v>123</v>
      </c>
      <c r="AN13" s="123">
        <f ca="1">IF(CalcE1!$K$13=0,"",IF(VLOOKUP(CalcE1!B5,CalcE1!$C$4:$AV$12,46,0)=Settings!$F$24,"max",VLOOKUP(CalcE1!B5,CalcE1!$C$4:$AV$12,46,0)))</f>
        <v>1.0980000000000001</v>
      </c>
      <c r="AO13" s="147">
        <f ca="1">IF(CalcE1!$K$13=0,"",VLOOKUP(CalcE1!B5,CalcE1!$C$4:$AT$12,Settings!$H$9,0))</f>
        <v>3</v>
      </c>
      <c r="AP13" s="9"/>
      <c r="AQ13" s="9"/>
      <c r="AR13" s="418" t="s">
        <v>289</v>
      </c>
      <c r="AS13" s="419" t="str">
        <f ca="1">IF(PreliminaryRound!$X$22="","",PreliminaryRound!$X$22)</f>
        <v>Inter Mailand</v>
      </c>
      <c r="AT13" s="547">
        <f ca="1">IF($AS13="",0,COUNTIF(Playoffs!$U$25:$U$30,$AS13))</f>
        <v>0</v>
      </c>
      <c r="AU13" s="806"/>
      <c r="AW13" s="7" t="b">
        <f t="shared" ref="AW13:AW29" ca="1" si="4">OR(I13="",K13="",AND(OR(L13="",N13="",AX13),OR(O13="",Q13="",AY13),OR(R13="",T13="",AZ13)))</f>
        <v>0</v>
      </c>
      <c r="AX13" s="7" t="b">
        <f t="shared" ref="AX13:AX29" si="5">ABS(L13-N13)&lt;2*$AW$10</f>
        <v>0</v>
      </c>
      <c r="AY13" s="7" t="b">
        <f t="shared" ref="AY13:AY29" si="6">ABS(O13-Q13)&lt;2*$AW$10</f>
        <v>0</v>
      </c>
      <c r="AZ13" s="7" t="b">
        <f t="shared" ref="AZ13:AZ29" si="7">ABS(R13-T13)&lt;2*$AW$10</f>
        <v>0</v>
      </c>
      <c r="BA13" s="7" t="b">
        <f t="shared" ref="BA13:BA29" si="8">AND(AX13,L13&lt;&gt;"",N13&lt;&gt;"")</f>
        <v>0</v>
      </c>
      <c r="BB13" s="7" t="b">
        <f t="shared" ref="BB13:BB29" si="9">AND(AY13,O13&lt;&gt;"",Q13&lt;&gt;"")</f>
        <v>0</v>
      </c>
      <c r="BC13" s="7" t="b">
        <f t="shared" ref="BC13:BC29" si="10">AND(AZ13,R13&lt;&gt;"",T13&lt;&gt;"")</f>
        <v>0</v>
      </c>
    </row>
    <row r="14" spans="2:55" s="252" customFormat="1" ht="24" customHeight="1" x14ac:dyDescent="0.2">
      <c r="B14" s="311"/>
      <c r="C14" s="313">
        <f t="array" aca="1" ref="C14" ca="1">$C$12+ROW(2:2)-SUM((($I$12:$I13="")+($K$12:$K13="")&gt;0)*1)</f>
        <v>22</v>
      </c>
      <c r="D14" s="277">
        <f t="array" aca="1" ref="D14" ca="1">IF(Planning!$V$15,"",$D$12+QUOTIENT(($C14-$C$12),Planning!$V$11)*(Planning!$S$7+Planning!$S$9)/1440+SUM($Y$12:$Y13)/1440)</f>
        <v>0.49652777777777779</v>
      </c>
      <c r="E14" s="273">
        <f ca="1">IF(Planning!$V$15,"",MOD($C14-$C$12,Planning!$V$11)+1)</f>
        <v>2</v>
      </c>
      <c r="F14" s="430" t="s">
        <v>296</v>
      </c>
      <c r="G14" s="431" t="s">
        <v>4</v>
      </c>
      <c r="H14" s="432" t="s">
        <v>298</v>
      </c>
      <c r="I14" s="407" t="str">
        <f t="shared" ca="1" si="0"/>
        <v>Maibach 1822 eV</v>
      </c>
      <c r="J14" s="263" t="s">
        <v>4</v>
      </c>
      <c r="K14" s="264" t="str">
        <f t="shared" ca="1" si="1"/>
        <v>Manchester City</v>
      </c>
      <c r="L14" s="783">
        <v>19</v>
      </c>
      <c r="M14" s="270" t="str">
        <f>Language!$E$99</f>
        <v xml:space="preserve"> - </v>
      </c>
      <c r="N14" s="789">
        <v>25</v>
      </c>
      <c r="O14" s="783">
        <v>16</v>
      </c>
      <c r="P14" s="536" t="str">
        <f>Language!$E$99</f>
        <v xml:space="preserve"> - </v>
      </c>
      <c r="Q14" s="789">
        <v>25</v>
      </c>
      <c r="R14" s="783"/>
      <c r="S14" s="536" t="str">
        <f>Language!$E$99</f>
        <v xml:space="preserve"> - </v>
      </c>
      <c r="T14" s="793"/>
      <c r="U14" s="839">
        <f t="shared" ca="1" si="2"/>
        <v>0</v>
      </c>
      <c r="V14" s="797" t="str">
        <f>Language!$E$99</f>
        <v xml:space="preserve"> - </v>
      </c>
      <c r="W14" s="841">
        <f t="shared" ca="1" si="3"/>
        <v>2</v>
      </c>
      <c r="X14" s="600"/>
      <c r="Y14" s="539"/>
      <c r="AA14" s="416">
        <f ca="1">IF(CalcE1!$K$13=0,"",IF(VLOOKUP(CalcE1!$B$6,CalcE1!$C$4:$E$12,3,0)=MAX($AA12:$AA13),VLOOKUP(CalcE1!$B$6,CalcE1!$C$4:$E$12,3,0),CalcE1!$B$6))</f>
        <v>3</v>
      </c>
      <c r="AB14" s="308" t="str">
        <f ca="1">IF(Calc1!$F$14&lt;3,"",IF(CalcE1!$K$13=0,CalcE1!$Q$66,VLOOKUP(CalcE1!$B$6,CalcE1!$C$4:$N$12,4,0)))</f>
        <v>Inter Mailand</v>
      </c>
      <c r="AC14" s="148">
        <f ca="1">IF(CalcE1!$K$13=0,"",VLOOKUP(CalcE1!$B$6,CalcE1!$C$4:$N$12,9,0))</f>
        <v>3</v>
      </c>
      <c r="AD14" s="123">
        <f ca="1">IF(CalcE1!$K$13=0,"",VLOOKUP(CalcE1!$B$6,CalcE1!$C$4:$N$12,10,0))</f>
        <v>1</v>
      </c>
      <c r="AE14" s="123">
        <f ca="1">IF(CalcE1!$K$13=0,"",VLOOKUP(CalcE1!$B$6,CalcE1!$C$4:$N$12,11,0))</f>
        <v>1</v>
      </c>
      <c r="AF14" s="123">
        <f ca="1">IF(CalcE1!$K$13=0,"",VLOOKUP(CalcE1!$B$6,CalcE1!$C$4:$N$12,12,0))</f>
        <v>1</v>
      </c>
      <c r="AG14" s="144">
        <f ca="1">IF(CalcE1!$K$13=0,"",VLOOKUP(CalcE1!B6,CalcE1!$C$4:$AT$12,44,0))</f>
        <v>3</v>
      </c>
      <c r="AH14" s="417" t="str">
        <f>Language!$E$99</f>
        <v xml:space="preserve"> - </v>
      </c>
      <c r="AI14" s="146">
        <f ca="1">IF(CalcE1!$K$13=0,"",VLOOKUP(CalcE1!B6,CalcE1!$C$4:$AS$12,43,0))</f>
        <v>3</v>
      </c>
      <c r="AJ14" s="143">
        <f ca="1">IF(CalcE1!$K$13=0,"",AG14-AI14)</f>
        <v>0</v>
      </c>
      <c r="AK14" s="144">
        <f ca="1">IF(CalcE1!$K$13=0,"",VLOOKUP(CalcE1!$B$6,CalcE1!$C$4:$N$12,5,0))</f>
        <v>127</v>
      </c>
      <c r="AL14" s="417" t="str">
        <f>Language!$E$99</f>
        <v xml:space="preserve"> - </v>
      </c>
      <c r="AM14" s="146">
        <f ca="1">IF(CalcE1!$K$13=0,"",VLOOKUP(CalcE1!$B$6,CalcE1!$C$4:$N$12,6,0))</f>
        <v>133</v>
      </c>
      <c r="AN14" s="123">
        <f ca="1">IF(CalcE1!$K$13=0,"",IF(VLOOKUP(CalcE1!B6,CalcE1!$C$4:$AV$12,46,0)=Settings!$F$24,"max",VLOOKUP(CalcE1!B6,CalcE1!$C$4:$AV$12,46,0)))</f>
        <v>0.95499999999999996</v>
      </c>
      <c r="AO14" s="147">
        <f ca="1">IF(CalcE1!$K$13=0,"",VLOOKUP(CalcE1!B6,CalcE1!$C$4:$AT$12,Settings!$H$9,0))</f>
        <v>3</v>
      </c>
      <c r="AP14" s="9"/>
      <c r="AQ14" s="9"/>
      <c r="AR14" s="534" t="s">
        <v>297</v>
      </c>
      <c r="AS14" s="419" t="str">
        <f ca="1">IF(PreliminaryRound!$X$13="","",PreliminaryRound!$X$13)</f>
        <v>VFB Essenheim</v>
      </c>
      <c r="AT14" s="547">
        <f ca="1">IF($AS14="",0,COUNTIF(Playoffs!$U$25:$U$30,$AS14))</f>
        <v>0</v>
      </c>
      <c r="AU14" s="806"/>
      <c r="AW14" s="7" t="b">
        <f t="shared" ca="1" si="4"/>
        <v>0</v>
      </c>
      <c r="AX14" s="7" t="b">
        <f t="shared" si="5"/>
        <v>0</v>
      </c>
      <c r="AY14" s="7" t="b">
        <f t="shared" si="6"/>
        <v>0</v>
      </c>
      <c r="AZ14" s="7" t="b">
        <f t="shared" si="7"/>
        <v>0</v>
      </c>
      <c r="BA14" s="7" t="b">
        <f t="shared" si="8"/>
        <v>0</v>
      </c>
      <c r="BB14" s="7" t="b">
        <f t="shared" si="9"/>
        <v>0</v>
      </c>
      <c r="BC14" s="7" t="b">
        <f t="shared" si="10"/>
        <v>0</v>
      </c>
    </row>
    <row r="15" spans="2:55" s="252" customFormat="1" ht="24" customHeight="1" thickBot="1" x14ac:dyDescent="0.25">
      <c r="B15" s="311"/>
      <c r="C15" s="313">
        <f t="array" aca="1" ref="C15" ca="1">$C$12+ROW(3:3)-SUM((($I$12:$I14="")+($K$12:$K14="")&gt;0)*1)</f>
        <v>23</v>
      </c>
      <c r="D15" s="277">
        <f t="array" aca="1" ref="D15" ca="1">IF(Planning!$V$15,"",$D$12+QUOTIENT(($C15-$C$12),Planning!$V$11)*(Planning!$S$7+Planning!$S$9)/1440+SUM($Y$12:$Y14)/1440)</f>
        <v>0.49652777777777779</v>
      </c>
      <c r="E15" s="273">
        <f ca="1">IF(Planning!$V$15,"",MOD($C15-$C$12,Planning!$V$11)+1)</f>
        <v>3</v>
      </c>
      <c r="F15" s="430" t="s">
        <v>303</v>
      </c>
      <c r="G15" s="431" t="s">
        <v>4</v>
      </c>
      <c r="H15" s="432" t="s">
        <v>304</v>
      </c>
      <c r="I15" s="407" t="str">
        <f t="shared" ca="1" si="0"/>
        <v>Mainz 05</v>
      </c>
      <c r="J15" s="263" t="s">
        <v>4</v>
      </c>
      <c r="K15" s="264" t="str">
        <f t="shared" ca="1" si="1"/>
        <v/>
      </c>
      <c r="L15" s="783"/>
      <c r="M15" s="271" t="str">
        <f>Language!$E$99</f>
        <v xml:space="preserve"> - </v>
      </c>
      <c r="N15" s="789"/>
      <c r="O15" s="783"/>
      <c r="P15" s="536" t="str">
        <f>Language!$E$99</f>
        <v xml:space="preserve"> - </v>
      </c>
      <c r="Q15" s="789"/>
      <c r="R15" s="783"/>
      <c r="S15" s="536" t="str">
        <f>Language!$E$99</f>
        <v xml:space="preserve"> - </v>
      </c>
      <c r="T15" s="793"/>
      <c r="U15" s="839" t="str">
        <f t="shared" ca="1" si="2"/>
        <v/>
      </c>
      <c r="V15" s="797" t="str">
        <f>Language!$E$99</f>
        <v xml:space="preserve"> - </v>
      </c>
      <c r="W15" s="841" t="str">
        <f t="shared" ca="1" si="3"/>
        <v/>
      </c>
      <c r="X15" s="616"/>
      <c r="Y15" s="539"/>
      <c r="AA15" s="420">
        <f ca="1">IF(CalcE1!$K$13=0,"",IF(VLOOKUP(CalcE1!$B$7,CalcE1!$C$4:$E$12,3,0)=MAX($AA12:$AA14),VLOOKUP(CalcE1!$B$7,CalcE1!$C$4:$E$12,3,0),CalcE1!$B$7))</f>
        <v>4</v>
      </c>
      <c r="AB15" s="310" t="str">
        <f ca="1">IF(Calc1!$F$14&lt;3,"",IF(CalcE1!$K$13=0,CalcE1!$Q$67,VLOOKUP(CalcE1!$B$7,CalcE1!$C$4:$N$12,4,0)))</f>
        <v>Maibach 1822 eV</v>
      </c>
      <c r="AC15" s="159">
        <f ca="1">IF(CalcE1!$K$13=0,"",VLOOKUP(CalcE1!$B$7,CalcE1!$C$4:$N$12,9,0))</f>
        <v>3</v>
      </c>
      <c r="AD15" s="153">
        <f ca="1">IF(CalcE1!$K$13=0,"",VLOOKUP(CalcE1!$B$7,CalcE1!$C$4:$N$12,10,0))</f>
        <v>1</v>
      </c>
      <c r="AE15" s="153">
        <f ca="1">IF(CalcE1!$K$13=0,"",VLOOKUP(CalcE1!$B$7,CalcE1!$C$4:$N$12,11,0))</f>
        <v>0</v>
      </c>
      <c r="AF15" s="153">
        <f ca="1">IF(CalcE1!$K$13=0,"",VLOOKUP(CalcE1!$B$7,CalcE1!$C$4:$N$12,12,0))</f>
        <v>2</v>
      </c>
      <c r="AG15" s="155">
        <f ca="1">IF(CalcE1!$K$13=0,"",VLOOKUP(CalcE1!B7,CalcE1!$C$4:$AT$12,44,0))</f>
        <v>2</v>
      </c>
      <c r="AH15" s="421" t="str">
        <f>Language!$E$99</f>
        <v xml:space="preserve"> - </v>
      </c>
      <c r="AI15" s="157">
        <f ca="1">IF(CalcE1!$K$13=0,"",VLOOKUP(CalcE1!B7,CalcE1!$C$4:$AS$12,43,0))</f>
        <v>4</v>
      </c>
      <c r="AJ15" s="154">
        <f ca="1">IF(CalcE1!$K$13=0,"",AG15-AI15)</f>
        <v>-2</v>
      </c>
      <c r="AK15" s="155">
        <f ca="1">IF(CalcE1!$K$13=0,"",VLOOKUP(CalcE1!$B$7,CalcE1!$C$4:$N$12,5,0))</f>
        <v>116</v>
      </c>
      <c r="AL15" s="421" t="str">
        <f>Language!$E$99</f>
        <v xml:space="preserve"> - </v>
      </c>
      <c r="AM15" s="157">
        <f ca="1">IF(CalcE1!$K$13=0,"",VLOOKUP(CalcE1!$B$7,CalcE1!$C$4:$N$12,6,0))</f>
        <v>133</v>
      </c>
      <c r="AN15" s="153">
        <f ca="1">IF(CalcE1!$K$13=0,"",IF(VLOOKUP(CalcE1!B7,CalcE1!$C$4:$AV$12,46,0)=Settings!$F$24,"max",VLOOKUP(CalcE1!B7,CalcE1!$C$4:$AV$12,46,0)))</f>
        <v>0.872</v>
      </c>
      <c r="AO15" s="158">
        <f ca="1">IF(CalcE1!$K$13=0,"",VLOOKUP(CalcE1!B7,CalcE1!$C$4:$AT$12,Settings!$H$9,0))</f>
        <v>2</v>
      </c>
      <c r="AP15" s="9"/>
      <c r="AQ15" s="9"/>
      <c r="AR15" s="422" t="s">
        <v>298</v>
      </c>
      <c r="AS15" s="423" t="str">
        <f ca="1">IF(PreliminaryRound!$X$23="","",PreliminaryRound!$X$23)</f>
        <v>Manchester City</v>
      </c>
      <c r="AT15" s="547">
        <f ca="1">IF($AS15="",0,COUNTIF(Playoffs!$U$25:$U$30,$AS15))</f>
        <v>0</v>
      </c>
      <c r="AU15" s="807"/>
      <c r="AW15" s="7" t="b">
        <f t="shared" ca="1" si="4"/>
        <v>1</v>
      </c>
      <c r="AX15" s="7" t="b">
        <f t="shared" si="5"/>
        <v>0</v>
      </c>
      <c r="AY15" s="7" t="b">
        <f t="shared" si="6"/>
        <v>0</v>
      </c>
      <c r="AZ15" s="7" t="b">
        <f t="shared" si="7"/>
        <v>0</v>
      </c>
      <c r="BA15" s="7" t="b">
        <f t="shared" si="8"/>
        <v>0</v>
      </c>
      <c r="BB15" s="7" t="b">
        <f t="shared" si="9"/>
        <v>0</v>
      </c>
      <c r="BC15" s="7" t="b">
        <f t="shared" si="10"/>
        <v>0</v>
      </c>
    </row>
    <row r="16" spans="2:55" s="252" customFormat="1" ht="24" customHeight="1" thickTop="1" x14ac:dyDescent="0.2">
      <c r="B16" s="311"/>
      <c r="C16" s="313">
        <f t="array" aca="1" ref="C16" ca="1">$C$12+ROW(4:4)-SUM((($I$12:$I15="")+($K$12:$K15="")&gt;0)*1)</f>
        <v>23</v>
      </c>
      <c r="D16" s="277">
        <f t="array" aca="1" ref="D16" ca="1">IF(Planning!$V$15,"",$D$12+QUOTIENT(($C16-$C$12),Planning!$V$11)*(Planning!$S$7+Planning!$S$9)/1440+SUM($Y$12:$Y15)/1440)</f>
        <v>0.49652777777777779</v>
      </c>
      <c r="E16" s="273">
        <f ca="1">IF(Planning!$V$15,"",MOD($C16-$C$12,Planning!$V$11)+1)</f>
        <v>3</v>
      </c>
      <c r="F16" s="430" t="s">
        <v>299</v>
      </c>
      <c r="G16" s="431" t="s">
        <v>4</v>
      </c>
      <c r="H16" s="432" t="s">
        <v>300</v>
      </c>
      <c r="I16" s="407" t="str">
        <f t="shared" ca="1" si="0"/>
        <v>SSV Wildbach</v>
      </c>
      <c r="J16" s="263" t="s">
        <v>4</v>
      </c>
      <c r="K16" s="264" t="str">
        <f t="shared" ca="1" si="1"/>
        <v>Eintracht Frankfurt</v>
      </c>
      <c r="L16" s="783">
        <v>25</v>
      </c>
      <c r="M16" s="271" t="str">
        <f>Language!$E$99</f>
        <v xml:space="preserve"> - </v>
      </c>
      <c r="N16" s="789">
        <v>23</v>
      </c>
      <c r="O16" s="785">
        <v>25</v>
      </c>
      <c r="P16" s="537" t="str">
        <f>Language!$E$99</f>
        <v xml:space="preserve"> - </v>
      </c>
      <c r="Q16" s="791">
        <v>21</v>
      </c>
      <c r="R16" s="785"/>
      <c r="S16" s="537" t="str">
        <f>Language!$E$99</f>
        <v xml:space="preserve"> - </v>
      </c>
      <c r="T16" s="794"/>
      <c r="U16" s="838">
        <f t="shared" ca="1" si="2"/>
        <v>2</v>
      </c>
      <c r="V16" s="798" t="str">
        <f>Language!$E$99</f>
        <v xml:space="preserve"> - </v>
      </c>
      <c r="W16" s="842">
        <f t="shared" ca="1" si="3"/>
        <v>0</v>
      </c>
      <c r="X16" s="617"/>
      <c r="Y16" s="540"/>
      <c r="AW16" s="7" t="b">
        <f t="shared" ca="1" si="4"/>
        <v>0</v>
      </c>
      <c r="AX16" s="7" t="b">
        <f t="shared" si="5"/>
        <v>0</v>
      </c>
      <c r="AY16" s="7" t="b">
        <f t="shared" si="6"/>
        <v>0</v>
      </c>
      <c r="AZ16" s="7" t="b">
        <f t="shared" si="7"/>
        <v>0</v>
      </c>
      <c r="BA16" s="7" t="b">
        <f t="shared" si="8"/>
        <v>0</v>
      </c>
      <c r="BB16" s="7" t="b">
        <f t="shared" si="9"/>
        <v>0</v>
      </c>
      <c r="BC16" s="7" t="b">
        <f t="shared" si="10"/>
        <v>0</v>
      </c>
    </row>
    <row r="17" spans="2:55" s="252" customFormat="1" ht="24" customHeight="1" thickBot="1" x14ac:dyDescent="0.45">
      <c r="B17" s="311"/>
      <c r="C17" s="313">
        <f t="array" aca="1" ref="C17" ca="1">$C$12+ROW(5:5)-SUM((($I$12:$I16="")+($K$12:$K16="")&gt;0)*1)</f>
        <v>24</v>
      </c>
      <c r="D17" s="277">
        <f t="array" aca="1" ref="D17" ca="1">IF(Planning!$V$15,"",$D$12+QUOTIENT(($C17-$C$12),Planning!$V$11)*(Planning!$S$7+Planning!$S$9)/1440+SUM($Y$12:$Y16)/1440)</f>
        <v>0.49652777777777779</v>
      </c>
      <c r="E17" s="273">
        <f ca="1">IF(Planning!$V$15,"",MOD($C17-$C$12,Planning!$V$11)+1)</f>
        <v>4</v>
      </c>
      <c r="F17" s="430" t="s">
        <v>289</v>
      </c>
      <c r="G17" s="431" t="s">
        <v>4</v>
      </c>
      <c r="H17" s="432" t="s">
        <v>297</v>
      </c>
      <c r="I17" s="407" t="str">
        <f t="shared" ca="1" si="0"/>
        <v>Inter Mailand</v>
      </c>
      <c r="J17" s="263" t="s">
        <v>4</v>
      </c>
      <c r="K17" s="264" t="str">
        <f t="shared" ca="1" si="1"/>
        <v>VFB Essenheim</v>
      </c>
      <c r="L17" s="783">
        <v>25</v>
      </c>
      <c r="M17" s="271" t="str">
        <f>Language!$E$99</f>
        <v xml:space="preserve"> - </v>
      </c>
      <c r="N17" s="789">
        <v>17</v>
      </c>
      <c r="O17" s="785">
        <v>25</v>
      </c>
      <c r="P17" s="537" t="str">
        <f>Language!$E$99</f>
        <v xml:space="preserve"> - </v>
      </c>
      <c r="Q17" s="791">
        <v>22</v>
      </c>
      <c r="R17" s="785"/>
      <c r="S17" s="537" t="str">
        <f>Language!$E$99</f>
        <v xml:space="preserve"> - </v>
      </c>
      <c r="T17" s="794"/>
      <c r="U17" s="838">
        <f t="shared" ca="1" si="2"/>
        <v>2</v>
      </c>
      <c r="V17" s="798" t="str">
        <f>Language!$E$99</f>
        <v xml:space="preserve"> - </v>
      </c>
      <c r="W17" s="842">
        <f t="shared" ca="1" si="3"/>
        <v>0</v>
      </c>
      <c r="X17" s="617"/>
      <c r="Y17" s="540"/>
      <c r="AA17" s="997" t="str">
        <f>Language!$E$58</f>
        <v>Third and fourth in the group</v>
      </c>
      <c r="AB17" s="997"/>
      <c r="AC17" s="997"/>
      <c r="AD17" s="997"/>
      <c r="AE17" s="997"/>
      <c r="AF17" s="997"/>
      <c r="AG17" s="795"/>
      <c r="AH17" s="795"/>
      <c r="AI17" s="795"/>
      <c r="AJ17" s="795"/>
      <c r="AK17" s="124"/>
      <c r="AL17" s="124"/>
      <c r="AM17" s="124"/>
      <c r="AN17" s="124"/>
      <c r="AO17" s="124"/>
      <c r="AP17" s="9"/>
      <c r="AQ17" s="9"/>
      <c r="AR17" s="998" t="str">
        <f>$AA17</f>
        <v>Third and fourth in the group</v>
      </c>
      <c r="AS17" s="998"/>
      <c r="AT17" s="999"/>
      <c r="AW17" s="7" t="b">
        <f t="shared" ca="1" si="4"/>
        <v>0</v>
      </c>
      <c r="AX17" s="7" t="b">
        <f t="shared" si="5"/>
        <v>0</v>
      </c>
      <c r="AY17" s="7" t="b">
        <f t="shared" si="6"/>
        <v>0</v>
      </c>
      <c r="AZ17" s="7" t="b">
        <f t="shared" si="7"/>
        <v>0</v>
      </c>
      <c r="BA17" s="7" t="b">
        <f t="shared" si="8"/>
        <v>0</v>
      </c>
      <c r="BB17" s="7" t="b">
        <f t="shared" si="9"/>
        <v>0</v>
      </c>
      <c r="BC17" s="7" t="b">
        <f t="shared" si="10"/>
        <v>0</v>
      </c>
    </row>
    <row r="18" spans="2:55" ht="24" customHeight="1" thickTop="1" thickBot="1" x14ac:dyDescent="0.25">
      <c r="C18" s="313">
        <f t="array" aca="1" ref="C18" ca="1">$C$12+ROW(6:6)-SUM((($I$12:$I17="")+($K$12:$K17="")&gt;0)*1)</f>
        <v>25</v>
      </c>
      <c r="D18" s="277">
        <f t="array" aca="1" ref="D18" ca="1">IF(Planning!$V$15,"",$D$12+QUOTIENT(($C18-$C$12),Planning!$V$11)*(Planning!$S$7+Planning!$S$9)/1440+SUM($Y$12:$Y17)/1440)</f>
        <v>0.52083333333333337</v>
      </c>
      <c r="E18" s="273">
        <f ca="1">IF(Planning!$V$15,"",MOD($C18-$C$12,Planning!$V$11)+1)</f>
        <v>1</v>
      </c>
      <c r="F18" s="430" t="s">
        <v>302</v>
      </c>
      <c r="G18" s="431" t="s">
        <v>4</v>
      </c>
      <c r="H18" s="432" t="s">
        <v>304</v>
      </c>
      <c r="I18" s="407" t="str">
        <f t="shared" ca="1" si="0"/>
        <v>FC Barcelona</v>
      </c>
      <c r="J18" s="263" t="s">
        <v>4</v>
      </c>
      <c r="K18" s="264" t="str">
        <f t="shared" ca="1" si="1"/>
        <v/>
      </c>
      <c r="L18" s="783"/>
      <c r="M18" s="271" t="str">
        <f>Language!$E$99</f>
        <v xml:space="preserve"> - </v>
      </c>
      <c r="N18" s="789"/>
      <c r="O18" s="785"/>
      <c r="P18" s="537" t="str">
        <f>Language!$E$99</f>
        <v xml:space="preserve"> - </v>
      </c>
      <c r="Q18" s="791"/>
      <c r="R18" s="785"/>
      <c r="S18" s="537" t="str">
        <f>Language!$E$99</f>
        <v xml:space="preserve"> - </v>
      </c>
      <c r="T18" s="794"/>
      <c r="U18" s="838" t="str">
        <f t="shared" ca="1" si="2"/>
        <v/>
      </c>
      <c r="V18" s="798" t="str">
        <f>Language!$E$99</f>
        <v xml:space="preserve"> - </v>
      </c>
      <c r="W18" s="842" t="str">
        <f t="shared" ca="1" si="3"/>
        <v/>
      </c>
      <c r="X18" s="617"/>
      <c r="Y18" s="540"/>
      <c r="AA18" s="1000"/>
      <c r="AB18" s="1001"/>
      <c r="AC18" s="126" t="str">
        <f>Language!$E$21</f>
        <v>Pld</v>
      </c>
      <c r="AD18" s="127" t="str">
        <f>Language!$E$22</f>
        <v>W</v>
      </c>
      <c r="AE18" s="127" t="str">
        <f>Language!$E$23</f>
        <v>D</v>
      </c>
      <c r="AF18" s="404" t="str">
        <f>Language!$E$24</f>
        <v>L</v>
      </c>
      <c r="AG18" s="896" t="str">
        <f>Language!$E$25</f>
        <v>sets</v>
      </c>
      <c r="AH18" s="897"/>
      <c r="AI18" s="898"/>
      <c r="AJ18" s="770" t="str">
        <f>Language!$E$26</f>
        <v>GD</v>
      </c>
      <c r="AK18" s="893" t="str">
        <f>Language!$E$60</f>
        <v>balls</v>
      </c>
      <c r="AL18" s="894"/>
      <c r="AM18" s="895"/>
      <c r="AN18" s="127" t="str">
        <f>IF(Settings!$G$24,Language!$E$26,Language!$E$67)</f>
        <v>Quot.</v>
      </c>
      <c r="AO18" s="129" t="str">
        <f>IF(Settings!$G$9,Language!$E$27,Language!$E$80)</f>
        <v>Setpts.</v>
      </c>
      <c r="AR18" s="410"/>
      <c r="AS18" s="411" t="str">
        <f>Language!$E$10</f>
        <v>Participant or team</v>
      </c>
      <c r="AT18" s="546" t="str">
        <f>Language!$E$49</f>
        <v>Tie break</v>
      </c>
      <c r="AW18" s="7" t="b">
        <f t="shared" ca="1" si="4"/>
        <v>1</v>
      </c>
      <c r="AX18" s="7" t="b">
        <f t="shared" si="5"/>
        <v>0</v>
      </c>
      <c r="AY18" s="7" t="b">
        <f t="shared" si="6"/>
        <v>0</v>
      </c>
      <c r="AZ18" s="7" t="b">
        <f t="shared" si="7"/>
        <v>0</v>
      </c>
      <c r="BA18" s="7" t="b">
        <f t="shared" si="8"/>
        <v>0</v>
      </c>
      <c r="BB18" s="7" t="b">
        <f t="shared" si="9"/>
        <v>0</v>
      </c>
      <c r="BC18" s="7" t="b">
        <f t="shared" si="10"/>
        <v>0</v>
      </c>
    </row>
    <row r="19" spans="2:55" ht="24" customHeight="1" x14ac:dyDescent="0.2">
      <c r="C19" s="313">
        <f t="array" aca="1" ref="C19" ca="1">$C$12+ROW(7:7)-SUM((($I$12:$I18="")+($K$12:$K18="")&gt;0)*1)</f>
        <v>25</v>
      </c>
      <c r="D19" s="277">
        <f t="array" aca="1" ref="D19" ca="1">IF(Planning!$V$15,"",$D$12+QUOTIENT(($C19-$C$12),Planning!$V$11)*(Planning!$S$7+Planning!$S$9)/1440+SUM($Y$12:$Y18)/1440)</f>
        <v>0.52083333333333337</v>
      </c>
      <c r="E19" s="273">
        <f ca="1">IF(Planning!$V$15,"",MOD($C19-$C$12,Planning!$V$11)+1)</f>
        <v>1</v>
      </c>
      <c r="F19" s="430" t="s">
        <v>288</v>
      </c>
      <c r="G19" s="431" t="s">
        <v>4</v>
      </c>
      <c r="H19" s="432" t="s">
        <v>300</v>
      </c>
      <c r="I19" s="407" t="str">
        <f t="shared" ca="1" si="0"/>
        <v>1. FC Riedwald</v>
      </c>
      <c r="J19" s="263" t="s">
        <v>4</v>
      </c>
      <c r="K19" s="264" t="str">
        <f t="shared" ca="1" si="1"/>
        <v>Eintracht Frankfurt</v>
      </c>
      <c r="L19" s="783">
        <v>19</v>
      </c>
      <c r="M19" s="271" t="str">
        <f>Language!$E$99</f>
        <v xml:space="preserve"> - </v>
      </c>
      <c r="N19" s="789">
        <v>25</v>
      </c>
      <c r="O19" s="785">
        <v>25</v>
      </c>
      <c r="P19" s="537" t="str">
        <f>Language!$E$99</f>
        <v xml:space="preserve"> - </v>
      </c>
      <c r="Q19" s="791">
        <v>12</v>
      </c>
      <c r="R19" s="785"/>
      <c r="S19" s="537" t="str">
        <f>Language!$E$99</f>
        <v xml:space="preserve"> - </v>
      </c>
      <c r="T19" s="794"/>
      <c r="U19" s="838">
        <f t="shared" ca="1" si="2"/>
        <v>1</v>
      </c>
      <c r="V19" s="798" t="str">
        <f>Language!$E$99</f>
        <v xml:space="preserve"> - </v>
      </c>
      <c r="W19" s="842">
        <f t="shared" ca="1" si="3"/>
        <v>1</v>
      </c>
      <c r="X19" s="617"/>
      <c r="Y19" s="540"/>
      <c r="AA19" s="412">
        <f ca="1">IF(CalcE2!$K$13=0,"",1)</f>
        <v>1</v>
      </c>
      <c r="AB19" s="306" t="str">
        <f ca="1">IF(Calc1!$F$14&lt;3,"",IF(AND(CalcE2!$K$13=0,AS23&lt;&gt;1),CalcE2!$Q$64,VLOOKUP(CalcE2!$B$4,CalcE2!$C$4:$N$12,4,0)))</f>
        <v>1. FC Riedwald</v>
      </c>
      <c r="AC19" s="413">
        <f ca="1">IF(CalcE2!$K$13=0,"",VLOOKUP(CalcE2!$B$4,CalcE2!$C$4:$N$12,9,0))</f>
        <v>3</v>
      </c>
      <c r="AD19" s="133">
        <f ca="1">IF(CalcE2!$K$13=0,"",VLOOKUP(CalcE2!$B$4,CalcE2!$C$4:$N$12,10,0))</f>
        <v>2</v>
      </c>
      <c r="AE19" s="133">
        <f ca="1">IF(CalcE2!$K$13=0,"",VLOOKUP(CalcE2!$B$4,CalcE2!$C$4:$N$12,11,0))</f>
        <v>1</v>
      </c>
      <c r="AF19" s="133">
        <f ca="1">IF(CalcE2!$K$13=0,"",VLOOKUP(CalcE2!$B$4,CalcE2!$C$4:$N$12,12,0))</f>
        <v>0</v>
      </c>
      <c r="AG19" s="135">
        <f ca="1">IF(CalcE2!$K$13=0,"",VLOOKUP(CalcE2!B4,CalcE2!$C$4:$AT$12,44,0))</f>
        <v>5</v>
      </c>
      <c r="AH19" s="414" t="str">
        <f>Language!$E$99</f>
        <v xml:space="preserve"> - </v>
      </c>
      <c r="AI19" s="137">
        <f ca="1">IF(CalcE2!$K$13=0,"",VLOOKUP(CalcE2!B4,CalcE2!$C$4:$AS$12,43,0))</f>
        <v>2</v>
      </c>
      <c r="AJ19" s="134">
        <f ca="1">IF(CalcE2!$K$13=0,"",AG19-AI19)</f>
        <v>3</v>
      </c>
      <c r="AK19" s="135">
        <f ca="1">IF(CalcE2!$K$13=0,"",VLOOKUP(CalcE2!$B$4,CalcE2!$C$4:$N$12,5,0))</f>
        <v>151</v>
      </c>
      <c r="AL19" s="414" t="str">
        <f>Language!$E$99</f>
        <v xml:space="preserve"> - </v>
      </c>
      <c r="AM19" s="137">
        <f ca="1">IF(CalcE2!$K$13=0,"",VLOOKUP(CalcE2!$B$4,CalcE2!$C$4:$N$12,6,0))</f>
        <v>132</v>
      </c>
      <c r="AN19" s="133">
        <f ca="1">IF(CalcE2!$K$13=0,"",IF(VLOOKUP(CalcE2!B4,CalcE2!$C$4:$AV$12,46,0)=Settings!$F$24,"max",VLOOKUP(CalcE2!B4,CalcE2!$C$4:$AV$12,46,0)))</f>
        <v>1.1439999999999999</v>
      </c>
      <c r="AO19" s="138">
        <f ca="1">IF(CalcE2!$K$13=0,"",VLOOKUP(CalcE2!B4,CalcE2!$C$4:$AT$12,Settings!$H$9,0))</f>
        <v>5</v>
      </c>
      <c r="AR19" s="533" t="s">
        <v>288</v>
      </c>
      <c r="AS19" s="415" t="str">
        <f ca="1">IF(PreliminaryRound!$X$14="","",PreliminaryRound!$X$14)</f>
        <v>1. FC Riedwald</v>
      </c>
      <c r="AT19" s="547">
        <f ca="1">IF($AS19="",0,COUNTIF(Playoffs!$U$25:$U$30,$AS19))</f>
        <v>0</v>
      </c>
      <c r="AU19" s="805"/>
      <c r="AW19" s="7" t="b">
        <f t="shared" ca="1" si="4"/>
        <v>0</v>
      </c>
      <c r="AX19" s="7" t="b">
        <f t="shared" si="5"/>
        <v>0</v>
      </c>
      <c r="AY19" s="7" t="b">
        <f t="shared" si="6"/>
        <v>0</v>
      </c>
      <c r="AZ19" s="7" t="b">
        <f t="shared" si="7"/>
        <v>0</v>
      </c>
      <c r="BA19" s="7" t="b">
        <f t="shared" si="8"/>
        <v>0</v>
      </c>
      <c r="BB19" s="7" t="b">
        <f t="shared" si="9"/>
        <v>0</v>
      </c>
      <c r="BC19" s="7" t="b">
        <f t="shared" si="10"/>
        <v>0</v>
      </c>
    </row>
    <row r="20" spans="2:55" ht="24" customHeight="1" x14ac:dyDescent="0.2">
      <c r="C20" s="313">
        <f t="array" aca="1" ref="C20" ca="1">$C$12+ROW(8:8)-SUM((($I$12:$I19="")+($K$12:$K19="")&gt;0)*1)</f>
        <v>26</v>
      </c>
      <c r="D20" s="277">
        <f t="array" aca="1" ref="D20" ca="1">IF(Planning!$V$15,"",$D$12+QUOTIENT(($C20-$C$12),Planning!$V$11)*(Planning!$S$7+Planning!$S$9)/1440+SUM($Y$12:$Y19)/1440)</f>
        <v>0.52083333333333337</v>
      </c>
      <c r="E20" s="273">
        <f ca="1">IF(Planning!$V$15,"",MOD($C20-$C$12,Planning!$V$11)+1)</f>
        <v>2</v>
      </c>
      <c r="F20" s="430" t="s">
        <v>296</v>
      </c>
      <c r="G20" s="431" t="s">
        <v>4</v>
      </c>
      <c r="H20" s="432" t="s">
        <v>297</v>
      </c>
      <c r="I20" s="407" t="str">
        <f t="shared" ca="1" si="0"/>
        <v>Maibach 1822 eV</v>
      </c>
      <c r="J20" s="263" t="s">
        <v>4</v>
      </c>
      <c r="K20" s="264" t="str">
        <f t="shared" ca="1" si="1"/>
        <v>VFB Essenheim</v>
      </c>
      <c r="L20" s="783">
        <v>13</v>
      </c>
      <c r="M20" s="271" t="str">
        <f>Language!$E$99</f>
        <v xml:space="preserve"> - </v>
      </c>
      <c r="N20" s="789">
        <v>25</v>
      </c>
      <c r="O20" s="785">
        <v>18</v>
      </c>
      <c r="P20" s="537" t="str">
        <f>Language!$E$99</f>
        <v xml:space="preserve"> - </v>
      </c>
      <c r="Q20" s="791">
        <v>25</v>
      </c>
      <c r="R20" s="785"/>
      <c r="S20" s="537" t="str">
        <f>Language!$E$99</f>
        <v xml:space="preserve"> - </v>
      </c>
      <c r="T20" s="794"/>
      <c r="U20" s="838">
        <f t="shared" ca="1" si="2"/>
        <v>0</v>
      </c>
      <c r="V20" s="798" t="str">
        <f>Language!$E$99</f>
        <v xml:space="preserve"> - </v>
      </c>
      <c r="W20" s="842">
        <f t="shared" ca="1" si="3"/>
        <v>2</v>
      </c>
      <c r="X20" s="617"/>
      <c r="Y20" s="540"/>
      <c r="AA20" s="416">
        <f ca="1">IF(CalcE2!$K$13=0,"",IF(VLOOKUP(CalcE2!$B$5,CalcE2!$C$4:$E$12,3,0)=MAX($AA19:$AA19),VLOOKUP(CalcE2!$B$5,CalcE2!$C$4:$E$12,3,0),CalcE2!$B$5))</f>
        <v>2</v>
      </c>
      <c r="AB20" s="308" t="str">
        <f ca="1">IF(OR(Calc1!$F$14&lt;3,AS23=1),"",IF(CalcE2!$K$13=0,CalcE2!$Q$65,VLOOKUP(CalcE2!$B$5,CalcE2!$C$4:$N$12,4,0)))</f>
        <v>FC Grönlingen</v>
      </c>
      <c r="AC20" s="148">
        <f ca="1">IF(CalcE2!$K$13=0,"",VLOOKUP(CalcE2!$B$5,CalcE2!$C$4:$N$12,9,0))</f>
        <v>3</v>
      </c>
      <c r="AD20" s="123">
        <f ca="1">IF(CalcE2!$K$13=0,"",VLOOKUP(CalcE2!$B$5,CalcE2!$C$4:$N$12,10,0))</f>
        <v>0</v>
      </c>
      <c r="AE20" s="123">
        <f ca="1">IF(CalcE2!$K$13=0,"",VLOOKUP(CalcE2!$B$5,CalcE2!$C$4:$N$12,11,0))</f>
        <v>2</v>
      </c>
      <c r="AF20" s="123">
        <f ca="1">IF(CalcE2!$K$13=0,"",VLOOKUP(CalcE2!$B$5,CalcE2!$C$4:$N$12,12,0))</f>
        <v>1</v>
      </c>
      <c r="AG20" s="144">
        <f ca="1">IF(CalcE2!$K$13=0,"",VLOOKUP(CalcE2!B5,CalcE2!$C$4:$AT$12,44,0))</f>
        <v>3</v>
      </c>
      <c r="AH20" s="417" t="str">
        <f>Language!$E$99</f>
        <v xml:space="preserve"> - </v>
      </c>
      <c r="AI20" s="146">
        <f ca="1">IF(CalcE2!$K$13=0,"",VLOOKUP(CalcE2!B5,CalcE2!$C$4:$AS$12,43,0))</f>
        <v>4</v>
      </c>
      <c r="AJ20" s="143">
        <f ca="1">IF(CalcE2!$K$13=0,"",AG20-AI20)</f>
        <v>-1</v>
      </c>
      <c r="AK20" s="144">
        <f ca="1">IF(CalcE2!$K$13=0,"",VLOOKUP(CalcE2!$B$5,CalcE2!$C$4:$N$12,5,0))</f>
        <v>149</v>
      </c>
      <c r="AL20" s="417" t="str">
        <f>Language!$E$99</f>
        <v xml:space="preserve"> - </v>
      </c>
      <c r="AM20" s="146">
        <f ca="1">IF(CalcE2!$K$13=0,"",VLOOKUP(CalcE2!$B$5,CalcE2!$C$4:$N$12,6,0))</f>
        <v>143</v>
      </c>
      <c r="AN20" s="123">
        <f ca="1">IF(CalcE2!$K$13=0,"",IF(VLOOKUP(CalcE2!B5,CalcE2!$C$4:$AV$12,46,0)=Settings!$F$24,"max",VLOOKUP(CalcE2!B5,CalcE2!$C$4:$AV$12,46,0)))</f>
        <v>1.042</v>
      </c>
      <c r="AO20" s="147">
        <f ca="1">IF(CalcE2!$K$13=0,"",VLOOKUP(CalcE2!B5,CalcE2!$C$4:$AT$12,Settings!$H$9,0))</f>
        <v>3</v>
      </c>
      <c r="AR20" s="418" t="s">
        <v>299</v>
      </c>
      <c r="AS20" s="419" t="str">
        <f ca="1">IF(PreliminaryRound!$X$24="","",PreliminaryRound!$X$24)</f>
        <v>SSV Wildbach</v>
      </c>
      <c r="AT20" s="547">
        <f ca="1">IF($AS20="",0,COUNTIF(Playoffs!$U$25:$U$30,$AS20))</f>
        <v>0</v>
      </c>
      <c r="AU20" s="806"/>
      <c r="AW20" s="7" t="b">
        <f t="shared" ca="1" si="4"/>
        <v>0</v>
      </c>
      <c r="AX20" s="7" t="b">
        <f t="shared" si="5"/>
        <v>0</v>
      </c>
      <c r="AY20" s="7" t="b">
        <f t="shared" si="6"/>
        <v>0</v>
      </c>
      <c r="AZ20" s="7" t="b">
        <f t="shared" si="7"/>
        <v>0</v>
      </c>
      <c r="BA20" s="7" t="b">
        <f t="shared" si="8"/>
        <v>0</v>
      </c>
      <c r="BB20" s="7" t="b">
        <f t="shared" si="9"/>
        <v>0</v>
      </c>
      <c r="BC20" s="7" t="b">
        <f t="shared" si="10"/>
        <v>0</v>
      </c>
    </row>
    <row r="21" spans="2:55" ht="24" customHeight="1" x14ac:dyDescent="0.2">
      <c r="C21" s="313">
        <f t="array" aca="1" ref="C21" ca="1">$C$12+ROW(9:9)-SUM((($I$12:$I20="")+($K$12:$K20="")&gt;0)*1)</f>
        <v>27</v>
      </c>
      <c r="D21" s="277">
        <f t="array" aca="1" ref="D21" ca="1">IF(Planning!$V$15,"",$D$12+QUOTIENT(($C21-$C$12),Planning!$V$11)*(Planning!$S$7+Planning!$S$9)/1440+SUM($Y$12:$Y20)/1440)</f>
        <v>0.52083333333333337</v>
      </c>
      <c r="E21" s="273">
        <f ca="1">IF(Planning!$V$15,"",MOD($C21-$C$12,Planning!$V$11)+1)</f>
        <v>3</v>
      </c>
      <c r="F21" s="430" t="s">
        <v>303</v>
      </c>
      <c r="G21" s="431" t="s">
        <v>4</v>
      </c>
      <c r="H21" s="432" t="s">
        <v>305</v>
      </c>
      <c r="I21" s="407" t="str">
        <f t="shared" ca="1" si="0"/>
        <v>Mainz 05</v>
      </c>
      <c r="J21" s="263" t="s">
        <v>4</v>
      </c>
      <c r="K21" s="264" t="str">
        <f t="shared" ca="1" si="1"/>
        <v/>
      </c>
      <c r="L21" s="783"/>
      <c r="M21" s="271" t="str">
        <f>Language!$E$99</f>
        <v xml:space="preserve"> - </v>
      </c>
      <c r="N21" s="789"/>
      <c r="O21" s="785"/>
      <c r="P21" s="537" t="str">
        <f>Language!$E$99</f>
        <v xml:space="preserve"> - </v>
      </c>
      <c r="Q21" s="791"/>
      <c r="R21" s="785"/>
      <c r="S21" s="537" t="str">
        <f>Language!$E$99</f>
        <v xml:space="preserve"> - </v>
      </c>
      <c r="T21" s="794"/>
      <c r="U21" s="838" t="str">
        <f t="shared" ca="1" si="2"/>
        <v/>
      </c>
      <c r="V21" s="798" t="str">
        <f>Language!$E$99</f>
        <v xml:space="preserve"> - </v>
      </c>
      <c r="W21" s="842" t="str">
        <f t="shared" ca="1" si="3"/>
        <v/>
      </c>
      <c r="X21" s="617"/>
      <c r="Y21" s="540"/>
      <c r="AA21" s="416">
        <f ca="1">IF(CalcE2!$K$13=0,"",IF(VLOOKUP(CalcE2!$B$6,CalcE2!$C$4:$E$12,3,0)=MAX($AA19:$AA20),VLOOKUP(CalcE2!$B$6,CalcE2!$C$4:$E$12,3,0),CalcE2!$B$6))</f>
        <v>3</v>
      </c>
      <c r="AB21" s="308" t="str">
        <f ca="1">IF(OR(Calc1!$F$14&lt;3,AS23=1),"",IF(CalcE2!$K$13=0,CalcE2!$Q$66,VLOOKUP(CalcE2!$B$6,CalcE2!$C$4:$N$12,4,0)))</f>
        <v>SSV Wildbach</v>
      </c>
      <c r="AC21" s="148">
        <f ca="1">IF(CalcE2!$K$13=0,"",VLOOKUP(CalcE2!$B$6,CalcE2!$C$4:$N$12,9,0))</f>
        <v>3</v>
      </c>
      <c r="AD21" s="123">
        <f ca="1">IF(CalcE2!$K$13=0,"",VLOOKUP(CalcE2!$B$6,CalcE2!$C$4:$N$12,10,0))</f>
        <v>1</v>
      </c>
      <c r="AE21" s="123">
        <f ca="1">IF(CalcE2!$K$13=0,"",VLOOKUP(CalcE2!$B$6,CalcE2!$C$4:$N$12,11,0))</f>
        <v>1</v>
      </c>
      <c r="AF21" s="123">
        <f ca="1">IF(CalcE2!$K$13=0,"",VLOOKUP(CalcE2!$B$6,CalcE2!$C$4:$N$12,12,0))</f>
        <v>1</v>
      </c>
      <c r="AG21" s="144">
        <f ca="1">IF(CalcE2!$K$13=0,"",VLOOKUP(CalcE2!B6,CalcE2!$C$4:$AT$12,44,0))</f>
        <v>3</v>
      </c>
      <c r="AH21" s="417" t="str">
        <f>Language!$E$99</f>
        <v xml:space="preserve"> - </v>
      </c>
      <c r="AI21" s="146">
        <f ca="1">IF(CalcE2!$K$13=0,"",VLOOKUP(CalcE2!B6,CalcE2!$C$4:$AS$12,43,0))</f>
        <v>3</v>
      </c>
      <c r="AJ21" s="143">
        <f ca="1">IF(CalcE2!$K$13=0,"",AG21-AI21)</f>
        <v>0</v>
      </c>
      <c r="AK21" s="144">
        <f ca="1">IF(CalcE2!$K$13=0,"",VLOOKUP(CalcE2!$B$6,CalcE2!$C$4:$N$12,5,0))</f>
        <v>136</v>
      </c>
      <c r="AL21" s="417" t="str">
        <f>Language!$E$99</f>
        <v xml:space="preserve"> - </v>
      </c>
      <c r="AM21" s="146">
        <f ca="1">IF(CalcE2!$K$13=0,"",VLOOKUP(CalcE2!$B$6,CalcE2!$C$4:$N$12,6,0))</f>
        <v>139</v>
      </c>
      <c r="AN21" s="123">
        <f ca="1">IF(CalcE2!$K$13=0,"",IF(VLOOKUP(CalcE2!B6,CalcE2!$C$4:$AV$12,46,0)=Settings!$F$24,"max",VLOOKUP(CalcE2!B6,CalcE2!$C$4:$AV$12,46,0)))</f>
        <v>0.97799999999999998</v>
      </c>
      <c r="AO21" s="147">
        <f ca="1">IF(CalcE2!$K$13=0,"",VLOOKUP(CalcE2!B6,CalcE2!$C$4:$AT$12,Settings!$H$9,0))</f>
        <v>3</v>
      </c>
      <c r="AR21" s="534" t="s">
        <v>300</v>
      </c>
      <c r="AS21" s="419" t="str">
        <f ca="1">IF(PreliminaryRound!$X$15="","",PreliminaryRound!$X$15)</f>
        <v>Eintracht Frankfurt</v>
      </c>
      <c r="AT21" s="547">
        <f ca="1">IF($AS21="",0,COUNTIF(Playoffs!$U$25:$U$30,$AS21))</f>
        <v>0</v>
      </c>
      <c r="AU21" s="806"/>
      <c r="AW21" s="7" t="b">
        <f t="shared" ca="1" si="4"/>
        <v>1</v>
      </c>
      <c r="AX21" s="7" t="b">
        <f t="shared" si="5"/>
        <v>0</v>
      </c>
      <c r="AY21" s="7" t="b">
        <f t="shared" si="6"/>
        <v>0</v>
      </c>
      <c r="AZ21" s="7" t="b">
        <f t="shared" si="7"/>
        <v>0</v>
      </c>
      <c r="BA21" s="7" t="b">
        <f t="shared" si="8"/>
        <v>0</v>
      </c>
      <c r="BB21" s="7" t="b">
        <f t="shared" si="9"/>
        <v>0</v>
      </c>
      <c r="BC21" s="7" t="b">
        <f t="shared" si="10"/>
        <v>0</v>
      </c>
    </row>
    <row r="22" spans="2:55" ht="24" customHeight="1" thickBot="1" x14ac:dyDescent="0.25">
      <c r="C22" s="313">
        <f t="array" aca="1" ref="C22" ca="1">$C$12+ROW(10:10)-SUM((($I$12:$I21="")+($K$12:$K21="")&gt;0)*1)</f>
        <v>27</v>
      </c>
      <c r="D22" s="277">
        <f t="array" aca="1" ref="D22" ca="1">IF(Planning!$V$15,"",$D$12+QUOTIENT(($C22-$C$12),Planning!$V$11)*(Planning!$S$7+Planning!$S$9)/1440+SUM($Y$12:$Y21)/1440)</f>
        <v>0.52083333333333337</v>
      </c>
      <c r="E22" s="273">
        <f ca="1">IF(Planning!$V$15,"",MOD($C22-$C$12,Planning!$V$11)+1)</f>
        <v>3</v>
      </c>
      <c r="F22" s="430" t="s">
        <v>299</v>
      </c>
      <c r="G22" s="431" t="s">
        <v>4</v>
      </c>
      <c r="H22" s="432" t="s">
        <v>301</v>
      </c>
      <c r="I22" s="407" t="str">
        <f t="shared" ca="1" si="0"/>
        <v>SSV Wildbach</v>
      </c>
      <c r="J22" s="263" t="s">
        <v>4</v>
      </c>
      <c r="K22" s="264" t="str">
        <f t="shared" ca="1" si="1"/>
        <v>FC Grönlingen</v>
      </c>
      <c r="L22" s="783">
        <v>22</v>
      </c>
      <c r="M22" s="271" t="str">
        <f>Language!$E$99</f>
        <v xml:space="preserve"> - </v>
      </c>
      <c r="N22" s="789">
        <v>25</v>
      </c>
      <c r="O22" s="785">
        <v>25</v>
      </c>
      <c r="P22" s="537" t="str">
        <f>Language!$E$99</f>
        <v xml:space="preserve"> - </v>
      </c>
      <c r="Q22" s="791">
        <v>20</v>
      </c>
      <c r="R22" s="785"/>
      <c r="S22" s="537" t="str">
        <f>Language!$E$99</f>
        <v xml:space="preserve"> - </v>
      </c>
      <c r="T22" s="794"/>
      <c r="U22" s="838">
        <f t="shared" ca="1" si="2"/>
        <v>1</v>
      </c>
      <c r="V22" s="798" t="str">
        <f>Language!$E$99</f>
        <v xml:space="preserve"> - </v>
      </c>
      <c r="W22" s="842">
        <f t="shared" ca="1" si="3"/>
        <v>1</v>
      </c>
      <c r="X22" s="617"/>
      <c r="Y22" s="540"/>
      <c r="AA22" s="420">
        <f ca="1">IF(CalcE2!$K$13=0,"",IF(VLOOKUP(CalcE2!$B$7,CalcE2!$C$4:$E$12,3,0)=MAX($AA19:$AA21),VLOOKUP(CalcE2!$B$7,CalcE2!$C$4:$E$12,3,0),CalcE2!$B$7))</f>
        <v>4</v>
      </c>
      <c r="AB22" s="310" t="str">
        <f ca="1">IF(OR(Calc1!$F$14&lt;3,AS23=1),"",IF(CalcE2!$K$13=0,CalcE2!$Q$67,VLOOKUP(CalcE2!$B$7,CalcE2!$C$4:$N$12,4,0)))</f>
        <v>Eintracht Frankfurt</v>
      </c>
      <c r="AC22" s="159">
        <f ca="1">IF(CalcE2!$K$13=0,"",VLOOKUP(CalcE2!$B$7,CalcE2!$C$4:$N$12,9,0))</f>
        <v>3</v>
      </c>
      <c r="AD22" s="153">
        <f ca="1">IF(CalcE2!$K$13=0,"",VLOOKUP(CalcE2!$B$7,CalcE2!$C$4:$N$12,10,0))</f>
        <v>0</v>
      </c>
      <c r="AE22" s="153">
        <f ca="1">IF(CalcE2!$K$13=0,"",VLOOKUP(CalcE2!$B$7,CalcE2!$C$4:$N$12,11,0))</f>
        <v>2</v>
      </c>
      <c r="AF22" s="153">
        <f ca="1">IF(CalcE2!$K$13=0,"",VLOOKUP(CalcE2!$B$7,CalcE2!$C$4:$N$12,12,0))</f>
        <v>1</v>
      </c>
      <c r="AG22" s="155">
        <f ca="1">IF(CalcE2!$K$13=0,"",VLOOKUP(CalcE2!B7,CalcE2!$C$4:$AT$12,44,0))</f>
        <v>2</v>
      </c>
      <c r="AH22" s="421" t="str">
        <f>Language!$E$99</f>
        <v xml:space="preserve"> - </v>
      </c>
      <c r="AI22" s="157">
        <f ca="1">IF(CalcE2!$K$13=0,"",VLOOKUP(CalcE2!B7,CalcE2!$C$4:$AS$12,43,0))</f>
        <v>4</v>
      </c>
      <c r="AJ22" s="154">
        <f ca="1">IF(CalcE2!$K$13=0,"",AG22-AI22)</f>
        <v>-2</v>
      </c>
      <c r="AK22" s="155">
        <f ca="1">IF(CalcE2!$K$13=0,"",VLOOKUP(CalcE2!$B$7,CalcE2!$C$4:$N$12,5,0))</f>
        <v>120</v>
      </c>
      <c r="AL22" s="421" t="str">
        <f>Language!$E$99</f>
        <v xml:space="preserve"> - </v>
      </c>
      <c r="AM22" s="157">
        <f ca="1">IF(CalcE2!$K$13=0,"",VLOOKUP(CalcE2!$B$7,CalcE2!$C$4:$N$12,6,0))</f>
        <v>142</v>
      </c>
      <c r="AN22" s="153">
        <f ca="1">IF(CalcE2!$K$13=0,"",IF(VLOOKUP(CalcE2!B7,CalcE2!$C$4:$AV$12,46,0)=Settings!$F$24,"max",VLOOKUP(CalcE2!B7,CalcE2!$C$4:$AV$12,46,0)))</f>
        <v>0.84499999999999997</v>
      </c>
      <c r="AO22" s="158">
        <f ca="1">IF(CalcE2!$K$13=0,"",VLOOKUP(CalcE2!B7,CalcE2!$C$4:$AT$12,Settings!$H$9,0))</f>
        <v>2</v>
      </c>
      <c r="AR22" s="422" t="s">
        <v>301</v>
      </c>
      <c r="AS22" s="423" t="str">
        <f ca="1">IF(PreliminaryRound!$X$25="","",PreliminaryRound!$X$25)</f>
        <v>FC Grönlingen</v>
      </c>
      <c r="AT22" s="547">
        <f ca="1">IF($AS22="",0,COUNTIF(Playoffs!$U$25:$U$30,$AS22))</f>
        <v>0</v>
      </c>
      <c r="AU22" s="807"/>
      <c r="AW22" s="7" t="b">
        <f t="shared" ca="1" si="4"/>
        <v>0</v>
      </c>
      <c r="AX22" s="7" t="b">
        <f t="shared" si="5"/>
        <v>0</v>
      </c>
      <c r="AY22" s="7" t="b">
        <f t="shared" si="6"/>
        <v>0</v>
      </c>
      <c r="AZ22" s="7" t="b">
        <f t="shared" si="7"/>
        <v>0</v>
      </c>
      <c r="BA22" s="7" t="b">
        <f t="shared" si="8"/>
        <v>0</v>
      </c>
      <c r="BB22" s="7" t="b">
        <f t="shared" si="9"/>
        <v>0</v>
      </c>
      <c r="BC22" s="7" t="b">
        <f t="shared" si="10"/>
        <v>0</v>
      </c>
    </row>
    <row r="23" spans="2:55" ht="24" customHeight="1" thickTop="1" x14ac:dyDescent="0.2">
      <c r="C23" s="313">
        <f t="array" aca="1" ref="C23" ca="1">$C$12+ROW(11:11)-SUM((($I$12:$I22="")+($K$12:$K22="")&gt;0)*1)</f>
        <v>28</v>
      </c>
      <c r="D23" s="277">
        <f t="array" aca="1" ref="D23" ca="1">IF(Planning!$V$15,"",$D$12+QUOTIENT(($C23-$C$12),Planning!$V$11)*(Planning!$S$7+Planning!$S$9)/1440+SUM($Y$12:$Y22)/1440)</f>
        <v>0.52083333333333337</v>
      </c>
      <c r="E23" s="273">
        <f ca="1">IF(Planning!$V$15,"",MOD($C23-$C$12,Planning!$V$11)+1)</f>
        <v>4</v>
      </c>
      <c r="F23" s="430" t="s">
        <v>289</v>
      </c>
      <c r="G23" s="431" t="s">
        <v>4</v>
      </c>
      <c r="H23" s="432" t="s">
        <v>298</v>
      </c>
      <c r="I23" s="407" t="str">
        <f t="shared" ca="1" si="0"/>
        <v>Inter Mailand</v>
      </c>
      <c r="J23" s="263" t="s">
        <v>4</v>
      </c>
      <c r="K23" s="264" t="str">
        <f t="shared" ca="1" si="1"/>
        <v>Manchester City</v>
      </c>
      <c r="L23" s="783">
        <v>19</v>
      </c>
      <c r="M23" s="271" t="str">
        <f>Language!$E$99</f>
        <v xml:space="preserve"> - </v>
      </c>
      <c r="N23" s="789">
        <v>25</v>
      </c>
      <c r="O23" s="785">
        <v>25</v>
      </c>
      <c r="P23" s="537" t="str">
        <f>Language!$E$99</f>
        <v xml:space="preserve"> - </v>
      </c>
      <c r="Q23" s="791">
        <v>19</v>
      </c>
      <c r="R23" s="785"/>
      <c r="S23" s="537" t="str">
        <f>Language!$E$99</f>
        <v xml:space="preserve"> - </v>
      </c>
      <c r="T23" s="794"/>
      <c r="U23" s="838">
        <f t="shared" ca="1" si="2"/>
        <v>1</v>
      </c>
      <c r="V23" s="798" t="str">
        <f>Language!$E$99</f>
        <v xml:space="preserve"> - </v>
      </c>
      <c r="W23" s="842">
        <f t="shared" ca="1" si="3"/>
        <v>1</v>
      </c>
      <c r="X23" s="617"/>
      <c r="Y23" s="540"/>
      <c r="AS23" s="448">
        <f t="array" aca="1" ref="AS23" ca="1">SUM((AS19:AS22&lt;&gt;"")*1)</f>
        <v>4</v>
      </c>
      <c r="AW23" s="7" t="b">
        <f t="shared" ca="1" si="4"/>
        <v>0</v>
      </c>
      <c r="AX23" s="7" t="b">
        <f t="shared" si="5"/>
        <v>0</v>
      </c>
      <c r="AY23" s="7" t="b">
        <f t="shared" si="6"/>
        <v>0</v>
      </c>
      <c r="AZ23" s="7" t="b">
        <f t="shared" si="7"/>
        <v>0</v>
      </c>
      <c r="BA23" s="7" t="b">
        <f t="shared" si="8"/>
        <v>0</v>
      </c>
      <c r="BB23" s="7" t="b">
        <f t="shared" si="9"/>
        <v>0</v>
      </c>
      <c r="BC23" s="7" t="b">
        <f t="shared" si="10"/>
        <v>0</v>
      </c>
    </row>
    <row r="24" spans="2:55" ht="24" customHeight="1" thickBot="1" x14ac:dyDescent="0.45">
      <c r="C24" s="313">
        <f t="array" aca="1" ref="C24" ca="1">$C$12+ROW(12:12)-SUM((($I$12:$I23="")+($K$12:$K23="")&gt;0)*1)</f>
        <v>29</v>
      </c>
      <c r="D24" s="277">
        <f t="array" aca="1" ref="D24" ca="1">IF(Planning!$V$15,"",$D$12+QUOTIENT(($C24-$C$12),Planning!$V$11)*(Planning!$S$7+Planning!$S$9)/1440+SUM($Y$12:$Y23)/1440)</f>
        <v>0.54513888888888895</v>
      </c>
      <c r="E24" s="273">
        <f ca="1">IF(Planning!$V$15,"",MOD($C24-$C$12,Planning!$V$11)+1)</f>
        <v>1</v>
      </c>
      <c r="F24" s="430" t="s">
        <v>304</v>
      </c>
      <c r="G24" s="431" t="s">
        <v>4</v>
      </c>
      <c r="H24" s="432" t="s">
        <v>305</v>
      </c>
      <c r="I24" s="407" t="str">
        <f t="shared" ca="1" si="0"/>
        <v/>
      </c>
      <c r="J24" s="263" t="s">
        <v>4</v>
      </c>
      <c r="K24" s="264" t="str">
        <f t="shared" ca="1" si="1"/>
        <v/>
      </c>
      <c r="L24" s="783"/>
      <c r="M24" s="271" t="str">
        <f>Language!$E$99</f>
        <v xml:space="preserve"> - </v>
      </c>
      <c r="N24" s="789"/>
      <c r="O24" s="785"/>
      <c r="P24" s="537" t="str">
        <f>Language!$E$99</f>
        <v xml:space="preserve"> - </v>
      </c>
      <c r="Q24" s="791"/>
      <c r="R24" s="785"/>
      <c r="S24" s="537" t="str">
        <f>Language!$E$99</f>
        <v xml:space="preserve"> - </v>
      </c>
      <c r="T24" s="794"/>
      <c r="U24" s="838" t="str">
        <f t="shared" ca="1" si="2"/>
        <v/>
      </c>
      <c r="V24" s="798" t="str">
        <f>Language!$E$99</f>
        <v xml:space="preserve"> - </v>
      </c>
      <c r="W24" s="842" t="str">
        <f t="shared" ca="1" si="3"/>
        <v/>
      </c>
      <c r="X24" s="617"/>
      <c r="Y24" s="540"/>
      <c r="AA24" s="997" t="str">
        <f>Language!$E$59</f>
        <v>Fifth and sixth in the group</v>
      </c>
      <c r="AB24" s="997"/>
      <c r="AC24" s="997"/>
      <c r="AD24" s="997"/>
      <c r="AE24" s="997"/>
      <c r="AF24" s="997"/>
      <c r="AG24" s="795"/>
      <c r="AH24" s="795"/>
      <c r="AI24" s="795"/>
      <c r="AJ24" s="795"/>
      <c r="AK24" s="124"/>
      <c r="AL24" s="124"/>
      <c r="AM24" s="124"/>
      <c r="AN24" s="124"/>
      <c r="AO24" s="124"/>
      <c r="AR24" s="998" t="str">
        <f>$AA24</f>
        <v>Fifth and sixth in the group</v>
      </c>
      <c r="AS24" s="998"/>
      <c r="AT24" s="999"/>
      <c r="AW24" s="7" t="b">
        <f t="shared" ca="1" si="4"/>
        <v>1</v>
      </c>
      <c r="AX24" s="7" t="b">
        <f t="shared" si="5"/>
        <v>0</v>
      </c>
      <c r="AY24" s="7" t="b">
        <f t="shared" si="6"/>
        <v>0</v>
      </c>
      <c r="AZ24" s="7" t="b">
        <f t="shared" si="7"/>
        <v>0</v>
      </c>
      <c r="BA24" s="7" t="b">
        <f t="shared" si="8"/>
        <v>0</v>
      </c>
      <c r="BB24" s="7" t="b">
        <f t="shared" si="9"/>
        <v>0</v>
      </c>
      <c r="BC24" s="7" t="b">
        <f t="shared" si="10"/>
        <v>0</v>
      </c>
    </row>
    <row r="25" spans="2:55" ht="24" customHeight="1" thickTop="1" thickBot="1" x14ac:dyDescent="0.25">
      <c r="C25" s="313">
        <f t="array" aca="1" ref="C25" ca="1">$C$12+ROW(13:13)-SUM((($I$12:$I24="")+($K$12:$K24="")&gt;0)*1)</f>
        <v>29</v>
      </c>
      <c r="D25" s="277">
        <f t="array" aca="1" ref="D25" ca="1">IF(Planning!$V$15,"",$D$12+QUOTIENT(($C25-$C$12),Planning!$V$11)*(Planning!$S$7+Planning!$S$9)/1440+SUM($Y$12:$Y24)/1440)</f>
        <v>0.54513888888888895</v>
      </c>
      <c r="E25" s="273">
        <f ca="1">IF(Planning!$V$15,"",MOD($C25-$C$12,Planning!$V$11)+1)</f>
        <v>1</v>
      </c>
      <c r="F25" s="430" t="s">
        <v>300</v>
      </c>
      <c r="G25" s="431" t="s">
        <v>4</v>
      </c>
      <c r="H25" s="432" t="s">
        <v>301</v>
      </c>
      <c r="I25" s="407" t="str">
        <f t="shared" ca="1" si="0"/>
        <v>Eintracht Frankfurt</v>
      </c>
      <c r="J25" s="263" t="s">
        <v>4</v>
      </c>
      <c r="K25" s="264" t="str">
        <f t="shared" ca="1" si="1"/>
        <v>FC Grönlingen</v>
      </c>
      <c r="L25" s="783">
        <v>14</v>
      </c>
      <c r="M25" s="271" t="str">
        <f>Language!$E$99</f>
        <v xml:space="preserve"> - </v>
      </c>
      <c r="N25" s="789">
        <v>25</v>
      </c>
      <c r="O25" s="785">
        <v>25</v>
      </c>
      <c r="P25" s="537" t="str">
        <f>Language!$E$99</f>
        <v xml:space="preserve"> - </v>
      </c>
      <c r="Q25" s="791">
        <v>23</v>
      </c>
      <c r="R25" s="785"/>
      <c r="S25" s="537" t="str">
        <f>Language!$E$99</f>
        <v xml:space="preserve"> - </v>
      </c>
      <c r="T25" s="794"/>
      <c r="U25" s="838">
        <f t="shared" ca="1" si="2"/>
        <v>1</v>
      </c>
      <c r="V25" s="798" t="str">
        <f>Language!$E$99</f>
        <v xml:space="preserve"> - </v>
      </c>
      <c r="W25" s="842">
        <f t="shared" ca="1" si="3"/>
        <v>1</v>
      </c>
      <c r="X25" s="617"/>
      <c r="Y25" s="540"/>
      <c r="AA25" s="1000"/>
      <c r="AB25" s="1001"/>
      <c r="AC25" s="126" t="str">
        <f>Language!$E$21</f>
        <v>Pld</v>
      </c>
      <c r="AD25" s="127" t="str">
        <f>Language!$E$22</f>
        <v>W</v>
      </c>
      <c r="AE25" s="127" t="str">
        <f>Language!$E$23</f>
        <v>D</v>
      </c>
      <c r="AF25" s="404" t="str">
        <f>Language!$E$24</f>
        <v>L</v>
      </c>
      <c r="AG25" s="896" t="str">
        <f>Language!$E$25</f>
        <v>sets</v>
      </c>
      <c r="AH25" s="897"/>
      <c r="AI25" s="898"/>
      <c r="AJ25" s="770" t="str">
        <f>Language!$E$26</f>
        <v>GD</v>
      </c>
      <c r="AK25" s="893" t="str">
        <f>Language!$E$60</f>
        <v>balls</v>
      </c>
      <c r="AL25" s="894"/>
      <c r="AM25" s="895"/>
      <c r="AN25" s="127" t="str">
        <f>IF(Settings!$G$24,Language!$E$26,Language!$E$67)</f>
        <v>Quot.</v>
      </c>
      <c r="AO25" s="129" t="str">
        <f>IF(Settings!$G$9,Language!$E$27,Language!$E$80)</f>
        <v>Setpts.</v>
      </c>
      <c r="AR25" s="410"/>
      <c r="AS25" s="411" t="str">
        <f>Language!$E$10</f>
        <v>Participant or team</v>
      </c>
      <c r="AT25" s="546" t="str">
        <f>Language!$E$49</f>
        <v>Tie break</v>
      </c>
      <c r="AW25" s="7" t="b">
        <f t="shared" ca="1" si="4"/>
        <v>0</v>
      </c>
      <c r="AX25" s="7" t="b">
        <f t="shared" si="5"/>
        <v>0</v>
      </c>
      <c r="AY25" s="7" t="b">
        <f t="shared" si="6"/>
        <v>0</v>
      </c>
      <c r="AZ25" s="7" t="b">
        <f t="shared" si="7"/>
        <v>0</v>
      </c>
      <c r="BA25" s="7" t="b">
        <f t="shared" si="8"/>
        <v>0</v>
      </c>
      <c r="BB25" s="7" t="b">
        <f t="shared" si="9"/>
        <v>0</v>
      </c>
      <c r="BC25" s="7" t="b">
        <f t="shared" si="10"/>
        <v>0</v>
      </c>
    </row>
    <row r="26" spans="2:55" ht="24" customHeight="1" x14ac:dyDescent="0.2">
      <c r="C26" s="313">
        <f t="array" aca="1" ref="C26" ca="1">$C$12+ROW(14:14)-SUM((($I$12:$I25="")+($K$12:$K25="")&gt;0)*1)</f>
        <v>30</v>
      </c>
      <c r="D26" s="277">
        <f t="array" aca="1" ref="D26" ca="1">IF(Planning!$V$15,"",$D$12+QUOTIENT(($C26-$C$12),Planning!$V$11)*(Planning!$S$7+Planning!$S$9)/1440+SUM($Y$12:$Y25)/1440)</f>
        <v>0.54513888888888895</v>
      </c>
      <c r="E26" s="436">
        <f ca="1">IF(Planning!$V$15,"",MOD($C26-$C$12,Planning!$V$11)+1)</f>
        <v>2</v>
      </c>
      <c r="F26" s="430" t="s">
        <v>297</v>
      </c>
      <c r="G26" s="431" t="s">
        <v>4</v>
      </c>
      <c r="H26" s="432" t="s">
        <v>298</v>
      </c>
      <c r="I26" s="408" t="str">
        <f t="shared" ca="1" si="0"/>
        <v>VFB Essenheim</v>
      </c>
      <c r="J26" s="89" t="s">
        <v>4</v>
      </c>
      <c r="K26" s="257" t="str">
        <f t="shared" ca="1" si="1"/>
        <v>Manchester City</v>
      </c>
      <c r="L26" s="783">
        <v>21</v>
      </c>
      <c r="M26" s="271" t="str">
        <f>Language!$E$99</f>
        <v xml:space="preserve"> - </v>
      </c>
      <c r="N26" s="789">
        <v>25</v>
      </c>
      <c r="O26" s="785">
        <v>25</v>
      </c>
      <c r="P26" s="537" t="str">
        <f>Language!$E$99</f>
        <v xml:space="preserve"> - </v>
      </c>
      <c r="Q26" s="791">
        <v>17</v>
      </c>
      <c r="R26" s="785"/>
      <c r="S26" s="537" t="str">
        <f>Language!$E$99</f>
        <v xml:space="preserve"> - </v>
      </c>
      <c r="T26" s="794"/>
      <c r="U26" s="838">
        <f t="shared" ca="1" si="2"/>
        <v>1</v>
      </c>
      <c r="V26" s="798" t="str">
        <f>Language!$E$99</f>
        <v xml:space="preserve"> - </v>
      </c>
      <c r="W26" s="843">
        <f t="shared" ca="1" si="3"/>
        <v>1</v>
      </c>
      <c r="X26" s="617"/>
      <c r="Y26" s="540"/>
      <c r="AA26" s="412">
        <f ca="1">IF(CalcE3!$K$13=0,"",1)</f>
        <v>1</v>
      </c>
      <c r="AB26" s="306" t="str">
        <f ca="1">IF(Calc1!$F$14&lt;3,"",IF(AND(CalcE3!$K$13=0,AS30&lt;&gt;1),CalcE3!$Q$64,VLOOKUP(CalcE3!$B$4,CalcE3!$C$4:$N$12,4,0)))</f>
        <v>FC Barcelona</v>
      </c>
      <c r="AC26" s="413">
        <f ca="1">IF(CalcE3!$K$13=0,"",VLOOKUP(CalcE3!$B$4,CalcE3!$C$4:$N$12,9,0))</f>
        <v>1</v>
      </c>
      <c r="AD26" s="133">
        <f ca="1">IF(CalcE3!$K$13=0,"",VLOOKUP(CalcE3!$B$4,CalcE3!$C$4:$N$12,10,0))</f>
        <v>1</v>
      </c>
      <c r="AE26" s="133">
        <f ca="1">IF(CalcE3!$K$13=0,"",VLOOKUP(CalcE3!$B$4,CalcE3!$C$4:$N$12,11,0))</f>
        <v>0</v>
      </c>
      <c r="AF26" s="133">
        <f ca="1">IF(CalcE3!$K$13=0,"",VLOOKUP(CalcE3!$B$4,CalcE3!$C$4:$N$12,12,0))</f>
        <v>0</v>
      </c>
      <c r="AG26" s="135">
        <f ca="1">IF(CalcE3!$K$13=0,"",VLOOKUP(CalcE3!B4,CalcE3!$C$4:$AT$12,44,0))</f>
        <v>2</v>
      </c>
      <c r="AH26" s="414" t="str">
        <f>Language!$E$99</f>
        <v xml:space="preserve"> - </v>
      </c>
      <c r="AI26" s="137">
        <f ca="1">IF(CalcE3!$K$13=0,"",VLOOKUP(CalcE3!B4,CalcE3!$C$4:$AS$12,43,0))</f>
        <v>1</v>
      </c>
      <c r="AJ26" s="134">
        <f ca="1">IF(CalcE3!$K$13=0,"",AG26-AI26)</f>
        <v>1</v>
      </c>
      <c r="AK26" s="135">
        <f ca="1">IF(CalcE3!$K$13=0,"",VLOOKUP(CalcE3!$B$4,CalcE3!$C$4:$N$12,5,0))</f>
        <v>70</v>
      </c>
      <c r="AL26" s="414" t="str">
        <f>Language!$E$99</f>
        <v xml:space="preserve"> - </v>
      </c>
      <c r="AM26" s="137">
        <f ca="1">IF(CalcE3!$K$13=0,"",VLOOKUP(CalcE3!$B$4,CalcE3!$C$4:$N$12,6,0))</f>
        <v>65</v>
      </c>
      <c r="AN26" s="133">
        <f ca="1">IF(CalcE3!$K$13=0,"",IF(VLOOKUP(CalcE3!B4,CalcE3!$C$4:$AV$12,46,0)=Settings!$F$24,"max",VLOOKUP(CalcE3!B4,CalcE3!$C$4:$AV$12,46,0)))</f>
        <v>1.077</v>
      </c>
      <c r="AO26" s="138">
        <f ca="1">IF(CalcE3!$K$13=0,"",VLOOKUP(CalcE3!B4,CalcE3!$C$4:$AT$12,Settings!$H$9,0))</f>
        <v>2</v>
      </c>
      <c r="AR26" s="533" t="s">
        <v>302</v>
      </c>
      <c r="AS26" s="415" t="str">
        <f ca="1">IF(PreliminaryRound!$X$16="","",PreliminaryRound!$X$16)</f>
        <v>FC Barcelona</v>
      </c>
      <c r="AT26" s="547">
        <f ca="1">IF($AS26="",0,COUNTIF(Playoffs!$U$25:$U$30,$AS26))</f>
        <v>0</v>
      </c>
      <c r="AU26" s="805"/>
      <c r="AW26" s="7" t="b">
        <f t="shared" ca="1" si="4"/>
        <v>0</v>
      </c>
      <c r="AX26" s="7" t="b">
        <f t="shared" si="5"/>
        <v>0</v>
      </c>
      <c r="AY26" s="7" t="b">
        <f t="shared" si="6"/>
        <v>0</v>
      </c>
      <c r="AZ26" s="7" t="b">
        <f t="shared" si="7"/>
        <v>0</v>
      </c>
      <c r="BA26" s="7" t="b">
        <f t="shared" si="8"/>
        <v>0</v>
      </c>
      <c r="BB26" s="7" t="b">
        <f t="shared" si="9"/>
        <v>0</v>
      </c>
      <c r="BC26" s="7" t="b">
        <f t="shared" si="10"/>
        <v>0</v>
      </c>
    </row>
    <row r="27" spans="2:55" ht="24" customHeight="1" x14ac:dyDescent="0.2">
      <c r="C27" s="313">
        <f t="array" aca="1" ref="C27" ca="1">$C$12+ROW(15:15)-SUM((($I$12:$I26="")+($K$12:$K26="")&gt;0)*1)</f>
        <v>31</v>
      </c>
      <c r="D27" s="277">
        <f t="array" aca="1" ref="D27" ca="1">IF(Planning!$V$15,"",$D$12+QUOTIENT(($C27-$C$12),Planning!$V$11)*(Planning!$S$7+Planning!$S$9)/1440+SUM($Y$12:$Y26)/1440)</f>
        <v>0.54513888888888895</v>
      </c>
      <c r="E27" s="273">
        <f ca="1">IF(Planning!$V$15,"",MOD($C27-$C$12,Planning!$V$11)+1)</f>
        <v>3</v>
      </c>
      <c r="F27" s="430" t="s">
        <v>302</v>
      </c>
      <c r="G27" s="431" t="s">
        <v>4</v>
      </c>
      <c r="H27" s="432" t="s">
        <v>303</v>
      </c>
      <c r="I27" s="407" t="str">
        <f t="shared" ca="1" si="0"/>
        <v>FC Barcelona</v>
      </c>
      <c r="J27" s="263" t="s">
        <v>4</v>
      </c>
      <c r="K27" s="264" t="str">
        <f t="shared" ca="1" si="1"/>
        <v>Mainz 05</v>
      </c>
      <c r="L27" s="783">
        <v>20</v>
      </c>
      <c r="M27" s="271" t="str">
        <f>Language!$E$99</f>
        <v xml:space="preserve"> - </v>
      </c>
      <c r="N27" s="789">
        <v>25</v>
      </c>
      <c r="O27" s="785">
        <v>25</v>
      </c>
      <c r="P27" s="537" t="str">
        <f>Language!$E$99</f>
        <v xml:space="preserve"> - </v>
      </c>
      <c r="Q27" s="791">
        <v>18</v>
      </c>
      <c r="R27" s="785">
        <v>25</v>
      </c>
      <c r="S27" s="537" t="str">
        <f>Language!$E$99</f>
        <v xml:space="preserve"> - </v>
      </c>
      <c r="T27" s="794">
        <v>22</v>
      </c>
      <c r="U27" s="838">
        <f ca="1">IF(AW27,"",(L27&lt;&gt;"")*(N27&lt;&gt;"")*NOT(AX27)*((L27&gt;N27)+(L27=N27)*0.5)+(O27&lt;&gt;"")*(Q27&lt;&gt;"")*NOT(AY27)*((O27&gt;Q27)+(O27=Q27)*0.5)+(R27&lt;&gt;"")*(T27&lt;&gt;"")*NOT(AZ27)*((R27&gt;T27)+(R27=T27)*0.5))</f>
        <v>2</v>
      </c>
      <c r="V27" s="798" t="str">
        <f>Language!$E$99</f>
        <v xml:space="preserve"> - </v>
      </c>
      <c r="W27" s="843">
        <f t="shared" ca="1" si="3"/>
        <v>1</v>
      </c>
      <c r="X27" s="617"/>
      <c r="Y27" s="540"/>
      <c r="AA27" s="416">
        <f ca="1">IF(CalcE3!$K$13=0,"",IF(VLOOKUP(CalcE3!$B$5,CalcE3!$C$4:$E$12,3,0)=MAX($AA26:$AA26),VLOOKUP(CalcE3!$B$5,CalcE3!$C$4:$E$12,3,0),CalcE3!$B$5))</f>
        <v>2</v>
      </c>
      <c r="AB27" s="308" t="str">
        <f ca="1">IF(OR(Calc1!$F$14&lt;3,AS30=1),"",IF(CalcE3!$K$13=0,CalcE3!$Q$65,VLOOKUP(CalcE3!$B$5,CalcE3!$C$4:$N$12,4,0)))</f>
        <v>Mainz 05</v>
      </c>
      <c r="AC27" s="148">
        <f ca="1">IF(CalcE3!$K$13=0,"",VLOOKUP(CalcE3!$B$5,CalcE3!$C$4:$N$12,9,0))</f>
        <v>1</v>
      </c>
      <c r="AD27" s="123">
        <f ca="1">IF(CalcE3!$K$13=0,"",VLOOKUP(CalcE3!$B$5,CalcE3!$C$4:$N$12,10,0))</f>
        <v>0</v>
      </c>
      <c r="AE27" s="123">
        <f ca="1">IF(CalcE3!$K$13=0,"",VLOOKUP(CalcE3!$B$5,CalcE3!$C$4:$N$12,11,0))</f>
        <v>0</v>
      </c>
      <c r="AF27" s="123">
        <f ca="1">IF(CalcE3!$K$13=0,"",VLOOKUP(CalcE3!$B$5,CalcE3!$C$4:$N$12,12,0))</f>
        <v>1</v>
      </c>
      <c r="AG27" s="144">
        <f ca="1">IF(CalcE3!$K$13=0,"",VLOOKUP(CalcE3!B5,CalcE3!$C$4:$AT$12,44,0))</f>
        <v>1</v>
      </c>
      <c r="AH27" s="417" t="str">
        <f>Language!$E$99</f>
        <v xml:space="preserve"> - </v>
      </c>
      <c r="AI27" s="146">
        <f ca="1">IF(CalcE3!$K$13=0,"",VLOOKUP(CalcE3!B5,CalcE3!$C$4:$AS$12,43,0))</f>
        <v>2</v>
      </c>
      <c r="AJ27" s="143">
        <f ca="1">IF(CalcE3!$K$13=0,"",AG27-AI27)</f>
        <v>-1</v>
      </c>
      <c r="AK27" s="144">
        <f ca="1">IF(CalcE3!$K$13=0,"",VLOOKUP(CalcE3!$B$5,CalcE3!$C$4:$N$12,5,0))</f>
        <v>65</v>
      </c>
      <c r="AL27" s="417" t="str">
        <f>Language!$E$99</f>
        <v xml:space="preserve"> - </v>
      </c>
      <c r="AM27" s="146">
        <f ca="1">IF(CalcE3!$K$13=0,"",VLOOKUP(CalcE3!$B$5,CalcE3!$C$4:$N$12,6,0))</f>
        <v>70</v>
      </c>
      <c r="AN27" s="123">
        <f ca="1">IF(CalcE3!$K$13=0,"",IF(VLOOKUP(CalcE3!B5,CalcE3!$C$4:$AV$12,46,0)=Settings!$F$24,"max",VLOOKUP(CalcE3!B5,CalcE3!$C$4:$AV$12,46,0)))</f>
        <v>0.92900000000000005</v>
      </c>
      <c r="AO27" s="147">
        <f ca="1">IF(CalcE3!$K$13=0,"",VLOOKUP(CalcE3!B5,CalcE3!$C$4:$AT$12,Settings!$H$9,0))</f>
        <v>1</v>
      </c>
      <c r="AR27" s="418" t="s">
        <v>303</v>
      </c>
      <c r="AS27" s="419" t="str">
        <f ca="1">IF(PreliminaryRound!$X$26="","",PreliminaryRound!$X$26)</f>
        <v>Mainz 05</v>
      </c>
      <c r="AT27" s="547">
        <f ca="1">IF($AS27="",0,COUNTIF(Playoffs!$U$25:$U$30,$AS27))</f>
        <v>0</v>
      </c>
      <c r="AU27" s="806"/>
      <c r="AW27" s="7" t="b">
        <f t="shared" ca="1" si="4"/>
        <v>0</v>
      </c>
      <c r="AX27" s="7" t="b">
        <f t="shared" si="5"/>
        <v>0</v>
      </c>
      <c r="AY27" s="7" t="b">
        <f t="shared" si="6"/>
        <v>0</v>
      </c>
      <c r="AZ27" s="7" t="b">
        <f t="shared" si="7"/>
        <v>0</v>
      </c>
      <c r="BA27" s="7" t="b">
        <f t="shared" si="8"/>
        <v>0</v>
      </c>
      <c r="BB27" s="7" t="b">
        <f t="shared" si="9"/>
        <v>0</v>
      </c>
      <c r="BC27" s="7" t="b">
        <f t="shared" si="10"/>
        <v>0</v>
      </c>
    </row>
    <row r="28" spans="2:55" ht="24" customHeight="1" thickBot="1" x14ac:dyDescent="0.25">
      <c r="C28" s="313">
        <f t="array" aca="1" ref="C28" ca="1">$C$12+ROW(16:16)-SUM((($I$12:$I27="")+($K$12:$K27="")&gt;0)*1)</f>
        <v>32</v>
      </c>
      <c r="D28" s="277">
        <f t="array" aca="1" ref="D28" ca="1">IF(Planning!$V$15,"",$D$12+QUOTIENT(($C28-$C$12),Planning!$V$11)*(Planning!$S$7+Planning!$S$9)/1440+SUM($Y$12:$Y27)/1440)</f>
        <v>0.54513888888888895</v>
      </c>
      <c r="E28" s="436">
        <f ca="1">IF(Planning!$V$15,"",MOD($C28-$C$12,Planning!$V$11)+1)</f>
        <v>4</v>
      </c>
      <c r="F28" s="430" t="s">
        <v>288</v>
      </c>
      <c r="G28" s="431" t="s">
        <v>4</v>
      </c>
      <c r="H28" s="432" t="s">
        <v>299</v>
      </c>
      <c r="I28" s="408" t="str">
        <f t="shared" ca="1" si="0"/>
        <v>1. FC Riedwald</v>
      </c>
      <c r="J28" s="89" t="s">
        <v>4</v>
      </c>
      <c r="K28" s="257" t="str">
        <f t="shared" ca="1" si="1"/>
        <v>SSV Wildbach</v>
      </c>
      <c r="L28" s="783">
        <v>25</v>
      </c>
      <c r="M28" s="271" t="str">
        <f>Language!$E$99</f>
        <v xml:space="preserve"> - </v>
      </c>
      <c r="N28" s="789">
        <v>20</v>
      </c>
      <c r="O28" s="783">
        <v>25</v>
      </c>
      <c r="P28" s="536" t="str">
        <f>Language!$E$99</f>
        <v xml:space="preserve"> - </v>
      </c>
      <c r="Q28" s="789">
        <v>19</v>
      </c>
      <c r="R28" s="783"/>
      <c r="S28" s="536" t="str">
        <f>Language!$E$99</f>
        <v xml:space="preserve"> - </v>
      </c>
      <c r="T28" s="793"/>
      <c r="U28" s="838">
        <f t="shared" ca="1" si="2"/>
        <v>2</v>
      </c>
      <c r="V28" s="798" t="str">
        <f>Language!$E$99</f>
        <v xml:space="preserve"> - </v>
      </c>
      <c r="W28" s="843">
        <f t="shared" ca="1" si="3"/>
        <v>0</v>
      </c>
      <c r="X28" s="616"/>
      <c r="Y28" s="540"/>
      <c r="AA28" s="416">
        <f ca="1">IF(CalcE3!$K$13=0,"",IF(VLOOKUP(CalcE3!$B$6,CalcE3!$C$4:$E$12,3,0)=MAX($AA26:$AA27),VLOOKUP(CalcE3!$B$6,CalcE3!$C$4:$E$12,3,0),CalcE3!$B$6))</f>
        <v>3</v>
      </c>
      <c r="AB28" s="308" t="str">
        <f ca="1">IF(OR(Calc1!$F$14&lt;3,AS30=1),"",IF(CalcE3!$K$13=0,CalcE3!$Q$66,VLOOKUP(CalcE3!$B$6,CalcE3!$C$4:$N$12,4,0)))</f>
        <v/>
      </c>
      <c r="AC28" s="148">
        <f ca="1">IF(CalcE3!$K$13=0,"",VLOOKUP(CalcE3!$B$6,CalcE3!$C$4:$N$12,9,0))</f>
        <v>0</v>
      </c>
      <c r="AD28" s="123">
        <f ca="1">IF(CalcE3!$K$13=0,"",VLOOKUP(CalcE3!$B$6,CalcE3!$C$4:$N$12,10,0))</f>
        <v>0</v>
      </c>
      <c r="AE28" s="123">
        <f ca="1">IF(CalcE3!$K$13=0,"",VLOOKUP(CalcE3!$B$6,CalcE3!$C$4:$N$12,11,0))</f>
        <v>0</v>
      </c>
      <c r="AF28" s="123">
        <f ca="1">IF(CalcE3!$K$13=0,"",VLOOKUP(CalcE3!$B$6,CalcE3!$C$4:$N$12,12,0))</f>
        <v>0</v>
      </c>
      <c r="AG28" s="144">
        <f ca="1">IF(CalcE3!$K$13=0,"",VLOOKUP(CalcE3!B6,CalcE3!$C$4:$AT$12,44,0))</f>
        <v>0</v>
      </c>
      <c r="AH28" s="417" t="str">
        <f>Language!$E$99</f>
        <v xml:space="preserve"> - </v>
      </c>
      <c r="AI28" s="146">
        <f ca="1">IF(CalcE3!$K$13=0,"",VLOOKUP(CalcE3!B6,CalcE3!$C$4:$AS$12,43,0))</f>
        <v>0</v>
      </c>
      <c r="AJ28" s="143">
        <f ca="1">IF(CalcE3!$K$13=0,"",AG28-AI28)</f>
        <v>0</v>
      </c>
      <c r="AK28" s="144">
        <f ca="1">IF(CalcE3!$K$13=0,"",VLOOKUP(CalcE3!$B$6,CalcE3!$C$4:$N$12,5,0))</f>
        <v>0</v>
      </c>
      <c r="AL28" s="417" t="str">
        <f>Language!$E$99</f>
        <v xml:space="preserve"> - </v>
      </c>
      <c r="AM28" s="146">
        <f ca="1">IF(CalcE3!$K$13=0,"",VLOOKUP(CalcE3!$B$6,CalcE3!$C$4:$N$12,6,0))</f>
        <v>0</v>
      </c>
      <c r="AN28" s="123">
        <f ca="1">IF(CalcE3!$K$13=0,"",IF(VLOOKUP(CalcE3!B6,CalcE3!$C$4:$AV$12,46,0)=Settings!$F$24,"max",VLOOKUP(CalcE3!B6,CalcE3!$C$4:$AV$12,46,0)))</f>
        <v>0</v>
      </c>
      <c r="AO28" s="147">
        <f ca="1">IF(CalcE3!$K$13=0,"",VLOOKUP(CalcE3!B6,CalcE3!$C$4:$AT$12,Settings!$H$9,0))</f>
        <v>0</v>
      </c>
      <c r="AR28" s="534" t="s">
        <v>304</v>
      </c>
      <c r="AS28" s="419" t="str">
        <f ca="1">IF(PreliminaryRound!$X$17="","",PreliminaryRound!$X$17)</f>
        <v/>
      </c>
      <c r="AT28" s="547">
        <f ca="1">IF($AS28="",0,COUNTIF(Playoffs!$U$25:$U$30,$AS28))</f>
        <v>0</v>
      </c>
      <c r="AU28" s="806"/>
      <c r="AW28" s="7" t="b">
        <f t="shared" ca="1" si="4"/>
        <v>0</v>
      </c>
      <c r="AX28" s="7" t="b">
        <f t="shared" si="5"/>
        <v>0</v>
      </c>
      <c r="AY28" s="7" t="b">
        <f t="shared" si="6"/>
        <v>0</v>
      </c>
      <c r="AZ28" s="7" t="b">
        <f t="shared" si="7"/>
        <v>0</v>
      </c>
      <c r="BA28" s="7" t="b">
        <f t="shared" si="8"/>
        <v>0</v>
      </c>
      <c r="BB28" s="7" t="b">
        <f t="shared" si="9"/>
        <v>0</v>
      </c>
      <c r="BC28" s="7" t="b">
        <f t="shared" si="10"/>
        <v>0</v>
      </c>
    </row>
    <row r="29" spans="2:55" ht="24" customHeight="1" thickBot="1" x14ac:dyDescent="0.25">
      <c r="C29" s="314">
        <f t="array" aca="1" ref="C29" ca="1">$C$12+ROW(17:17)-SUM((($I$12:$I28="")+($K$12:$K28="")&gt;0)*1)</f>
        <v>33</v>
      </c>
      <c r="D29" s="278">
        <f t="array" aca="1" ref="D29" ca="1">IF(Planning!$V$15,"",$D$12+QUOTIENT(($C29-$C$12),Planning!$V$11)*(Planning!$S$7+Planning!$S$9)/1440+SUM($Y$12:$Y28)/1440)</f>
        <v>0.56944444444444442</v>
      </c>
      <c r="E29" s="274">
        <f ca="1">IF(Planning!$V$15,"",MOD($C29-$C$12,Planning!$V$11)+1)</f>
        <v>1</v>
      </c>
      <c r="F29" s="433" t="s">
        <v>296</v>
      </c>
      <c r="G29" s="434" t="s">
        <v>4</v>
      </c>
      <c r="H29" s="435" t="s">
        <v>289</v>
      </c>
      <c r="I29" s="437" t="str">
        <f t="shared" ca="1" si="0"/>
        <v>Maibach 1822 eV</v>
      </c>
      <c r="J29" s="438" t="s">
        <v>4</v>
      </c>
      <c r="K29" s="439" t="str">
        <f t="shared" ca="1" si="1"/>
        <v>Inter Mailand</v>
      </c>
      <c r="L29" s="784">
        <v>25</v>
      </c>
      <c r="M29" s="298" t="str">
        <f>Language!$E$99</f>
        <v xml:space="preserve"> - </v>
      </c>
      <c r="N29" s="790">
        <v>13</v>
      </c>
      <c r="O29" s="784">
        <v>25</v>
      </c>
      <c r="P29" s="551" t="str">
        <f>Language!$E$99</f>
        <v xml:space="preserve"> - </v>
      </c>
      <c r="Q29" s="790">
        <v>20</v>
      </c>
      <c r="R29" s="784"/>
      <c r="S29" s="551" t="str">
        <f>Language!$E$99</f>
        <v xml:space="preserve"> - </v>
      </c>
      <c r="T29" s="811"/>
      <c r="U29" s="840">
        <f t="shared" ca="1" si="2"/>
        <v>2</v>
      </c>
      <c r="V29" s="799" t="str">
        <f>Language!$E$99</f>
        <v xml:space="preserve"> - </v>
      </c>
      <c r="W29" s="844">
        <f t="shared" ca="1" si="3"/>
        <v>0</v>
      </c>
      <c r="X29" s="618"/>
      <c r="Y29" s="541"/>
      <c r="AA29" s="420">
        <f ca="1">IF(CalcE3!$K$13=0,"",IF(VLOOKUP(CalcE3!$B$7,CalcE3!$C$4:$E$12,3,0)=MAX($AA26:$AA28),VLOOKUP(CalcE3!$B$7,CalcE3!$C$4:$E$12,3,0),CalcE3!$B$7))</f>
        <v>3</v>
      </c>
      <c r="AB29" s="310" t="str">
        <f ca="1">IF(OR(Calc1!$F$14&lt;3,AS30=1),"",IF(CalcE3!$K$13=0,CalcE3!$Q$67,VLOOKUP(CalcE3!$B$7,CalcE3!$C$4:$N$12,4,0)))</f>
        <v/>
      </c>
      <c r="AC29" s="159">
        <f ca="1">IF(CalcE3!$K$13=0,"",VLOOKUP(CalcE3!$B$7,CalcE3!$C$4:$N$12,9,0))</f>
        <v>0</v>
      </c>
      <c r="AD29" s="153">
        <f ca="1">IF(CalcE3!$K$13=0,"",VLOOKUP(CalcE3!$B$7,CalcE3!$C$4:$N$12,10,0))</f>
        <v>0</v>
      </c>
      <c r="AE29" s="153">
        <f ca="1">IF(CalcE3!$K$13=0,"",VLOOKUP(CalcE3!$B$7,CalcE3!$C$4:$N$12,11,0))</f>
        <v>0</v>
      </c>
      <c r="AF29" s="153">
        <f ca="1">IF(CalcE3!$K$13=0,"",VLOOKUP(CalcE3!$B$7,CalcE3!$C$4:$N$12,12,0))</f>
        <v>0</v>
      </c>
      <c r="AG29" s="155">
        <f ca="1">IF(CalcE3!$K$13=0,"",VLOOKUP(CalcE3!B7,CalcE3!$C$4:$AT$12,44,0))</f>
        <v>0</v>
      </c>
      <c r="AH29" s="421" t="str">
        <f>Language!$E$99</f>
        <v xml:space="preserve"> - </v>
      </c>
      <c r="AI29" s="157">
        <f ca="1">IF(CalcE3!$K$13=0,"",VLOOKUP(CalcE3!B7,CalcE3!$C$4:$AS$12,43,0))</f>
        <v>0</v>
      </c>
      <c r="AJ29" s="154">
        <f ca="1">IF(CalcE3!$K$13=0,"",AG29-AI29)</f>
        <v>0</v>
      </c>
      <c r="AK29" s="155">
        <f ca="1">IF(CalcE3!$K$13=0,"",VLOOKUP(CalcE3!$B$7,CalcE3!$C$4:$N$12,5,0))</f>
        <v>0</v>
      </c>
      <c r="AL29" s="421" t="str">
        <f>Language!$E$99</f>
        <v xml:space="preserve"> - </v>
      </c>
      <c r="AM29" s="157">
        <f ca="1">IF(CalcE3!$K$13=0,"",VLOOKUP(CalcE3!$B$7,CalcE3!$C$4:$N$12,6,0))</f>
        <v>0</v>
      </c>
      <c r="AN29" s="153">
        <f ca="1">IF(CalcE3!$K$13=0,"",IF(VLOOKUP(CalcE3!B7,CalcE3!$C$4:$AV$12,46,0)=Settings!$F$24,"max",VLOOKUP(CalcE3!B7,CalcE3!$C$4:$AV$12,46,0)))</f>
        <v>0</v>
      </c>
      <c r="AO29" s="158">
        <f ca="1">IF(CalcE3!$K$13=0,"",VLOOKUP(CalcE3!B7,CalcE3!$C$4:$AT$12,Settings!$H$9,0))</f>
        <v>0</v>
      </c>
      <c r="AR29" s="422" t="s">
        <v>305</v>
      </c>
      <c r="AS29" s="423" t="str">
        <f ca="1">IF(PreliminaryRound!$X$27="","",PreliminaryRound!$X$27)</f>
        <v/>
      </c>
      <c r="AT29" s="547">
        <f ca="1">IF($AS29="",0,COUNTIF(Playoffs!$U$25:$U$30,$AS29))</f>
        <v>0</v>
      </c>
      <c r="AU29" s="807"/>
      <c r="AW29" s="7" t="b">
        <f t="shared" ca="1" si="4"/>
        <v>0</v>
      </c>
      <c r="AX29" s="7" t="b">
        <f t="shared" si="5"/>
        <v>0</v>
      </c>
      <c r="AY29" s="7" t="b">
        <f t="shared" si="6"/>
        <v>0</v>
      </c>
      <c r="AZ29" s="7" t="b">
        <f t="shared" si="7"/>
        <v>0</v>
      </c>
      <c r="BA29" s="7" t="b">
        <f t="shared" si="8"/>
        <v>0</v>
      </c>
      <c r="BB29" s="7" t="b">
        <f t="shared" si="9"/>
        <v>0</v>
      </c>
      <c r="BC29" s="7" t="b">
        <f t="shared" si="10"/>
        <v>0</v>
      </c>
    </row>
    <row r="30" spans="2:55" ht="24" customHeight="1" thickTop="1" x14ac:dyDescent="0.2">
      <c r="AS30" s="448">
        <f t="array" aca="1" ref="AS30" ca="1">SUM((AS26:AS29&lt;&gt;"")*1)</f>
        <v>2</v>
      </c>
    </row>
    <row r="31" spans="2:55" ht="24" customHeight="1" x14ac:dyDescent="0.2">
      <c r="C31" s="282"/>
      <c r="D31" s="282"/>
      <c r="E31" s="282"/>
      <c r="F31" s="282"/>
      <c r="G31" s="282"/>
      <c r="H31" s="282"/>
      <c r="I31" s="959" t="str">
        <f>Language!$E$29</f>
        <v>Tournament end:</v>
      </c>
      <c r="J31" s="959"/>
      <c r="K31" s="283">
        <f ca="1">IF(Planning!$S$13="","",$D$29+Planning!$S$7/1440)</f>
        <v>0.59027777777777779</v>
      </c>
      <c r="L31" s="284"/>
      <c r="M31" s="284"/>
      <c r="N31" s="284"/>
      <c r="O31" s="284"/>
      <c r="P31" s="284"/>
      <c r="Q31" s="284"/>
      <c r="R31" s="284"/>
      <c r="S31" s="284"/>
      <c r="T31" s="284"/>
      <c r="U31" s="284"/>
      <c r="V31" s="284"/>
      <c r="W31" s="284"/>
      <c r="X31" s="284"/>
      <c r="Y31" s="284"/>
    </row>
    <row r="32" spans="2:55" ht="24" customHeight="1" thickBot="1" x14ac:dyDescent="0.25">
      <c r="D32" s="280"/>
    </row>
    <row r="33" spans="5:28" ht="24" customHeight="1" thickBot="1" x14ac:dyDescent="0.25">
      <c r="F33" s="424"/>
      <c r="G33" s="425"/>
      <c r="H33" s="812" t="str">
        <f>Language!$E$107</f>
        <v>Rank</v>
      </c>
      <c r="I33" s="994" t="str">
        <f>"  "&amp;Language!$E$10</f>
        <v xml:space="preserve">  Participant or team</v>
      </c>
      <c r="J33" s="995"/>
      <c r="K33" s="996"/>
    </row>
    <row r="34" spans="5:28" ht="24" customHeight="1" thickTop="1" x14ac:dyDescent="0.2">
      <c r="E34" s="281">
        <v>1</v>
      </c>
      <c r="F34" s="426"/>
      <c r="G34" s="426"/>
      <c r="H34" s="325">
        <v>1</v>
      </c>
      <c r="I34" s="950" t="str">
        <f ca="1">IF(CalcE1!$K$13=0,"",$AB$12)</f>
        <v>Manchester City</v>
      </c>
      <c r="J34" s="950"/>
      <c r="K34" s="951"/>
    </row>
    <row r="35" spans="5:28" ht="24" customHeight="1" x14ac:dyDescent="0.2">
      <c r="E35" s="281">
        <v>2</v>
      </c>
      <c r="F35" s="426"/>
      <c r="G35" s="426"/>
      <c r="H35" s="326">
        <v>2</v>
      </c>
      <c r="I35" s="952" t="str">
        <f ca="1">IF(CalcE1!$K$13=0,"",$AB$13)</f>
        <v>VFB Essenheim</v>
      </c>
      <c r="J35" s="952"/>
      <c r="K35" s="953"/>
    </row>
    <row r="36" spans="5:28" ht="24" customHeight="1" x14ac:dyDescent="0.2">
      <c r="E36" s="281">
        <v>3</v>
      </c>
      <c r="F36" s="426"/>
      <c r="G36" s="426"/>
      <c r="H36" s="327">
        <v>3</v>
      </c>
      <c r="I36" s="954" t="str">
        <f ca="1">IF(CalcE1!$K$13=0,"",$AB$14)</f>
        <v>Inter Mailand</v>
      </c>
      <c r="J36" s="954"/>
      <c r="K36" s="955"/>
    </row>
    <row r="37" spans="5:28" ht="24" customHeight="1" x14ac:dyDescent="0.2">
      <c r="E37" s="281">
        <v>4</v>
      </c>
      <c r="F37" s="426"/>
      <c r="G37" s="426"/>
      <c r="H37" s="328">
        <v>4</v>
      </c>
      <c r="I37" s="948" t="str">
        <f ca="1">IF(CalcE1!$K$13=0,"",$AB$15)</f>
        <v>Maibach 1822 eV</v>
      </c>
      <c r="J37" s="948"/>
      <c r="K37" s="949"/>
    </row>
    <row r="38" spans="5:28" ht="24" customHeight="1" x14ac:dyDescent="0.2">
      <c r="E38" s="281">
        <v>5</v>
      </c>
      <c r="F38" s="426"/>
      <c r="G38" s="426"/>
      <c r="H38" s="328">
        <v>5</v>
      </c>
      <c r="I38" s="948" t="str">
        <f ca="1">IF(AND(CalcE2!$K$13=0,CalcE2!$F$13&lt;&gt;1),"",$AB$19)</f>
        <v>1. FC Riedwald</v>
      </c>
      <c r="J38" s="948"/>
      <c r="K38" s="949"/>
    </row>
    <row r="39" spans="5:28" ht="24" customHeight="1" x14ac:dyDescent="0.2">
      <c r="E39" s="281">
        <v>6</v>
      </c>
      <c r="F39" s="426"/>
      <c r="G39" s="426"/>
      <c r="H39" s="328">
        <v>6</v>
      </c>
      <c r="I39" s="948" t="str">
        <f ca="1">IF(CalcE2!$K$13=0,"",$AB$20)</f>
        <v>FC Grönlingen</v>
      </c>
      <c r="J39" s="948"/>
      <c r="K39" s="949"/>
    </row>
    <row r="40" spans="5:28" ht="24" customHeight="1" x14ac:dyDescent="0.2">
      <c r="E40" s="281">
        <v>7</v>
      </c>
      <c r="F40" s="426"/>
      <c r="G40" s="426"/>
      <c r="H40" s="328">
        <v>7</v>
      </c>
      <c r="I40" s="948" t="str">
        <f ca="1">IF(CalcE2!$K$13=0,"",$AB$21)</f>
        <v>SSV Wildbach</v>
      </c>
      <c r="J40" s="948"/>
      <c r="K40" s="949"/>
      <c r="AB40" s="440"/>
    </row>
    <row r="41" spans="5:28" ht="24" customHeight="1" x14ac:dyDescent="0.2">
      <c r="E41" s="281">
        <v>8</v>
      </c>
      <c r="F41" s="426"/>
      <c r="G41" s="426"/>
      <c r="H41" s="328">
        <v>8</v>
      </c>
      <c r="I41" s="948" t="str">
        <f ca="1">IF(CalcE2!$K$13=0,"",$AB$22)</f>
        <v>Eintracht Frankfurt</v>
      </c>
      <c r="J41" s="948"/>
      <c r="K41" s="949"/>
    </row>
    <row r="42" spans="5:28" ht="24" customHeight="1" x14ac:dyDescent="0.2">
      <c r="E42" s="281">
        <v>9</v>
      </c>
      <c r="F42" s="426"/>
      <c r="G42" s="426"/>
      <c r="H42" s="328">
        <v>9</v>
      </c>
      <c r="I42" s="948" t="str">
        <f ca="1">IF(AND(CalcE3!$K$13=0,CalcE3!$F$13&lt;&gt;1),"",$AB$26)</f>
        <v>FC Barcelona</v>
      </c>
      <c r="J42" s="948"/>
      <c r="K42" s="949"/>
    </row>
    <row r="43" spans="5:28" ht="24" customHeight="1" x14ac:dyDescent="0.2">
      <c r="E43" s="281">
        <v>10</v>
      </c>
      <c r="F43" s="426"/>
      <c r="G43" s="426"/>
      <c r="H43" s="328">
        <v>10</v>
      </c>
      <c r="I43" s="948" t="str">
        <f ca="1">IF(CalcE3!$K$13=0,"",$AB$27)</f>
        <v>Mainz 05</v>
      </c>
      <c r="J43" s="948"/>
      <c r="K43" s="949"/>
    </row>
    <row r="44" spans="5:28" ht="24" customHeight="1" x14ac:dyDescent="0.2">
      <c r="E44" s="281">
        <v>11</v>
      </c>
      <c r="F44" s="426"/>
      <c r="G44" s="426"/>
      <c r="H44" s="328">
        <v>11</v>
      </c>
      <c r="I44" s="948" t="str">
        <f ca="1">IF(CalcE3!$K$13=0,"",$AB$28)</f>
        <v/>
      </c>
      <c r="J44" s="948"/>
      <c r="K44" s="949"/>
    </row>
    <row r="45" spans="5:28" ht="24" customHeight="1" thickBot="1" x14ac:dyDescent="0.25">
      <c r="E45" s="281">
        <v>12</v>
      </c>
      <c r="F45" s="426"/>
      <c r="G45" s="426"/>
      <c r="H45" s="329">
        <v>12</v>
      </c>
      <c r="I45" s="944" t="str">
        <f ca="1">IF(CalcE3!$K$13=0,"",$AB$29)</f>
        <v/>
      </c>
      <c r="J45" s="944"/>
      <c r="K45" s="945"/>
    </row>
    <row r="46" spans="5:28" ht="24" customHeight="1" thickTop="1" x14ac:dyDescent="0.2"/>
    <row r="47" spans="5:28" ht="12.75" customHeight="1" x14ac:dyDescent="0.2"/>
  </sheetData>
  <sheetProtection sheet="1" selectLockedCells="1"/>
  <mergeCells count="41">
    <mergeCell ref="AR24:AT24"/>
    <mergeCell ref="AA25:AB25"/>
    <mergeCell ref="AK25:AM25"/>
    <mergeCell ref="R11:T11"/>
    <mergeCell ref="U11:W11"/>
    <mergeCell ref="AG11:AI11"/>
    <mergeCell ref="J2:AC2"/>
    <mergeCell ref="J3:AC3"/>
    <mergeCell ref="J4:AC4"/>
    <mergeCell ref="J5:AC5"/>
    <mergeCell ref="L7:AA8"/>
    <mergeCell ref="I31:J31"/>
    <mergeCell ref="Y10:Y11"/>
    <mergeCell ref="AA10:AF10"/>
    <mergeCell ref="AA11:AB11"/>
    <mergeCell ref="AK11:AM11"/>
    <mergeCell ref="AA18:AB18"/>
    <mergeCell ref="AK18:AM18"/>
    <mergeCell ref="AA24:AF24"/>
    <mergeCell ref="AG18:AI18"/>
    <mergeCell ref="AG25:AI25"/>
    <mergeCell ref="C10:F10"/>
    <mergeCell ref="I11:K11"/>
    <mergeCell ref="L11:N11"/>
    <mergeCell ref="AA17:AF17"/>
    <mergeCell ref="AR17:AT17"/>
    <mergeCell ref="O11:Q11"/>
    <mergeCell ref="AR10:AT10"/>
    <mergeCell ref="I42:K42"/>
    <mergeCell ref="I43:K43"/>
    <mergeCell ref="I44:K44"/>
    <mergeCell ref="I45:K45"/>
    <mergeCell ref="I38:K38"/>
    <mergeCell ref="I41:K41"/>
    <mergeCell ref="I40:K40"/>
    <mergeCell ref="I39:K39"/>
    <mergeCell ref="I37:K37"/>
    <mergeCell ref="I36:K36"/>
    <mergeCell ref="I35:K35"/>
    <mergeCell ref="I34:K34"/>
    <mergeCell ref="I33:K33"/>
  </mergeCells>
  <conditionalFormatting sqref="AA12:AO15 AA19:AO22 AA26:AO29">
    <cfRule type="expression" dxfId="13" priority="18">
      <formula>$AB12=""</formula>
    </cfRule>
    <cfRule type="expression" dxfId="12" priority="19">
      <formula>OR(AND($AA12=$AA11,$AB11&lt;&gt;""),AND($AA12=$AA13,$AB13&lt;&gt;""))</formula>
    </cfRule>
  </conditionalFormatting>
  <conditionalFormatting sqref="C12:W29">
    <cfRule type="expression" dxfId="11" priority="4">
      <formula>OR($I12="",$K12="")</formula>
    </cfRule>
  </conditionalFormatting>
  <conditionalFormatting sqref="L12:L29 N12:N29">
    <cfRule type="expression" dxfId="10" priority="3">
      <formula>$BA12</formula>
    </cfRule>
  </conditionalFormatting>
  <conditionalFormatting sqref="O12:O29 Q12:Q29">
    <cfRule type="expression" dxfId="9" priority="2">
      <formula>$BB12</formula>
    </cfRule>
  </conditionalFormatting>
  <conditionalFormatting sqref="R12:R29 T12:T29">
    <cfRule type="expression" dxfId="8" priority="1">
      <formula>$BC12</formula>
    </cfRule>
  </conditionalFormatting>
  <dataValidations count="1">
    <dataValidation allowBlank="1" showErrorMessage="1" errorTitle="Error" error="Maximal 999 !" sqref="U12:U29 W12:W29" xr:uid="{4E31A0A6-5C75-4057-BE70-0C06E470580C}"/>
  </dataValidations>
  <pageMargins left="0.7" right="0.7" top="0.78740157499999996" bottom="0.78740157499999996" header="0.3" footer="0.3"/>
  <pageSetup paperSize="9"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0" id="{648D8133-7717-4F1D-AB74-A1A63E64B3CD}">
            <xm:f>$H34&gt;2*#REF!-MOD((#REF!+Calc2!$F$13),2)</xm:f>
            <x14:dxf>
              <numFmt numFmtId="165" formatCode=";;;"/>
            </x14:dxf>
          </x14:cfRule>
          <xm:sqref>H34:H45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vt:i4>
      </vt:variant>
      <vt:variant>
        <vt:lpstr>Benannte Bereiche</vt:lpstr>
      </vt:variant>
      <vt:variant>
        <vt:i4>1</vt:i4>
      </vt:variant>
    </vt:vector>
  </HeadingPairs>
  <TitlesOfParts>
    <vt:vector size="21" baseType="lpstr">
      <vt:lpstr>Planning</vt:lpstr>
      <vt:lpstr>proof</vt:lpstr>
      <vt:lpstr>Pairings</vt:lpstr>
      <vt:lpstr>PreliminaryRound</vt:lpstr>
      <vt:lpstr>Playoffs</vt:lpstr>
      <vt:lpstr>Finals 1</vt:lpstr>
      <vt:lpstr>Finals 2</vt:lpstr>
      <vt:lpstr>Finals 3</vt:lpstr>
      <vt:lpstr>Finals 4</vt:lpstr>
      <vt:lpstr>DirComp_A</vt:lpstr>
      <vt:lpstr>DirComp_B</vt:lpstr>
      <vt:lpstr>Match_times_finals 4</vt:lpstr>
      <vt:lpstr>Language</vt:lpstr>
      <vt:lpstr>Settings</vt:lpstr>
      <vt:lpstr>Help</vt:lpstr>
      <vt:lpstr>Calc1</vt:lpstr>
      <vt:lpstr>Calc2</vt:lpstr>
      <vt:lpstr>CalcE1</vt:lpstr>
      <vt:lpstr>CalcE2</vt:lpstr>
      <vt:lpstr>CalcE3</vt:lpstr>
      <vt:lpstr>'Match_times_finals 4'!Druckbereich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dc:creator>
  <cp:lastModifiedBy>Hermann Baum</cp:lastModifiedBy>
  <cp:lastPrinted>2026-01-22T18:44:31Z</cp:lastPrinted>
  <dcterms:created xsi:type="dcterms:W3CDTF">2010-02-21T20:03:25Z</dcterms:created>
  <dcterms:modified xsi:type="dcterms:W3CDTF">2026-01-27T16:33:07Z</dcterms:modified>
</cp:coreProperties>
</file>