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Rangreihenfolge neu\"/>
    </mc:Choice>
  </mc:AlternateContent>
  <xr:revisionPtr revIDLastSave="0" documentId="13_ncr:1_{1D245185-13B6-4590-9627-BB1F03FD06E9}" xr6:coauthVersionLast="36" xr6:coauthVersionMax="47" xr10:uidLastSave="{00000000-0000-0000-0000-000000000000}"/>
  <bookViews>
    <workbookView xWindow="-120" yWindow="-120" windowWidth="29040" windowHeight="15750" tabRatio="597" activeTab="1" xr2:uid="{00000000-000D-0000-FFFF-FFFF00000000}"/>
  </bookViews>
  <sheets>
    <sheet name="Ergebnisse" sheetId="22" r:id="rId1"/>
    <sheet name="Calc" sheetId="19" r:id="rId2"/>
    <sheet name="Einstellungen" sheetId="14" r:id="rId3"/>
    <sheet name="Sprache" sheetId="9" r:id="rId4"/>
    <sheet name="Spielpaarungen" sheetId="13" r:id="rId5"/>
  </sheets>
  <definedNames>
    <definedName name="FactorGD" localSheetId="1">Calc!#REF!</definedName>
    <definedName name="FactorGD">#REF!</definedName>
    <definedName name="FactorGF" localSheetId="1">Calc!#REF!</definedName>
    <definedName name="FactorGF">#REF!</definedName>
    <definedName name="FactorPts" localSheetId="1">Calc!#REF!</definedName>
    <definedName name="FactorPts">#REF!</definedName>
    <definedName name="GDzero" localSheetId="1">Calc!#REF!</definedName>
    <definedName name="GDzero">#REF!</definedName>
  </definedNames>
  <calcPr calcId="191029" concurrentCalc="0"/>
</workbook>
</file>

<file path=xl/calcChain.xml><?xml version="1.0" encoding="utf-8"?>
<calcChain xmlns="http://schemas.openxmlformats.org/spreadsheetml/2006/main">
  <c r="C3" i="9" l="1"/>
  <c r="C4" i="9"/>
  <c r="E56" i="9"/>
  <c r="D31" i="19"/>
  <c r="D4" i="19"/>
  <c r="D32" i="19"/>
  <c r="D5" i="19"/>
  <c r="D33" i="19"/>
  <c r="D6" i="19"/>
  <c r="D34" i="19"/>
  <c r="D7" i="19"/>
  <c r="D35" i="19"/>
  <c r="D8" i="19"/>
  <c r="D36" i="19"/>
  <c r="D9" i="19"/>
  <c r="D37" i="19"/>
  <c r="D10" i="19"/>
  <c r="D38" i="19"/>
  <c r="D11" i="19"/>
  <c r="D39" i="19"/>
  <c r="D12" i="19"/>
  <c r="D13" i="19"/>
  <c r="H6" i="22" a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G6" i="22" a="1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E57" i="9"/>
  <c r="E58" i="9"/>
  <c r="E20" i="9"/>
  <c r="B17" i="14"/>
  <c r="E31" i="9"/>
  <c r="B3" i="22"/>
  <c r="E12" i="9"/>
  <c r="P3" i="22"/>
  <c r="E11" i="9"/>
  <c r="F3" i="22"/>
  <c r="P12" i="19"/>
  <c r="P11" i="19"/>
  <c r="P10" i="19"/>
  <c r="P9" i="19"/>
  <c r="P8" i="19"/>
  <c r="P7" i="19"/>
  <c r="P6" i="19"/>
  <c r="P5" i="19"/>
  <c r="P4" i="19"/>
  <c r="E6" i="9"/>
  <c r="D5" i="22"/>
  <c r="K77" i="22"/>
  <c r="K102" i="19"/>
  <c r="I77" i="22"/>
  <c r="J102" i="19"/>
  <c r="K76" i="22"/>
  <c r="K101" i="19"/>
  <c r="I76" i="22"/>
  <c r="J101" i="19"/>
  <c r="K75" i="22"/>
  <c r="K100" i="19"/>
  <c r="I75" i="22"/>
  <c r="J100" i="19"/>
  <c r="K74" i="22"/>
  <c r="K99" i="19"/>
  <c r="I74" i="22"/>
  <c r="J99" i="19"/>
  <c r="K73" i="22"/>
  <c r="K98" i="19"/>
  <c r="I73" i="22"/>
  <c r="J98" i="19"/>
  <c r="K72" i="22"/>
  <c r="K97" i="19"/>
  <c r="I72" i="22"/>
  <c r="J97" i="19"/>
  <c r="K71" i="22"/>
  <c r="K96" i="19"/>
  <c r="I71" i="22"/>
  <c r="J96" i="19"/>
  <c r="K70" i="22"/>
  <c r="K95" i="19"/>
  <c r="I70" i="22"/>
  <c r="J95" i="19"/>
  <c r="K69" i="22"/>
  <c r="K94" i="19"/>
  <c r="I69" i="22"/>
  <c r="J94" i="19"/>
  <c r="K68" i="22"/>
  <c r="K93" i="19"/>
  <c r="I68" i="22"/>
  <c r="J93" i="19"/>
  <c r="K67" i="22"/>
  <c r="K92" i="19"/>
  <c r="I67" i="22"/>
  <c r="J92" i="19"/>
  <c r="K66" i="22"/>
  <c r="K91" i="19"/>
  <c r="I66" i="22"/>
  <c r="J91" i="19"/>
  <c r="K65" i="22"/>
  <c r="K90" i="19"/>
  <c r="I65" i="22"/>
  <c r="J90" i="19"/>
  <c r="K64" i="22"/>
  <c r="K89" i="19"/>
  <c r="I64" i="22"/>
  <c r="J89" i="19"/>
  <c r="K63" i="22"/>
  <c r="K88" i="19"/>
  <c r="I63" i="22"/>
  <c r="J88" i="19"/>
  <c r="K62" i="22"/>
  <c r="K87" i="19"/>
  <c r="I62" i="22"/>
  <c r="J87" i="19"/>
  <c r="K61" i="22"/>
  <c r="K86" i="19"/>
  <c r="I61" i="22"/>
  <c r="J86" i="19"/>
  <c r="K60" i="22"/>
  <c r="K85" i="19"/>
  <c r="I60" i="22"/>
  <c r="J85" i="19"/>
  <c r="K59" i="22"/>
  <c r="K84" i="19"/>
  <c r="I59" i="22"/>
  <c r="J84" i="19"/>
  <c r="K58" i="22"/>
  <c r="K83" i="19"/>
  <c r="I58" i="22"/>
  <c r="J83" i="19"/>
  <c r="K57" i="22"/>
  <c r="K82" i="19"/>
  <c r="I57" i="22"/>
  <c r="J82" i="19"/>
  <c r="K56" i="22"/>
  <c r="K81" i="19"/>
  <c r="I56" i="22"/>
  <c r="J81" i="19"/>
  <c r="K55" i="22"/>
  <c r="K80" i="19"/>
  <c r="I55" i="22"/>
  <c r="J80" i="19"/>
  <c r="K54" i="22"/>
  <c r="K79" i="19"/>
  <c r="I54" i="22"/>
  <c r="J79" i="19"/>
  <c r="K53" i="22"/>
  <c r="K78" i="19"/>
  <c r="I53" i="22"/>
  <c r="J78" i="19"/>
  <c r="K52" i="22"/>
  <c r="K77" i="19"/>
  <c r="I52" i="22"/>
  <c r="J77" i="19"/>
  <c r="K51" i="22"/>
  <c r="K76" i="19"/>
  <c r="I51" i="22"/>
  <c r="J76" i="19"/>
  <c r="K50" i="22"/>
  <c r="K75" i="19"/>
  <c r="I50" i="22"/>
  <c r="J75" i="19"/>
  <c r="K49" i="22"/>
  <c r="K74" i="19"/>
  <c r="I49" i="22"/>
  <c r="J74" i="19"/>
  <c r="K48" i="22"/>
  <c r="K73" i="19"/>
  <c r="I48" i="22"/>
  <c r="J73" i="19"/>
  <c r="K47" i="22"/>
  <c r="K72" i="19"/>
  <c r="I47" i="22"/>
  <c r="J72" i="19"/>
  <c r="K46" i="22"/>
  <c r="K71" i="19"/>
  <c r="I46" i="22"/>
  <c r="J71" i="19"/>
  <c r="K45" i="22"/>
  <c r="K70" i="19"/>
  <c r="I45" i="22"/>
  <c r="J70" i="19"/>
  <c r="K44" i="22"/>
  <c r="K69" i="19"/>
  <c r="I44" i="22"/>
  <c r="J69" i="19"/>
  <c r="K43" i="22"/>
  <c r="K68" i="19"/>
  <c r="I43" i="22"/>
  <c r="J68" i="19"/>
  <c r="K42" i="22"/>
  <c r="K67" i="19"/>
  <c r="I42" i="22"/>
  <c r="J67" i="19"/>
  <c r="K41" i="22"/>
  <c r="K66" i="19"/>
  <c r="I41" i="22"/>
  <c r="J66" i="19"/>
  <c r="K40" i="22"/>
  <c r="K65" i="19"/>
  <c r="I40" i="22"/>
  <c r="J65" i="19"/>
  <c r="K39" i="22"/>
  <c r="K64" i="19"/>
  <c r="I39" i="22"/>
  <c r="J64" i="19"/>
  <c r="K38" i="22"/>
  <c r="K63" i="19"/>
  <c r="I38" i="22"/>
  <c r="J63" i="19"/>
  <c r="K37" i="22"/>
  <c r="K62" i="19"/>
  <c r="I37" i="22"/>
  <c r="J62" i="19"/>
  <c r="K36" i="22"/>
  <c r="K61" i="19"/>
  <c r="I36" i="22"/>
  <c r="J61" i="19"/>
  <c r="K35" i="22"/>
  <c r="K60" i="19"/>
  <c r="I35" i="22"/>
  <c r="J60" i="19"/>
  <c r="K34" i="22"/>
  <c r="K59" i="19"/>
  <c r="I34" i="22"/>
  <c r="J59" i="19"/>
  <c r="K33" i="22"/>
  <c r="K58" i="19"/>
  <c r="I33" i="22"/>
  <c r="J58" i="19"/>
  <c r="K32" i="22"/>
  <c r="K57" i="19"/>
  <c r="I32" i="22"/>
  <c r="J57" i="19"/>
  <c r="K31" i="22"/>
  <c r="K56" i="19"/>
  <c r="I31" i="22"/>
  <c r="J56" i="19"/>
  <c r="K30" i="22"/>
  <c r="K55" i="19"/>
  <c r="I30" i="22"/>
  <c r="J55" i="19"/>
  <c r="K29" i="22"/>
  <c r="K54" i="19"/>
  <c r="I29" i="22"/>
  <c r="J54" i="19"/>
  <c r="K28" i="22"/>
  <c r="K53" i="19"/>
  <c r="I28" i="22"/>
  <c r="J53" i="19"/>
  <c r="K27" i="22"/>
  <c r="K52" i="19"/>
  <c r="I27" i="22"/>
  <c r="J52" i="19"/>
  <c r="K26" i="22"/>
  <c r="K51" i="19"/>
  <c r="I26" i="22"/>
  <c r="J51" i="19"/>
  <c r="K25" i="22"/>
  <c r="K50" i="19"/>
  <c r="I25" i="22"/>
  <c r="J50" i="19"/>
  <c r="K24" i="22"/>
  <c r="K49" i="19"/>
  <c r="I24" i="22"/>
  <c r="J49" i="19"/>
  <c r="K23" i="22"/>
  <c r="K48" i="19"/>
  <c r="I23" i="22"/>
  <c r="J48" i="19"/>
  <c r="K22" i="22"/>
  <c r="K47" i="19"/>
  <c r="I22" i="22"/>
  <c r="J47" i="19"/>
  <c r="K21" i="22"/>
  <c r="K46" i="19"/>
  <c r="I21" i="22"/>
  <c r="J46" i="19"/>
  <c r="K20" i="22"/>
  <c r="K45" i="19"/>
  <c r="I20" i="22"/>
  <c r="J45" i="19"/>
  <c r="K19" i="22"/>
  <c r="K44" i="19"/>
  <c r="I19" i="22"/>
  <c r="J44" i="19"/>
  <c r="K18" i="22"/>
  <c r="K43" i="19"/>
  <c r="I18" i="22"/>
  <c r="J43" i="19"/>
  <c r="K17" i="22"/>
  <c r="K42" i="19"/>
  <c r="I17" i="22"/>
  <c r="J42" i="19"/>
  <c r="K16" i="22"/>
  <c r="K41" i="19"/>
  <c r="I16" i="22"/>
  <c r="J41" i="19"/>
  <c r="K15" i="22"/>
  <c r="K40" i="19"/>
  <c r="I15" i="22"/>
  <c r="J40" i="19"/>
  <c r="K14" i="22"/>
  <c r="K39" i="19"/>
  <c r="I14" i="22"/>
  <c r="J39" i="19"/>
  <c r="K13" i="22"/>
  <c r="K38" i="19"/>
  <c r="I13" i="22"/>
  <c r="J38" i="19"/>
  <c r="K12" i="22"/>
  <c r="K37" i="19"/>
  <c r="I12" i="22"/>
  <c r="J37" i="19"/>
  <c r="K11" i="22"/>
  <c r="K36" i="19"/>
  <c r="I11" i="22"/>
  <c r="J36" i="19"/>
  <c r="K10" i="22"/>
  <c r="K35" i="19"/>
  <c r="I10" i="22"/>
  <c r="J35" i="19"/>
  <c r="K9" i="22"/>
  <c r="K34" i="19"/>
  <c r="I9" i="22"/>
  <c r="J34" i="19"/>
  <c r="K8" i="22"/>
  <c r="K33" i="19"/>
  <c r="I8" i="22"/>
  <c r="J33" i="19"/>
  <c r="K7" i="22"/>
  <c r="K32" i="19"/>
  <c r="I7" i="22"/>
  <c r="J32" i="19"/>
  <c r="K6" i="22"/>
  <c r="K31" i="19"/>
  <c r="I6" i="22"/>
  <c r="J31" i="19"/>
  <c r="M102" i="19"/>
  <c r="L102" i="19"/>
  <c r="M101" i="19"/>
  <c r="L101" i="19"/>
  <c r="M100" i="19"/>
  <c r="L100" i="19"/>
  <c r="M99" i="19"/>
  <c r="L99" i="19"/>
  <c r="M98" i="19"/>
  <c r="L98" i="19"/>
  <c r="M97" i="19"/>
  <c r="L97" i="19"/>
  <c r="M96" i="19"/>
  <c r="L96" i="19"/>
  <c r="M95" i="19"/>
  <c r="L95" i="19"/>
  <c r="M94" i="19"/>
  <c r="L94" i="19"/>
  <c r="M93" i="19"/>
  <c r="L93" i="19"/>
  <c r="M92" i="19"/>
  <c r="L92" i="19"/>
  <c r="M91" i="19"/>
  <c r="L91" i="19"/>
  <c r="M90" i="19"/>
  <c r="L90" i="19"/>
  <c r="M89" i="19"/>
  <c r="L89" i="19"/>
  <c r="M88" i="19"/>
  <c r="L88" i="19"/>
  <c r="M87" i="19"/>
  <c r="L87" i="19"/>
  <c r="M86" i="19"/>
  <c r="L86" i="19"/>
  <c r="M85" i="19"/>
  <c r="L85" i="19"/>
  <c r="M84" i="19"/>
  <c r="L84" i="19"/>
  <c r="M83" i="19"/>
  <c r="L83" i="19"/>
  <c r="M82" i="19"/>
  <c r="L82" i="19"/>
  <c r="M81" i="19"/>
  <c r="L81" i="19"/>
  <c r="M80" i="19"/>
  <c r="L80" i="19"/>
  <c r="M79" i="19"/>
  <c r="L79" i="19"/>
  <c r="M78" i="19"/>
  <c r="L78" i="19"/>
  <c r="M77" i="19"/>
  <c r="L77" i="19"/>
  <c r="M76" i="19"/>
  <c r="L76" i="19"/>
  <c r="M75" i="19"/>
  <c r="L75" i="19"/>
  <c r="M74" i="19"/>
  <c r="L74" i="19"/>
  <c r="M73" i="19"/>
  <c r="L73" i="19"/>
  <c r="M72" i="19"/>
  <c r="L72" i="19"/>
  <c r="M71" i="19"/>
  <c r="L71" i="19"/>
  <c r="M70" i="19"/>
  <c r="L70" i="19"/>
  <c r="M69" i="19"/>
  <c r="L69" i="19"/>
  <c r="M68" i="19"/>
  <c r="L68" i="19"/>
  <c r="M67" i="19"/>
  <c r="L67" i="19"/>
  <c r="M66" i="19"/>
  <c r="L66" i="19"/>
  <c r="M65" i="19"/>
  <c r="L65" i="19"/>
  <c r="M64" i="19"/>
  <c r="L64" i="19"/>
  <c r="M63" i="19"/>
  <c r="L63" i="19"/>
  <c r="M62" i="19"/>
  <c r="L62" i="19"/>
  <c r="M61" i="19"/>
  <c r="L61" i="19"/>
  <c r="M60" i="19"/>
  <c r="L60" i="19"/>
  <c r="M59" i="19"/>
  <c r="L59" i="19"/>
  <c r="M58" i="19"/>
  <c r="L58" i="19"/>
  <c r="M57" i="19"/>
  <c r="L57" i="19"/>
  <c r="M56" i="19"/>
  <c r="L56" i="19"/>
  <c r="M55" i="19"/>
  <c r="L55" i="19"/>
  <c r="M54" i="19"/>
  <c r="L54" i="19"/>
  <c r="M53" i="19"/>
  <c r="L53" i="19"/>
  <c r="M52" i="19"/>
  <c r="L52" i="19"/>
  <c r="M51" i="19"/>
  <c r="L51" i="19"/>
  <c r="M50" i="19"/>
  <c r="L50" i="19"/>
  <c r="M49" i="19"/>
  <c r="L49" i="19"/>
  <c r="M48" i="19"/>
  <c r="L48" i="19"/>
  <c r="M47" i="19"/>
  <c r="L47" i="19"/>
  <c r="M46" i="19"/>
  <c r="L46" i="19"/>
  <c r="M45" i="19"/>
  <c r="L45" i="19"/>
  <c r="M44" i="19"/>
  <c r="L44" i="19"/>
  <c r="M43" i="19"/>
  <c r="L43" i="19"/>
  <c r="M42" i="19"/>
  <c r="L42" i="19"/>
  <c r="M41" i="19"/>
  <c r="L41" i="19"/>
  <c r="M40" i="19"/>
  <c r="L40" i="19"/>
  <c r="M39" i="19"/>
  <c r="L39" i="19"/>
  <c r="M38" i="19"/>
  <c r="L38" i="19"/>
  <c r="M37" i="19"/>
  <c r="L37" i="19"/>
  <c r="M36" i="19"/>
  <c r="L36" i="19"/>
  <c r="M35" i="19"/>
  <c r="L35" i="19"/>
  <c r="M34" i="19"/>
  <c r="L34" i="19"/>
  <c r="M33" i="19"/>
  <c r="L33" i="19"/>
  <c r="M32" i="19"/>
  <c r="L32" i="19"/>
  <c r="M31" i="19"/>
  <c r="L31" i="19"/>
  <c r="E54" i="9"/>
  <c r="P5" i="22"/>
  <c r="E10" i="9"/>
  <c r="Q5" i="22"/>
  <c r="E34" i="9"/>
  <c r="G5" i="22"/>
  <c r="C5" i="22"/>
  <c r="E9" i="9"/>
  <c r="B5" i="22"/>
  <c r="F5" i="22"/>
  <c r="E69" i="9"/>
  <c r="M77" i="22"/>
  <c r="M76" i="22"/>
  <c r="M75" i="22"/>
  <c r="M74" i="22"/>
  <c r="M73" i="22"/>
  <c r="M72" i="22"/>
  <c r="M71" i="22"/>
  <c r="M70" i="22"/>
  <c r="M69" i="22"/>
  <c r="M68" i="22"/>
  <c r="M67" i="22"/>
  <c r="M66" i="22"/>
  <c r="M65" i="22"/>
  <c r="M64" i="22"/>
  <c r="M63" i="22"/>
  <c r="M62" i="22"/>
  <c r="M61" i="22"/>
  <c r="M60" i="22"/>
  <c r="M59" i="22"/>
  <c r="M58" i="22"/>
  <c r="M57" i="22"/>
  <c r="M56" i="22"/>
  <c r="M55" i="22"/>
  <c r="M54" i="22"/>
  <c r="M53" i="22"/>
  <c r="M52" i="22"/>
  <c r="M51" i="22"/>
  <c r="M50" i="22"/>
  <c r="M49" i="22"/>
  <c r="M48" i="22"/>
  <c r="M47" i="22"/>
  <c r="M46" i="22"/>
  <c r="M45" i="22"/>
  <c r="M44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W14" i="22"/>
  <c r="M14" i="22"/>
  <c r="W13" i="22"/>
  <c r="M13" i="22"/>
  <c r="W12" i="22"/>
  <c r="M12" i="22"/>
  <c r="W11" i="22"/>
  <c r="M11" i="22"/>
  <c r="W10" i="22"/>
  <c r="M10" i="22"/>
  <c r="W9" i="22"/>
  <c r="M9" i="22"/>
  <c r="W8" i="22"/>
  <c r="M8" i="22"/>
  <c r="W7" i="22"/>
  <c r="M7" i="22"/>
  <c r="W6" i="22"/>
  <c r="M6" i="22"/>
  <c r="E27" i="9"/>
  <c r="Z5" i="22"/>
  <c r="E26" i="9"/>
  <c r="Y5" i="22"/>
  <c r="E25" i="9"/>
  <c r="V5" i="22"/>
  <c r="E24" i="9"/>
  <c r="U5" i="22"/>
  <c r="E23" i="9"/>
  <c r="T5" i="22"/>
  <c r="E22" i="9"/>
  <c r="S5" i="22"/>
  <c r="E21" i="9"/>
  <c r="R5" i="22"/>
  <c r="E15" i="9"/>
  <c r="L5" i="22"/>
  <c r="E14" i="9"/>
  <c r="I5" i="22"/>
  <c r="C13" i="19"/>
  <c r="E74" i="9"/>
  <c r="D1" i="19"/>
  <c r="H4" i="19"/>
  <c r="N4" i="19"/>
  <c r="N5" i="19"/>
  <c r="N6" i="19"/>
  <c r="N7" i="19"/>
  <c r="N8" i="19"/>
  <c r="N9" i="19"/>
  <c r="N10" i="19"/>
  <c r="N11" i="19"/>
  <c r="N12" i="19"/>
  <c r="H5" i="19"/>
  <c r="H6" i="19"/>
  <c r="H7" i="19"/>
  <c r="H8" i="19"/>
  <c r="H9" i="19"/>
  <c r="H10" i="19"/>
  <c r="H11" i="19"/>
  <c r="H12" i="19"/>
  <c r="I4" i="19"/>
  <c r="J4" i="19"/>
  <c r="I5" i="19"/>
  <c r="J5" i="19"/>
  <c r="I6" i="19"/>
  <c r="J6" i="19"/>
  <c r="I7" i="19"/>
  <c r="J7" i="19"/>
  <c r="I8" i="19"/>
  <c r="J8" i="19"/>
  <c r="I9" i="19"/>
  <c r="J9" i="19"/>
  <c r="I10" i="19"/>
  <c r="J10" i="19"/>
  <c r="I11" i="19"/>
  <c r="J11" i="19"/>
  <c r="I12" i="19"/>
  <c r="J12" i="19"/>
  <c r="D19" i="19"/>
  <c r="D20" i="19"/>
  <c r="D21" i="19"/>
  <c r="D22" i="19"/>
  <c r="D23" i="19"/>
  <c r="D24" i="19"/>
  <c r="D25" i="19"/>
  <c r="D26" i="19"/>
  <c r="D18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S102" i="19"/>
  <c r="R102" i="19"/>
  <c r="Q102" i="19"/>
  <c r="P102" i="19"/>
  <c r="O102" i="19"/>
  <c r="S101" i="19"/>
  <c r="R101" i="19"/>
  <c r="Q101" i="19"/>
  <c r="P101" i="19"/>
  <c r="O101" i="19"/>
  <c r="S100" i="19"/>
  <c r="R100" i="19"/>
  <c r="Q100" i="19"/>
  <c r="P100" i="19"/>
  <c r="O100" i="19"/>
  <c r="S99" i="19"/>
  <c r="R99" i="19"/>
  <c r="Q99" i="19"/>
  <c r="P99" i="19"/>
  <c r="O99" i="19"/>
  <c r="S98" i="19"/>
  <c r="R98" i="19"/>
  <c r="Q98" i="19"/>
  <c r="P98" i="19"/>
  <c r="O98" i="19"/>
  <c r="S97" i="19"/>
  <c r="R97" i="19"/>
  <c r="Q97" i="19"/>
  <c r="P97" i="19"/>
  <c r="O97" i="19"/>
  <c r="S96" i="19"/>
  <c r="R96" i="19"/>
  <c r="Q96" i="19"/>
  <c r="P96" i="19"/>
  <c r="O96" i="19"/>
  <c r="S95" i="19"/>
  <c r="R95" i="19"/>
  <c r="Q95" i="19"/>
  <c r="P95" i="19"/>
  <c r="O95" i="19"/>
  <c r="S94" i="19"/>
  <c r="R94" i="19"/>
  <c r="Q94" i="19"/>
  <c r="P94" i="19"/>
  <c r="O94" i="19"/>
  <c r="S93" i="19"/>
  <c r="R93" i="19"/>
  <c r="Q93" i="19"/>
  <c r="P93" i="19"/>
  <c r="O93" i="19"/>
  <c r="S92" i="19"/>
  <c r="R92" i="19"/>
  <c r="Q92" i="19"/>
  <c r="P92" i="19"/>
  <c r="O92" i="19"/>
  <c r="S91" i="19"/>
  <c r="R91" i="19"/>
  <c r="Q91" i="19"/>
  <c r="P91" i="19"/>
  <c r="O91" i="19"/>
  <c r="S90" i="19"/>
  <c r="R90" i="19"/>
  <c r="Q90" i="19"/>
  <c r="P90" i="19"/>
  <c r="O90" i="19"/>
  <c r="S89" i="19"/>
  <c r="R89" i="19"/>
  <c r="Q89" i="19"/>
  <c r="P89" i="19"/>
  <c r="O89" i="19"/>
  <c r="S88" i="19"/>
  <c r="R88" i="19"/>
  <c r="Q88" i="19"/>
  <c r="P88" i="19"/>
  <c r="O88" i="19"/>
  <c r="S87" i="19"/>
  <c r="R87" i="19"/>
  <c r="Q87" i="19"/>
  <c r="P87" i="19"/>
  <c r="O87" i="19"/>
  <c r="S86" i="19"/>
  <c r="R86" i="19"/>
  <c r="Q86" i="19"/>
  <c r="P86" i="19"/>
  <c r="O86" i="19"/>
  <c r="S85" i="19"/>
  <c r="R85" i="19"/>
  <c r="Q85" i="19"/>
  <c r="P85" i="19"/>
  <c r="O85" i="19"/>
  <c r="S84" i="19"/>
  <c r="R84" i="19"/>
  <c r="Q84" i="19"/>
  <c r="P84" i="19"/>
  <c r="O84" i="19"/>
  <c r="S83" i="19"/>
  <c r="R83" i="19"/>
  <c r="Q83" i="19"/>
  <c r="P83" i="19"/>
  <c r="O83" i="19"/>
  <c r="S82" i="19"/>
  <c r="R82" i="19"/>
  <c r="Q82" i="19"/>
  <c r="P82" i="19"/>
  <c r="O82" i="19"/>
  <c r="S81" i="19"/>
  <c r="R81" i="19"/>
  <c r="Q81" i="19"/>
  <c r="P81" i="19"/>
  <c r="O81" i="19"/>
  <c r="S80" i="19"/>
  <c r="R80" i="19"/>
  <c r="Q80" i="19"/>
  <c r="P80" i="19"/>
  <c r="O80" i="19"/>
  <c r="S79" i="19"/>
  <c r="R79" i="19"/>
  <c r="Q79" i="19"/>
  <c r="P79" i="19"/>
  <c r="O79" i="19"/>
  <c r="S78" i="19"/>
  <c r="R78" i="19"/>
  <c r="Q78" i="19"/>
  <c r="P78" i="19"/>
  <c r="O78" i="19"/>
  <c r="S77" i="19"/>
  <c r="R77" i="19"/>
  <c r="Q77" i="19"/>
  <c r="P77" i="19"/>
  <c r="O77" i="19"/>
  <c r="S76" i="19"/>
  <c r="R76" i="19"/>
  <c r="Q76" i="19"/>
  <c r="P76" i="19"/>
  <c r="O76" i="19"/>
  <c r="S75" i="19"/>
  <c r="R75" i="19"/>
  <c r="Q75" i="19"/>
  <c r="P75" i="19"/>
  <c r="O75" i="19"/>
  <c r="S74" i="19"/>
  <c r="R74" i="19"/>
  <c r="Q74" i="19"/>
  <c r="P74" i="19"/>
  <c r="O74" i="19"/>
  <c r="S73" i="19"/>
  <c r="R73" i="19"/>
  <c r="Q73" i="19"/>
  <c r="P73" i="19"/>
  <c r="O73" i="19"/>
  <c r="S72" i="19"/>
  <c r="R72" i="19"/>
  <c r="Q72" i="19"/>
  <c r="P72" i="19"/>
  <c r="O72" i="19"/>
  <c r="S71" i="19"/>
  <c r="R71" i="19"/>
  <c r="Q71" i="19"/>
  <c r="P71" i="19"/>
  <c r="O71" i="19"/>
  <c r="S70" i="19"/>
  <c r="R70" i="19"/>
  <c r="Q70" i="19"/>
  <c r="P70" i="19"/>
  <c r="O70" i="19"/>
  <c r="S69" i="19"/>
  <c r="R69" i="19"/>
  <c r="Q69" i="19"/>
  <c r="P69" i="19"/>
  <c r="O69" i="19"/>
  <c r="S68" i="19"/>
  <c r="R68" i="19"/>
  <c r="Q68" i="19"/>
  <c r="P68" i="19"/>
  <c r="O68" i="19"/>
  <c r="S67" i="19"/>
  <c r="R67" i="19"/>
  <c r="Q67" i="19"/>
  <c r="P67" i="19"/>
  <c r="O67" i="19"/>
  <c r="S66" i="19"/>
  <c r="R66" i="19"/>
  <c r="Q66" i="19"/>
  <c r="P66" i="19"/>
  <c r="O66" i="19"/>
  <c r="S65" i="19"/>
  <c r="R65" i="19"/>
  <c r="Q65" i="19"/>
  <c r="P65" i="19"/>
  <c r="O65" i="19"/>
  <c r="S64" i="19"/>
  <c r="R64" i="19"/>
  <c r="Q64" i="19"/>
  <c r="P64" i="19"/>
  <c r="O64" i="19"/>
  <c r="S63" i="19"/>
  <c r="R63" i="19"/>
  <c r="Q63" i="19"/>
  <c r="P63" i="19"/>
  <c r="O63" i="19"/>
  <c r="S62" i="19"/>
  <c r="R62" i="19"/>
  <c r="Q62" i="19"/>
  <c r="P62" i="19"/>
  <c r="O62" i="19"/>
  <c r="S61" i="19"/>
  <c r="R61" i="19"/>
  <c r="Q61" i="19"/>
  <c r="P61" i="19"/>
  <c r="O61" i="19"/>
  <c r="S60" i="19"/>
  <c r="R60" i="19"/>
  <c r="Q60" i="19"/>
  <c r="P60" i="19"/>
  <c r="O60" i="19"/>
  <c r="S59" i="19"/>
  <c r="R59" i="19"/>
  <c r="Q59" i="19"/>
  <c r="P59" i="19"/>
  <c r="O59" i="19"/>
  <c r="S58" i="19"/>
  <c r="R58" i="19"/>
  <c r="Q58" i="19"/>
  <c r="P58" i="19"/>
  <c r="O58" i="19"/>
  <c r="S57" i="19"/>
  <c r="R57" i="19"/>
  <c r="Q57" i="19"/>
  <c r="P57" i="19"/>
  <c r="O57" i="19"/>
  <c r="S56" i="19"/>
  <c r="R56" i="19"/>
  <c r="Q56" i="19"/>
  <c r="P56" i="19"/>
  <c r="O56" i="19"/>
  <c r="S55" i="19"/>
  <c r="R55" i="19"/>
  <c r="Q55" i="19"/>
  <c r="P55" i="19"/>
  <c r="O55" i="19"/>
  <c r="S54" i="19"/>
  <c r="R54" i="19"/>
  <c r="Q54" i="19"/>
  <c r="P54" i="19"/>
  <c r="O54" i="19"/>
  <c r="S53" i="19"/>
  <c r="R53" i="19"/>
  <c r="Q53" i="19"/>
  <c r="P53" i="19"/>
  <c r="O53" i="19"/>
  <c r="S52" i="19"/>
  <c r="R52" i="19"/>
  <c r="Q52" i="19"/>
  <c r="P52" i="19"/>
  <c r="O52" i="19"/>
  <c r="S51" i="19"/>
  <c r="R51" i="19"/>
  <c r="Q51" i="19"/>
  <c r="P51" i="19"/>
  <c r="O51" i="19"/>
  <c r="S50" i="19"/>
  <c r="R50" i="19"/>
  <c r="Q50" i="19"/>
  <c r="P50" i="19"/>
  <c r="O50" i="19"/>
  <c r="S49" i="19"/>
  <c r="R49" i="19"/>
  <c r="Q49" i="19"/>
  <c r="P49" i="19"/>
  <c r="O49" i="19"/>
  <c r="S48" i="19"/>
  <c r="R48" i="19"/>
  <c r="Q48" i="19"/>
  <c r="P48" i="19"/>
  <c r="O48" i="19"/>
  <c r="S47" i="19"/>
  <c r="R47" i="19"/>
  <c r="Q47" i="19"/>
  <c r="P47" i="19"/>
  <c r="O47" i="19"/>
  <c r="S46" i="19"/>
  <c r="R46" i="19"/>
  <c r="Q46" i="19"/>
  <c r="P46" i="19"/>
  <c r="O46" i="19"/>
  <c r="S45" i="19"/>
  <c r="R45" i="19"/>
  <c r="Q45" i="19"/>
  <c r="P45" i="19"/>
  <c r="O45" i="19"/>
  <c r="S44" i="19"/>
  <c r="R44" i="19"/>
  <c r="Q44" i="19"/>
  <c r="P44" i="19"/>
  <c r="O44" i="19"/>
  <c r="S43" i="19"/>
  <c r="R43" i="19"/>
  <c r="Q43" i="19"/>
  <c r="P43" i="19"/>
  <c r="O43" i="19"/>
  <c r="S42" i="19"/>
  <c r="R42" i="19"/>
  <c r="Q42" i="19"/>
  <c r="P42" i="19"/>
  <c r="O42" i="19"/>
  <c r="S41" i="19"/>
  <c r="R41" i="19"/>
  <c r="Q41" i="19"/>
  <c r="P41" i="19"/>
  <c r="O41" i="19"/>
  <c r="S40" i="19"/>
  <c r="R40" i="19"/>
  <c r="Q40" i="19"/>
  <c r="P40" i="19"/>
  <c r="O40" i="19"/>
  <c r="S39" i="19"/>
  <c r="R39" i="19"/>
  <c r="Q39" i="19"/>
  <c r="P39" i="19"/>
  <c r="O39" i="19"/>
  <c r="S38" i="19"/>
  <c r="R38" i="19"/>
  <c r="Q38" i="19"/>
  <c r="P38" i="19"/>
  <c r="O38" i="19"/>
  <c r="S37" i="19"/>
  <c r="R37" i="19"/>
  <c r="Q37" i="19"/>
  <c r="P37" i="19"/>
  <c r="O37" i="19"/>
  <c r="S36" i="19"/>
  <c r="R36" i="19"/>
  <c r="Q36" i="19"/>
  <c r="P36" i="19"/>
  <c r="O36" i="19"/>
  <c r="S35" i="19"/>
  <c r="R35" i="19"/>
  <c r="Q35" i="19"/>
  <c r="P35" i="19"/>
  <c r="O35" i="19"/>
  <c r="S34" i="19"/>
  <c r="R34" i="19"/>
  <c r="Q34" i="19"/>
  <c r="P34" i="19"/>
  <c r="O34" i="19"/>
  <c r="S33" i="19"/>
  <c r="R33" i="19"/>
  <c r="Q33" i="19"/>
  <c r="P33" i="19"/>
  <c r="O33" i="19"/>
  <c r="S32" i="19"/>
  <c r="R32" i="19"/>
  <c r="Q32" i="19"/>
  <c r="P32" i="19"/>
  <c r="O32" i="19"/>
  <c r="S31" i="19"/>
  <c r="R31" i="19"/>
  <c r="Q31" i="19"/>
  <c r="P31" i="19"/>
  <c r="O31" i="19"/>
  <c r="O4" i="19"/>
  <c r="O5" i="19"/>
  <c r="O6" i="19"/>
  <c r="O7" i="19"/>
  <c r="O8" i="19"/>
  <c r="O9" i="19"/>
  <c r="O10" i="19"/>
  <c r="O11" i="19"/>
  <c r="O12" i="19"/>
  <c r="E47" i="9"/>
  <c r="E46" i="9"/>
  <c r="E48" i="9"/>
  <c r="E39" i="9"/>
  <c r="E81" i="9"/>
  <c r="D22" i="14"/>
  <c r="E80" i="9"/>
  <c r="B22" i="14"/>
  <c r="E53" i="9"/>
  <c r="E78" i="9"/>
  <c r="E79" i="9"/>
  <c r="E82" i="9"/>
  <c r="E83" i="9"/>
  <c r="E84" i="9"/>
  <c r="E55" i="9"/>
  <c r="E76" i="9"/>
  <c r="E77" i="9"/>
  <c r="E71" i="9"/>
  <c r="B15" i="14"/>
  <c r="B14" i="14"/>
  <c r="E70" i="9"/>
  <c r="B12" i="14"/>
  <c r="E73" i="9"/>
  <c r="B11" i="14"/>
  <c r="E72" i="9"/>
  <c r="B7" i="14"/>
  <c r="E75" i="9"/>
  <c r="E85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9" i="9"/>
  <c r="E13" i="9"/>
  <c r="E30" i="9"/>
  <c r="E41" i="9"/>
  <c r="E68" i="9"/>
  <c r="E45" i="9"/>
  <c r="E44" i="9"/>
  <c r="E43" i="9"/>
  <c r="E42" i="9"/>
  <c r="E40" i="9"/>
  <c r="E66" i="9"/>
  <c r="E62" i="9"/>
  <c r="E29" i="9"/>
  <c r="E67" i="9"/>
  <c r="E49" i="9"/>
  <c r="E7" i="9"/>
  <c r="E28" i="9"/>
  <c r="E65" i="9"/>
  <c r="L1" i="9"/>
  <c r="E64" i="9"/>
  <c r="E8" i="9"/>
  <c r="E38" i="9"/>
  <c r="E16" i="9"/>
  <c r="E17" i="9"/>
  <c r="E32" i="9"/>
  <c r="E33" i="9"/>
  <c r="E35" i="9"/>
  <c r="E36" i="9"/>
  <c r="E37" i="9"/>
  <c r="F60" i="9"/>
  <c r="E61" i="9"/>
  <c r="E63" i="9"/>
  <c r="C5" i="9"/>
  <c r="F1" i="9"/>
  <c r="F5" i="9"/>
  <c r="K1" i="9"/>
  <c r="M5" i="19"/>
  <c r="L5" i="19"/>
  <c r="M6" i="19"/>
  <c r="L6" i="19"/>
  <c r="M7" i="19"/>
  <c r="L7" i="19"/>
  <c r="M8" i="19"/>
  <c r="L8" i="19"/>
  <c r="M9" i="19"/>
  <c r="L9" i="19"/>
  <c r="M10" i="19"/>
  <c r="L10" i="19"/>
  <c r="M11" i="19"/>
  <c r="L11" i="19"/>
  <c r="M12" i="19"/>
  <c r="L12" i="19"/>
  <c r="K5" i="19"/>
  <c r="K6" i="19"/>
  <c r="K7" i="19"/>
  <c r="K8" i="19"/>
  <c r="K9" i="19"/>
  <c r="K10" i="19"/>
  <c r="K11" i="19"/>
  <c r="K12" i="19"/>
  <c r="M4" i="19"/>
  <c r="L4" i="19"/>
  <c r="L13" i="19"/>
  <c r="K4" i="19"/>
  <c r="R4" i="19"/>
  <c r="R5" i="19"/>
  <c r="R6" i="19"/>
  <c r="R7" i="19"/>
  <c r="R8" i="19"/>
  <c r="R9" i="19"/>
  <c r="R10" i="19"/>
  <c r="R11" i="19"/>
  <c r="R12" i="19"/>
  <c r="T4" i="19"/>
  <c r="U4" i="19"/>
  <c r="T5" i="19"/>
  <c r="U5" i="19"/>
  <c r="T6" i="19"/>
  <c r="U6" i="19"/>
  <c r="T7" i="19"/>
  <c r="U7" i="19"/>
  <c r="T8" i="19"/>
  <c r="U8" i="19"/>
  <c r="T9" i="19"/>
  <c r="U9" i="19"/>
  <c r="T10" i="19"/>
  <c r="U10" i="19"/>
  <c r="T11" i="19"/>
  <c r="U11" i="19"/>
  <c r="T12" i="19"/>
  <c r="U12" i="19"/>
  <c r="W4" i="19"/>
  <c r="X4" i="19"/>
  <c r="W5" i="19"/>
  <c r="X5" i="19"/>
  <c r="W6" i="19"/>
  <c r="X6" i="19"/>
  <c r="W7" i="19"/>
  <c r="X7" i="19"/>
  <c r="W8" i="19"/>
  <c r="X8" i="19"/>
  <c r="W9" i="19"/>
  <c r="X9" i="19"/>
  <c r="W10" i="19"/>
  <c r="X10" i="19"/>
  <c r="W11" i="19"/>
  <c r="X11" i="19"/>
  <c r="W12" i="19"/>
  <c r="X12" i="19"/>
  <c r="I18" i="19"/>
  <c r="I19" i="19"/>
  <c r="I20" i="19"/>
  <c r="I21" i="19"/>
  <c r="I22" i="19"/>
  <c r="I23" i="19"/>
  <c r="I24" i="19"/>
  <c r="I25" i="19"/>
  <c r="I26" i="19"/>
  <c r="P6" i="22"/>
  <c r="Z4" i="19" a="1"/>
  <c r="Z4" i="19"/>
  <c r="Z5" i="19" a="1"/>
  <c r="Z5" i="19"/>
  <c r="Z6" i="19" a="1"/>
  <c r="Z6" i="19"/>
  <c r="Z7" i="19" a="1"/>
  <c r="Z8" i="19" a="1"/>
  <c r="Z9" i="19" a="1"/>
  <c r="Z10" i="19" a="1"/>
  <c r="Z11" i="19" a="1"/>
  <c r="Z12" i="19" a="1"/>
  <c r="Z7" i="19"/>
  <c r="Z8" i="19"/>
  <c r="Z9" i="19"/>
  <c r="Z10" i="19"/>
  <c r="Z11" i="19"/>
  <c r="Z12" i="19"/>
  <c r="AA4" i="19"/>
  <c r="AB4" i="19"/>
  <c r="AA5" i="19"/>
  <c r="AB5" i="19"/>
  <c r="AA6" i="19"/>
  <c r="AB6" i="19"/>
  <c r="AA7" i="19"/>
  <c r="AB7" i="19"/>
  <c r="AA8" i="19"/>
  <c r="AB8" i="19"/>
  <c r="AA9" i="19"/>
  <c r="AB9" i="19"/>
  <c r="AA10" i="19"/>
  <c r="AB10" i="19"/>
  <c r="AA11" i="19"/>
  <c r="AB11" i="19"/>
  <c r="AA12" i="19"/>
  <c r="AB12" i="19"/>
  <c r="AD4" i="19" a="1"/>
  <c r="AD4" i="19"/>
  <c r="AD5" i="19" a="1"/>
  <c r="AD5" i="19"/>
  <c r="AD6" i="19" a="1"/>
  <c r="AD6" i="19"/>
  <c r="AD7" i="19" a="1"/>
  <c r="AD8" i="19" a="1"/>
  <c r="AD9" i="19" a="1"/>
  <c r="AD10" i="19" a="1"/>
  <c r="AD11" i="19" a="1"/>
  <c r="AD12" i="19" a="1"/>
  <c r="AD7" i="19"/>
  <c r="AD8" i="19"/>
  <c r="AD9" i="19"/>
  <c r="AD10" i="19"/>
  <c r="AD11" i="19"/>
  <c r="AD12" i="19"/>
  <c r="AE4" i="19"/>
  <c r="AF4" i="19"/>
  <c r="AE5" i="19"/>
  <c r="AF5" i="19"/>
  <c r="AE6" i="19"/>
  <c r="AF6" i="19"/>
  <c r="AE7" i="19"/>
  <c r="AF7" i="19"/>
  <c r="AE8" i="19"/>
  <c r="AF8" i="19"/>
  <c r="AE9" i="19"/>
  <c r="AF9" i="19"/>
  <c r="AE10" i="19"/>
  <c r="AF10" i="19"/>
  <c r="AE11" i="19"/>
  <c r="AF11" i="19"/>
  <c r="AE12" i="19"/>
  <c r="AF12" i="19"/>
  <c r="AH4" i="19" a="1"/>
  <c r="AH4" i="19"/>
  <c r="AH5" i="19" a="1"/>
  <c r="AH5" i="19"/>
  <c r="AH6" i="19" a="1"/>
  <c r="AH6" i="19"/>
  <c r="AH7" i="19" a="1"/>
  <c r="AH8" i="19" a="1"/>
  <c r="AH9" i="19" a="1"/>
  <c r="AH10" i="19" a="1"/>
  <c r="AH11" i="19" a="1"/>
  <c r="AH12" i="19" a="1"/>
  <c r="AH7" i="19"/>
  <c r="AH8" i="19"/>
  <c r="AH9" i="19"/>
  <c r="AH10" i="19"/>
  <c r="AH11" i="19"/>
  <c r="AH12" i="19"/>
  <c r="AI4" i="19"/>
  <c r="AJ4" i="19"/>
  <c r="AL4" i="19"/>
  <c r="AM4" i="19"/>
  <c r="G4" i="19"/>
  <c r="F4" i="19"/>
  <c r="AI5" i="19"/>
  <c r="AJ5" i="19"/>
  <c r="AL5" i="19"/>
  <c r="AM5" i="19"/>
  <c r="G5" i="19"/>
  <c r="F5" i="19"/>
  <c r="AI6" i="19"/>
  <c r="AJ6" i="19"/>
  <c r="AL6" i="19"/>
  <c r="AM6" i="19"/>
  <c r="G6" i="19"/>
  <c r="F6" i="19"/>
  <c r="AI7" i="19"/>
  <c r="AJ7" i="19"/>
  <c r="AL7" i="19"/>
  <c r="AM7" i="19"/>
  <c r="G7" i="19"/>
  <c r="F7" i="19"/>
  <c r="AI8" i="19"/>
  <c r="AJ8" i="19"/>
  <c r="AL8" i="19"/>
  <c r="AM8" i="19"/>
  <c r="G8" i="19"/>
  <c r="F8" i="19"/>
  <c r="AI9" i="19"/>
  <c r="AJ9" i="19"/>
  <c r="AL9" i="19"/>
  <c r="AM9" i="19"/>
  <c r="G9" i="19"/>
  <c r="F9" i="19"/>
  <c r="AI10" i="19"/>
  <c r="AJ10" i="19"/>
  <c r="AL10" i="19"/>
  <c r="AM10" i="19"/>
  <c r="G10" i="19"/>
  <c r="F10" i="19"/>
  <c r="AI11" i="19"/>
  <c r="AJ11" i="19"/>
  <c r="AL11" i="19"/>
  <c r="AM11" i="19"/>
  <c r="G11" i="19"/>
  <c r="F11" i="19"/>
  <c r="AI12" i="19"/>
  <c r="AJ12" i="19"/>
  <c r="AL12" i="19"/>
  <c r="AM12" i="19"/>
  <c r="G12" i="19"/>
  <c r="F12" i="19"/>
  <c r="E4" i="19"/>
  <c r="E5" i="19"/>
  <c r="E6" i="19"/>
  <c r="E7" i="19"/>
  <c r="E8" i="19"/>
  <c r="E9" i="19"/>
  <c r="E10" i="19"/>
  <c r="E11" i="19"/>
  <c r="E12" i="19"/>
  <c r="K18" i="19" a="1"/>
  <c r="K18" i="19"/>
  <c r="K19" i="19" a="1"/>
  <c r="K19" i="19"/>
  <c r="K20" i="19" a="1"/>
  <c r="K20" i="19"/>
  <c r="K21" i="19" a="1"/>
  <c r="K22" i="19" a="1"/>
  <c r="K23" i="19" a="1"/>
  <c r="K24" i="19" a="1"/>
  <c r="K25" i="19" a="1"/>
  <c r="K26" i="19" a="1"/>
  <c r="K21" i="19"/>
  <c r="K22" i="19"/>
  <c r="K23" i="19"/>
  <c r="K24" i="19"/>
  <c r="K25" i="19"/>
  <c r="K26" i="19"/>
  <c r="L18" i="19"/>
  <c r="M18" i="19"/>
  <c r="L19" i="19"/>
  <c r="M19" i="19"/>
  <c r="L20" i="19"/>
  <c r="M20" i="19"/>
  <c r="L25" i="19"/>
  <c r="M25" i="19"/>
  <c r="L26" i="19"/>
  <c r="M26" i="19"/>
  <c r="L21" i="19"/>
  <c r="M21" i="19"/>
  <c r="L22" i="19"/>
  <c r="M22" i="19"/>
  <c r="L23" i="19"/>
  <c r="M23" i="19"/>
  <c r="L24" i="19"/>
  <c r="M24" i="19"/>
  <c r="O18" i="19" a="1"/>
  <c r="O18" i="19"/>
  <c r="O19" i="19" a="1"/>
  <c r="O19" i="19"/>
  <c r="O20" i="19" a="1"/>
  <c r="O20" i="19"/>
  <c r="O21" i="19" a="1"/>
  <c r="O22" i="19" a="1"/>
  <c r="O23" i="19" a="1"/>
  <c r="O24" i="19" a="1"/>
  <c r="O25" i="19" a="1"/>
  <c r="O26" i="19" a="1"/>
  <c r="O21" i="19"/>
  <c r="O22" i="19"/>
  <c r="O23" i="19"/>
  <c r="O24" i="19"/>
  <c r="O25" i="19"/>
  <c r="O26" i="19"/>
  <c r="P18" i="19"/>
  <c r="Q18" i="19"/>
  <c r="P19" i="19"/>
  <c r="Q19" i="19"/>
  <c r="P20" i="19"/>
  <c r="Q20" i="19"/>
  <c r="P21" i="19"/>
  <c r="Q21" i="19"/>
  <c r="P25" i="19"/>
  <c r="Q25" i="19"/>
  <c r="P26" i="19"/>
  <c r="Q26" i="19"/>
  <c r="P22" i="19"/>
  <c r="Q22" i="19"/>
  <c r="P23" i="19"/>
  <c r="Q23" i="19"/>
  <c r="P24" i="19"/>
  <c r="Q24" i="19"/>
  <c r="S18" i="19" a="1"/>
  <c r="S18" i="19"/>
  <c r="S19" i="19" a="1"/>
  <c r="S19" i="19"/>
  <c r="S20" i="19" a="1"/>
  <c r="S20" i="19"/>
  <c r="S21" i="19" a="1"/>
  <c r="S22" i="19" a="1"/>
  <c r="S23" i="19" a="1"/>
  <c r="S24" i="19" a="1"/>
  <c r="S25" i="19" a="1"/>
  <c r="S26" i="19" a="1"/>
  <c r="S21" i="19"/>
  <c r="S22" i="19"/>
  <c r="S23" i="19"/>
  <c r="S24" i="19"/>
  <c r="S25" i="19"/>
  <c r="S26" i="19"/>
  <c r="T18" i="19"/>
  <c r="U18" i="19"/>
  <c r="T19" i="19"/>
  <c r="U19" i="19"/>
  <c r="T20" i="19"/>
  <c r="U20" i="19"/>
  <c r="T21" i="19"/>
  <c r="U21" i="19"/>
  <c r="T22" i="19"/>
  <c r="U22" i="19"/>
  <c r="T23" i="19"/>
  <c r="U23" i="19"/>
  <c r="T24" i="19"/>
  <c r="U24" i="19"/>
  <c r="T25" i="19"/>
  <c r="U25" i="19"/>
  <c r="T26" i="19"/>
  <c r="U26" i="19"/>
  <c r="W18" i="19" a="1"/>
  <c r="W18" i="19"/>
  <c r="W19" i="19" a="1"/>
  <c r="W19" i="19"/>
  <c r="W20" i="19" a="1"/>
  <c r="W20" i="19"/>
  <c r="W21" i="19" a="1"/>
  <c r="W22" i="19" a="1"/>
  <c r="W23" i="19" a="1"/>
  <c r="W24" i="19" a="1"/>
  <c r="W25" i="19" a="1"/>
  <c r="W26" i="19" a="1"/>
  <c r="W21" i="19"/>
  <c r="W22" i="19"/>
  <c r="W23" i="19"/>
  <c r="W24" i="19"/>
  <c r="W25" i="19"/>
  <c r="W26" i="19"/>
  <c r="X18" i="19"/>
  <c r="Y18" i="19"/>
  <c r="X19" i="19"/>
  <c r="Y19" i="19"/>
  <c r="X20" i="19"/>
  <c r="Y20" i="19"/>
  <c r="X21" i="19"/>
  <c r="Y21" i="19"/>
  <c r="X22" i="19"/>
  <c r="Y22" i="19"/>
  <c r="X23" i="19"/>
  <c r="Y23" i="19"/>
  <c r="X24" i="19"/>
  <c r="Y24" i="19"/>
  <c r="X25" i="19"/>
  <c r="Y25" i="19"/>
  <c r="X26" i="19"/>
  <c r="Y26" i="19"/>
  <c r="AA18" i="19" a="1"/>
  <c r="AA18" i="19"/>
  <c r="AA19" i="19" a="1"/>
  <c r="AA19" i="19"/>
  <c r="AA20" i="19" a="1"/>
  <c r="AA20" i="19"/>
  <c r="AA21" i="19" a="1"/>
  <c r="AA22" i="19" a="1"/>
  <c r="AA23" i="19" a="1"/>
  <c r="AA24" i="19" a="1"/>
  <c r="AA25" i="19" a="1"/>
  <c r="AA26" i="19" a="1"/>
  <c r="AA21" i="19"/>
  <c r="AA22" i="19"/>
  <c r="AA23" i="19"/>
  <c r="AA24" i="19"/>
  <c r="AA25" i="19"/>
  <c r="AA26" i="19"/>
  <c r="AB18" i="19"/>
  <c r="AC18" i="19"/>
  <c r="AB25" i="19"/>
  <c r="AC25" i="19"/>
  <c r="AB26" i="19"/>
  <c r="AC26" i="19"/>
  <c r="AB22" i="19"/>
  <c r="AC22" i="19"/>
  <c r="AB21" i="19"/>
  <c r="AC21" i="19"/>
  <c r="AB24" i="19"/>
  <c r="AC24" i="19"/>
  <c r="AB19" i="19"/>
  <c r="AC19" i="19"/>
  <c r="AB20" i="19"/>
  <c r="AC20" i="19"/>
  <c r="AB23" i="19"/>
  <c r="AC23" i="19"/>
  <c r="AE18" i="19" a="1"/>
  <c r="AE18" i="19"/>
  <c r="AE19" i="19" a="1"/>
  <c r="AE19" i="19"/>
  <c r="AE20" i="19" a="1"/>
  <c r="AE20" i="19"/>
  <c r="AE21" i="19" a="1"/>
  <c r="AE22" i="19" a="1"/>
  <c r="AE23" i="19" a="1"/>
  <c r="AE24" i="19" a="1"/>
  <c r="AE25" i="19" a="1"/>
  <c r="AE26" i="19" a="1"/>
  <c r="AE21" i="19"/>
  <c r="AE22" i="19"/>
  <c r="AE23" i="19"/>
  <c r="AE24" i="19"/>
  <c r="AE25" i="19"/>
  <c r="AE26" i="19"/>
  <c r="AF18" i="19"/>
  <c r="AG18" i="19"/>
  <c r="AF22" i="19"/>
  <c r="AG22" i="19"/>
  <c r="AI18" i="19"/>
  <c r="AJ18" i="19"/>
  <c r="AF19" i="19"/>
  <c r="AG19" i="19"/>
  <c r="AF20" i="19"/>
  <c r="AG20" i="19"/>
  <c r="AF21" i="19"/>
  <c r="AG21" i="19"/>
  <c r="AF24" i="19"/>
  <c r="AG24" i="19"/>
  <c r="AF26" i="19"/>
  <c r="AG26" i="19"/>
  <c r="AI19" i="19"/>
  <c r="AJ19" i="19"/>
  <c r="AI20" i="19"/>
  <c r="AJ20" i="19"/>
  <c r="AI22" i="19"/>
  <c r="AJ22" i="19"/>
  <c r="AF25" i="19"/>
  <c r="AG25" i="19"/>
  <c r="AI25" i="19"/>
  <c r="AJ25" i="19"/>
  <c r="AI21" i="19"/>
  <c r="AJ21" i="19"/>
  <c r="AF23" i="19"/>
  <c r="AG23" i="19"/>
  <c r="AI23" i="19"/>
  <c r="AJ23" i="19"/>
  <c r="AI24" i="19"/>
  <c r="AJ24" i="19"/>
  <c r="AI26" i="19"/>
  <c r="AJ26" i="19"/>
  <c r="AL18" i="19"/>
  <c r="AM18" i="19"/>
  <c r="AO18" i="19"/>
  <c r="AP18" i="19"/>
  <c r="G18" i="19"/>
  <c r="F18" i="19"/>
  <c r="AL19" i="19"/>
  <c r="AM19" i="19"/>
  <c r="AO19" i="19"/>
  <c r="AP19" i="19"/>
  <c r="G19" i="19"/>
  <c r="F19" i="19"/>
  <c r="AL20" i="19"/>
  <c r="AM20" i="19"/>
  <c r="AO20" i="19"/>
  <c r="AP20" i="19"/>
  <c r="G20" i="19"/>
  <c r="F20" i="19"/>
  <c r="AL21" i="19"/>
  <c r="AM21" i="19"/>
  <c r="AO21" i="19"/>
  <c r="AP21" i="19"/>
  <c r="G21" i="19"/>
  <c r="F21" i="19"/>
  <c r="AL22" i="19"/>
  <c r="AM22" i="19"/>
  <c r="AO22" i="19"/>
  <c r="AP22" i="19"/>
  <c r="G22" i="19"/>
  <c r="F22" i="19"/>
  <c r="AL23" i="19"/>
  <c r="AM23" i="19"/>
  <c r="AO23" i="19"/>
  <c r="AP23" i="19"/>
  <c r="G23" i="19"/>
  <c r="F23" i="19"/>
  <c r="AL24" i="19"/>
  <c r="AM24" i="19"/>
  <c r="AO24" i="19"/>
  <c r="AP24" i="19"/>
  <c r="G24" i="19"/>
  <c r="F24" i="19"/>
  <c r="AL25" i="19"/>
  <c r="AM25" i="19"/>
  <c r="AO25" i="19"/>
  <c r="AP25" i="19"/>
  <c r="G25" i="19"/>
  <c r="F25" i="19"/>
  <c r="AL26" i="19"/>
  <c r="AM26" i="19"/>
  <c r="AO26" i="19"/>
  <c r="AP26" i="19"/>
  <c r="G26" i="19"/>
  <c r="F26" i="19"/>
  <c r="E18" i="19"/>
  <c r="A4" i="19"/>
  <c r="E19" i="19"/>
  <c r="A5" i="19"/>
  <c r="E20" i="19"/>
  <c r="A6" i="19"/>
  <c r="E21" i="19"/>
  <c r="A7" i="19"/>
  <c r="B4" i="19"/>
  <c r="B5" i="19"/>
  <c r="B6" i="19"/>
  <c r="B7" i="19"/>
  <c r="E22" i="19"/>
  <c r="A8" i="19"/>
  <c r="B8" i="19"/>
  <c r="E23" i="19"/>
  <c r="A9" i="19"/>
  <c r="B9" i="19"/>
  <c r="E24" i="19"/>
  <c r="A10" i="19"/>
  <c r="B10" i="19"/>
  <c r="E25" i="19"/>
  <c r="A11" i="19"/>
  <c r="B11" i="19"/>
  <c r="E26" i="19"/>
  <c r="A12" i="19"/>
  <c r="B12" i="19"/>
  <c r="Q6" i="22"/>
  <c r="R6" i="22"/>
  <c r="S6" i="22"/>
  <c r="T6" i="22"/>
  <c r="U6" i="22"/>
  <c r="V6" i="22"/>
  <c r="X6" i="22"/>
  <c r="Y6" i="22"/>
  <c r="Z6" i="22"/>
  <c r="Q7" i="22"/>
  <c r="R7" i="22"/>
  <c r="S7" i="22"/>
  <c r="T7" i="22"/>
  <c r="U7" i="22"/>
  <c r="V7" i="22"/>
  <c r="X7" i="22"/>
  <c r="Y7" i="22"/>
  <c r="Z7" i="22"/>
  <c r="Q8" i="22"/>
  <c r="R8" i="22"/>
  <c r="S8" i="22"/>
  <c r="T8" i="22"/>
  <c r="U8" i="22"/>
  <c r="V8" i="22"/>
  <c r="X8" i="22"/>
  <c r="Y8" i="22"/>
  <c r="Z8" i="22"/>
  <c r="Q9" i="22"/>
  <c r="R9" i="22"/>
  <c r="S9" i="22"/>
  <c r="T9" i="22"/>
  <c r="U9" i="22"/>
  <c r="V9" i="22"/>
  <c r="X9" i="22"/>
  <c r="Y9" i="22"/>
  <c r="Z9" i="22"/>
  <c r="Q10" i="22"/>
  <c r="R10" i="22"/>
  <c r="S10" i="22"/>
  <c r="T10" i="22"/>
  <c r="U10" i="22"/>
  <c r="V10" i="22"/>
  <c r="X10" i="22"/>
  <c r="Y10" i="22"/>
  <c r="Z10" i="22"/>
  <c r="Q11" i="22"/>
  <c r="R11" i="22"/>
  <c r="S11" i="22"/>
  <c r="T11" i="22"/>
  <c r="U11" i="22"/>
  <c r="V11" i="22"/>
  <c r="X11" i="22"/>
  <c r="Y11" i="22"/>
  <c r="Z11" i="22"/>
  <c r="Q12" i="22"/>
  <c r="R12" i="22"/>
  <c r="S12" i="22"/>
  <c r="T12" i="22"/>
  <c r="U12" i="22"/>
  <c r="V12" i="22"/>
  <c r="X12" i="22"/>
  <c r="Y12" i="22"/>
  <c r="Z12" i="22"/>
  <c r="Q13" i="22"/>
  <c r="R13" i="22"/>
  <c r="S13" i="22"/>
  <c r="T13" i="22"/>
  <c r="U13" i="22"/>
  <c r="V13" i="22"/>
  <c r="X13" i="22"/>
  <c r="Y13" i="22"/>
  <c r="Z13" i="22"/>
  <c r="P7" i="22"/>
  <c r="P8" i="22"/>
  <c r="P9" i="22"/>
  <c r="P10" i="22"/>
  <c r="P11" i="22"/>
  <c r="P12" i="22"/>
  <c r="P13" i="22"/>
  <c r="P14" i="22"/>
  <c r="Q14" i="22"/>
  <c r="R14" i="22"/>
  <c r="S14" i="22"/>
  <c r="T14" i="22"/>
  <c r="U14" i="22"/>
  <c r="V14" i="22"/>
  <c r="X14" i="22"/>
  <c r="Y14" i="22"/>
  <c r="Z14" i="22"/>
  <c r="AR31" i="19" a="1"/>
  <c r="AR31" i="19"/>
  <c r="AR32" i="19"/>
  <c r="AR33" i="19"/>
  <c r="AR34" i="19"/>
  <c r="AR35" i="19"/>
  <c r="AR36" i="19"/>
  <c r="AR37" i="19"/>
  <c r="AR38" i="19"/>
  <c r="AR39" i="19"/>
  <c r="AS31" i="19" a="1"/>
  <c r="AS31" i="19"/>
  <c r="AS32" i="19"/>
  <c r="AS33" i="19"/>
  <c r="AS34" i="19"/>
  <c r="AS35" i="19"/>
  <c r="AS36" i="19"/>
  <c r="AS37" i="19"/>
  <c r="AS38" i="19"/>
  <c r="AS39" i="19"/>
  <c r="AT31" i="19" a="1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71" i="19"/>
  <c r="AT72" i="19"/>
  <c r="AT73" i="19"/>
  <c r="AT74" i="19"/>
  <c r="AT75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U31" i="19" a="1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71" i="19"/>
  <c r="AU72" i="19"/>
  <c r="AU73" i="19"/>
  <c r="AU74" i="19"/>
  <c r="AU75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</calcChain>
</file>

<file path=xl/sharedStrings.xml><?xml version="1.0" encoding="utf-8"?>
<sst xmlns="http://schemas.openxmlformats.org/spreadsheetml/2006/main" count="436" uniqueCount="263">
  <si>
    <t>Nr.</t>
  </si>
  <si>
    <t>Spielpaarung</t>
  </si>
  <si>
    <t>Ergebnis</t>
  </si>
  <si>
    <t>Tore</t>
  </si>
  <si>
    <t>Diff.</t>
  </si>
  <si>
    <t>-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</si>
  <si>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</si>
  <si>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</si>
  <si>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</si>
  <si>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</si>
  <si>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</si>
  <si>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</si>
  <si>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</si>
  <si>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</si>
  <si>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valid</t>
  </si>
  <si>
    <t>7.</t>
  </si>
  <si>
    <t>8.</t>
  </si>
  <si>
    <t>9.</t>
  </si>
  <si>
    <t>Teilnehmer und Ablaufplan</t>
  </si>
  <si>
    <t>Teilnehmer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</si>
  <si>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</si>
  <si>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</si>
  <si>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</si>
  <si>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</si>
  <si>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</si>
  <si>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</si>
  <si>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</si>
  <si>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</si>
  <si>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</si>
  <si>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</si>
  <si>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</si>
  <si>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</si>
  <si>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</si>
  <si>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</si>
  <si>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</si>
  <si>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</si>
  <si>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</si>
  <si>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</si>
  <si>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</si>
  <si>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</si>
  <si>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</si>
  <si>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</si>
  <si>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</si>
  <si>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</si>
  <si>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</si>
  <si>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</si>
  <si>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</si>
  <si>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</si>
  <si>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</si>
  <si>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</si>
  <si>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</si>
  <si>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</si>
  <si>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</si>
  <si>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</si>
  <si>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Bonus</t>
  </si>
  <si>
    <t>Sind zwei oder mehr Mannschaften nicht unterscheidbar und wird eine Fairplay- oder Losentscheidung getroffen, genügt es, für die bevorzugte Mannschaft einen Bonuspunkt einzutragen.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</si>
  <si>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</si>
  <si>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</si>
  <si>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</si>
  <si>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</si>
  <si>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</si>
  <si>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</si>
  <si>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</si>
  <si>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</si>
  <si>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</si>
  <si>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</si>
  <si>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</si>
  <si>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</si>
  <si>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</si>
  <si>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</si>
  <si>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</si>
  <si>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</si>
  <si>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</si>
  <si>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</si>
  <si>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</si>
  <si>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</si>
  <si>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</si>
  <si>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</si>
  <si>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</si>
  <si>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</si>
  <si>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</si>
  <si>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</si>
  <si>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</si>
  <si>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</si>
  <si>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</si>
  <si>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</si>
  <si>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</si>
  <si>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</si>
  <si>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</si>
  <si>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</si>
  <si>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</si>
  <si>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</si>
  <si>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</si>
  <si>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</si>
  <si>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</si>
  <si>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</si>
  <si>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</si>
  <si>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</si>
  <si>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</si>
  <si>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</si>
  <si>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</si>
  <si>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</si>
  <si>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</si>
  <si>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</si>
  <si>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</si>
  <si>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</si>
  <si>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</si>
  <si>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</si>
  <si>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</si>
  <si>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</si>
  <si>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</si>
  <si>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</si>
  <si>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</si>
  <si>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</si>
  <si>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</si>
  <si>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</si>
  <si>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</si>
  <si>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</si>
  <si>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</si>
  <si>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</si>
  <si>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</si>
  <si>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</si>
  <si>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</si>
  <si>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</si>
  <si>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</si>
  <si>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</si>
  <si>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</si>
  <si>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</si>
  <si>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</si>
  <si>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</si>
  <si>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</si>
  <si>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</si>
  <si>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</si>
  <si>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</si>
  <si>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</si>
  <si>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</si>
  <si>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</si>
  <si>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</si>
  <si>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</si>
  <si>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</si>
  <si>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</si>
  <si>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</si>
  <si>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</si>
  <si>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</si>
  <si>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</si>
  <si>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</si>
  <si>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</si>
  <si>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</si>
  <si>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</si>
  <si>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</si>
  <si>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</si>
  <si>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Hinspiele</t>
  </si>
  <si>
    <t>Rückspiele</t>
  </si>
  <si>
    <t>First legs</t>
  </si>
  <si>
    <t>Second legs</t>
  </si>
  <si>
    <t>Beginn</t>
  </si>
  <si>
    <t>Start</t>
  </si>
  <si>
    <t>Ende</t>
  </si>
  <si>
    <t>End</t>
  </si>
  <si>
    <t>Duplicate names lead to
incorrect table values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</si>
  <si>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</si>
  <si>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</si>
  <si>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</si>
  <si>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</si>
  <si>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</si>
  <si>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</si>
  <si>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</si>
  <si>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</si>
  <si>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</si>
  <si>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</si>
  <si>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</si>
  <si>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</si>
  <si>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</si>
  <si>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</si>
  <si>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</si>
  <si>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</si>
  <si>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</si>
  <si>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</si>
  <si>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</si>
  <si>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</si>
  <si>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</si>
  <si>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</si>
  <si>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</si>
  <si>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</si>
  <si>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</si>
  <si>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</si>
  <si>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</si>
  <si>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</si>
  <si>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</si>
  <si>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</si>
  <si>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</si>
  <si>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</si>
  <si>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</si>
  <si>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</si>
  <si>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</si>
  <si>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</si>
  <si>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</si>
  <si>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</si>
  <si>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</si>
  <si>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</si>
  <si>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</si>
  <si>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</si>
  <si>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</si>
  <si>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</si>
  <si>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</si>
  <si>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</si>
  <si>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</si>
  <si>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</si>
  <si>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</si>
  <si>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</si>
  <si>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</si>
  <si>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</si>
  <si>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</si>
  <si>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</si>
  <si>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</si>
  <si>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</si>
  <si>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</si>
  <si>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</si>
  <si>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</si>
  <si>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Abbreviations of the team names:</t>
  </si>
  <si>
    <t>Abkürzungen der Mannschaftsnamen:</t>
  </si>
  <si>
    <t>letters</t>
  </si>
  <si>
    <t>Buchstaben</t>
  </si>
  <si>
    <t>SV Obersuhl</t>
  </si>
  <si>
    <t>SSC Bosserode</t>
  </si>
  <si>
    <t>cr.1</t>
  </si>
  <si>
    <t>cr.2</t>
  </si>
  <si>
    <t>cr.3</t>
  </si>
  <si>
    <t>cr.4</t>
  </si>
  <si>
    <t>cr.5</t>
  </si>
  <si>
    <t>cr.6</t>
  </si>
  <si>
    <t>RANK</t>
  </si>
  <si>
    <t>cr.7</t>
  </si>
  <si>
    <t>cr.8</t>
  </si>
  <si>
    <t>cr.9</t>
  </si>
  <si>
    <t>Fair play</t>
  </si>
  <si>
    <t>fair play</t>
  </si>
  <si>
    <t>cr.10</t>
  </si>
  <si>
    <t>overall</t>
  </si>
  <si>
    <t>add</t>
  </si>
  <si>
    <t>row</t>
  </si>
  <si>
    <t>number</t>
  </si>
  <si>
    <t>Rang</t>
  </si>
  <si>
    <t>Rank</t>
  </si>
  <si>
    <t>Fair Play</t>
  </si>
  <si>
    <t>Teilnehmerliste</t>
  </si>
  <si>
    <t>Participant list</t>
  </si>
  <si>
    <t>With second legs:</t>
  </si>
  <si>
    <t>Mit Rückspielen:</t>
  </si>
  <si>
    <t>Ja</t>
  </si>
  <si>
    <t>Nein</t>
  </si>
  <si>
    <t>Yes</t>
  </si>
  <si>
    <t>No</t>
  </si>
  <si>
    <t>DC</t>
  </si>
  <si>
    <t>mode 2:</t>
  </si>
  <si>
    <t>Direkte Vergleiche bei Gleichstand in Punkten, Tordifferenz und erzielten Toren</t>
  </si>
  <si>
    <t>Direkte Vergleiche bei Gleichstand in Punkten</t>
  </si>
  <si>
    <t>Direct comparisons in case of a tie in points, goal difference and goals scored</t>
  </si>
  <si>
    <t>Direct comparisons in case of a tie in points</t>
  </si>
  <si>
    <t>DC 1</t>
  </si>
  <si>
    <t>DC 2</t>
  </si>
  <si>
    <t>Version 1.0</t>
  </si>
  <si>
    <t>Einzelteile der Matrixformel: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</si>
</sst>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&quot;.&quot;"/>
    <numFmt numFmtId="165" formatCode="0.0"/>
    <numFmt numFmtId="166" formatCode="#,##0.000"/>
  </numFmts>
  <fonts count="4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2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0"/>
      <color theme="8"/>
      <name val="Arial"/>
      <family val="2"/>
    </font>
    <font>
      <sz val="10"/>
      <color theme="2" tint="-0.249977111117893"/>
      <name val="Calibri"/>
      <family val="2"/>
    </font>
    <font>
      <sz val="9"/>
      <name val="Arial"/>
      <family val="2"/>
    </font>
    <font>
      <b/>
      <sz val="8"/>
      <color rgb="FFFA7D00"/>
      <name val="Arial"/>
      <family val="2"/>
    </font>
    <font>
      <sz val="8"/>
      <color rgb="FF0097CC"/>
      <name val="Arial"/>
      <family val="2"/>
    </font>
    <font>
      <sz val="9"/>
      <color rgb="FF0097CC"/>
      <name val="Arial"/>
      <family val="2"/>
    </font>
    <font>
      <sz val="8"/>
      <color rgb="FFC0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b/>
      <sz val="14"/>
      <color theme="4"/>
      <name val="Calibri"/>
      <family val="2"/>
    </font>
    <font>
      <b/>
      <sz val="8"/>
      <color rgb="FFC00000"/>
      <name val="Arial"/>
      <family val="2"/>
    </font>
    <font>
      <sz val="9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4F3AF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2" tint="-0.49998474074526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medium">
        <color theme="2" tint="-0.499984740745262"/>
      </left>
      <right/>
      <top style="thick">
        <color theme="2" tint="-0.499984740745262"/>
      </top>
      <bottom/>
      <diagonal/>
    </border>
    <border>
      <left style="medium">
        <color theme="2" tint="-0.499984740745262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thick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 style="medium">
        <color theme="2" tint="-0.499984740745262"/>
      </top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rgb="FF7F7F7F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</borders>
  <cellStyleXfs count="5">
    <xf numFmtId="0" fontId="0" fillId="0" borderId="0"/>
    <xf numFmtId="0" fontId="4" fillId="2" borderId="0"/>
    <xf numFmtId="0" fontId="7" fillId="3" borderId="2" applyNumberFormat="0" applyAlignment="0" applyProtection="0"/>
    <xf numFmtId="0" fontId="13" fillId="0" borderId="0" applyNumberFormat="0" applyFill="0" applyBorder="0" applyAlignment="0" applyProtection="0"/>
    <xf numFmtId="0" fontId="4" fillId="0" borderId="0"/>
  </cellStyleXfs>
  <cellXfs count="267">
    <xf numFmtId="0" fontId="0" fillId="0" borderId="0" xfId="0"/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vertical="center"/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NumberFormat="1" applyFont="1"/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center" vertical="center"/>
      <protection hidden="1"/>
    </xf>
    <xf numFmtId="0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NumberFormat="1" applyFont="1" applyFill="1" applyBorder="1" applyAlignment="1" applyProtection="1">
      <alignment horizontal="center" vertical="center"/>
      <protection hidden="1"/>
    </xf>
    <xf numFmtId="0" fontId="5" fillId="0" borderId="14" xfId="0" applyNumberFormat="1" applyFont="1" applyFill="1" applyBorder="1" applyAlignment="1" applyProtection="1">
      <alignment horizontal="center" vertical="center"/>
      <protection hidden="1"/>
    </xf>
    <xf numFmtId="0" fontId="5" fillId="0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left" vertical="center"/>
      <protection hidden="1"/>
    </xf>
    <xf numFmtId="0" fontId="5" fillId="0" borderId="33" xfId="0" applyNumberFormat="1" applyFont="1" applyFill="1" applyBorder="1" applyAlignment="1" applyProtection="1">
      <alignment horizontal="left" vertical="center"/>
      <protection hidden="1"/>
    </xf>
    <xf numFmtId="0" fontId="5" fillId="0" borderId="35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Protection="1"/>
    <xf numFmtId="0" fontId="1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6" borderId="69" xfId="0" applyFill="1" applyBorder="1" applyAlignment="1" applyProtection="1">
      <alignment horizontal="left" indent="1"/>
      <protection locked="0"/>
    </xf>
    <xf numFmtId="0" fontId="0" fillId="7" borderId="70" xfId="0" applyFill="1" applyBorder="1" applyAlignment="1" applyProtection="1">
      <alignment horizontal="left" indent="1"/>
      <protection locked="0"/>
    </xf>
    <xf numFmtId="0" fontId="0" fillId="8" borderId="71" xfId="0" applyFill="1" applyBorder="1" applyAlignment="1" applyProtection="1">
      <alignment horizontal="left" indent="1"/>
      <protection locked="0"/>
    </xf>
    <xf numFmtId="0" fontId="18" fillId="0" borderId="64" xfId="0" applyFont="1" applyFill="1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18" fillId="0" borderId="67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3" xfId="0" applyBorder="1" applyAlignment="1">
      <alignment horizontal="left" indent="1"/>
    </xf>
    <xf numFmtId="0" fontId="15" fillId="0" borderId="0" xfId="0" applyFont="1" applyFill="1" applyBorder="1"/>
    <xf numFmtId="0" fontId="19" fillId="0" borderId="0" xfId="0" applyFont="1" applyFill="1" applyBorder="1"/>
    <xf numFmtId="0" fontId="0" fillId="0" borderId="0" xfId="0" applyFill="1" applyAlignment="1">
      <alignment vertical="center"/>
    </xf>
    <xf numFmtId="0" fontId="0" fillId="8" borderId="71" xfId="0" applyFill="1" applyBorder="1" applyAlignment="1" applyProtection="1">
      <alignment horizontal="left" vertical="top" wrapText="1" indent="1"/>
      <protection locked="0"/>
    </xf>
    <xf numFmtId="0" fontId="0" fillId="6" borderId="69" xfId="0" applyFill="1" applyBorder="1" applyAlignment="1" applyProtection="1">
      <alignment horizontal="left" vertical="top" wrapText="1" indent="1"/>
      <protection locked="0"/>
    </xf>
    <xf numFmtId="0" fontId="0" fillId="7" borderId="70" xfId="0" applyFill="1" applyBorder="1" applyAlignment="1" applyProtection="1">
      <alignment horizontal="left" vertical="top" wrapText="1" indent="1"/>
      <protection locked="0"/>
    </xf>
    <xf numFmtId="0" fontId="0" fillId="7" borderId="74" xfId="0" applyFill="1" applyBorder="1" applyAlignment="1" applyProtection="1">
      <alignment horizontal="left" vertical="top" wrapText="1" indent="1"/>
      <protection locked="0"/>
    </xf>
    <xf numFmtId="0" fontId="0" fillId="7" borderId="68" xfId="0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top" wrapText="1" indent="1"/>
      <protection locked="0"/>
    </xf>
    <xf numFmtId="0" fontId="4" fillId="6" borderId="69" xfId="0" applyFont="1" applyFill="1" applyBorder="1" applyAlignment="1" applyProtection="1">
      <alignment horizontal="left" indent="1"/>
      <protection locked="0"/>
    </xf>
    <xf numFmtId="0" fontId="4" fillId="8" borderId="71" xfId="0" applyFont="1" applyFill="1" applyBorder="1" applyAlignment="1" applyProtection="1">
      <alignment horizontal="left" indent="1"/>
      <protection locked="0"/>
    </xf>
    <xf numFmtId="0" fontId="4" fillId="7" borderId="70" xfId="0" applyFont="1" applyFill="1" applyBorder="1" applyAlignment="1" applyProtection="1">
      <alignment horizontal="left" indent="1"/>
      <protection locked="0"/>
    </xf>
    <xf numFmtId="0" fontId="4" fillId="6" borderId="73" xfId="0" applyFont="1" applyFill="1" applyBorder="1" applyAlignment="1" applyProtection="1">
      <alignment horizontal="left" vertical="top" indent="1"/>
      <protection locked="0"/>
    </xf>
    <xf numFmtId="0" fontId="4" fillId="8" borderId="71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14" fillId="0" borderId="0" xfId="0" applyFont="1" applyBorder="1" applyAlignment="1">
      <alignment horizontal="left" vertical="center" wrapText="1"/>
    </xf>
    <xf numFmtId="0" fontId="4" fillId="6" borderId="75" xfId="0" applyFont="1" applyFill="1" applyBorder="1" applyAlignment="1" applyProtection="1">
      <alignment horizontal="left" vertical="top" indent="1"/>
      <protection locked="0"/>
    </xf>
    <xf numFmtId="0" fontId="1" fillId="7" borderId="62" xfId="0" applyFont="1" applyFill="1" applyBorder="1" applyAlignment="1" applyProtection="1">
      <alignment horizontal="center" vertical="center"/>
      <protection locked="0"/>
    </xf>
    <xf numFmtId="0" fontId="4" fillId="8" borderId="67" xfId="0" applyFont="1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top" wrapText="1" indent="1"/>
      <protection locked="0"/>
    </xf>
    <xf numFmtId="0" fontId="5" fillId="0" borderId="30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center" vertical="center"/>
      <protection hidden="1"/>
    </xf>
    <xf numFmtId="0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5" fillId="0" borderId="5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32" xfId="0" applyNumberFormat="1" applyFont="1" applyFill="1" applyBorder="1" applyAlignment="1" applyProtection="1">
      <alignment horizontal="center" vertical="center"/>
      <protection hidden="1"/>
    </xf>
    <xf numFmtId="0" fontId="5" fillId="0" borderId="34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center" vertical="center"/>
      <protection hidden="1"/>
    </xf>
    <xf numFmtId="0" fontId="4" fillId="6" borderId="75" xfId="0" applyFont="1" applyFill="1" applyBorder="1" applyAlignment="1" applyProtection="1">
      <alignment horizontal="left" vertical="top" wrapText="1" indent="1"/>
      <protection locked="0"/>
    </xf>
    <xf numFmtId="0" fontId="4" fillId="8" borderId="67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right" indent="1"/>
    </xf>
    <xf numFmtId="0" fontId="20" fillId="8" borderId="0" xfId="0" applyFont="1" applyFill="1" applyAlignment="1">
      <alignment horizontal="center"/>
    </xf>
    <xf numFmtId="0" fontId="0" fillId="7" borderId="63" xfId="0" applyFill="1" applyBorder="1" applyAlignment="1" applyProtection="1">
      <alignment horizontal="left" indent="1"/>
      <protection locked="0"/>
    </xf>
    <xf numFmtId="0" fontId="13" fillId="0" borderId="0" xfId="3"/>
    <xf numFmtId="0" fontId="26" fillId="0" borderId="0" xfId="0" applyFont="1"/>
    <xf numFmtId="0" fontId="20" fillId="9" borderId="87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5" fillId="7" borderId="89" xfId="0" applyNumberFormat="1" applyFont="1" applyFill="1" applyBorder="1" applyAlignment="1" applyProtection="1">
      <alignment horizontal="center" vertical="center"/>
      <protection hidden="1"/>
    </xf>
    <xf numFmtId="0" fontId="4" fillId="8" borderId="90" xfId="0" applyFont="1" applyFill="1" applyBorder="1" applyAlignment="1" applyProtection="1">
      <alignment horizontal="left" vertical="top" wrapText="1" indent="1"/>
      <protection locked="0"/>
    </xf>
    <xf numFmtId="0" fontId="4" fillId="6" borderId="91" xfId="0" applyFont="1" applyFill="1" applyBorder="1" applyAlignment="1" applyProtection="1">
      <alignment horizontal="left" vertical="top" wrapText="1" indent="1"/>
      <protection locked="0"/>
    </xf>
    <xf numFmtId="0" fontId="4" fillId="8" borderId="92" xfId="0" applyFont="1" applyFill="1" applyBorder="1" applyAlignment="1" applyProtection="1">
      <alignment horizontal="left" vertical="top" wrapText="1" indent="1"/>
      <protection locked="0"/>
    </xf>
    <xf numFmtId="0" fontId="4" fillId="6" borderId="93" xfId="0" applyFont="1" applyFill="1" applyBorder="1" applyAlignment="1" applyProtection="1">
      <alignment horizontal="left" vertical="top" wrapText="1" indent="1"/>
      <protection locked="0"/>
    </xf>
    <xf numFmtId="0" fontId="0" fillId="7" borderId="94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indent="1"/>
      <protection locked="0"/>
    </xf>
    <xf numFmtId="0" fontId="0" fillId="6" borderId="97" xfId="0" applyFill="1" applyBorder="1" applyAlignment="1" applyProtection="1">
      <alignment horizontal="left" vertical="top" indent="1"/>
      <protection locked="0"/>
    </xf>
    <xf numFmtId="0" fontId="0" fillId="7" borderId="98" xfId="0" applyFill="1" applyBorder="1" applyAlignment="1" applyProtection="1">
      <alignment horizontal="left" vertical="top" wrapText="1" indent="1"/>
      <protection locked="0"/>
    </xf>
    <xf numFmtId="0" fontId="0" fillId="8" borderId="99" xfId="0" applyFill="1" applyBorder="1" applyAlignment="1" applyProtection="1">
      <alignment horizontal="left" vertical="top" indent="1"/>
      <protection locked="0"/>
    </xf>
    <xf numFmtId="0" fontId="0" fillId="7" borderId="100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wrapText="1" indent="1"/>
      <protection locked="0"/>
    </xf>
    <xf numFmtId="0" fontId="0" fillId="6" borderId="96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8" borderId="101" xfId="0" applyFill="1" applyBorder="1" applyAlignment="1" applyProtection="1">
      <alignment horizontal="left" vertical="top" wrapText="1" indent="1"/>
      <protection locked="0"/>
    </xf>
    <xf numFmtId="0" fontId="0" fillId="6" borderId="102" xfId="0" applyFill="1" applyBorder="1" applyAlignment="1" applyProtection="1">
      <alignment horizontal="left" vertical="top" wrapText="1" indent="1"/>
      <protection locked="0"/>
    </xf>
    <xf numFmtId="0" fontId="0" fillId="7" borderId="103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27" fillId="9" borderId="87" xfId="0" applyFont="1" applyFill="1" applyBorder="1" applyAlignment="1" applyProtection="1">
      <alignment horizontal="left" vertical="center" indent="1"/>
      <protection locked="0"/>
    </xf>
    <xf numFmtId="0" fontId="20" fillId="0" borderId="0" xfId="0" applyFont="1"/>
    <xf numFmtId="0" fontId="20" fillId="0" borderId="0" xfId="0" applyFont="1" applyAlignment="1"/>
    <xf numFmtId="0" fontId="20" fillId="0" borderId="0" xfId="0" applyFont="1" applyAlignment="1">
      <alignment horizontal="right"/>
    </xf>
    <xf numFmtId="0" fontId="28" fillId="0" borderId="0" xfId="0" applyFont="1"/>
    <xf numFmtId="0" fontId="4" fillId="6" borderId="95" xfId="0" applyFont="1" applyFill="1" applyBorder="1" applyAlignment="1" applyProtection="1">
      <alignment horizontal="left" vertical="top" indent="1"/>
      <protection locked="0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30" fillId="0" borderId="0" xfId="0" applyNumberFormat="1" applyFont="1" applyFill="1" applyAlignment="1" applyProtection="1">
      <alignment vertical="center"/>
      <protection hidden="1"/>
    </xf>
    <xf numFmtId="0" fontId="30" fillId="0" borderId="0" xfId="0" applyNumberFormat="1" applyFont="1" applyFill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 applyProtection="1">
      <alignment vertical="center"/>
      <protection hidden="1"/>
    </xf>
    <xf numFmtId="0" fontId="5" fillId="0" borderId="104" xfId="0" applyNumberFormat="1" applyFont="1" applyFill="1" applyBorder="1" applyAlignment="1" applyProtection="1">
      <alignment horizontal="center" vertical="center"/>
      <protection hidden="1"/>
    </xf>
    <xf numFmtId="0" fontId="5" fillId="0" borderId="76" xfId="0" applyNumberFormat="1" applyFont="1" applyFill="1" applyBorder="1" applyAlignment="1" applyProtection="1">
      <alignment horizontal="center" vertical="center"/>
      <protection hidden="1"/>
    </xf>
    <xf numFmtId="0" fontId="5" fillId="0" borderId="105" xfId="0" applyNumberFormat="1" applyFont="1" applyFill="1" applyBorder="1" applyAlignment="1" applyProtection="1">
      <alignment horizontal="center" vertical="center"/>
      <protection hidden="1"/>
    </xf>
    <xf numFmtId="0" fontId="5" fillId="0" borderId="106" xfId="0" applyNumberFormat="1" applyFont="1" applyFill="1" applyBorder="1" applyAlignment="1" applyProtection="1">
      <alignment horizontal="center" vertical="center"/>
      <protection hidden="1"/>
    </xf>
    <xf numFmtId="0" fontId="5" fillId="0" borderId="107" xfId="0" applyNumberFormat="1" applyFont="1" applyFill="1" applyBorder="1" applyAlignment="1" applyProtection="1">
      <alignment horizontal="center" vertical="center"/>
      <protection hidden="1"/>
    </xf>
    <xf numFmtId="0" fontId="5" fillId="0" borderId="108" xfId="0" applyNumberFormat="1" applyFont="1" applyFill="1" applyBorder="1" applyAlignment="1" applyProtection="1">
      <alignment horizontal="center" vertical="center"/>
      <protection hidden="1"/>
    </xf>
    <xf numFmtId="3" fontId="8" fillId="0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31" fillId="3" borderId="109" xfId="2" applyNumberFormat="1" applyFont="1" applyBorder="1" applyAlignment="1" applyProtection="1">
      <alignment horizontal="center" vertical="center" readingOrder="1"/>
    </xf>
    <xf numFmtId="0" fontId="5" fillId="0" borderId="110" xfId="0" applyNumberFormat="1" applyFont="1" applyFill="1" applyBorder="1" applyAlignment="1" applyProtection="1">
      <alignment horizontal="center" vertical="center"/>
      <protection hidden="1"/>
    </xf>
    <xf numFmtId="0" fontId="5" fillId="0" borderId="111" xfId="0" applyNumberFormat="1" applyFont="1" applyFill="1" applyBorder="1" applyAlignment="1" applyProtection="1">
      <alignment horizontal="center" vertical="center"/>
      <protection hidden="1"/>
    </xf>
    <xf numFmtId="0" fontId="5" fillId="0" borderId="1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Border="1" applyAlignment="1" applyProtection="1">
      <alignment horizontal="left" vertical="center"/>
      <protection hidden="1"/>
    </xf>
    <xf numFmtId="166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7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>
      <alignment horizontal="center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165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32" fillId="0" borderId="0" xfId="0" applyNumberFormat="1" applyFont="1" applyFill="1" applyAlignment="1" applyProtection="1">
      <alignment horizontal="center" vertical="center"/>
      <protection hidden="1"/>
    </xf>
    <xf numFmtId="0" fontId="33" fillId="0" borderId="0" xfId="0" applyNumberFormat="1" applyFont="1" applyFill="1" applyAlignment="1" applyProtection="1">
      <alignment vertical="center"/>
      <protection hidden="1"/>
    </xf>
    <xf numFmtId="0" fontId="33" fillId="0" borderId="0" xfId="0" applyNumberFormat="1" applyFont="1" applyFill="1" applyAlignment="1" applyProtection="1">
      <alignment horizontal="center" vertical="center"/>
      <protection hidden="1"/>
    </xf>
    <xf numFmtId="0" fontId="32" fillId="0" borderId="0" xfId="0" applyNumberFormat="1" applyFont="1" applyFill="1" applyBorder="1" applyAlignment="1" applyProtection="1">
      <alignment horizontal="center" vertical="center"/>
      <protection hidden="1"/>
    </xf>
    <xf numFmtId="0" fontId="33" fillId="0" borderId="0" xfId="0" applyNumberFormat="1" applyFont="1" applyFill="1" applyBorder="1" applyAlignment="1" applyProtection="1">
      <alignment vertical="center"/>
      <protection hidden="1"/>
    </xf>
    <xf numFmtId="0" fontId="33" fillId="0" borderId="0" xfId="0" applyNumberFormat="1" applyFont="1" applyFill="1" applyBorder="1" applyAlignment="1" applyProtection="1">
      <alignment horizontal="center" vertical="center"/>
      <protection hidden="1"/>
    </xf>
    <xf numFmtId="0" fontId="34" fillId="0" borderId="0" xfId="0" applyNumberFormat="1" applyFont="1" applyFill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vertical="center" shrinkToFit="1"/>
    </xf>
    <xf numFmtId="0" fontId="35" fillId="0" borderId="0" xfId="0" applyFont="1"/>
    <xf numFmtId="0" fontId="10" fillId="0" borderId="27" xfId="0" applyFont="1" applyBorder="1" applyAlignment="1">
      <alignment horizontal="center" vertical="center" shrinkToFit="1"/>
    </xf>
    <xf numFmtId="0" fontId="10" fillId="0" borderId="114" xfId="0" applyFont="1" applyBorder="1" applyAlignment="1">
      <alignment horizontal="center" vertical="center" shrinkToFit="1"/>
    </xf>
    <xf numFmtId="0" fontId="27" fillId="0" borderId="0" xfId="0" applyFont="1"/>
    <xf numFmtId="0" fontId="10" fillId="0" borderId="17" xfId="0" applyFont="1" applyBorder="1" applyAlignment="1">
      <alignment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5" borderId="23" xfId="0" applyFont="1" applyFill="1" applyBorder="1" applyAlignment="1" applyProtection="1">
      <alignment horizontal="right" vertical="center" shrinkToFit="1"/>
      <protection locked="0"/>
    </xf>
    <xf numFmtId="0" fontId="10" fillId="5" borderId="17" xfId="0" applyFont="1" applyFill="1" applyBorder="1" applyAlignment="1">
      <alignment horizontal="center" vertical="center"/>
    </xf>
    <xf numFmtId="0" fontId="10" fillId="5" borderId="18" xfId="0" applyFont="1" applyFill="1" applyBorder="1" applyAlignment="1" applyProtection="1">
      <alignment horizontal="left" vertical="center" shrinkToFit="1"/>
      <protection locked="0"/>
    </xf>
    <xf numFmtId="0" fontId="10" fillId="0" borderId="0" xfId="0" applyFont="1"/>
    <xf numFmtId="0" fontId="10" fillId="0" borderId="79" xfId="0" applyFont="1" applyBorder="1" applyAlignment="1">
      <alignment horizontal="left" vertical="center" shrinkToFit="1"/>
    </xf>
    <xf numFmtId="0" fontId="10" fillId="0" borderId="80" xfId="0" applyFont="1" applyBorder="1" applyAlignment="1">
      <alignment horizontal="center" vertical="center" shrinkToFit="1"/>
    </xf>
    <xf numFmtId="0" fontId="10" fillId="0" borderId="81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right" vertical="center" shrinkToFit="1"/>
    </xf>
    <xf numFmtId="0" fontId="10" fillId="0" borderId="83" xfId="0" applyFont="1" applyBorder="1" applyAlignment="1">
      <alignment horizontal="center" vertical="center"/>
    </xf>
    <xf numFmtId="0" fontId="10" fillId="0" borderId="80" xfId="0" applyFont="1" applyBorder="1" applyAlignment="1">
      <alignment horizontal="left" vertical="center" shrinkToFit="1"/>
    </xf>
    <xf numFmtId="0" fontId="11" fillId="0" borderId="84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left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right" vertical="center" shrinkToFit="1"/>
    </xf>
    <xf numFmtId="0" fontId="10" fillId="0" borderId="52" xfId="0" applyFont="1" applyBorder="1" applyAlignment="1">
      <alignment horizontal="center" vertical="center"/>
    </xf>
    <xf numFmtId="0" fontId="10" fillId="0" borderId="46" xfId="0" applyFont="1" applyBorder="1" applyAlignment="1">
      <alignment horizontal="left" vertical="center" shrinkToFit="1"/>
    </xf>
    <xf numFmtId="0" fontId="11" fillId="0" borderId="42" xfId="0" applyFont="1" applyBorder="1" applyAlignment="1">
      <alignment horizontal="center" vertical="center" shrinkToFit="1"/>
    </xf>
    <xf numFmtId="0" fontId="10" fillId="0" borderId="39" xfId="0" applyFont="1" applyBorder="1" applyAlignment="1">
      <alignment horizontal="left" vertical="center" shrinkToFit="1"/>
    </xf>
    <xf numFmtId="0" fontId="10" fillId="0" borderId="48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right" vertical="center" shrinkToFit="1"/>
    </xf>
    <xf numFmtId="0" fontId="10" fillId="0" borderId="53" xfId="0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 shrinkToFit="1"/>
    </xf>
    <xf numFmtId="0" fontId="11" fillId="0" borderId="4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left" vertical="center" shrinkToFit="1"/>
    </xf>
    <xf numFmtId="0" fontId="10" fillId="0" borderId="0" xfId="0" applyFont="1" applyFill="1" applyBorder="1" applyAlignment="1">
      <alignment horizontal="right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115" xfId="0" applyFont="1" applyBorder="1" applyAlignment="1">
      <alignment horizontal="center" vertical="center" shrinkToFit="1"/>
    </xf>
    <xf numFmtId="0" fontId="10" fillId="0" borderId="19" xfId="0" applyFont="1" applyBorder="1" applyAlignment="1">
      <alignment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5" borderId="24" xfId="0" applyFont="1" applyFill="1" applyBorder="1" applyAlignment="1" applyProtection="1">
      <alignment horizontal="right" vertical="center" shrinkToFit="1"/>
      <protection locked="0"/>
    </xf>
    <xf numFmtId="0" fontId="10" fillId="5" borderId="19" xfId="0" applyFont="1" applyFill="1" applyBorder="1" applyAlignment="1">
      <alignment horizontal="center" vertical="center"/>
    </xf>
    <xf numFmtId="0" fontId="10" fillId="5" borderId="20" xfId="0" applyFont="1" applyFill="1" applyBorder="1" applyAlignment="1" applyProtection="1">
      <alignment horizontal="left" vertical="center" shrinkToFit="1"/>
      <protection locked="0"/>
    </xf>
    <xf numFmtId="0" fontId="37" fillId="0" borderId="0" xfId="0" applyFont="1"/>
    <xf numFmtId="0" fontId="36" fillId="4" borderId="26" xfId="0" applyFont="1" applyFill="1" applyBorder="1" applyAlignment="1">
      <alignment horizontal="center" vertical="center"/>
    </xf>
    <xf numFmtId="0" fontId="36" fillId="4" borderId="54" xfId="0" applyFont="1" applyFill="1" applyBorder="1" applyAlignment="1">
      <alignment horizontal="center" vertical="center" shrinkToFit="1"/>
    </xf>
    <xf numFmtId="0" fontId="36" fillId="4" borderId="56" xfId="0" applyFont="1" applyFill="1" applyBorder="1" applyAlignment="1">
      <alignment horizontal="center" vertical="center" shrinkToFit="1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55" xfId="0" applyFont="1" applyFill="1" applyBorder="1" applyAlignment="1">
      <alignment horizontal="center" vertical="center" shrinkToFit="1"/>
    </xf>
    <xf numFmtId="0" fontId="36" fillId="4" borderId="117" xfId="0" applyFont="1" applyFill="1" applyBorder="1" applyAlignment="1">
      <alignment vertical="center" shrinkToFit="1"/>
    </xf>
    <xf numFmtId="0" fontId="36" fillId="4" borderId="116" xfId="0" applyFont="1" applyFill="1" applyBorder="1" applyAlignment="1">
      <alignment horizontal="center" vertical="center" shrinkToFit="1"/>
    </xf>
    <xf numFmtId="164" fontId="10" fillId="0" borderId="78" xfId="0" applyNumberFormat="1" applyFont="1" applyBorder="1" applyAlignment="1">
      <alignment horizontal="center" vertical="center" shrinkToFit="1"/>
    </xf>
    <xf numFmtId="164" fontId="10" fillId="0" borderId="36" xfId="0" applyNumberFormat="1" applyFont="1" applyBorder="1" applyAlignment="1">
      <alignment horizontal="center" vertical="center" shrinkToFit="1"/>
    </xf>
    <xf numFmtId="164" fontId="10" fillId="0" borderId="38" xfId="0" applyNumberFormat="1" applyFont="1" applyBorder="1" applyAlignment="1">
      <alignment horizontal="center" vertical="center" shrinkToFit="1"/>
    </xf>
    <xf numFmtId="0" fontId="36" fillId="4" borderId="119" xfId="0" applyFont="1" applyFill="1" applyBorder="1" applyAlignment="1">
      <alignment horizontal="center" vertical="center"/>
    </xf>
    <xf numFmtId="0" fontId="36" fillId="4" borderId="120" xfId="0" applyFont="1" applyFill="1" applyBorder="1" applyAlignment="1">
      <alignment horizontal="center" vertical="center"/>
    </xf>
    <xf numFmtId="0" fontId="36" fillId="4" borderId="121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10" fillId="5" borderId="41" xfId="0" applyFont="1" applyFill="1" applyBorder="1" applyAlignment="1" applyProtection="1">
      <alignment horizontal="left" vertical="center" shrinkToFit="1"/>
      <protection locked="0"/>
    </xf>
    <xf numFmtId="0" fontId="27" fillId="5" borderId="42" xfId="0" applyFont="1" applyFill="1" applyBorder="1" applyProtection="1">
      <protection locked="0"/>
    </xf>
    <xf numFmtId="0" fontId="10" fillId="5" borderId="44" xfId="0" applyFont="1" applyFill="1" applyBorder="1" applyAlignment="1" applyProtection="1">
      <alignment horizontal="left" vertical="center" shrinkToFit="1"/>
      <protection locked="0"/>
    </xf>
    <xf numFmtId="0" fontId="27" fillId="5" borderId="45" xfId="0" applyFont="1" applyFill="1" applyBorder="1" applyProtection="1">
      <protection locked="0"/>
    </xf>
    <xf numFmtId="0" fontId="38" fillId="0" borderId="0" xfId="0" applyFont="1"/>
    <xf numFmtId="0" fontId="32" fillId="0" borderId="122" xfId="0" applyNumberFormat="1" applyFont="1" applyFill="1" applyBorder="1" applyAlignment="1" applyProtection="1">
      <alignment horizontal="center" vertical="center"/>
      <protection hidden="1"/>
    </xf>
    <xf numFmtId="0" fontId="5" fillId="10" borderId="0" xfId="0" applyNumberFormat="1" applyFont="1" applyFill="1" applyAlignment="1" applyProtection="1">
      <alignment vertical="center"/>
      <protection hidden="1"/>
    </xf>
    <xf numFmtId="0" fontId="5" fillId="1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4" xfId="0" applyNumberFormat="1" applyFont="1" applyFill="1" applyBorder="1" applyAlignment="1" applyProtection="1">
      <alignment horizontal="center" vertical="center"/>
      <protection hidden="1"/>
    </xf>
    <xf numFmtId="3" fontId="6" fillId="0" borderId="125" xfId="0" applyNumberFormat="1" applyFont="1" applyFill="1" applyBorder="1" applyAlignment="1" applyProtection="1">
      <alignment horizontal="center" vertical="center"/>
      <protection hidden="1"/>
    </xf>
    <xf numFmtId="3" fontId="6" fillId="0" borderId="126" xfId="0" applyNumberFormat="1" applyFont="1" applyFill="1" applyBorder="1" applyAlignment="1" applyProtection="1">
      <alignment horizontal="center" vertical="center"/>
      <protection hidden="1"/>
    </xf>
    <xf numFmtId="3" fontId="6" fillId="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7" xfId="0" applyNumberFormat="1" applyFont="1" applyFill="1" applyBorder="1" applyAlignment="1" applyProtection="1">
      <alignment horizontal="center" vertical="center"/>
      <protection hidden="1"/>
    </xf>
    <xf numFmtId="0" fontId="5" fillId="0" borderId="128" xfId="0" applyNumberFormat="1" applyFont="1" applyFill="1" applyBorder="1" applyAlignment="1" applyProtection="1">
      <alignment horizontal="center" vertical="center"/>
      <protection hidden="1"/>
    </xf>
    <xf numFmtId="3" fontId="6" fillId="0" borderId="129" xfId="0" applyNumberFormat="1" applyFont="1" applyFill="1" applyBorder="1" applyAlignment="1" applyProtection="1">
      <alignment horizontal="center" vertical="center"/>
      <protection hidden="1"/>
    </xf>
    <xf numFmtId="0" fontId="5" fillId="0" borderId="130" xfId="0" applyNumberFormat="1" applyFont="1" applyFill="1" applyBorder="1" applyAlignment="1" applyProtection="1">
      <alignment horizontal="center" vertical="center"/>
      <protection hidden="1"/>
    </xf>
    <xf numFmtId="0" fontId="39" fillId="0" borderId="122" xfId="0" applyNumberFormat="1" applyFont="1" applyFill="1" applyBorder="1" applyAlignment="1" applyProtection="1">
      <alignment horizontal="center" vertical="center"/>
      <protection hidden="1"/>
    </xf>
    <xf numFmtId="0" fontId="9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1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58" xfId="0" applyNumberFormat="1" applyFont="1" applyFill="1" applyBorder="1" applyAlignment="1" applyProtection="1">
      <alignment horizontal="right" vertical="center"/>
      <protection hidden="1"/>
    </xf>
    <xf numFmtId="0" fontId="5" fillId="0" borderId="59" xfId="0" applyNumberFormat="1" applyFont="1" applyFill="1" applyBorder="1" applyAlignment="1" applyProtection="1">
      <alignment horizontal="right" vertical="center"/>
      <protection hidden="1"/>
    </xf>
    <xf numFmtId="0" fontId="5" fillId="0" borderId="60" xfId="0" applyNumberFormat="1" applyFont="1" applyFill="1" applyBorder="1" applyAlignment="1" applyProtection="1">
      <alignment horizontal="right" vertical="center"/>
      <protection hidden="1"/>
    </xf>
    <xf numFmtId="0" fontId="5" fillId="0" borderId="133" xfId="0" applyNumberFormat="1" applyFont="1" applyFill="1" applyBorder="1" applyAlignment="1" applyProtection="1">
      <alignment horizontal="center" vertical="center"/>
      <protection hidden="1"/>
    </xf>
    <xf numFmtId="0" fontId="5" fillId="0" borderId="134" xfId="0" applyNumberFormat="1" applyFont="1" applyFill="1" applyBorder="1" applyAlignment="1" applyProtection="1">
      <alignment horizontal="center" vertical="center"/>
      <protection hidden="1"/>
    </xf>
    <xf numFmtId="0" fontId="5" fillId="11" borderId="89" xfId="0" applyNumberFormat="1" applyFont="1" applyFill="1" applyBorder="1" applyAlignment="1" applyProtection="1">
      <alignment horizontal="center" vertical="center"/>
      <protection hidden="1"/>
    </xf>
    <xf numFmtId="0" fontId="30" fillId="0" borderId="133" xfId="0" applyNumberFormat="1" applyFont="1" applyFill="1" applyBorder="1" applyAlignment="1" applyProtection="1">
      <alignment horizontal="center" vertical="center"/>
      <protection hidden="1"/>
    </xf>
    <xf numFmtId="3" fontId="6" fillId="0" borderId="13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right" vertical="center"/>
      <protection hidden="1"/>
    </xf>
    <xf numFmtId="0" fontId="30" fillId="0" borderId="0" xfId="0" applyNumberFormat="1" applyFont="1" applyFill="1" applyBorder="1" applyAlignment="1" applyProtection="1">
      <alignment horizontal="left" vertical="center"/>
      <protection hidden="1"/>
    </xf>
    <xf numFmtId="0" fontId="40" fillId="0" borderId="0" xfId="0" applyNumberFormat="1" applyFont="1" applyFill="1" applyAlignment="1" applyProtection="1">
      <alignment vertical="center"/>
      <protection hidden="1"/>
    </xf>
    <xf numFmtId="0" fontId="36" fillId="4" borderId="25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21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shrinkToFit="1"/>
    </xf>
    <xf numFmtId="0" fontId="36" fillId="4" borderId="51" xfId="0" applyFont="1" applyFill="1" applyBorder="1" applyAlignment="1">
      <alignment horizontal="center" vertical="center" shrinkToFit="1"/>
    </xf>
    <xf numFmtId="0" fontId="36" fillId="4" borderId="118" xfId="0" applyFont="1" applyFill="1" applyBorder="1" applyAlignment="1">
      <alignment horizontal="center" vertical="center"/>
    </xf>
    <xf numFmtId="0" fontId="36" fillId="4" borderId="113" xfId="0" applyFont="1" applyFill="1" applyBorder="1" applyAlignment="1">
      <alignment horizontal="center" vertical="center"/>
    </xf>
    <xf numFmtId="0" fontId="29" fillId="0" borderId="0" xfId="0" applyFont="1" applyAlignment="1" applyProtection="1">
      <alignment horizontal="right" vertical="top" wrapText="1"/>
    </xf>
    <xf numFmtId="14" fontId="29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 applyProtection="1">
      <alignment horizontal="right" vertical="center"/>
    </xf>
    <xf numFmtId="0" fontId="21" fillId="0" borderId="57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center"/>
    </xf>
    <xf numFmtId="0" fontId="17" fillId="7" borderId="66" xfId="0" applyFont="1" applyFill="1" applyBorder="1" applyAlignment="1">
      <alignment horizontal="center" vertical="center" wrapText="1"/>
    </xf>
    <xf numFmtId="0" fontId="17" fillId="7" borderId="68" xfId="0" applyFont="1" applyFill="1" applyBorder="1" applyAlignment="1">
      <alignment horizontal="center" vertical="center"/>
    </xf>
    <xf numFmtId="0" fontId="16" fillId="0" borderId="61" xfId="0" applyFont="1" applyBorder="1" applyAlignment="1">
      <alignment horizontal="center" vertical="top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63" xfId="0" applyBorder="1" applyAlignment="1" applyProtection="1">
      <alignment horizontal="center"/>
      <protection locked="0"/>
    </xf>
    <xf numFmtId="0" fontId="20" fillId="8" borderId="64" xfId="0" applyFont="1" applyFill="1" applyBorder="1" applyAlignment="1">
      <alignment horizontal="center" vertical="center" wrapText="1"/>
    </xf>
    <xf numFmtId="0" fontId="20" fillId="8" borderId="67" xfId="0" applyFont="1" applyFill="1" applyBorder="1" applyAlignment="1">
      <alignment horizontal="center" vertical="center"/>
    </xf>
    <xf numFmtId="0" fontId="20" fillId="6" borderId="85" xfId="0" applyFont="1" applyFill="1" applyBorder="1" applyAlignment="1">
      <alignment horizontal="center" vertical="center" wrapText="1"/>
    </xf>
    <xf numFmtId="0" fontId="20" fillId="6" borderId="86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25" fillId="0" borderId="0" xfId="0" applyFont="1" applyAlignment="1">
      <alignment horizontal="center" vertical="top" textRotation="90"/>
    </xf>
    <xf numFmtId="0" fontId="0" fillId="0" borderId="7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77" xfId="0" applyBorder="1" applyAlignment="1">
      <alignment horizontal="center" vertical="center" textRotation="90"/>
    </xf>
    <xf numFmtId="0" fontId="0" fillId="0" borderId="88" xfId="0" applyBorder="1" applyAlignment="1">
      <alignment horizontal="center" vertical="center" textRotation="9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28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</dxfs>
  <tableStyles count="0" defaultTableStyle="TableStyleMedium2" defaultPivotStyle="PivotStyleLight16"/>
  <colors>
    <mruColors>
      <color rgb="FFD4F3AF"/>
      <color rgb="FFFFFFCC"/>
      <color rgb="FF0097CC"/>
      <color rgb="FFDA0000"/>
      <color rgb="FFFDECE3"/>
      <color rgb="FF00B050"/>
      <color rgb="FF5E913B"/>
      <color rgb="FFF8F8F8"/>
      <color rgb="FFE7FF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BE1E-0F8A-4874-8AFD-C47CFD6AACCE}">
  <dimension ref="B1:Z78"/>
  <sheetViews>
    <sheetView workbookViewId="0"/>
  </sheetViews>
  <sheetFormatPr baseColWidth="10" defaultRowHeight="12.75" x14ac:dyDescent="0.2"/>
  <cols>
    <col min="1" max="2" width="5" customWidth="1"/>
    <col min="3" max="3" width="21.5703125" customWidth="1"/>
    <col min="4" max="4" width="9" customWidth="1"/>
    <col min="5" max="5" width="5" customWidth="1"/>
    <col min="6" max="6" width="6.42578125" customWidth="1"/>
    <col min="7" max="8" width="6.140625" customWidth="1"/>
    <col min="9" max="9" width="24.7109375" customWidth="1"/>
    <col min="10" max="10" width="2.85546875" customWidth="1"/>
    <col min="11" max="11" width="24.7109375" customWidth="1"/>
    <col min="12" max="12" width="5.7109375" customWidth="1"/>
    <col min="13" max="13" width="2" customWidth="1"/>
    <col min="14" max="14" width="5.7109375" customWidth="1"/>
    <col min="15" max="15" width="6.5703125" customWidth="1"/>
    <col min="16" max="16" width="6.7109375" customWidth="1"/>
    <col min="17" max="17" width="24.7109375" customWidth="1"/>
    <col min="18" max="22" width="7.140625" customWidth="1"/>
    <col min="23" max="23" width="3.140625" customWidth="1"/>
    <col min="24" max="26" width="7.140625" customWidth="1"/>
  </cols>
  <sheetData>
    <row r="1" spans="2:26" x14ac:dyDescent="0.2">
      <c r="Y1" s="244" t="s">
        <v>261</v>
      </c>
      <c r="Z1" s="244"/>
    </row>
    <row r="2" spans="2:26" x14ac:dyDescent="0.2">
      <c r="Y2" s="245">
        <v>46051</v>
      </c>
      <c r="Z2" s="246"/>
    </row>
    <row r="3" spans="2:26" ht="18.75" x14ac:dyDescent="0.3">
      <c r="B3" s="206" t="str">
        <f>Sprache!$E$31</f>
        <v>Teilnehmerliste</v>
      </c>
      <c r="F3" s="206" t="str">
        <f>Sprache!$E$11</f>
        <v>Ergebnisse</v>
      </c>
      <c r="P3" s="206" t="str">
        <f>Sprache!$E$12</f>
        <v>Tabelle</v>
      </c>
    </row>
    <row r="4" spans="2:26" ht="13.5" thickBot="1" x14ac:dyDescent="0.25"/>
    <row r="5" spans="2:26" ht="16.5" thickTop="1" thickBot="1" x14ac:dyDescent="0.3">
      <c r="B5" s="197" t="str">
        <f>Sprache!$E$9</f>
        <v>Nr.</v>
      </c>
      <c r="C5" s="198" t="str">
        <f>Sprache!$E$10</f>
        <v>Teilnehmer</v>
      </c>
      <c r="D5" s="199" t="str">
        <f>Sprache!$E$6</f>
        <v>Fair Play</v>
      </c>
      <c r="E5" s="186"/>
      <c r="F5" s="187" t="str">
        <f>Sprache!$E$9</f>
        <v>Nr.</v>
      </c>
      <c r="G5" s="242" t="str">
        <f>Sprache!$E$34</f>
        <v>Paarungen</v>
      </c>
      <c r="H5" s="243"/>
      <c r="I5" s="234" t="str">
        <f>Sprache!$E$14</f>
        <v>Spielpaarung</v>
      </c>
      <c r="J5" s="235"/>
      <c r="K5" s="236"/>
      <c r="L5" s="237" t="str">
        <f>Sprache!$E$15</f>
        <v>Ergebnis</v>
      </c>
      <c r="M5" s="235"/>
      <c r="N5" s="238"/>
      <c r="O5" s="140"/>
      <c r="P5" s="193" t="str">
        <f>Sprache!$E$54</f>
        <v>Rang</v>
      </c>
      <c r="Q5" s="192" t="str">
        <f>Sprache!$E$10</f>
        <v>Teilnehmer</v>
      </c>
      <c r="R5" s="188" t="str">
        <f>Sprache!$E$21</f>
        <v>SP</v>
      </c>
      <c r="S5" s="189" t="str">
        <f>Sprache!$E$22</f>
        <v>G</v>
      </c>
      <c r="T5" s="189" t="str">
        <f>Sprache!$E$23</f>
        <v>U</v>
      </c>
      <c r="U5" s="190" t="str">
        <f>Sprache!$E$24</f>
        <v>V</v>
      </c>
      <c r="V5" s="239" t="str">
        <f>Sprache!$E$25</f>
        <v>Tore</v>
      </c>
      <c r="W5" s="240"/>
      <c r="X5" s="241"/>
      <c r="Y5" s="189" t="str">
        <f>Sprache!$E$26</f>
        <v>Diff.</v>
      </c>
      <c r="Z5" s="191" t="str">
        <f>Sprache!$E$27</f>
        <v>Pkt</v>
      </c>
    </row>
    <row r="6" spans="2:26" ht="15.75" x14ac:dyDescent="0.25">
      <c r="B6" s="200">
        <v>1</v>
      </c>
      <c r="C6" s="202" t="s">
        <v>212</v>
      </c>
      <c r="D6" s="203"/>
      <c r="E6" s="143"/>
      <c r="F6" s="141">
        <v>1</v>
      </c>
      <c r="G6" s="142">
        <f t="array" aca="1" ref="G6:G77" ca="1">IF(Calc!$D$13&lt;3,"",IF(OFFSET(Spielpaarungen!$A$1,0,(Calc!$D$13-2)*4-1+(Einstellungen!$B$19=Sprache!$E$56)*30,72,1)="","",OFFSET(Spielpaarungen!$A$1,0,(Calc!$D$13-2)*4-1+(Einstellungen!$B$19=Sprache!$E$56)*30,72,1)))</f>
        <v>9</v>
      </c>
      <c r="H6" s="142">
        <f t="array" aca="1" ref="H6:H77" ca="1">IF(Calc!$D$13&lt;3,"",IF(OFFSET(Spielpaarungen!$A$1,0,(Calc!$D$13-2)*4+(Einstellungen!$B$19=Sprache!$E$56)*30,72,1)="","",OFFSET(Spielpaarungen!$A$1,0,(Calc!$D$13-2)*4+(Einstellungen!$B$19=Sprache!$E$56)*30,72,1)))</f>
        <v>2</v>
      </c>
      <c r="I6" s="144" t="str">
        <f ca="1">IF($G6="","",IF(VLOOKUP($G6,$B$6:$C$14,2,0)="","",VLOOKUP($G6,$B$6:$C$14,2,0)))</f>
        <v>SSC Bosserode</v>
      </c>
      <c r="J6" s="145" t="s">
        <v>5</v>
      </c>
      <c r="K6" s="144" t="str">
        <f ca="1">IF($H6="","",IF(VLOOKUP($H6,$B$6:$C$14,2,0)="","",VLOOKUP($H6,$B$6:$C$14,2,0)))</f>
        <v>FC Barcelona</v>
      </c>
      <c r="L6" s="146">
        <v>3</v>
      </c>
      <c r="M6" s="147" t="str">
        <f>Sprache!$E$69</f>
        <v xml:space="preserve"> : </v>
      </c>
      <c r="N6" s="148">
        <v>7</v>
      </c>
      <c r="O6" s="149"/>
      <c r="P6" s="194">
        <f ca="1">IF(Calc!$L$13=0,"",1)</f>
        <v>1</v>
      </c>
      <c r="Q6" s="150" t="str">
        <f ca="1">IF(Calc!$L$13=0,Calc!$D31,VLOOKUP(Calc!C4,Calc!$A$4:$D$12,4,0))</f>
        <v>VFB Essenheim</v>
      </c>
      <c r="R6" s="151">
        <f ca="1">IF(Calc!$L$13=0,"",VLOOKUP(Calc!C4,Calc!$A$4:$O$12,12,0))</f>
        <v>5</v>
      </c>
      <c r="S6" s="152">
        <f ca="1">IF(Calc!$L$13=0,"",VLOOKUP(Calc!C4,Calc!$A$4:$O$12,13,0))</f>
        <v>3</v>
      </c>
      <c r="T6" s="152">
        <f ca="1">IF(Calc!$L$13=0,"",VLOOKUP(Calc!C4,Calc!$A$4:$O$12,14,0))</f>
        <v>0</v>
      </c>
      <c r="U6" s="153">
        <f ca="1">IF(Calc!$L$13=0,"",VLOOKUP(Calc!C4,Calc!$A$4:$O$12,15,0))</f>
        <v>2</v>
      </c>
      <c r="V6" s="154">
        <f ca="1">IF(Calc!$L$13=0,"",VLOOKUP(Calc!C4,Calc!$A$4:$O$12,8,0))</f>
        <v>11</v>
      </c>
      <c r="W6" s="155" t="str">
        <f>Sprache!$E$69</f>
        <v xml:space="preserve"> : </v>
      </c>
      <c r="X6" s="156">
        <f ca="1">IF(Calc!$L$13=0,"",VLOOKUP(Calc!C4,Calc!$A$4:$O$12,9,0))</f>
        <v>8</v>
      </c>
      <c r="Y6" s="151">
        <f ca="1">IF(Calc!$L$13=0,"",VLOOKUP(Calc!C4,Calc!$A$4:$O$12,10,0))</f>
        <v>3</v>
      </c>
      <c r="Z6" s="157">
        <f ca="1">IF(Calc!$L$13=0,"",VLOOKUP(Calc!C4,Calc!$A$4:$O$12,11,0))</f>
        <v>9</v>
      </c>
    </row>
    <row r="7" spans="2:26" ht="15.75" x14ac:dyDescent="0.25">
      <c r="B7" s="200">
        <v>2</v>
      </c>
      <c r="C7" s="202" t="s">
        <v>213</v>
      </c>
      <c r="D7" s="203"/>
      <c r="E7" s="143"/>
      <c r="F7" s="141">
        <v>2</v>
      </c>
      <c r="G7" s="142">
        <f ca="1"/>
        <v>3</v>
      </c>
      <c r="H7" s="142">
        <f ca="1"/>
        <v>8</v>
      </c>
      <c r="I7" s="144" t="str">
        <f t="shared" ref="I7:I70" ca="1" si="0">IF($G7="","",IF(VLOOKUP($G7,$B$6:$C$14,2,0)="","",VLOOKUP($G7,$B$6:$C$14,2,0)))</f>
        <v>Eintracht Frankfurt</v>
      </c>
      <c r="J7" s="145" t="s">
        <v>5</v>
      </c>
      <c r="K7" s="144" t="str">
        <f t="shared" ref="K7:K70" ca="1" si="1">IF($H7="","",IF(VLOOKUP($H7,$B$6:$C$14,2,0)="","",VLOOKUP($H7,$B$6:$C$14,2,0)))</f>
        <v>SV Obersuhl</v>
      </c>
      <c r="L7" s="146">
        <v>3</v>
      </c>
      <c r="M7" s="147" t="str">
        <f>Sprache!$E$69</f>
        <v xml:space="preserve"> : </v>
      </c>
      <c r="N7" s="148">
        <v>6</v>
      </c>
      <c r="O7" s="149"/>
      <c r="P7" s="195">
        <f ca="1">IF(Calc!$L$13=0,"",IF(VLOOKUP(Calc!C5,Calc!$A$4:$B$12,2,0)=MAX(P$6:P6),VLOOKUP(Calc!C5,Calc!$A$4:$B$12,2,0),Calc!C5))</f>
        <v>2</v>
      </c>
      <c r="Q7" s="158" t="str">
        <f ca="1">IF(Calc!$L$13=0,Calc!$D32,VLOOKUP(Calc!C5,Calc!$A$4:$D$12,4,0))</f>
        <v>FC Barcelona</v>
      </c>
      <c r="R7" s="159">
        <f ca="1">IF(Calc!$L$13=0,"",VLOOKUP(Calc!C5,Calc!$A$4:$O$12,12,0))</f>
        <v>5</v>
      </c>
      <c r="S7" s="160">
        <f ca="1">IF(Calc!$L$13=0,"",VLOOKUP(Calc!C5,Calc!$A$4:$O$12,13,0))</f>
        <v>2</v>
      </c>
      <c r="T7" s="160">
        <f ca="1">IF(Calc!$L$13=0,"",VLOOKUP(Calc!C5,Calc!$A$4:$O$12,14,0))</f>
        <v>0</v>
      </c>
      <c r="U7" s="161">
        <f ca="1">IF(Calc!$L$13=0,"",VLOOKUP(Calc!C5,Calc!$A$4:$O$12,15,0))</f>
        <v>3</v>
      </c>
      <c r="V7" s="162">
        <f ca="1">IF(Calc!$L$13=0,"",VLOOKUP(Calc!C5,Calc!$A$4:$O$12,8,0))</f>
        <v>10</v>
      </c>
      <c r="W7" s="163" t="str">
        <f>Sprache!$E$69</f>
        <v xml:space="preserve"> : </v>
      </c>
      <c r="X7" s="164">
        <f ca="1">IF(Calc!$L$13=0,"",VLOOKUP(Calc!C5,Calc!$A$4:$O$12,9,0))</f>
        <v>11</v>
      </c>
      <c r="Y7" s="159">
        <f ca="1">IF(Calc!$L$13=0,"",VLOOKUP(Calc!C5,Calc!$A$4:$O$12,10,0))</f>
        <v>-1</v>
      </c>
      <c r="Z7" s="165">
        <f ca="1">IF(Calc!$L$13=0,"",VLOOKUP(Calc!C5,Calc!$A$4:$O$12,11,0))</f>
        <v>6</v>
      </c>
    </row>
    <row r="8" spans="2:26" ht="15.75" x14ac:dyDescent="0.25">
      <c r="B8" s="200">
        <v>3</v>
      </c>
      <c r="C8" s="202" t="s">
        <v>214</v>
      </c>
      <c r="D8" s="203"/>
      <c r="E8" s="143"/>
      <c r="F8" s="141">
        <v>3</v>
      </c>
      <c r="G8" s="142">
        <f ca="1"/>
        <v>7</v>
      </c>
      <c r="H8" s="142">
        <f ca="1"/>
        <v>4</v>
      </c>
      <c r="I8" s="144" t="str">
        <f t="shared" ca="1" si="0"/>
        <v>SSV Wildbach</v>
      </c>
      <c r="J8" s="145" t="s">
        <v>5</v>
      </c>
      <c r="K8" s="144" t="str">
        <f t="shared" ca="1" si="1"/>
        <v>Maibach 1822 eV</v>
      </c>
      <c r="L8" s="146">
        <v>1</v>
      </c>
      <c r="M8" s="147" t="str">
        <f>Sprache!$E$69</f>
        <v xml:space="preserve"> : </v>
      </c>
      <c r="N8" s="148">
        <v>1</v>
      </c>
      <c r="O8" s="149"/>
      <c r="P8" s="195">
        <f ca="1">IF(Calc!$L$13=0,"",IF(VLOOKUP(Calc!C6,Calc!$A$4:$B$12,2,0)=MAX(P$6:P7),VLOOKUP(Calc!C6,Calc!$A$4:$B$12,2,0),Calc!C6))</f>
        <v>3</v>
      </c>
      <c r="Q8" s="158" t="str">
        <f ca="1">IF(Calc!$L$13=0,Calc!$D33,VLOOKUP(Calc!C6,Calc!$A$4:$D$12,4,0))</f>
        <v>SSC Bosserode</v>
      </c>
      <c r="R8" s="159">
        <f ca="1">IF(Calc!$L$13=0,"",VLOOKUP(Calc!C6,Calc!$A$4:$O$12,12,0))</f>
        <v>4</v>
      </c>
      <c r="S8" s="160">
        <f ca="1">IF(Calc!$L$13=0,"",VLOOKUP(Calc!C6,Calc!$A$4:$O$12,13,0))</f>
        <v>2</v>
      </c>
      <c r="T8" s="160">
        <f ca="1">IF(Calc!$L$13=0,"",VLOOKUP(Calc!C6,Calc!$A$4:$O$12,14,0))</f>
        <v>0</v>
      </c>
      <c r="U8" s="161">
        <f ca="1">IF(Calc!$L$13=0,"",VLOOKUP(Calc!C6,Calc!$A$4:$O$12,15,0))</f>
        <v>2</v>
      </c>
      <c r="V8" s="162">
        <f ca="1">IF(Calc!$L$13=0,"",VLOOKUP(Calc!C6,Calc!$A$4:$O$12,8,0))</f>
        <v>10</v>
      </c>
      <c r="W8" s="163" t="str">
        <f>Sprache!$E$69</f>
        <v xml:space="preserve"> : </v>
      </c>
      <c r="X8" s="164">
        <f ca="1">IF(Calc!$L$13=0,"",VLOOKUP(Calc!C6,Calc!$A$4:$O$12,9,0))</f>
        <v>10</v>
      </c>
      <c r="Y8" s="159">
        <f ca="1">IF(Calc!$L$13=0,"",VLOOKUP(Calc!C6,Calc!$A$4:$O$12,10,0))</f>
        <v>0</v>
      </c>
      <c r="Z8" s="165">
        <f ca="1">IF(Calc!$L$13=0,"",VLOOKUP(Calc!C6,Calc!$A$4:$O$12,11,0))</f>
        <v>6</v>
      </c>
    </row>
    <row r="9" spans="2:26" ht="15.75" x14ac:dyDescent="0.25">
      <c r="B9" s="200">
        <v>4</v>
      </c>
      <c r="C9" s="202" t="s">
        <v>215</v>
      </c>
      <c r="D9" s="203"/>
      <c r="E9" s="143"/>
      <c r="F9" s="141">
        <v>4</v>
      </c>
      <c r="G9" s="142">
        <f ca="1"/>
        <v>5</v>
      </c>
      <c r="H9" s="142">
        <f ca="1"/>
        <v>6</v>
      </c>
      <c r="I9" s="144" t="str">
        <f t="shared" ca="1" si="0"/>
        <v>VFB Essenheim</v>
      </c>
      <c r="J9" s="145" t="s">
        <v>5</v>
      </c>
      <c r="K9" s="144" t="str">
        <f t="shared" ca="1" si="1"/>
        <v>Inter Mailand</v>
      </c>
      <c r="L9" s="146">
        <v>0</v>
      </c>
      <c r="M9" s="147" t="str">
        <f>Sprache!$E$69</f>
        <v xml:space="preserve"> : </v>
      </c>
      <c r="N9" s="148">
        <v>2</v>
      </c>
      <c r="O9" s="149"/>
      <c r="P9" s="195">
        <f ca="1">IF(Calc!$L$13=0,"",IF(VLOOKUP(Calc!C7,Calc!$A$4:$B$12,2,0)=MAX(P$6:P8),VLOOKUP(Calc!C7,Calc!$A$4:$B$12,2,0),Calc!C7))</f>
        <v>4</v>
      </c>
      <c r="Q9" s="158" t="str">
        <f ca="1">IF(Calc!$L$13=0,Calc!$D34,VLOOKUP(Calc!C7,Calc!$A$4:$D$12,4,0))</f>
        <v>SV Obersuhl</v>
      </c>
      <c r="R9" s="159">
        <f ca="1">IF(Calc!$L$13=0,"",VLOOKUP(Calc!C7,Calc!$A$4:$O$12,12,0))</f>
        <v>5</v>
      </c>
      <c r="S9" s="160">
        <f ca="1">IF(Calc!$L$13=0,"",VLOOKUP(Calc!C7,Calc!$A$4:$O$12,13,0))</f>
        <v>2</v>
      </c>
      <c r="T9" s="160">
        <f ca="1">IF(Calc!$L$13=0,"",VLOOKUP(Calc!C7,Calc!$A$4:$O$12,14,0))</f>
        <v>0</v>
      </c>
      <c r="U9" s="161">
        <f ca="1">IF(Calc!$L$13=0,"",VLOOKUP(Calc!C7,Calc!$A$4:$O$12,15,0))</f>
        <v>3</v>
      </c>
      <c r="V9" s="162">
        <f ca="1">IF(Calc!$L$13=0,"",VLOOKUP(Calc!C7,Calc!$A$4:$O$12,8,0))</f>
        <v>10</v>
      </c>
      <c r="W9" s="163" t="str">
        <f>Sprache!$E$69</f>
        <v xml:space="preserve"> : </v>
      </c>
      <c r="X9" s="164">
        <f ca="1">IF(Calc!$L$13=0,"",VLOOKUP(Calc!C7,Calc!$A$4:$O$12,9,0))</f>
        <v>11</v>
      </c>
      <c r="Y9" s="159">
        <f ca="1">IF(Calc!$L$13=0,"",VLOOKUP(Calc!C7,Calc!$A$4:$O$12,10,0))</f>
        <v>-1</v>
      </c>
      <c r="Z9" s="165">
        <f ca="1">IF(Calc!$L$13=0,"",VLOOKUP(Calc!C7,Calc!$A$4:$O$12,11,0))</f>
        <v>6</v>
      </c>
    </row>
    <row r="10" spans="2:26" ht="15.75" x14ac:dyDescent="0.25">
      <c r="B10" s="200">
        <v>5</v>
      </c>
      <c r="C10" s="202" t="s">
        <v>216</v>
      </c>
      <c r="D10" s="203"/>
      <c r="E10" s="143"/>
      <c r="F10" s="141">
        <v>5</v>
      </c>
      <c r="G10" s="142">
        <f ca="1"/>
        <v>9</v>
      </c>
      <c r="H10" s="142">
        <f ca="1"/>
        <v>1</v>
      </c>
      <c r="I10" s="144" t="str">
        <f t="shared" ca="1" si="0"/>
        <v>SSC Bosserode</v>
      </c>
      <c r="J10" s="145" t="s">
        <v>5</v>
      </c>
      <c r="K10" s="144" t="str">
        <f t="shared" ca="1" si="1"/>
        <v>1. FC Riedwald</v>
      </c>
      <c r="L10" s="146">
        <v>3</v>
      </c>
      <c r="M10" s="147" t="str">
        <f>Sprache!$E$69</f>
        <v xml:space="preserve"> : </v>
      </c>
      <c r="N10" s="148">
        <v>0</v>
      </c>
      <c r="O10" s="149"/>
      <c r="P10" s="195">
        <f ca="1">IF(Calc!$L$13=0,"",IF(VLOOKUP(Calc!C8,Calc!$A$4:$B$12,2,0)=MAX(P$6:P9),VLOOKUP(Calc!C8,Calc!$A$4:$B$12,2,0),Calc!C8))</f>
        <v>5</v>
      </c>
      <c r="Q10" s="158" t="str">
        <f ca="1">IF(Calc!$L$13=0,Calc!$D35,VLOOKUP(Calc!C8,Calc!$A$4:$D$12,4,0))</f>
        <v>1. FC Riedwald</v>
      </c>
      <c r="R10" s="159">
        <f ca="1">IF(Calc!$L$13=0,"",VLOOKUP(Calc!C8,Calc!$A$4:$O$12,12,0))</f>
        <v>5</v>
      </c>
      <c r="S10" s="160">
        <f ca="1">IF(Calc!$L$13=0,"",VLOOKUP(Calc!C8,Calc!$A$4:$O$12,13,0))</f>
        <v>2</v>
      </c>
      <c r="T10" s="160">
        <f ca="1">IF(Calc!$L$13=0,"",VLOOKUP(Calc!C8,Calc!$A$4:$O$12,14,0))</f>
        <v>0</v>
      </c>
      <c r="U10" s="161">
        <f ca="1">IF(Calc!$L$13=0,"",VLOOKUP(Calc!C8,Calc!$A$4:$O$12,15,0))</f>
        <v>3</v>
      </c>
      <c r="V10" s="162">
        <f ca="1">IF(Calc!$L$13=0,"",VLOOKUP(Calc!C8,Calc!$A$4:$O$12,8,0))</f>
        <v>8</v>
      </c>
      <c r="W10" s="163" t="str">
        <f>Sprache!$E$69</f>
        <v xml:space="preserve"> : </v>
      </c>
      <c r="X10" s="164">
        <f ca="1">IF(Calc!$L$13=0,"",VLOOKUP(Calc!C8,Calc!$A$4:$O$12,9,0))</f>
        <v>7</v>
      </c>
      <c r="Y10" s="159">
        <f ca="1">IF(Calc!$L$13=0,"",VLOOKUP(Calc!C8,Calc!$A$4:$O$12,10,0))</f>
        <v>1</v>
      </c>
      <c r="Z10" s="165">
        <f ca="1">IF(Calc!$L$13=0,"",VLOOKUP(Calc!C8,Calc!$A$4:$O$12,11,0))</f>
        <v>6</v>
      </c>
    </row>
    <row r="11" spans="2:26" ht="15.75" x14ac:dyDescent="0.25">
      <c r="B11" s="200">
        <v>6</v>
      </c>
      <c r="C11" s="202" t="s">
        <v>217</v>
      </c>
      <c r="D11" s="203"/>
      <c r="E11" s="143"/>
      <c r="F11" s="141">
        <v>6</v>
      </c>
      <c r="G11" s="142">
        <f ca="1"/>
        <v>2</v>
      </c>
      <c r="H11" s="142">
        <f ca="1"/>
        <v>7</v>
      </c>
      <c r="I11" s="144" t="str">
        <f t="shared" ca="1" si="0"/>
        <v>FC Barcelona</v>
      </c>
      <c r="J11" s="145" t="s">
        <v>5</v>
      </c>
      <c r="K11" s="144" t="str">
        <f t="shared" ca="1" si="1"/>
        <v>SSV Wildbach</v>
      </c>
      <c r="L11" s="146">
        <v>0</v>
      </c>
      <c r="M11" s="147" t="str">
        <f>Sprache!$E$69</f>
        <v xml:space="preserve"> : </v>
      </c>
      <c r="N11" s="148">
        <v>1</v>
      </c>
      <c r="O11" s="149"/>
      <c r="P11" s="195">
        <f ca="1">IF(Calc!$L$13=0,"",IF(VLOOKUP(Calc!C9,Calc!$A$4:$B$12,2,0)=MAX(P$6:P10),VLOOKUP(Calc!C9,Calc!$A$4:$B$12,2,0),Calc!C9))</f>
        <v>6</v>
      </c>
      <c r="Q11" s="158" t="str">
        <f ca="1">IF(Calc!$L$13=0,Calc!$D36,VLOOKUP(Calc!C9,Calc!$A$4:$D$12,4,0))</f>
        <v>Eintracht Frankfurt</v>
      </c>
      <c r="R11" s="159">
        <f ca="1">IF(Calc!$L$13=0,"",VLOOKUP(Calc!C9,Calc!$A$4:$O$12,12,0))</f>
        <v>4</v>
      </c>
      <c r="S11" s="160">
        <f ca="1">IF(Calc!$L$13=0,"",VLOOKUP(Calc!C9,Calc!$A$4:$O$12,13,0))</f>
        <v>2</v>
      </c>
      <c r="T11" s="160">
        <f ca="1">IF(Calc!$L$13=0,"",VLOOKUP(Calc!C9,Calc!$A$4:$O$12,14,0))</f>
        <v>0</v>
      </c>
      <c r="U11" s="161">
        <f ca="1">IF(Calc!$L$13=0,"",VLOOKUP(Calc!C9,Calc!$A$4:$O$12,15,0))</f>
        <v>2</v>
      </c>
      <c r="V11" s="162">
        <f ca="1">IF(Calc!$L$13=0,"",VLOOKUP(Calc!C9,Calc!$A$4:$O$12,8,0))</f>
        <v>10</v>
      </c>
      <c r="W11" s="163" t="str">
        <f>Sprache!$E$69</f>
        <v xml:space="preserve"> : </v>
      </c>
      <c r="X11" s="164">
        <f ca="1">IF(Calc!$L$13=0,"",VLOOKUP(Calc!C9,Calc!$A$4:$O$12,9,0))</f>
        <v>10</v>
      </c>
      <c r="Y11" s="159">
        <f ca="1">IF(Calc!$L$13=0,"",VLOOKUP(Calc!C9,Calc!$A$4:$O$12,10,0))</f>
        <v>0</v>
      </c>
      <c r="Z11" s="165">
        <f ca="1">IF(Calc!$L$13=0,"",VLOOKUP(Calc!C9,Calc!$A$4:$O$12,11,0))</f>
        <v>6</v>
      </c>
    </row>
    <row r="12" spans="2:26" ht="15.75" x14ac:dyDescent="0.25">
      <c r="B12" s="200">
        <v>7</v>
      </c>
      <c r="C12" s="202" t="s">
        <v>218</v>
      </c>
      <c r="D12" s="203"/>
      <c r="E12" s="143"/>
      <c r="F12" s="141">
        <v>7</v>
      </c>
      <c r="G12" s="142">
        <f ca="1"/>
        <v>6</v>
      </c>
      <c r="H12" s="142">
        <f ca="1"/>
        <v>3</v>
      </c>
      <c r="I12" s="144" t="str">
        <f t="shared" ca="1" si="0"/>
        <v>Inter Mailand</v>
      </c>
      <c r="J12" s="145" t="s">
        <v>5</v>
      </c>
      <c r="K12" s="144" t="str">
        <f t="shared" ca="1" si="1"/>
        <v>Eintracht Frankfurt</v>
      </c>
      <c r="L12" s="146">
        <v>0</v>
      </c>
      <c r="M12" s="147" t="str">
        <f>Sprache!$E$69</f>
        <v xml:space="preserve"> : </v>
      </c>
      <c r="N12" s="148">
        <v>3</v>
      </c>
      <c r="O12" s="149"/>
      <c r="P12" s="195">
        <f ca="1">IF(Calc!$L$13=0,"",IF(VLOOKUP(Calc!C10,Calc!$A$4:$B$12,2,0)=MAX(P$6:P11),VLOOKUP(Calc!C10,Calc!$A$4:$B$12,2,0),Calc!C10))</f>
        <v>7</v>
      </c>
      <c r="Q12" s="158" t="str">
        <f ca="1">IF(Calc!$L$13=0,Calc!$D37,VLOOKUP(Calc!C10,Calc!$A$4:$D$12,4,0))</f>
        <v>Inter Mailand</v>
      </c>
      <c r="R12" s="159">
        <f ca="1">IF(Calc!$L$13=0,"",VLOOKUP(Calc!C10,Calc!$A$4:$O$12,12,0))</f>
        <v>4</v>
      </c>
      <c r="S12" s="160">
        <f ca="1">IF(Calc!$L$13=0,"",VLOOKUP(Calc!C10,Calc!$A$4:$O$12,13,0))</f>
        <v>2</v>
      </c>
      <c r="T12" s="160">
        <f ca="1">IF(Calc!$L$13=0,"",VLOOKUP(Calc!C10,Calc!$A$4:$O$12,14,0))</f>
        <v>0</v>
      </c>
      <c r="U12" s="161">
        <f ca="1">IF(Calc!$L$13=0,"",VLOOKUP(Calc!C10,Calc!$A$4:$O$12,15,0))</f>
        <v>2</v>
      </c>
      <c r="V12" s="162">
        <f ca="1">IF(Calc!$L$13=0,"",VLOOKUP(Calc!C10,Calc!$A$4:$O$12,8,0))</f>
        <v>3</v>
      </c>
      <c r="W12" s="163" t="str">
        <f>Sprache!$E$69</f>
        <v xml:space="preserve"> : </v>
      </c>
      <c r="X12" s="164">
        <f ca="1">IF(Calc!$L$13=0,"",VLOOKUP(Calc!C10,Calc!$A$4:$O$12,9,0))</f>
        <v>7</v>
      </c>
      <c r="Y12" s="159">
        <f ca="1">IF(Calc!$L$13=0,"",VLOOKUP(Calc!C10,Calc!$A$4:$O$12,10,0))</f>
        <v>-4</v>
      </c>
      <c r="Z12" s="165">
        <f ca="1">IF(Calc!$L$13=0,"",VLOOKUP(Calc!C10,Calc!$A$4:$O$12,11,0))</f>
        <v>6</v>
      </c>
    </row>
    <row r="13" spans="2:26" ht="15.75" x14ac:dyDescent="0.25">
      <c r="B13" s="200">
        <v>8</v>
      </c>
      <c r="C13" s="202" t="s">
        <v>223</v>
      </c>
      <c r="D13" s="203"/>
      <c r="E13" s="143"/>
      <c r="F13" s="141">
        <v>8</v>
      </c>
      <c r="G13" s="142">
        <f ca="1"/>
        <v>4</v>
      </c>
      <c r="H13" s="142">
        <f ca="1"/>
        <v>5</v>
      </c>
      <c r="I13" s="144" t="str">
        <f t="shared" ca="1" si="0"/>
        <v>Maibach 1822 eV</v>
      </c>
      <c r="J13" s="145" t="s">
        <v>5</v>
      </c>
      <c r="K13" s="144" t="str">
        <f t="shared" ca="1" si="1"/>
        <v>VFB Essenheim</v>
      </c>
      <c r="L13" s="146">
        <v>2</v>
      </c>
      <c r="M13" s="147" t="str">
        <f>Sprache!$E$69</f>
        <v xml:space="preserve"> : </v>
      </c>
      <c r="N13" s="148">
        <v>1</v>
      </c>
      <c r="O13" s="149"/>
      <c r="P13" s="195">
        <f ca="1">IF(Calc!$L$13=0,"",IF(VLOOKUP(Calc!C11,Calc!$A$4:$B$12,2,0)=MAX(P$6:P12),VLOOKUP(Calc!C11,Calc!$A$4:$B$12,2,0),Calc!C11))</f>
        <v>8</v>
      </c>
      <c r="Q13" s="158" t="str">
        <f ca="1">IF(Calc!$L$13=0,Calc!$D38,VLOOKUP(Calc!C11,Calc!$A$4:$D$12,4,0))</f>
        <v>Maibach 1822 eV</v>
      </c>
      <c r="R13" s="159">
        <f ca="1">IF(Calc!$L$13=0,"",VLOOKUP(Calc!C11,Calc!$A$4:$O$12,12,0))</f>
        <v>2</v>
      </c>
      <c r="S13" s="160">
        <f ca="1">IF(Calc!$L$13=0,"",VLOOKUP(Calc!C11,Calc!$A$4:$O$12,13,0))</f>
        <v>1</v>
      </c>
      <c r="T13" s="160">
        <f ca="1">IF(Calc!$L$13=0,"",VLOOKUP(Calc!C11,Calc!$A$4:$O$12,14,0))</f>
        <v>1</v>
      </c>
      <c r="U13" s="161">
        <f ca="1">IF(Calc!$L$13=0,"",VLOOKUP(Calc!C11,Calc!$A$4:$O$12,15,0))</f>
        <v>0</v>
      </c>
      <c r="V13" s="162">
        <f ca="1">IF(Calc!$L$13=0,"",VLOOKUP(Calc!C11,Calc!$A$4:$O$12,8,0))</f>
        <v>3</v>
      </c>
      <c r="W13" s="163" t="str">
        <f>Sprache!$E$69</f>
        <v xml:space="preserve"> : </v>
      </c>
      <c r="X13" s="164">
        <f ca="1">IF(Calc!$L$13=0,"",VLOOKUP(Calc!C11,Calc!$A$4:$O$12,9,0))</f>
        <v>2</v>
      </c>
      <c r="Y13" s="159">
        <f ca="1">IF(Calc!$L$13=0,"",VLOOKUP(Calc!C11,Calc!$A$4:$O$12,10,0))</f>
        <v>1</v>
      </c>
      <c r="Z13" s="165">
        <f ca="1">IF(Calc!$L$13=0,"",VLOOKUP(Calc!C11,Calc!$A$4:$O$12,11,0))</f>
        <v>4</v>
      </c>
    </row>
    <row r="14" spans="2:26" ht="16.5" thickBot="1" x14ac:dyDescent="0.3">
      <c r="B14" s="201">
        <v>9</v>
      </c>
      <c r="C14" s="204" t="s">
        <v>224</v>
      </c>
      <c r="D14" s="205"/>
      <c r="E14" s="143"/>
      <c r="F14" s="141">
        <v>9</v>
      </c>
      <c r="G14" s="142">
        <f ca="1"/>
        <v>1</v>
      </c>
      <c r="H14" s="142">
        <f ca="1"/>
        <v>8</v>
      </c>
      <c r="I14" s="144" t="str">
        <f t="shared" ca="1" si="0"/>
        <v>1. FC Riedwald</v>
      </c>
      <c r="J14" s="145" t="s">
        <v>5</v>
      </c>
      <c r="K14" s="144" t="str">
        <f t="shared" ca="1" si="1"/>
        <v>SV Obersuhl</v>
      </c>
      <c r="L14" s="146">
        <v>1</v>
      </c>
      <c r="M14" s="147" t="str">
        <f>Sprache!$E$69</f>
        <v xml:space="preserve"> : </v>
      </c>
      <c r="N14" s="148">
        <v>2</v>
      </c>
      <c r="O14" s="149"/>
      <c r="P14" s="196">
        <f ca="1">IF(Calc!$L$13=0,"",IF(VLOOKUP(Calc!C12,Calc!$A$4:$B$12,2,0)=MAX(P$6:P13),VLOOKUP(Calc!C12,Calc!$A$4:$B$12,2,0),Calc!C12))</f>
        <v>9</v>
      </c>
      <c r="Q14" s="166" t="str">
        <f ca="1">IF(Calc!$L$13=0,Calc!$D39,VLOOKUP(Calc!C12,Calc!$A$4:$D$12,4,0))</f>
        <v>SSV Wildbach</v>
      </c>
      <c r="R14" s="167">
        <f ca="1">IF(Calc!$L$13=0,"",VLOOKUP(Calc!C12,Calc!$A$4:$O$12,12,0))</f>
        <v>2</v>
      </c>
      <c r="S14" s="168">
        <f ca="1">IF(Calc!$L$13=0,"",VLOOKUP(Calc!C12,Calc!$A$4:$O$12,13,0))</f>
        <v>1</v>
      </c>
      <c r="T14" s="168">
        <f ca="1">IF(Calc!$L$13=0,"",VLOOKUP(Calc!C12,Calc!$A$4:$O$12,14,0))</f>
        <v>1</v>
      </c>
      <c r="U14" s="169">
        <f ca="1">IF(Calc!$L$13=0,"",VLOOKUP(Calc!C12,Calc!$A$4:$O$12,15,0))</f>
        <v>0</v>
      </c>
      <c r="V14" s="170">
        <f ca="1">IF(Calc!$L$13=0,"",VLOOKUP(Calc!C12,Calc!$A$4:$O$12,8,0))</f>
        <v>2</v>
      </c>
      <c r="W14" s="171" t="str">
        <f>Sprache!$E$69</f>
        <v xml:space="preserve"> : </v>
      </c>
      <c r="X14" s="172">
        <f ca="1">IF(Calc!$L$13=0,"",VLOOKUP(Calc!C12,Calc!$A$4:$O$12,9,0))</f>
        <v>1</v>
      </c>
      <c r="Y14" s="167">
        <f ca="1">IF(Calc!$L$13=0,"",VLOOKUP(Calc!C12,Calc!$A$4:$O$12,10,0))</f>
        <v>1</v>
      </c>
      <c r="Z14" s="173">
        <f ca="1">IF(Calc!$L$13=0,"",VLOOKUP(Calc!C12,Calc!$A$4:$O$12,11,0))</f>
        <v>4</v>
      </c>
    </row>
    <row r="15" spans="2:26" ht="16.5" thickTop="1" x14ac:dyDescent="0.25">
      <c r="B15" s="143"/>
      <c r="C15" s="143"/>
      <c r="D15" s="143"/>
      <c r="E15" s="143"/>
      <c r="F15" s="141">
        <v>10</v>
      </c>
      <c r="G15" s="142">
        <f ca="1"/>
        <v>7</v>
      </c>
      <c r="H15" s="142">
        <f ca="1"/>
        <v>9</v>
      </c>
      <c r="I15" s="144" t="str">
        <f t="shared" ca="1" si="0"/>
        <v>SSV Wildbach</v>
      </c>
      <c r="J15" s="145" t="s">
        <v>5</v>
      </c>
      <c r="K15" s="144" t="str">
        <f t="shared" ca="1" si="1"/>
        <v>SSC Bosserode</v>
      </c>
      <c r="L15" s="146"/>
      <c r="M15" s="147" t="str">
        <f>Sprache!$E$69</f>
        <v xml:space="preserve"> : </v>
      </c>
      <c r="N15" s="148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2:26" ht="15.75" x14ac:dyDescent="0.25">
      <c r="B16" s="143"/>
      <c r="C16" s="143"/>
      <c r="D16" s="143"/>
      <c r="E16" s="143"/>
      <c r="F16" s="141">
        <v>11</v>
      </c>
      <c r="G16" s="142">
        <f ca="1"/>
        <v>5</v>
      </c>
      <c r="H16" s="142">
        <f ca="1"/>
        <v>2</v>
      </c>
      <c r="I16" s="144" t="str">
        <f t="shared" ca="1" si="0"/>
        <v>VFB Essenheim</v>
      </c>
      <c r="J16" s="145" t="s">
        <v>5</v>
      </c>
      <c r="K16" s="144" t="str">
        <f t="shared" ca="1" si="1"/>
        <v>FC Barcelona</v>
      </c>
      <c r="L16" s="146">
        <v>3</v>
      </c>
      <c r="M16" s="147" t="str">
        <f>Sprache!$E$69</f>
        <v xml:space="preserve"> : </v>
      </c>
      <c r="N16" s="148">
        <v>0</v>
      </c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2:26" ht="15.75" x14ac:dyDescent="0.25">
      <c r="B17" s="143"/>
      <c r="C17" s="143"/>
      <c r="D17" s="143"/>
      <c r="E17" s="143"/>
      <c r="F17" s="141">
        <v>12</v>
      </c>
      <c r="G17" s="142">
        <f ca="1"/>
        <v>3</v>
      </c>
      <c r="H17" s="142">
        <f ca="1"/>
        <v>4</v>
      </c>
      <c r="I17" s="144" t="str">
        <f t="shared" ca="1" si="0"/>
        <v>Eintracht Frankfurt</v>
      </c>
      <c r="J17" s="145" t="s">
        <v>5</v>
      </c>
      <c r="K17" s="144" t="str">
        <f t="shared" ca="1" si="1"/>
        <v>Maibach 1822 eV</v>
      </c>
      <c r="L17" s="146"/>
      <c r="M17" s="147" t="str">
        <f>Sprache!$E$69</f>
        <v xml:space="preserve"> : </v>
      </c>
      <c r="N17" s="148"/>
      <c r="O17" s="149"/>
      <c r="P17" s="174"/>
      <c r="Q17" s="143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2:26" ht="15.75" x14ac:dyDescent="0.25">
      <c r="B18" s="143"/>
      <c r="C18" s="143"/>
      <c r="D18" s="143"/>
      <c r="E18" s="143"/>
      <c r="F18" s="141">
        <v>13</v>
      </c>
      <c r="G18" s="142">
        <f ca="1"/>
        <v>7</v>
      </c>
      <c r="H18" s="142">
        <f ca="1"/>
        <v>1</v>
      </c>
      <c r="I18" s="144" t="str">
        <f t="shared" ca="1" si="0"/>
        <v>SSV Wildbach</v>
      </c>
      <c r="J18" s="145" t="s">
        <v>5</v>
      </c>
      <c r="K18" s="144" t="str">
        <f t="shared" ca="1" si="1"/>
        <v>1. FC Riedwald</v>
      </c>
      <c r="L18" s="146"/>
      <c r="M18" s="147" t="str">
        <f>Sprache!$E$69</f>
        <v xml:space="preserve"> : </v>
      </c>
      <c r="N18" s="148"/>
      <c r="O18" s="149"/>
      <c r="P18" s="174"/>
      <c r="Q18" s="143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2:26" ht="15.75" x14ac:dyDescent="0.25">
      <c r="B19" s="143"/>
      <c r="C19" s="143"/>
      <c r="D19" s="143"/>
      <c r="E19" s="143"/>
      <c r="F19" s="141">
        <v>14</v>
      </c>
      <c r="G19" s="142">
        <f ca="1"/>
        <v>6</v>
      </c>
      <c r="H19" s="142">
        <f ca="1"/>
        <v>8</v>
      </c>
      <c r="I19" s="144" t="str">
        <f t="shared" ca="1" si="0"/>
        <v>Inter Mailand</v>
      </c>
      <c r="J19" s="145" t="s">
        <v>5</v>
      </c>
      <c r="K19" s="144" t="str">
        <f t="shared" ca="1" si="1"/>
        <v>SV Obersuhl</v>
      </c>
      <c r="L19" s="146">
        <v>1</v>
      </c>
      <c r="M19" s="147" t="str">
        <f>Sprache!$E$69</f>
        <v xml:space="preserve"> : </v>
      </c>
      <c r="N19" s="148">
        <v>0</v>
      </c>
      <c r="O19" s="149"/>
      <c r="P19" s="174"/>
      <c r="Q19" s="143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2:26" ht="15.75" x14ac:dyDescent="0.25">
      <c r="B20" s="143"/>
      <c r="C20" s="143"/>
      <c r="D20" s="143"/>
      <c r="E20" s="143"/>
      <c r="F20" s="141">
        <v>15</v>
      </c>
      <c r="G20" s="142">
        <f ca="1"/>
        <v>9</v>
      </c>
      <c r="H20" s="142">
        <f ca="1"/>
        <v>5</v>
      </c>
      <c r="I20" s="144" t="str">
        <f t="shared" ca="1" si="0"/>
        <v>SSC Bosserode</v>
      </c>
      <c r="J20" s="145" t="s">
        <v>5</v>
      </c>
      <c r="K20" s="144" t="str">
        <f t="shared" ca="1" si="1"/>
        <v>VFB Essenheim</v>
      </c>
      <c r="L20" s="146">
        <v>2</v>
      </c>
      <c r="M20" s="147" t="str">
        <f>Sprache!$E$69</f>
        <v xml:space="preserve"> : </v>
      </c>
      <c r="N20" s="148">
        <v>3</v>
      </c>
      <c r="O20" s="149"/>
      <c r="P20" s="174"/>
      <c r="Q20" s="143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2:26" ht="15.75" x14ac:dyDescent="0.25">
      <c r="B21" s="143"/>
      <c r="C21" s="143"/>
      <c r="D21" s="143"/>
      <c r="E21" s="143"/>
      <c r="F21" s="141">
        <v>16</v>
      </c>
      <c r="G21" s="142">
        <f ca="1"/>
        <v>2</v>
      </c>
      <c r="H21" s="142">
        <f ca="1"/>
        <v>3</v>
      </c>
      <c r="I21" s="144" t="str">
        <f t="shared" ca="1" si="0"/>
        <v>FC Barcelona</v>
      </c>
      <c r="J21" s="145" t="s">
        <v>5</v>
      </c>
      <c r="K21" s="144" t="str">
        <f t="shared" ca="1" si="1"/>
        <v>Eintracht Frankfurt</v>
      </c>
      <c r="L21" s="146">
        <v>3</v>
      </c>
      <c r="M21" s="147" t="str">
        <f>Sprache!$E$69</f>
        <v xml:space="preserve"> : </v>
      </c>
      <c r="N21" s="148">
        <v>2</v>
      </c>
      <c r="O21" s="149"/>
      <c r="P21" s="174"/>
      <c r="Q21" s="143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2:26" ht="15.75" x14ac:dyDescent="0.25">
      <c r="B22" s="143"/>
      <c r="C22" s="143"/>
      <c r="D22" s="143"/>
      <c r="E22" s="143"/>
      <c r="F22" s="141">
        <v>17</v>
      </c>
      <c r="G22" s="142">
        <f ca="1"/>
        <v>1</v>
      </c>
      <c r="H22" s="142">
        <f ca="1"/>
        <v>6</v>
      </c>
      <c r="I22" s="144" t="str">
        <f t="shared" ca="1" si="0"/>
        <v>1. FC Riedwald</v>
      </c>
      <c r="J22" s="145" t="s">
        <v>5</v>
      </c>
      <c r="K22" s="144" t="str">
        <f t="shared" ca="1" si="1"/>
        <v>Inter Mailand</v>
      </c>
      <c r="L22" s="146">
        <v>4</v>
      </c>
      <c r="M22" s="147" t="str">
        <f>Sprache!$E$69</f>
        <v xml:space="preserve"> : </v>
      </c>
      <c r="N22" s="148">
        <v>0</v>
      </c>
      <c r="O22" s="149"/>
      <c r="P22" s="174"/>
      <c r="Q22" s="143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2:26" ht="15.75" x14ac:dyDescent="0.25">
      <c r="B23" s="143"/>
      <c r="C23" s="143"/>
      <c r="D23" s="143"/>
      <c r="E23" s="143"/>
      <c r="F23" s="141">
        <v>18</v>
      </c>
      <c r="G23" s="142">
        <f ca="1"/>
        <v>5</v>
      </c>
      <c r="H23" s="142">
        <f ca="1"/>
        <v>7</v>
      </c>
      <c r="I23" s="144" t="str">
        <f t="shared" ca="1" si="0"/>
        <v>VFB Essenheim</v>
      </c>
      <c r="J23" s="145" t="s">
        <v>5</v>
      </c>
      <c r="K23" s="144" t="str">
        <f t="shared" ca="1" si="1"/>
        <v>SSV Wildbach</v>
      </c>
      <c r="L23" s="146"/>
      <c r="M23" s="147" t="str">
        <f>Sprache!$E$69</f>
        <v xml:space="preserve"> : </v>
      </c>
      <c r="N23" s="148"/>
      <c r="O23" s="149"/>
      <c r="P23" s="174"/>
      <c r="Q23" s="143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2:26" ht="15.75" x14ac:dyDescent="0.25">
      <c r="B24" s="143"/>
      <c r="C24" s="143"/>
      <c r="D24" s="143"/>
      <c r="E24" s="143"/>
      <c r="F24" s="141">
        <v>19</v>
      </c>
      <c r="G24" s="142">
        <f ca="1"/>
        <v>8</v>
      </c>
      <c r="H24" s="142">
        <f ca="1"/>
        <v>4</v>
      </c>
      <c r="I24" s="144" t="str">
        <f t="shared" ca="1" si="0"/>
        <v>SV Obersuhl</v>
      </c>
      <c r="J24" s="145" t="s">
        <v>5</v>
      </c>
      <c r="K24" s="144" t="str">
        <f t="shared" ca="1" si="1"/>
        <v>Maibach 1822 eV</v>
      </c>
      <c r="L24" s="146"/>
      <c r="M24" s="147" t="str">
        <f>Sprache!$E$69</f>
        <v xml:space="preserve"> : </v>
      </c>
      <c r="N24" s="148"/>
      <c r="O24" s="149"/>
      <c r="P24" s="174"/>
      <c r="Q24" s="143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2:26" ht="15.75" x14ac:dyDescent="0.25">
      <c r="B25" s="143"/>
      <c r="C25" s="143"/>
      <c r="D25" s="143"/>
      <c r="E25" s="143"/>
      <c r="F25" s="141">
        <v>20</v>
      </c>
      <c r="G25" s="142">
        <f ca="1"/>
        <v>3</v>
      </c>
      <c r="H25" s="142">
        <f ca="1"/>
        <v>9</v>
      </c>
      <c r="I25" s="144" t="str">
        <f t="shared" ca="1" si="0"/>
        <v>Eintracht Frankfurt</v>
      </c>
      <c r="J25" s="145" t="s">
        <v>5</v>
      </c>
      <c r="K25" s="144" t="str">
        <f t="shared" ca="1" si="1"/>
        <v>SSC Bosserode</v>
      </c>
      <c r="L25" s="146"/>
      <c r="M25" s="147" t="str">
        <f>Sprache!$E$69</f>
        <v xml:space="preserve"> : </v>
      </c>
      <c r="N25" s="148"/>
      <c r="O25" s="149"/>
      <c r="P25" s="174"/>
      <c r="Q25" s="143"/>
      <c r="R25" s="175"/>
      <c r="S25" s="175"/>
      <c r="T25" s="175"/>
      <c r="U25" s="175"/>
      <c r="V25" s="175"/>
      <c r="W25" s="175"/>
      <c r="X25" s="175"/>
      <c r="Y25" s="175"/>
      <c r="Z25" s="175"/>
    </row>
    <row r="26" spans="2:26" ht="15.75" x14ac:dyDescent="0.25">
      <c r="B26" s="143"/>
      <c r="C26" s="143"/>
      <c r="D26" s="143"/>
      <c r="E26" s="143"/>
      <c r="F26" s="141">
        <v>21</v>
      </c>
      <c r="G26" s="142">
        <f ca="1"/>
        <v>5</v>
      </c>
      <c r="H26" s="142">
        <f ca="1"/>
        <v>1</v>
      </c>
      <c r="I26" s="144" t="str">
        <f t="shared" ca="1" si="0"/>
        <v>VFB Essenheim</v>
      </c>
      <c r="J26" s="145" t="s">
        <v>5</v>
      </c>
      <c r="K26" s="144" t="str">
        <f t="shared" ca="1" si="1"/>
        <v>1. FC Riedwald</v>
      </c>
      <c r="L26" s="146"/>
      <c r="M26" s="147" t="str">
        <f>Sprache!$E$69</f>
        <v xml:space="preserve"> : </v>
      </c>
      <c r="N26" s="148"/>
      <c r="O26" s="149"/>
      <c r="P26" s="174"/>
      <c r="Q26" s="143"/>
      <c r="R26" s="175"/>
      <c r="S26" s="175"/>
      <c r="T26" s="175"/>
      <c r="U26" s="175"/>
      <c r="V26" s="175"/>
      <c r="W26" s="175"/>
      <c r="X26" s="175"/>
      <c r="Y26" s="175"/>
      <c r="Z26" s="175"/>
    </row>
    <row r="27" spans="2:26" ht="15.75" x14ac:dyDescent="0.25">
      <c r="B27" s="143"/>
      <c r="C27" s="143"/>
      <c r="D27" s="143"/>
      <c r="E27" s="143"/>
      <c r="F27" s="141">
        <v>22</v>
      </c>
      <c r="G27" s="142">
        <f ca="1"/>
        <v>4</v>
      </c>
      <c r="H27" s="142">
        <f ca="1"/>
        <v>6</v>
      </c>
      <c r="I27" s="144" t="str">
        <f t="shared" ca="1" si="0"/>
        <v>Maibach 1822 eV</v>
      </c>
      <c r="J27" s="145" t="s">
        <v>5</v>
      </c>
      <c r="K27" s="144" t="str">
        <f t="shared" ca="1" si="1"/>
        <v>Inter Mailand</v>
      </c>
      <c r="L27" s="146"/>
      <c r="M27" s="147" t="str">
        <f>Sprache!$E$69</f>
        <v xml:space="preserve"> : </v>
      </c>
      <c r="N27" s="148"/>
      <c r="O27" s="149"/>
      <c r="P27" s="176"/>
      <c r="Q27" s="175"/>
      <c r="R27" s="175"/>
      <c r="S27" s="175"/>
      <c r="T27" s="175"/>
      <c r="U27" s="175"/>
      <c r="V27" s="175"/>
      <c r="W27" s="175"/>
      <c r="X27" s="175"/>
      <c r="Y27" s="175"/>
      <c r="Z27" s="175"/>
    </row>
    <row r="28" spans="2:26" ht="15.75" x14ac:dyDescent="0.25">
      <c r="B28" s="143"/>
      <c r="C28" s="143"/>
      <c r="D28" s="143"/>
      <c r="E28" s="143"/>
      <c r="F28" s="141">
        <v>23</v>
      </c>
      <c r="G28" s="142">
        <f ca="1"/>
        <v>7</v>
      </c>
      <c r="H28" s="142">
        <f ca="1"/>
        <v>3</v>
      </c>
      <c r="I28" s="144" t="str">
        <f t="shared" ca="1" si="0"/>
        <v>SSV Wildbach</v>
      </c>
      <c r="J28" s="145" t="s">
        <v>5</v>
      </c>
      <c r="K28" s="144" t="str">
        <f t="shared" ca="1" si="1"/>
        <v>Eintracht Frankfurt</v>
      </c>
      <c r="L28" s="146"/>
      <c r="M28" s="147" t="str">
        <f>Sprache!$E$69</f>
        <v xml:space="preserve"> : </v>
      </c>
      <c r="N28" s="148"/>
      <c r="O28" s="14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</row>
    <row r="29" spans="2:26" ht="15.75" x14ac:dyDescent="0.25">
      <c r="B29" s="143"/>
      <c r="C29" s="143"/>
      <c r="D29" s="143"/>
      <c r="E29" s="143"/>
      <c r="F29" s="141">
        <v>24</v>
      </c>
      <c r="G29" s="142">
        <f ca="1"/>
        <v>2</v>
      </c>
      <c r="H29" s="142">
        <f ca="1"/>
        <v>8</v>
      </c>
      <c r="I29" s="144" t="str">
        <f t="shared" ca="1" si="0"/>
        <v>FC Barcelona</v>
      </c>
      <c r="J29" s="145" t="s">
        <v>5</v>
      </c>
      <c r="K29" s="144" t="str">
        <f t="shared" ca="1" si="1"/>
        <v>SV Obersuhl</v>
      </c>
      <c r="L29" s="146"/>
      <c r="M29" s="147" t="str">
        <f>Sprache!$E$69</f>
        <v xml:space="preserve"> : </v>
      </c>
      <c r="N29" s="148"/>
      <c r="O29" s="149"/>
      <c r="P29" s="139"/>
      <c r="Q29" s="139"/>
      <c r="R29" s="138"/>
      <c r="S29" s="138"/>
      <c r="T29" s="138"/>
      <c r="U29" s="138"/>
      <c r="V29" s="139"/>
      <c r="W29" s="139"/>
      <c r="X29" s="139"/>
      <c r="Y29" s="138"/>
      <c r="Z29" s="138"/>
    </row>
    <row r="30" spans="2:26" ht="15.75" x14ac:dyDescent="0.25">
      <c r="B30" s="143"/>
      <c r="C30" s="143"/>
      <c r="D30" s="143"/>
      <c r="E30" s="143"/>
      <c r="F30" s="141">
        <v>25</v>
      </c>
      <c r="G30" s="142">
        <f ca="1"/>
        <v>1</v>
      </c>
      <c r="H30" s="142">
        <f ca="1"/>
        <v>4</v>
      </c>
      <c r="I30" s="144" t="str">
        <f t="shared" ca="1" si="0"/>
        <v>1. FC Riedwald</v>
      </c>
      <c r="J30" s="145" t="s">
        <v>5</v>
      </c>
      <c r="K30" s="144" t="str">
        <f t="shared" ca="1" si="1"/>
        <v>Maibach 1822 eV</v>
      </c>
      <c r="L30" s="146"/>
      <c r="M30" s="147" t="str">
        <f>Sprache!$E$69</f>
        <v xml:space="preserve"> : </v>
      </c>
      <c r="N30" s="148"/>
      <c r="O30" s="149"/>
      <c r="P30" s="139"/>
      <c r="Q30" s="177"/>
      <c r="R30" s="138"/>
      <c r="S30" s="138"/>
      <c r="T30" s="138"/>
      <c r="U30" s="138"/>
      <c r="V30" s="178"/>
      <c r="W30" s="138"/>
      <c r="X30" s="177"/>
      <c r="Y30" s="138"/>
      <c r="Z30" s="138"/>
    </row>
    <row r="31" spans="2:26" ht="15.75" x14ac:dyDescent="0.25">
      <c r="B31" s="143"/>
      <c r="C31" s="143"/>
      <c r="D31" s="143"/>
      <c r="E31" s="143"/>
      <c r="F31" s="141">
        <v>26</v>
      </c>
      <c r="G31" s="142">
        <f ca="1"/>
        <v>3</v>
      </c>
      <c r="H31" s="142">
        <f ca="1"/>
        <v>5</v>
      </c>
      <c r="I31" s="144" t="str">
        <f t="shared" ca="1" si="0"/>
        <v>Eintracht Frankfurt</v>
      </c>
      <c r="J31" s="145" t="s">
        <v>5</v>
      </c>
      <c r="K31" s="144" t="str">
        <f t="shared" ca="1" si="1"/>
        <v>VFB Essenheim</v>
      </c>
      <c r="L31" s="146"/>
      <c r="M31" s="147" t="str">
        <f>Sprache!$E$69</f>
        <v xml:space="preserve"> : </v>
      </c>
      <c r="N31" s="148"/>
      <c r="O31" s="149"/>
      <c r="P31" s="139"/>
      <c r="Q31" s="177"/>
      <c r="R31" s="138"/>
      <c r="S31" s="138"/>
      <c r="T31" s="138"/>
      <c r="U31" s="138"/>
      <c r="V31" s="178"/>
      <c r="W31" s="138"/>
      <c r="X31" s="177"/>
      <c r="Y31" s="138"/>
      <c r="Z31" s="138"/>
    </row>
    <row r="32" spans="2:26" ht="15.75" x14ac:dyDescent="0.25">
      <c r="B32" s="143"/>
      <c r="C32" s="143"/>
      <c r="D32" s="143"/>
      <c r="E32" s="143"/>
      <c r="F32" s="141">
        <v>27</v>
      </c>
      <c r="G32" s="142">
        <f ca="1"/>
        <v>6</v>
      </c>
      <c r="H32" s="142">
        <f ca="1"/>
        <v>2</v>
      </c>
      <c r="I32" s="144" t="str">
        <f t="shared" ca="1" si="0"/>
        <v>Inter Mailand</v>
      </c>
      <c r="J32" s="145" t="s">
        <v>5</v>
      </c>
      <c r="K32" s="144" t="str">
        <f t="shared" ca="1" si="1"/>
        <v>FC Barcelona</v>
      </c>
      <c r="L32" s="146"/>
      <c r="M32" s="147" t="str">
        <f>Sprache!$E$69</f>
        <v xml:space="preserve"> : </v>
      </c>
      <c r="N32" s="148"/>
      <c r="O32" s="149"/>
      <c r="P32" s="139"/>
      <c r="Q32" s="177"/>
      <c r="R32" s="138"/>
      <c r="S32" s="138"/>
      <c r="T32" s="138"/>
      <c r="U32" s="138"/>
      <c r="V32" s="178"/>
      <c r="W32" s="138"/>
      <c r="X32" s="177"/>
      <c r="Y32" s="138"/>
      <c r="Z32" s="138"/>
    </row>
    <row r="33" spans="2:26" ht="15.75" x14ac:dyDescent="0.25">
      <c r="B33" s="143"/>
      <c r="C33" s="143"/>
      <c r="D33" s="143"/>
      <c r="E33" s="143"/>
      <c r="F33" s="141">
        <v>28</v>
      </c>
      <c r="G33" s="142">
        <f ca="1"/>
        <v>8</v>
      </c>
      <c r="H33" s="142">
        <f ca="1"/>
        <v>9</v>
      </c>
      <c r="I33" s="144" t="str">
        <f t="shared" ca="1" si="0"/>
        <v>SV Obersuhl</v>
      </c>
      <c r="J33" s="145" t="s">
        <v>5</v>
      </c>
      <c r="K33" s="144" t="str">
        <f t="shared" ca="1" si="1"/>
        <v>SSC Bosserode</v>
      </c>
      <c r="L33" s="146">
        <v>0</v>
      </c>
      <c r="M33" s="147" t="str">
        <f>Sprache!$E$69</f>
        <v xml:space="preserve"> : </v>
      </c>
      <c r="N33" s="148">
        <v>2</v>
      </c>
      <c r="O33" s="149"/>
      <c r="P33" s="139"/>
      <c r="Q33" s="177"/>
      <c r="R33" s="138"/>
      <c r="S33" s="138"/>
      <c r="T33" s="138"/>
      <c r="U33" s="138"/>
      <c r="V33" s="178"/>
      <c r="W33" s="138"/>
      <c r="X33" s="177"/>
      <c r="Y33" s="138"/>
      <c r="Z33" s="138"/>
    </row>
    <row r="34" spans="2:26" ht="15.75" x14ac:dyDescent="0.25">
      <c r="B34" s="143"/>
      <c r="C34" s="143"/>
      <c r="D34" s="143"/>
      <c r="E34" s="143"/>
      <c r="F34" s="141">
        <v>29</v>
      </c>
      <c r="G34" s="142">
        <f ca="1"/>
        <v>3</v>
      </c>
      <c r="H34" s="142">
        <f ca="1"/>
        <v>1</v>
      </c>
      <c r="I34" s="144" t="str">
        <f t="shared" ca="1" si="0"/>
        <v>Eintracht Frankfurt</v>
      </c>
      <c r="J34" s="145" t="s">
        <v>5</v>
      </c>
      <c r="K34" s="144" t="str">
        <f t="shared" ca="1" si="1"/>
        <v>1. FC Riedwald</v>
      </c>
      <c r="L34" s="146">
        <v>2</v>
      </c>
      <c r="M34" s="147" t="str">
        <f>Sprache!$E$69</f>
        <v xml:space="preserve"> : </v>
      </c>
      <c r="N34" s="148">
        <v>1</v>
      </c>
      <c r="O34" s="149"/>
      <c r="P34" s="139"/>
      <c r="Q34" s="177"/>
      <c r="R34" s="138"/>
      <c r="S34" s="138"/>
      <c r="T34" s="138"/>
      <c r="U34" s="138"/>
      <c r="V34" s="178"/>
      <c r="W34" s="138"/>
      <c r="X34" s="177"/>
      <c r="Y34" s="138"/>
      <c r="Z34" s="138"/>
    </row>
    <row r="35" spans="2:26" ht="15.75" x14ac:dyDescent="0.25">
      <c r="B35" s="143"/>
      <c r="C35" s="143"/>
      <c r="D35" s="143"/>
      <c r="E35" s="143"/>
      <c r="F35" s="141">
        <v>30</v>
      </c>
      <c r="G35" s="142">
        <f ca="1"/>
        <v>2</v>
      </c>
      <c r="H35" s="142">
        <f ca="1"/>
        <v>4</v>
      </c>
      <c r="I35" s="144" t="str">
        <f t="shared" ca="1" si="0"/>
        <v>FC Barcelona</v>
      </c>
      <c r="J35" s="145" t="s">
        <v>5</v>
      </c>
      <c r="K35" s="144" t="str">
        <f t="shared" ca="1" si="1"/>
        <v>Maibach 1822 eV</v>
      </c>
      <c r="L35" s="146"/>
      <c r="M35" s="147" t="str">
        <f>Sprache!$E$69</f>
        <v xml:space="preserve"> : </v>
      </c>
      <c r="N35" s="148"/>
      <c r="O35" s="149"/>
      <c r="P35" s="139"/>
      <c r="Q35" s="177"/>
      <c r="R35" s="138"/>
      <c r="S35" s="138"/>
      <c r="T35" s="138"/>
      <c r="U35" s="138"/>
      <c r="V35" s="178"/>
      <c r="W35" s="138"/>
      <c r="X35" s="177"/>
      <c r="Y35" s="138"/>
      <c r="Z35" s="138"/>
    </row>
    <row r="36" spans="2:26" ht="15.75" x14ac:dyDescent="0.25">
      <c r="B36" s="143"/>
      <c r="C36" s="143"/>
      <c r="D36" s="143"/>
      <c r="E36" s="143"/>
      <c r="F36" s="141">
        <v>31</v>
      </c>
      <c r="G36" s="142">
        <f ca="1"/>
        <v>9</v>
      </c>
      <c r="H36" s="142">
        <f ca="1"/>
        <v>6</v>
      </c>
      <c r="I36" s="144" t="str">
        <f t="shared" ca="1" si="0"/>
        <v>SSC Bosserode</v>
      </c>
      <c r="J36" s="145" t="s">
        <v>5</v>
      </c>
      <c r="K36" s="144" t="str">
        <f t="shared" ca="1" si="1"/>
        <v>Inter Mailand</v>
      </c>
      <c r="L36" s="146"/>
      <c r="M36" s="147" t="str">
        <f>Sprache!$E$69</f>
        <v xml:space="preserve"> : </v>
      </c>
      <c r="N36" s="148"/>
      <c r="O36" s="149"/>
      <c r="P36" s="139"/>
      <c r="Q36" s="177"/>
      <c r="R36" s="138"/>
      <c r="S36" s="138"/>
      <c r="T36" s="138"/>
      <c r="U36" s="138"/>
      <c r="V36" s="178"/>
      <c r="W36" s="138"/>
      <c r="X36" s="177"/>
      <c r="Y36" s="138"/>
      <c r="Z36" s="138"/>
    </row>
    <row r="37" spans="2:26" ht="15.75" x14ac:dyDescent="0.25">
      <c r="B37" s="143"/>
      <c r="C37" s="143"/>
      <c r="D37" s="143"/>
      <c r="E37" s="143"/>
      <c r="F37" s="141">
        <v>32</v>
      </c>
      <c r="G37" s="142">
        <f ca="1"/>
        <v>7</v>
      </c>
      <c r="H37" s="142">
        <f ca="1"/>
        <v>8</v>
      </c>
      <c r="I37" s="144" t="str">
        <f t="shared" ca="1" si="0"/>
        <v>SSV Wildbach</v>
      </c>
      <c r="J37" s="145" t="s">
        <v>5</v>
      </c>
      <c r="K37" s="144" t="str">
        <f t="shared" ca="1" si="1"/>
        <v>SV Obersuhl</v>
      </c>
      <c r="L37" s="146"/>
      <c r="M37" s="147" t="str">
        <f>Sprache!$E$69</f>
        <v xml:space="preserve"> : </v>
      </c>
      <c r="N37" s="148"/>
      <c r="O37" s="149"/>
      <c r="P37" s="139"/>
      <c r="Q37" s="177"/>
      <c r="R37" s="138"/>
      <c r="S37" s="138"/>
      <c r="T37" s="138"/>
      <c r="U37" s="138"/>
      <c r="V37" s="178"/>
      <c r="W37" s="138"/>
      <c r="X37" s="177"/>
      <c r="Y37" s="138"/>
      <c r="Z37" s="138"/>
    </row>
    <row r="38" spans="2:26" ht="15.75" x14ac:dyDescent="0.25">
      <c r="B38" s="143"/>
      <c r="C38" s="143"/>
      <c r="D38" s="143"/>
      <c r="E38" s="143"/>
      <c r="F38" s="141">
        <v>33</v>
      </c>
      <c r="G38" s="142">
        <f ca="1"/>
        <v>1</v>
      </c>
      <c r="H38" s="142">
        <f ca="1"/>
        <v>2</v>
      </c>
      <c r="I38" s="144" t="str">
        <f t="shared" ca="1" si="0"/>
        <v>1. FC Riedwald</v>
      </c>
      <c r="J38" s="145" t="s">
        <v>5</v>
      </c>
      <c r="K38" s="144" t="str">
        <f t="shared" ca="1" si="1"/>
        <v>FC Barcelona</v>
      </c>
      <c r="L38" s="146">
        <v>2</v>
      </c>
      <c r="M38" s="147" t="str">
        <f>Sprache!$E$69</f>
        <v xml:space="preserve"> : </v>
      </c>
      <c r="N38" s="148">
        <v>0</v>
      </c>
      <c r="O38" s="149"/>
      <c r="P38" s="139"/>
      <c r="Q38" s="177"/>
      <c r="R38" s="138"/>
      <c r="S38" s="138"/>
      <c r="T38" s="138"/>
      <c r="U38" s="138"/>
      <c r="V38" s="178"/>
      <c r="W38" s="138"/>
      <c r="X38" s="177"/>
      <c r="Y38" s="138"/>
      <c r="Z38" s="138"/>
    </row>
    <row r="39" spans="2:26" ht="15.75" x14ac:dyDescent="0.25">
      <c r="B39" s="143"/>
      <c r="C39" s="143"/>
      <c r="D39" s="143"/>
      <c r="E39" s="143"/>
      <c r="F39" s="141">
        <v>34</v>
      </c>
      <c r="G39" s="142">
        <f ca="1"/>
        <v>4</v>
      </c>
      <c r="H39" s="142">
        <f ca="1"/>
        <v>9</v>
      </c>
      <c r="I39" s="144" t="str">
        <f t="shared" ca="1" si="0"/>
        <v>Maibach 1822 eV</v>
      </c>
      <c r="J39" s="145" t="s">
        <v>5</v>
      </c>
      <c r="K39" s="144" t="str">
        <f t="shared" ca="1" si="1"/>
        <v>SSC Bosserode</v>
      </c>
      <c r="L39" s="146"/>
      <c r="M39" s="147" t="str">
        <f>Sprache!$E$69</f>
        <v xml:space="preserve"> : </v>
      </c>
      <c r="N39" s="148"/>
      <c r="O39" s="149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</row>
    <row r="40" spans="2:26" ht="15.75" x14ac:dyDescent="0.25">
      <c r="B40" s="143"/>
      <c r="C40" s="143"/>
      <c r="D40" s="143"/>
      <c r="E40" s="143"/>
      <c r="F40" s="141">
        <v>35</v>
      </c>
      <c r="G40" s="142">
        <f ca="1"/>
        <v>8</v>
      </c>
      <c r="H40" s="142">
        <f ca="1"/>
        <v>5</v>
      </c>
      <c r="I40" s="144" t="str">
        <f t="shared" ca="1" si="0"/>
        <v>SV Obersuhl</v>
      </c>
      <c r="J40" s="145" t="s">
        <v>5</v>
      </c>
      <c r="K40" s="144" t="str">
        <f t="shared" ca="1" si="1"/>
        <v>VFB Essenheim</v>
      </c>
      <c r="L40" s="146">
        <v>2</v>
      </c>
      <c r="M40" s="147" t="str">
        <f>Sprache!$E$69</f>
        <v xml:space="preserve"> : </v>
      </c>
      <c r="N40" s="148">
        <v>4</v>
      </c>
      <c r="O40" s="149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</row>
    <row r="41" spans="2:26" ht="15.75" x14ac:dyDescent="0.25">
      <c r="B41" s="143"/>
      <c r="C41" s="143"/>
      <c r="D41" s="143"/>
      <c r="E41" s="143"/>
      <c r="F41" s="141">
        <v>36</v>
      </c>
      <c r="G41" s="142">
        <f ca="1"/>
        <v>6</v>
      </c>
      <c r="H41" s="142">
        <f ca="1"/>
        <v>7</v>
      </c>
      <c r="I41" s="144" t="str">
        <f t="shared" ca="1" si="0"/>
        <v>Inter Mailand</v>
      </c>
      <c r="J41" s="145" t="s">
        <v>5</v>
      </c>
      <c r="K41" s="144" t="str">
        <f t="shared" ca="1" si="1"/>
        <v>SSV Wildbach</v>
      </c>
      <c r="L41" s="146"/>
      <c r="M41" s="147" t="str">
        <f>Sprache!$E$69</f>
        <v xml:space="preserve"> : </v>
      </c>
      <c r="N41" s="148"/>
      <c r="O41" s="149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</row>
    <row r="42" spans="2:26" ht="15.75" x14ac:dyDescent="0.25">
      <c r="B42" s="143"/>
      <c r="C42" s="143"/>
      <c r="D42" s="143"/>
      <c r="E42" s="143"/>
      <c r="F42" s="141">
        <v>37</v>
      </c>
      <c r="G42" s="142">
        <f ca="1"/>
        <v>2</v>
      </c>
      <c r="H42" s="142">
        <f ca="1"/>
        <v>9</v>
      </c>
      <c r="I42" s="144" t="str">
        <f t="shared" ca="1" si="0"/>
        <v>FC Barcelona</v>
      </c>
      <c r="J42" s="145" t="s">
        <v>5</v>
      </c>
      <c r="K42" s="144" t="str">
        <f t="shared" ca="1" si="1"/>
        <v>SSC Bosserode</v>
      </c>
      <c r="L42" s="146"/>
      <c r="M42" s="147" t="str">
        <f>Sprache!$E$69</f>
        <v xml:space="preserve"> : </v>
      </c>
      <c r="N42" s="148"/>
      <c r="O42" s="149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</row>
    <row r="43" spans="2:26" ht="15.75" x14ac:dyDescent="0.25">
      <c r="B43" s="143"/>
      <c r="C43" s="143"/>
      <c r="D43" s="143"/>
      <c r="E43" s="143"/>
      <c r="F43" s="141">
        <v>38</v>
      </c>
      <c r="G43" s="142">
        <f ca="1"/>
        <v>8</v>
      </c>
      <c r="H43" s="142">
        <f ca="1"/>
        <v>3</v>
      </c>
      <c r="I43" s="144" t="str">
        <f t="shared" ca="1" si="0"/>
        <v>SV Obersuhl</v>
      </c>
      <c r="J43" s="145" t="s">
        <v>5</v>
      </c>
      <c r="K43" s="144" t="str">
        <f t="shared" ca="1" si="1"/>
        <v>Eintracht Frankfurt</v>
      </c>
      <c r="L43" s="146"/>
      <c r="M43" s="147" t="str">
        <f>Sprache!$E$69</f>
        <v xml:space="preserve"> : </v>
      </c>
      <c r="N43" s="148"/>
      <c r="O43" s="149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</row>
    <row r="44" spans="2:26" ht="15.75" x14ac:dyDescent="0.25">
      <c r="B44" s="143"/>
      <c r="C44" s="143"/>
      <c r="D44" s="143"/>
      <c r="E44" s="143"/>
      <c r="F44" s="141">
        <v>39</v>
      </c>
      <c r="G44" s="142">
        <f ca="1"/>
        <v>4</v>
      </c>
      <c r="H44" s="142">
        <f ca="1"/>
        <v>7</v>
      </c>
      <c r="I44" s="144" t="str">
        <f t="shared" ca="1" si="0"/>
        <v>Maibach 1822 eV</v>
      </c>
      <c r="J44" s="145" t="s">
        <v>5</v>
      </c>
      <c r="K44" s="144" t="str">
        <f t="shared" ca="1" si="1"/>
        <v>SSV Wildbach</v>
      </c>
      <c r="L44" s="146"/>
      <c r="M44" s="147" t="str">
        <f>Sprache!$E$69</f>
        <v xml:space="preserve"> : </v>
      </c>
      <c r="N44" s="148"/>
      <c r="O44" s="149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</row>
    <row r="45" spans="2:26" ht="15.75" x14ac:dyDescent="0.25">
      <c r="B45" s="143"/>
      <c r="C45" s="143"/>
      <c r="D45" s="143"/>
      <c r="E45" s="143"/>
      <c r="F45" s="141">
        <v>40</v>
      </c>
      <c r="G45" s="142">
        <f ca="1"/>
        <v>6</v>
      </c>
      <c r="H45" s="142">
        <f ca="1"/>
        <v>5</v>
      </c>
      <c r="I45" s="144" t="str">
        <f t="shared" ca="1" si="0"/>
        <v>Inter Mailand</v>
      </c>
      <c r="J45" s="145" t="s">
        <v>5</v>
      </c>
      <c r="K45" s="144" t="str">
        <f t="shared" ca="1" si="1"/>
        <v>VFB Essenheim</v>
      </c>
      <c r="L45" s="146"/>
      <c r="M45" s="147" t="str">
        <f>Sprache!$E$69</f>
        <v xml:space="preserve"> : </v>
      </c>
      <c r="N45" s="148"/>
      <c r="O45" s="149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</row>
    <row r="46" spans="2:26" ht="15.75" x14ac:dyDescent="0.25">
      <c r="B46" s="143"/>
      <c r="C46" s="143"/>
      <c r="D46" s="143"/>
      <c r="E46" s="143"/>
      <c r="F46" s="141">
        <v>41</v>
      </c>
      <c r="G46" s="142">
        <f ca="1"/>
        <v>1</v>
      </c>
      <c r="H46" s="142">
        <f ca="1"/>
        <v>9</v>
      </c>
      <c r="I46" s="144" t="str">
        <f t="shared" ca="1" si="0"/>
        <v>1. FC Riedwald</v>
      </c>
      <c r="J46" s="145" t="s">
        <v>5</v>
      </c>
      <c r="K46" s="144" t="str">
        <f t="shared" ca="1" si="1"/>
        <v>SSC Bosserode</v>
      </c>
      <c r="L46" s="146"/>
      <c r="M46" s="147" t="str">
        <f>Sprache!$E$69</f>
        <v xml:space="preserve"> : </v>
      </c>
      <c r="N46" s="148"/>
      <c r="O46" s="149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</row>
    <row r="47" spans="2:26" ht="15.75" x14ac:dyDescent="0.25">
      <c r="B47" s="143"/>
      <c r="C47" s="143"/>
      <c r="D47" s="143"/>
      <c r="E47" s="143"/>
      <c r="F47" s="141">
        <v>42</v>
      </c>
      <c r="G47" s="142">
        <f ca="1"/>
        <v>7</v>
      </c>
      <c r="H47" s="142">
        <f ca="1"/>
        <v>2</v>
      </c>
      <c r="I47" s="144" t="str">
        <f t="shared" ca="1" si="0"/>
        <v>SSV Wildbach</v>
      </c>
      <c r="J47" s="145" t="s">
        <v>5</v>
      </c>
      <c r="K47" s="144" t="str">
        <f t="shared" ca="1" si="1"/>
        <v>FC Barcelona</v>
      </c>
      <c r="L47" s="146"/>
      <c r="M47" s="147" t="str">
        <f>Sprache!$E$69</f>
        <v xml:space="preserve"> : </v>
      </c>
      <c r="N47" s="148"/>
      <c r="O47" s="149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</row>
    <row r="48" spans="2:26" ht="15.75" x14ac:dyDescent="0.25">
      <c r="B48" s="143"/>
      <c r="C48" s="143"/>
      <c r="D48" s="143"/>
      <c r="E48" s="143"/>
      <c r="F48" s="141">
        <v>43</v>
      </c>
      <c r="G48" s="142">
        <f ca="1"/>
        <v>3</v>
      </c>
      <c r="H48" s="142">
        <f ca="1"/>
        <v>6</v>
      </c>
      <c r="I48" s="144" t="str">
        <f t="shared" ca="1" si="0"/>
        <v>Eintracht Frankfurt</v>
      </c>
      <c r="J48" s="145" t="s">
        <v>5</v>
      </c>
      <c r="K48" s="144" t="str">
        <f t="shared" ca="1" si="1"/>
        <v>Inter Mailand</v>
      </c>
      <c r="L48" s="146"/>
      <c r="M48" s="147" t="str">
        <f>Sprache!$E$69</f>
        <v xml:space="preserve"> : </v>
      </c>
      <c r="N48" s="148"/>
      <c r="O48" s="149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</row>
    <row r="49" spans="2:26" ht="15.75" x14ac:dyDescent="0.25">
      <c r="B49" s="143"/>
      <c r="C49" s="143"/>
      <c r="D49" s="143"/>
      <c r="E49" s="143"/>
      <c r="F49" s="141">
        <v>44</v>
      </c>
      <c r="G49" s="142">
        <f ca="1"/>
        <v>5</v>
      </c>
      <c r="H49" s="142">
        <f ca="1"/>
        <v>4</v>
      </c>
      <c r="I49" s="144" t="str">
        <f t="shared" ca="1" si="0"/>
        <v>VFB Essenheim</v>
      </c>
      <c r="J49" s="145" t="s">
        <v>5</v>
      </c>
      <c r="K49" s="144" t="str">
        <f t="shared" ca="1" si="1"/>
        <v>Maibach 1822 eV</v>
      </c>
      <c r="L49" s="146"/>
      <c r="M49" s="147" t="str">
        <f>Sprache!$E$69</f>
        <v xml:space="preserve"> : </v>
      </c>
      <c r="N49" s="148"/>
      <c r="O49" s="149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</row>
    <row r="50" spans="2:26" ht="15.75" x14ac:dyDescent="0.25">
      <c r="B50" s="143"/>
      <c r="C50" s="143"/>
      <c r="D50" s="143"/>
      <c r="E50" s="143"/>
      <c r="F50" s="141">
        <v>45</v>
      </c>
      <c r="G50" s="142">
        <f ca="1"/>
        <v>8</v>
      </c>
      <c r="H50" s="142">
        <f ca="1"/>
        <v>1</v>
      </c>
      <c r="I50" s="144" t="str">
        <f t="shared" ca="1" si="0"/>
        <v>SV Obersuhl</v>
      </c>
      <c r="J50" s="145" t="s">
        <v>5</v>
      </c>
      <c r="K50" s="144" t="str">
        <f t="shared" ca="1" si="1"/>
        <v>1. FC Riedwald</v>
      </c>
      <c r="L50" s="146"/>
      <c r="M50" s="147" t="str">
        <f>Sprache!$E$69</f>
        <v xml:space="preserve"> : </v>
      </c>
      <c r="N50" s="148"/>
      <c r="O50" s="149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</row>
    <row r="51" spans="2:26" ht="15.75" x14ac:dyDescent="0.25">
      <c r="B51" s="143"/>
      <c r="C51" s="143"/>
      <c r="D51" s="143"/>
      <c r="E51" s="143"/>
      <c r="F51" s="141">
        <v>46</v>
      </c>
      <c r="G51" s="142">
        <f ca="1"/>
        <v>9</v>
      </c>
      <c r="H51" s="142">
        <f ca="1"/>
        <v>7</v>
      </c>
      <c r="I51" s="144" t="str">
        <f t="shared" ca="1" si="0"/>
        <v>SSC Bosserode</v>
      </c>
      <c r="J51" s="145" t="s">
        <v>5</v>
      </c>
      <c r="K51" s="144" t="str">
        <f t="shared" ca="1" si="1"/>
        <v>SSV Wildbach</v>
      </c>
      <c r="L51" s="146"/>
      <c r="M51" s="147" t="str">
        <f>Sprache!$E$69</f>
        <v xml:space="preserve"> : </v>
      </c>
      <c r="N51" s="148"/>
      <c r="O51" s="149"/>
      <c r="P51" s="176"/>
      <c r="Q51" s="175"/>
      <c r="R51" s="175"/>
      <c r="S51" s="175"/>
      <c r="T51" s="175"/>
      <c r="U51" s="175"/>
      <c r="V51" s="175"/>
      <c r="W51" s="175"/>
      <c r="X51" s="175"/>
      <c r="Y51" s="175"/>
      <c r="Z51" s="175"/>
    </row>
    <row r="52" spans="2:26" ht="15.75" x14ac:dyDescent="0.25">
      <c r="B52" s="143"/>
      <c r="C52" s="143"/>
      <c r="D52" s="143"/>
      <c r="E52" s="143"/>
      <c r="F52" s="141">
        <v>47</v>
      </c>
      <c r="G52" s="142">
        <f ca="1"/>
        <v>2</v>
      </c>
      <c r="H52" s="142">
        <f ca="1"/>
        <v>5</v>
      </c>
      <c r="I52" s="144" t="str">
        <f t="shared" ca="1" si="0"/>
        <v>FC Barcelona</v>
      </c>
      <c r="J52" s="145" t="s">
        <v>5</v>
      </c>
      <c r="K52" s="144" t="str">
        <f t="shared" ca="1" si="1"/>
        <v>VFB Essenheim</v>
      </c>
      <c r="L52" s="146"/>
      <c r="M52" s="147" t="str">
        <f>Sprache!$E$69</f>
        <v xml:space="preserve"> : </v>
      </c>
      <c r="N52" s="148"/>
      <c r="O52" s="14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</row>
    <row r="53" spans="2:26" ht="15.75" x14ac:dyDescent="0.25">
      <c r="B53" s="143"/>
      <c r="C53" s="143"/>
      <c r="D53" s="143"/>
      <c r="E53" s="143"/>
      <c r="F53" s="141">
        <v>48</v>
      </c>
      <c r="G53" s="142">
        <f ca="1"/>
        <v>4</v>
      </c>
      <c r="H53" s="142">
        <f ca="1"/>
        <v>3</v>
      </c>
      <c r="I53" s="144" t="str">
        <f t="shared" ca="1" si="0"/>
        <v>Maibach 1822 eV</v>
      </c>
      <c r="J53" s="145" t="s">
        <v>5</v>
      </c>
      <c r="K53" s="144" t="str">
        <f t="shared" ca="1" si="1"/>
        <v>Eintracht Frankfurt</v>
      </c>
      <c r="L53" s="146"/>
      <c r="M53" s="147" t="str">
        <f>Sprache!$E$69</f>
        <v xml:space="preserve"> : </v>
      </c>
      <c r="N53" s="148"/>
      <c r="O53" s="149"/>
      <c r="P53" s="139"/>
      <c r="Q53" s="139"/>
      <c r="R53" s="138"/>
      <c r="S53" s="138"/>
      <c r="T53" s="138"/>
      <c r="U53" s="138"/>
      <c r="V53" s="139"/>
      <c r="W53" s="139"/>
      <c r="X53" s="139"/>
      <c r="Y53" s="138"/>
      <c r="Z53" s="138"/>
    </row>
    <row r="54" spans="2:26" ht="15.75" x14ac:dyDescent="0.25">
      <c r="B54" s="143"/>
      <c r="C54" s="143"/>
      <c r="D54" s="143"/>
      <c r="E54" s="143"/>
      <c r="F54" s="141">
        <v>49</v>
      </c>
      <c r="G54" s="142">
        <f ca="1"/>
        <v>1</v>
      </c>
      <c r="H54" s="142">
        <f ca="1"/>
        <v>7</v>
      </c>
      <c r="I54" s="144" t="str">
        <f t="shared" ca="1" si="0"/>
        <v>1. FC Riedwald</v>
      </c>
      <c r="J54" s="145" t="s">
        <v>5</v>
      </c>
      <c r="K54" s="144" t="str">
        <f t="shared" ca="1" si="1"/>
        <v>SSV Wildbach</v>
      </c>
      <c r="L54" s="146"/>
      <c r="M54" s="147" t="str">
        <f>Sprache!$E$69</f>
        <v xml:space="preserve"> : </v>
      </c>
      <c r="N54" s="148"/>
      <c r="O54" s="149"/>
      <c r="P54" s="139"/>
      <c r="Q54" s="177"/>
      <c r="R54" s="138"/>
      <c r="S54" s="138"/>
      <c r="T54" s="138"/>
      <c r="U54" s="138"/>
      <c r="V54" s="178"/>
      <c r="W54" s="138"/>
      <c r="X54" s="177"/>
      <c r="Y54" s="138"/>
      <c r="Z54" s="138"/>
    </row>
    <row r="55" spans="2:26" ht="15.75" x14ac:dyDescent="0.25">
      <c r="B55" s="143"/>
      <c r="C55" s="143"/>
      <c r="D55" s="143"/>
      <c r="E55" s="143"/>
      <c r="F55" s="141">
        <v>50</v>
      </c>
      <c r="G55" s="142">
        <f ca="1"/>
        <v>8</v>
      </c>
      <c r="H55" s="142">
        <f ca="1"/>
        <v>6</v>
      </c>
      <c r="I55" s="144" t="str">
        <f t="shared" ca="1" si="0"/>
        <v>SV Obersuhl</v>
      </c>
      <c r="J55" s="145" t="s">
        <v>5</v>
      </c>
      <c r="K55" s="144" t="str">
        <f t="shared" ca="1" si="1"/>
        <v>Inter Mailand</v>
      </c>
      <c r="L55" s="146"/>
      <c r="M55" s="147" t="str">
        <f>Sprache!$E$69</f>
        <v xml:space="preserve"> : </v>
      </c>
      <c r="N55" s="148"/>
      <c r="O55" s="149"/>
      <c r="P55" s="139"/>
      <c r="Q55" s="177"/>
      <c r="R55" s="138"/>
      <c r="S55" s="138"/>
      <c r="T55" s="138"/>
      <c r="U55" s="138"/>
      <c r="V55" s="178"/>
      <c r="W55" s="138"/>
      <c r="X55" s="177"/>
      <c r="Y55" s="138"/>
      <c r="Z55" s="138"/>
    </row>
    <row r="56" spans="2:26" ht="15.75" x14ac:dyDescent="0.25">
      <c r="B56" s="143"/>
      <c r="C56" s="143"/>
      <c r="D56" s="143"/>
      <c r="E56" s="143"/>
      <c r="F56" s="141">
        <v>51</v>
      </c>
      <c r="G56" s="142">
        <f ca="1"/>
        <v>5</v>
      </c>
      <c r="H56" s="142">
        <f ca="1"/>
        <v>9</v>
      </c>
      <c r="I56" s="144" t="str">
        <f t="shared" ca="1" si="0"/>
        <v>VFB Essenheim</v>
      </c>
      <c r="J56" s="145" t="s">
        <v>5</v>
      </c>
      <c r="K56" s="144" t="str">
        <f t="shared" ca="1" si="1"/>
        <v>SSC Bosserode</v>
      </c>
      <c r="L56" s="146"/>
      <c r="M56" s="147" t="str">
        <f>Sprache!$E$69</f>
        <v xml:space="preserve"> : </v>
      </c>
      <c r="N56" s="148"/>
      <c r="O56" s="149"/>
      <c r="P56" s="139"/>
      <c r="Q56" s="177"/>
      <c r="R56" s="138"/>
      <c r="S56" s="138"/>
      <c r="T56" s="138"/>
      <c r="U56" s="138"/>
      <c r="V56" s="178"/>
      <c r="W56" s="138"/>
      <c r="X56" s="177"/>
      <c r="Y56" s="138"/>
      <c r="Z56" s="138"/>
    </row>
    <row r="57" spans="2:26" ht="15.75" x14ac:dyDescent="0.25">
      <c r="B57" s="143"/>
      <c r="C57" s="143"/>
      <c r="D57" s="143"/>
      <c r="E57" s="143"/>
      <c r="F57" s="141">
        <v>52</v>
      </c>
      <c r="G57" s="142">
        <f ca="1"/>
        <v>3</v>
      </c>
      <c r="H57" s="142">
        <f ca="1"/>
        <v>2</v>
      </c>
      <c r="I57" s="144" t="str">
        <f t="shared" ca="1" si="0"/>
        <v>Eintracht Frankfurt</v>
      </c>
      <c r="J57" s="145" t="s">
        <v>5</v>
      </c>
      <c r="K57" s="144" t="str">
        <f t="shared" ca="1" si="1"/>
        <v>FC Barcelona</v>
      </c>
      <c r="L57" s="146"/>
      <c r="M57" s="147" t="str">
        <f>Sprache!$E$69</f>
        <v xml:space="preserve"> : </v>
      </c>
      <c r="N57" s="148"/>
      <c r="O57" s="149"/>
      <c r="P57" s="139"/>
      <c r="Q57" s="177"/>
      <c r="R57" s="138"/>
      <c r="S57" s="138"/>
      <c r="T57" s="138"/>
      <c r="U57" s="138"/>
      <c r="V57" s="178"/>
      <c r="W57" s="138"/>
      <c r="X57" s="177"/>
      <c r="Y57" s="138"/>
      <c r="Z57" s="138"/>
    </row>
    <row r="58" spans="2:26" ht="15.75" x14ac:dyDescent="0.25">
      <c r="B58" s="143"/>
      <c r="C58" s="143"/>
      <c r="D58" s="143"/>
      <c r="E58" s="143"/>
      <c r="F58" s="141">
        <v>53</v>
      </c>
      <c r="G58" s="142">
        <f ca="1"/>
        <v>6</v>
      </c>
      <c r="H58" s="142">
        <f ca="1"/>
        <v>1</v>
      </c>
      <c r="I58" s="144" t="str">
        <f t="shared" ca="1" si="0"/>
        <v>Inter Mailand</v>
      </c>
      <c r="J58" s="145" t="s">
        <v>5</v>
      </c>
      <c r="K58" s="144" t="str">
        <f t="shared" ca="1" si="1"/>
        <v>1. FC Riedwald</v>
      </c>
      <c r="L58" s="146"/>
      <c r="M58" s="147" t="str">
        <f>Sprache!$E$69</f>
        <v xml:space="preserve"> : </v>
      </c>
      <c r="N58" s="148"/>
      <c r="O58" s="149"/>
      <c r="P58" s="139"/>
      <c r="Q58" s="177"/>
      <c r="R58" s="138"/>
      <c r="S58" s="138"/>
      <c r="T58" s="138"/>
      <c r="U58" s="138"/>
      <c r="V58" s="178"/>
      <c r="W58" s="138"/>
      <c r="X58" s="177"/>
      <c r="Y58" s="138"/>
      <c r="Z58" s="138"/>
    </row>
    <row r="59" spans="2:26" ht="15.75" x14ac:dyDescent="0.25">
      <c r="B59" s="143"/>
      <c r="C59" s="143"/>
      <c r="D59" s="143"/>
      <c r="E59" s="143"/>
      <c r="F59" s="141">
        <v>54</v>
      </c>
      <c r="G59" s="142">
        <f ca="1"/>
        <v>7</v>
      </c>
      <c r="H59" s="142">
        <f ca="1"/>
        <v>5</v>
      </c>
      <c r="I59" s="144" t="str">
        <f t="shared" ca="1" si="0"/>
        <v>SSV Wildbach</v>
      </c>
      <c r="J59" s="145" t="s">
        <v>5</v>
      </c>
      <c r="K59" s="144" t="str">
        <f t="shared" ca="1" si="1"/>
        <v>VFB Essenheim</v>
      </c>
      <c r="L59" s="146"/>
      <c r="M59" s="147" t="str">
        <f>Sprache!$E$69</f>
        <v xml:space="preserve"> : </v>
      </c>
      <c r="N59" s="148"/>
      <c r="O59" s="149"/>
      <c r="P59" s="139"/>
      <c r="Q59" s="177"/>
      <c r="R59" s="138"/>
      <c r="S59" s="138"/>
      <c r="T59" s="138"/>
      <c r="U59" s="138"/>
      <c r="V59" s="178"/>
      <c r="W59" s="138"/>
      <c r="X59" s="177"/>
      <c r="Y59" s="138"/>
      <c r="Z59" s="138"/>
    </row>
    <row r="60" spans="2:26" ht="15.75" x14ac:dyDescent="0.25">
      <c r="B60" s="143"/>
      <c r="C60" s="143"/>
      <c r="D60" s="143"/>
      <c r="E60" s="143"/>
      <c r="F60" s="141">
        <v>55</v>
      </c>
      <c r="G60" s="142">
        <f ca="1"/>
        <v>4</v>
      </c>
      <c r="H60" s="142">
        <f ca="1"/>
        <v>8</v>
      </c>
      <c r="I60" s="144" t="str">
        <f t="shared" ca="1" si="0"/>
        <v>Maibach 1822 eV</v>
      </c>
      <c r="J60" s="145" t="s">
        <v>5</v>
      </c>
      <c r="K60" s="144" t="str">
        <f t="shared" ca="1" si="1"/>
        <v>SV Obersuhl</v>
      </c>
      <c r="L60" s="146"/>
      <c r="M60" s="147" t="str">
        <f>Sprache!$E$69</f>
        <v xml:space="preserve"> : </v>
      </c>
      <c r="N60" s="148"/>
      <c r="O60" s="149"/>
      <c r="P60" s="139"/>
      <c r="Q60" s="177"/>
      <c r="R60" s="138"/>
      <c r="S60" s="138"/>
      <c r="T60" s="138"/>
      <c r="U60" s="138"/>
      <c r="V60" s="178"/>
      <c r="W60" s="138"/>
      <c r="X60" s="177"/>
      <c r="Y60" s="138"/>
      <c r="Z60" s="138"/>
    </row>
    <row r="61" spans="2:26" ht="15.75" x14ac:dyDescent="0.25">
      <c r="B61" s="143"/>
      <c r="C61" s="143"/>
      <c r="D61" s="143"/>
      <c r="E61" s="143"/>
      <c r="F61" s="141">
        <v>56</v>
      </c>
      <c r="G61" s="142">
        <f ca="1"/>
        <v>9</v>
      </c>
      <c r="H61" s="142">
        <f ca="1"/>
        <v>3</v>
      </c>
      <c r="I61" s="144" t="str">
        <f t="shared" ca="1" si="0"/>
        <v>SSC Bosserode</v>
      </c>
      <c r="J61" s="145" t="s">
        <v>5</v>
      </c>
      <c r="K61" s="144" t="str">
        <f t="shared" ca="1" si="1"/>
        <v>Eintracht Frankfurt</v>
      </c>
      <c r="L61" s="146"/>
      <c r="M61" s="147" t="str">
        <f>Sprache!$E$69</f>
        <v xml:space="preserve"> : </v>
      </c>
      <c r="N61" s="148"/>
      <c r="O61" s="149"/>
      <c r="P61" s="139"/>
      <c r="Q61" s="177"/>
      <c r="R61" s="138"/>
      <c r="S61" s="138"/>
      <c r="T61" s="138"/>
      <c r="U61" s="138"/>
      <c r="V61" s="178"/>
      <c r="W61" s="138"/>
      <c r="X61" s="177"/>
      <c r="Y61" s="138"/>
      <c r="Z61" s="138"/>
    </row>
    <row r="62" spans="2:26" ht="15.75" x14ac:dyDescent="0.25">
      <c r="B62" s="143"/>
      <c r="C62" s="143"/>
      <c r="D62" s="143"/>
      <c r="E62" s="143"/>
      <c r="F62" s="141">
        <v>57</v>
      </c>
      <c r="G62" s="142">
        <f ca="1"/>
        <v>1</v>
      </c>
      <c r="H62" s="142">
        <f ca="1"/>
        <v>5</v>
      </c>
      <c r="I62" s="144" t="str">
        <f t="shared" ca="1" si="0"/>
        <v>1. FC Riedwald</v>
      </c>
      <c r="J62" s="145" t="s">
        <v>5</v>
      </c>
      <c r="K62" s="144" t="str">
        <f t="shared" ca="1" si="1"/>
        <v>VFB Essenheim</v>
      </c>
      <c r="L62" s="146"/>
      <c r="M62" s="147" t="str">
        <f>Sprache!$E$69</f>
        <v xml:space="preserve"> : </v>
      </c>
      <c r="N62" s="148"/>
      <c r="O62" s="149"/>
      <c r="P62" s="139"/>
      <c r="Q62" s="177"/>
      <c r="R62" s="138"/>
      <c r="S62" s="138"/>
      <c r="T62" s="138"/>
      <c r="U62" s="138"/>
      <c r="V62" s="178"/>
      <c r="W62" s="138"/>
      <c r="X62" s="177"/>
      <c r="Y62" s="138"/>
      <c r="Z62" s="138"/>
    </row>
    <row r="63" spans="2:26" ht="15.75" x14ac:dyDescent="0.25">
      <c r="B63" s="143"/>
      <c r="C63" s="143"/>
      <c r="D63" s="143"/>
      <c r="E63" s="143"/>
      <c r="F63" s="141">
        <v>58</v>
      </c>
      <c r="G63" s="142">
        <f ca="1"/>
        <v>6</v>
      </c>
      <c r="H63" s="142">
        <f ca="1"/>
        <v>4</v>
      </c>
      <c r="I63" s="144" t="str">
        <f t="shared" ca="1" si="0"/>
        <v>Inter Mailand</v>
      </c>
      <c r="J63" s="145" t="s">
        <v>5</v>
      </c>
      <c r="K63" s="144" t="str">
        <f t="shared" ca="1" si="1"/>
        <v>Maibach 1822 eV</v>
      </c>
      <c r="L63" s="146"/>
      <c r="M63" s="147" t="str">
        <f>Sprache!$E$69</f>
        <v xml:space="preserve"> : </v>
      </c>
      <c r="N63" s="148"/>
      <c r="O63" s="149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</row>
    <row r="64" spans="2:26" ht="15.75" x14ac:dyDescent="0.25">
      <c r="B64" s="143"/>
      <c r="C64" s="143"/>
      <c r="D64" s="143"/>
      <c r="E64" s="143"/>
      <c r="F64" s="141">
        <v>59</v>
      </c>
      <c r="G64" s="142">
        <f ca="1"/>
        <v>3</v>
      </c>
      <c r="H64" s="142">
        <f ca="1"/>
        <v>7</v>
      </c>
      <c r="I64" s="144" t="str">
        <f t="shared" ca="1" si="0"/>
        <v>Eintracht Frankfurt</v>
      </c>
      <c r="J64" s="145" t="s">
        <v>5</v>
      </c>
      <c r="K64" s="144" t="str">
        <f t="shared" ca="1" si="1"/>
        <v>SSV Wildbach</v>
      </c>
      <c r="L64" s="146"/>
      <c r="M64" s="147" t="str">
        <f>Sprache!$E$69</f>
        <v xml:space="preserve"> : </v>
      </c>
      <c r="N64" s="148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2:26" ht="15.75" x14ac:dyDescent="0.25">
      <c r="B65" s="143"/>
      <c r="C65" s="143"/>
      <c r="D65" s="143"/>
      <c r="E65" s="143"/>
      <c r="F65" s="141">
        <v>60</v>
      </c>
      <c r="G65" s="142">
        <f ca="1"/>
        <v>8</v>
      </c>
      <c r="H65" s="142">
        <f ca="1"/>
        <v>2</v>
      </c>
      <c r="I65" s="144" t="str">
        <f t="shared" ca="1" si="0"/>
        <v>SV Obersuhl</v>
      </c>
      <c r="J65" s="145" t="s">
        <v>5</v>
      </c>
      <c r="K65" s="144" t="str">
        <f t="shared" ca="1" si="1"/>
        <v>FC Barcelona</v>
      </c>
      <c r="L65" s="146"/>
      <c r="M65" s="147" t="str">
        <f>Sprache!$E$69</f>
        <v xml:space="preserve"> : </v>
      </c>
      <c r="N65" s="148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2:26" ht="15.75" x14ac:dyDescent="0.25">
      <c r="B66" s="143"/>
      <c r="C66" s="143"/>
      <c r="D66" s="143"/>
      <c r="E66" s="143"/>
      <c r="F66" s="141">
        <v>61</v>
      </c>
      <c r="G66" s="142">
        <f ca="1"/>
        <v>4</v>
      </c>
      <c r="H66" s="142">
        <f ca="1"/>
        <v>1</v>
      </c>
      <c r="I66" s="144" t="str">
        <f t="shared" ca="1" si="0"/>
        <v>Maibach 1822 eV</v>
      </c>
      <c r="J66" s="145" t="s">
        <v>5</v>
      </c>
      <c r="K66" s="144" t="str">
        <f t="shared" ca="1" si="1"/>
        <v>1. FC Riedwald</v>
      </c>
      <c r="L66" s="146"/>
      <c r="M66" s="147" t="str">
        <f>Sprache!$E$69</f>
        <v xml:space="preserve"> : </v>
      </c>
      <c r="N66" s="148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2:26" ht="15.75" x14ac:dyDescent="0.25">
      <c r="B67" s="143"/>
      <c r="C67" s="143"/>
      <c r="D67" s="143"/>
      <c r="E67" s="143"/>
      <c r="F67" s="141">
        <v>62</v>
      </c>
      <c r="G67" s="142">
        <f ca="1"/>
        <v>5</v>
      </c>
      <c r="H67" s="142">
        <f ca="1"/>
        <v>3</v>
      </c>
      <c r="I67" s="144" t="str">
        <f t="shared" ca="1" si="0"/>
        <v>VFB Essenheim</v>
      </c>
      <c r="J67" s="145" t="s">
        <v>5</v>
      </c>
      <c r="K67" s="144" t="str">
        <f t="shared" ca="1" si="1"/>
        <v>Eintracht Frankfurt</v>
      </c>
      <c r="L67" s="146"/>
      <c r="M67" s="147" t="str">
        <f>Sprache!$E$69</f>
        <v xml:space="preserve"> : </v>
      </c>
      <c r="N67" s="148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2:26" ht="15.75" x14ac:dyDescent="0.25">
      <c r="B68" s="143"/>
      <c r="C68" s="143"/>
      <c r="D68" s="143"/>
      <c r="E68" s="143"/>
      <c r="F68" s="141">
        <v>63</v>
      </c>
      <c r="G68" s="142">
        <f ca="1"/>
        <v>2</v>
      </c>
      <c r="H68" s="142">
        <f ca="1"/>
        <v>6</v>
      </c>
      <c r="I68" s="144" t="str">
        <f t="shared" ca="1" si="0"/>
        <v>FC Barcelona</v>
      </c>
      <c r="J68" s="145" t="s">
        <v>5</v>
      </c>
      <c r="K68" s="144" t="str">
        <f t="shared" ca="1" si="1"/>
        <v>Inter Mailand</v>
      </c>
      <c r="L68" s="146"/>
      <c r="M68" s="147" t="str">
        <f>Sprache!$E$69</f>
        <v xml:space="preserve"> : </v>
      </c>
      <c r="N68" s="148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2:26" ht="15.75" x14ac:dyDescent="0.25">
      <c r="B69" s="143"/>
      <c r="C69" s="143"/>
      <c r="D69" s="143"/>
      <c r="E69" s="143"/>
      <c r="F69" s="141">
        <v>64</v>
      </c>
      <c r="G69" s="142">
        <f ca="1"/>
        <v>9</v>
      </c>
      <c r="H69" s="142">
        <f ca="1"/>
        <v>8</v>
      </c>
      <c r="I69" s="144" t="str">
        <f t="shared" ca="1" si="0"/>
        <v>SSC Bosserode</v>
      </c>
      <c r="J69" s="145" t="s">
        <v>5</v>
      </c>
      <c r="K69" s="144" t="str">
        <f t="shared" ca="1" si="1"/>
        <v>SV Obersuhl</v>
      </c>
      <c r="L69" s="146"/>
      <c r="M69" s="147" t="str">
        <f>Sprache!$E$69</f>
        <v xml:space="preserve"> : </v>
      </c>
      <c r="N69" s="148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2:26" ht="15.75" x14ac:dyDescent="0.25">
      <c r="B70" s="143"/>
      <c r="C70" s="143"/>
      <c r="D70" s="143"/>
      <c r="E70" s="143"/>
      <c r="F70" s="141">
        <v>65</v>
      </c>
      <c r="G70" s="142">
        <f ca="1"/>
        <v>1</v>
      </c>
      <c r="H70" s="142">
        <f ca="1"/>
        <v>3</v>
      </c>
      <c r="I70" s="144" t="str">
        <f t="shared" ca="1" si="0"/>
        <v>1. FC Riedwald</v>
      </c>
      <c r="J70" s="145" t="s">
        <v>5</v>
      </c>
      <c r="K70" s="144" t="str">
        <f t="shared" ca="1" si="1"/>
        <v>Eintracht Frankfurt</v>
      </c>
      <c r="L70" s="146"/>
      <c r="M70" s="147" t="str">
        <f>Sprache!$E$69</f>
        <v xml:space="preserve"> : </v>
      </c>
      <c r="N70" s="148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2:26" ht="15.75" x14ac:dyDescent="0.25">
      <c r="B71" s="143"/>
      <c r="C71" s="143"/>
      <c r="D71" s="143"/>
      <c r="E71" s="143"/>
      <c r="F71" s="141">
        <v>66</v>
      </c>
      <c r="G71" s="142">
        <f ca="1"/>
        <v>4</v>
      </c>
      <c r="H71" s="142">
        <f ca="1"/>
        <v>2</v>
      </c>
      <c r="I71" s="144" t="str">
        <f t="shared" ref="I71:I77" ca="1" si="2">IF($G71="","",IF(VLOOKUP($G71,$B$6:$C$14,2,0)="","",VLOOKUP($G71,$B$6:$C$14,2,0)))</f>
        <v>Maibach 1822 eV</v>
      </c>
      <c r="J71" s="145" t="s">
        <v>5</v>
      </c>
      <c r="K71" s="144" t="str">
        <f t="shared" ref="K71:K77" ca="1" si="3">IF($H71="","",IF(VLOOKUP($H71,$B$6:$C$14,2,0)="","",VLOOKUP($H71,$B$6:$C$14,2,0)))</f>
        <v>FC Barcelona</v>
      </c>
      <c r="L71" s="146"/>
      <c r="M71" s="147" t="str">
        <f>Sprache!$E$69</f>
        <v xml:space="preserve"> : </v>
      </c>
      <c r="N71" s="148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2:26" ht="15.75" x14ac:dyDescent="0.25">
      <c r="B72" s="143"/>
      <c r="C72" s="143"/>
      <c r="D72" s="143"/>
      <c r="E72" s="143"/>
      <c r="F72" s="141">
        <v>67</v>
      </c>
      <c r="G72" s="142">
        <f ca="1"/>
        <v>6</v>
      </c>
      <c r="H72" s="142">
        <f ca="1"/>
        <v>9</v>
      </c>
      <c r="I72" s="144" t="str">
        <f t="shared" ca="1" si="2"/>
        <v>Inter Mailand</v>
      </c>
      <c r="J72" s="145" t="s">
        <v>5</v>
      </c>
      <c r="K72" s="144" t="str">
        <f t="shared" ca="1" si="3"/>
        <v>SSC Bosserode</v>
      </c>
      <c r="L72" s="146"/>
      <c r="M72" s="147" t="str">
        <f>Sprache!$E$69</f>
        <v xml:space="preserve"> : </v>
      </c>
      <c r="N72" s="148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2:26" ht="15.75" x14ac:dyDescent="0.25">
      <c r="B73" s="143"/>
      <c r="C73" s="143"/>
      <c r="D73" s="143"/>
      <c r="E73" s="143"/>
      <c r="F73" s="141">
        <v>68</v>
      </c>
      <c r="G73" s="142">
        <f ca="1"/>
        <v>8</v>
      </c>
      <c r="H73" s="142">
        <f ca="1"/>
        <v>7</v>
      </c>
      <c r="I73" s="144" t="str">
        <f t="shared" ca="1" si="2"/>
        <v>SV Obersuhl</v>
      </c>
      <c r="J73" s="145" t="s">
        <v>5</v>
      </c>
      <c r="K73" s="144" t="str">
        <f t="shared" ca="1" si="3"/>
        <v>SSV Wildbach</v>
      </c>
      <c r="L73" s="146"/>
      <c r="M73" s="147" t="str">
        <f>Sprache!$E$69</f>
        <v xml:space="preserve"> : </v>
      </c>
      <c r="N73" s="148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2:26" ht="15.75" x14ac:dyDescent="0.25">
      <c r="B74" s="143"/>
      <c r="C74" s="143"/>
      <c r="D74" s="143"/>
      <c r="E74" s="143"/>
      <c r="F74" s="141">
        <v>69</v>
      </c>
      <c r="G74" s="142">
        <f ca="1"/>
        <v>2</v>
      </c>
      <c r="H74" s="142">
        <f ca="1"/>
        <v>1</v>
      </c>
      <c r="I74" s="144" t="str">
        <f t="shared" ca="1" si="2"/>
        <v>FC Barcelona</v>
      </c>
      <c r="J74" s="145" t="s">
        <v>5</v>
      </c>
      <c r="K74" s="144" t="str">
        <f t="shared" ca="1" si="3"/>
        <v>1. FC Riedwald</v>
      </c>
      <c r="L74" s="146"/>
      <c r="M74" s="147" t="str">
        <f>Sprache!$E$69</f>
        <v xml:space="preserve"> : </v>
      </c>
      <c r="N74" s="148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2:26" ht="15.75" x14ac:dyDescent="0.25">
      <c r="B75" s="143"/>
      <c r="C75" s="143"/>
      <c r="D75" s="143"/>
      <c r="E75" s="143"/>
      <c r="F75" s="141">
        <v>70</v>
      </c>
      <c r="G75" s="142">
        <f ca="1"/>
        <v>9</v>
      </c>
      <c r="H75" s="142">
        <f ca="1"/>
        <v>4</v>
      </c>
      <c r="I75" s="144" t="str">
        <f t="shared" ca="1" si="2"/>
        <v>SSC Bosserode</v>
      </c>
      <c r="J75" s="145" t="s">
        <v>5</v>
      </c>
      <c r="K75" s="144" t="str">
        <f t="shared" ca="1" si="3"/>
        <v>Maibach 1822 eV</v>
      </c>
      <c r="L75" s="146"/>
      <c r="M75" s="147" t="str">
        <f>Sprache!$E$69</f>
        <v xml:space="preserve"> : </v>
      </c>
      <c r="N75" s="148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2:26" ht="15.75" x14ac:dyDescent="0.25">
      <c r="B76" s="143"/>
      <c r="C76" s="143"/>
      <c r="D76" s="143"/>
      <c r="E76" s="143"/>
      <c r="F76" s="141">
        <v>71</v>
      </c>
      <c r="G76" s="142">
        <f ca="1"/>
        <v>5</v>
      </c>
      <c r="H76" s="142">
        <f ca="1"/>
        <v>8</v>
      </c>
      <c r="I76" s="144" t="str">
        <f t="shared" ca="1" si="2"/>
        <v>VFB Essenheim</v>
      </c>
      <c r="J76" s="145" t="s">
        <v>5</v>
      </c>
      <c r="K76" s="144" t="str">
        <f t="shared" ca="1" si="3"/>
        <v>SV Obersuhl</v>
      </c>
      <c r="L76" s="146"/>
      <c r="M76" s="147" t="str">
        <f>Sprache!$E$69</f>
        <v xml:space="preserve"> : </v>
      </c>
      <c r="N76" s="148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2:26" ht="16.5" thickBot="1" x14ac:dyDescent="0.3">
      <c r="B77" s="143"/>
      <c r="C77" s="143"/>
      <c r="D77" s="143"/>
      <c r="E77" s="143"/>
      <c r="F77" s="179">
        <v>72</v>
      </c>
      <c r="G77" s="180">
        <f ca="1"/>
        <v>7</v>
      </c>
      <c r="H77" s="180">
        <f ca="1"/>
        <v>6</v>
      </c>
      <c r="I77" s="181" t="str">
        <f t="shared" ca="1" si="2"/>
        <v>SSV Wildbach</v>
      </c>
      <c r="J77" s="182" t="s">
        <v>5</v>
      </c>
      <c r="K77" s="181" t="str">
        <f t="shared" ca="1" si="3"/>
        <v>Inter Mailand</v>
      </c>
      <c r="L77" s="183"/>
      <c r="M77" s="184" t="str">
        <f>Sprache!$E$69</f>
        <v xml:space="preserve"> : </v>
      </c>
      <c r="N77" s="185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2:26" ht="13.5" thickTop="1" x14ac:dyDescent="0.2"/>
  </sheetData>
  <sheetProtection selectLockedCells="1"/>
  <mergeCells count="6">
    <mergeCell ref="I5:K5"/>
    <mergeCell ref="L5:N5"/>
    <mergeCell ref="V5:X5"/>
    <mergeCell ref="G5:H5"/>
    <mergeCell ref="Y1:Z1"/>
    <mergeCell ref="Y2:Z2"/>
  </mergeCells>
  <conditionalFormatting sqref="P30:Z30 P54:Z54">
    <cfRule type="expression" dxfId="27" priority="5">
      <formula>$Q$6=""</formula>
    </cfRule>
    <cfRule type="expression" dxfId="26" priority="6">
      <formula>AND($P$6=$P$7,$Q$7&lt;&gt;"")</formula>
    </cfRule>
  </conditionalFormatting>
  <conditionalFormatting sqref="P6:Z6">
    <cfRule type="expression" dxfId="25" priority="9">
      <formula>$Q$6=""</formula>
    </cfRule>
    <cfRule type="expression" dxfId="24" priority="10">
      <formula>AND($P$6=$P$7,$Q$7&lt;&gt;"")</formula>
    </cfRule>
  </conditionalFormatting>
  <conditionalFormatting sqref="P7:Z7 P31:Z31 P55:Z55">
    <cfRule type="expression" dxfId="23" priority="11">
      <formula>$Q$7=""</formula>
    </cfRule>
    <cfRule type="expression" dxfId="22" priority="24">
      <formula>OR(AND($P$7=$P$6,$Q$6&lt;&gt;""),AND($P$7=$P$8,$Q$8&lt;&gt;""))</formula>
    </cfRule>
  </conditionalFormatting>
  <conditionalFormatting sqref="P8:Z8 P32:Z32 P56:Z56">
    <cfRule type="expression" dxfId="21" priority="12">
      <formula>$Q$8=""</formula>
    </cfRule>
    <cfRule type="expression" dxfId="20" priority="23">
      <formula>OR(AND($P$8=$P$7,$Q$7&lt;&gt;""),AND($P$8=$P$9,$Q$9&lt;&gt;""))</formula>
    </cfRule>
  </conditionalFormatting>
  <conditionalFormatting sqref="P9:Z9 P33:Z33 P57:Z57">
    <cfRule type="expression" dxfId="19" priority="13">
      <formula>$Q$9=""</formula>
    </cfRule>
    <cfRule type="expression" dxfId="18" priority="22">
      <formula>OR(AND($P$9=$P$8,$Q$8&lt;&gt;""),AND($P$9=$P$10,$Q$10&lt;&gt;""))</formula>
    </cfRule>
  </conditionalFormatting>
  <conditionalFormatting sqref="P10:Z10 P34:Z34 P58:Z58">
    <cfRule type="expression" dxfId="17" priority="14">
      <formula>$Q$10=""</formula>
    </cfRule>
    <cfRule type="expression" dxfId="16" priority="21">
      <formula>OR(AND($P$10=$P$9,$Q$9&lt;&gt;""),AND($P$10=$P$11,$Q$11&lt;&gt;""))</formula>
    </cfRule>
  </conditionalFormatting>
  <conditionalFormatting sqref="P11:Z11 P35:Z35 P59:Z59">
    <cfRule type="expression" dxfId="15" priority="15">
      <formula>$Q$11=""</formula>
    </cfRule>
    <cfRule type="expression" dxfId="14" priority="20">
      <formula>OR(AND($P$11=$P$10,$Q$10&lt;&gt;""),AND($P$11=$P$12,$Q$12&lt;&gt;""))</formula>
    </cfRule>
  </conditionalFormatting>
  <conditionalFormatting sqref="P12:Z12 P36:Z36 P60:Z60">
    <cfRule type="expression" dxfId="13" priority="16">
      <formula>$Q$12=""</formula>
    </cfRule>
    <cfRule type="expression" dxfId="12" priority="19">
      <formula>OR(AND($P$12=$P$11,$Q$11&lt;&gt;""),AND($P$12=$P$13,$Q$13&lt;&gt;""))</formula>
    </cfRule>
  </conditionalFormatting>
  <conditionalFormatting sqref="P13:Z13 P37:Z37 P61:Z61">
    <cfRule type="expression" dxfId="11" priority="17">
      <formula>$Q$13=""</formula>
    </cfRule>
    <cfRule type="expression" dxfId="10" priority="18">
      <formula>OR(AND($P$13=$P$12,$Q$12&lt;&gt;""),AND($P$13=$P$14,$Q$14&lt;&gt;""))</formula>
    </cfRule>
  </conditionalFormatting>
  <conditionalFormatting sqref="P14:Z14 P38:Z38 P62:Z62">
    <cfRule type="expression" dxfId="9" priority="7">
      <formula>$Q$14=""</formula>
    </cfRule>
    <cfRule type="expression" dxfId="8" priority="8">
      <formula>AND($P$14=$P$13,$Q$13&lt;&gt;"")</formula>
    </cfRule>
  </conditionalFormatting>
  <conditionalFormatting sqref="F6:N76">
    <cfRule type="expression" dxfId="7" priority="3">
      <formula>$F6=#REF!</formula>
    </cfRule>
    <cfRule type="expression" dxfId="6" priority="4">
      <formula>$F6=#REF!</formula>
    </cfRule>
  </conditionalFormatting>
  <conditionalFormatting sqref="B6:C14">
    <cfRule type="expression" dxfId="5" priority="1">
      <formula>$F6=#REF!</formula>
    </cfRule>
    <cfRule type="expression" dxfId="4" priority="2">
      <formula>$F6=#REF!</formula>
    </cfRule>
  </conditionalFormatting>
  <dataValidations count="2">
    <dataValidation type="whole" allowBlank="1" showErrorMessage="1" errorTitle="Error" error="Maximal 999 !" sqref="L6:L77 N6:N77" xr:uid="{EE59F07F-7C78-4276-BD18-E447B6A53988}">
      <formula1>0</formula1>
      <formula2>999</formula2>
    </dataValidation>
    <dataValidation allowBlank="1" showErrorMessage="1" errorTitle="Unzulässige Anzahl" error="Es können Zahlen von 1 bis 20 eingetragen werden!" sqref="Y2 Y1:Z1" xr:uid="{B8BD5C6A-D1AE-4130-A6D6-2FCB1AF7FAA7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53E75-833F-4557-AFBE-7CF90D433A75}">
  <dimension ref="A1:AU103"/>
  <sheetViews>
    <sheetView tabSelected="1" zoomScaleNormal="100" workbookViewId="0"/>
  </sheetViews>
  <sheetFormatPr baseColWidth="10" defaultColWidth="2.7109375" defaultRowHeight="12" x14ac:dyDescent="0.2"/>
  <cols>
    <col min="1" max="1" width="6.28515625" style="4" customWidth="1"/>
    <col min="2" max="2" width="6.140625" style="4" customWidth="1"/>
    <col min="3" max="3" width="4" style="4" customWidth="1"/>
    <col min="4" max="4" width="15.28515625" style="4" customWidth="1"/>
    <col min="5" max="5" width="5.5703125" style="4" customWidth="1"/>
    <col min="6" max="6" width="6.5703125" style="4" customWidth="1"/>
    <col min="7" max="7" width="6" style="4" customWidth="1"/>
    <col min="8" max="8" width="5.140625" style="4" customWidth="1"/>
    <col min="9" max="9" width="4.7109375" style="4" customWidth="1"/>
    <col min="10" max="10" width="4.85546875" style="4" customWidth="1"/>
    <col min="11" max="11" width="5.5703125" style="4" customWidth="1"/>
    <col min="12" max="12" width="5.28515625" style="4" customWidth="1"/>
    <col min="13" max="14" width="4.85546875" style="4" customWidth="1"/>
    <col min="15" max="15" width="5" style="4" customWidth="1"/>
    <col min="16" max="16" width="7.42578125" style="4" customWidth="1"/>
    <col min="17" max="37" width="4.7109375" style="4" customWidth="1"/>
    <col min="38" max="38" width="5.42578125" style="4" customWidth="1"/>
    <col min="39" max="40" width="4.7109375" style="4" customWidth="1"/>
    <col min="41" max="41" width="5.7109375" style="4" customWidth="1"/>
    <col min="42" max="43" width="4.7109375" style="4" customWidth="1"/>
    <col min="44" max="44" width="8.7109375" style="4" customWidth="1"/>
    <col min="45" max="45" width="15.7109375" style="4" customWidth="1"/>
    <col min="46" max="46" width="6" style="4" customWidth="1"/>
    <col min="47" max="47" width="9.5703125" style="4" customWidth="1"/>
    <col min="48" max="48" width="7.5703125" style="4" customWidth="1"/>
    <col min="49" max="16384" width="2.7109375" style="4"/>
  </cols>
  <sheetData>
    <row r="1" spans="1:42" s="2" customFormat="1" x14ac:dyDescent="0.2">
      <c r="C1" s="231" t="s">
        <v>254</v>
      </c>
      <c r="D1" s="126" t="b">
        <f>(Einstellungen!$B$9=Sprache!$E$74)</f>
        <v>1</v>
      </c>
    </row>
    <row r="2" spans="1:42" s="2" customFormat="1" x14ac:dyDescent="0.2">
      <c r="A2" s="130" t="s">
        <v>231</v>
      </c>
      <c r="B2" s="130" t="s">
        <v>240</v>
      </c>
      <c r="C2" s="5"/>
      <c r="E2" s="130" t="s">
        <v>231</v>
      </c>
      <c r="F2" s="1"/>
      <c r="G2" s="130" t="s">
        <v>231</v>
      </c>
      <c r="H2" s="1"/>
      <c r="I2" s="1"/>
      <c r="J2" s="1"/>
      <c r="K2" s="1"/>
      <c r="L2" s="1"/>
      <c r="M2" s="1"/>
      <c r="N2" s="1"/>
      <c r="O2" s="5"/>
      <c r="P2" s="1"/>
      <c r="R2" s="136" t="s">
        <v>231</v>
      </c>
      <c r="S2" s="130"/>
      <c r="T2" s="130" t="s">
        <v>99</v>
      </c>
      <c r="U2" s="136" t="s">
        <v>231</v>
      </c>
      <c r="V2" s="130"/>
      <c r="W2" s="130" t="s">
        <v>97</v>
      </c>
      <c r="X2" s="136" t="s">
        <v>231</v>
      </c>
      <c r="Y2" s="132"/>
      <c r="Z2" s="133" t="s">
        <v>253</v>
      </c>
      <c r="AA2" s="130"/>
      <c r="AB2" s="136" t="s">
        <v>231</v>
      </c>
      <c r="AC2" s="132"/>
      <c r="AD2" s="133" t="s">
        <v>253</v>
      </c>
      <c r="AE2" s="130"/>
      <c r="AF2" s="136" t="s">
        <v>231</v>
      </c>
      <c r="AG2" s="132"/>
      <c r="AH2" s="133" t="s">
        <v>253</v>
      </c>
      <c r="AI2" s="130"/>
      <c r="AJ2" s="136" t="s">
        <v>231</v>
      </c>
      <c r="AK2" s="131"/>
      <c r="AL2" s="130" t="s">
        <v>236</v>
      </c>
      <c r="AM2" s="136" t="s">
        <v>231</v>
      </c>
    </row>
    <row r="3" spans="1:42" s="2" customFormat="1" ht="13.5" customHeight="1" thickBot="1" x14ac:dyDescent="0.25">
      <c r="A3" s="133" t="s">
        <v>174</v>
      </c>
      <c r="B3" s="133" t="s">
        <v>241</v>
      </c>
      <c r="C3" s="1"/>
      <c r="D3" s="5"/>
      <c r="E3" s="133" t="s">
        <v>174</v>
      </c>
      <c r="F3" s="5"/>
      <c r="G3" s="133" t="s">
        <v>238</v>
      </c>
      <c r="H3" s="219" t="s">
        <v>97</v>
      </c>
      <c r="I3" s="219" t="s">
        <v>98</v>
      </c>
      <c r="J3" s="219" t="s">
        <v>99</v>
      </c>
      <c r="K3" s="220" t="s">
        <v>100</v>
      </c>
      <c r="L3" s="219" t="s">
        <v>93</v>
      </c>
      <c r="M3" s="220" t="s">
        <v>94</v>
      </c>
      <c r="N3" s="220" t="s">
        <v>95</v>
      </c>
      <c r="O3" s="221" t="s">
        <v>96</v>
      </c>
      <c r="P3" s="120" t="s">
        <v>235</v>
      </c>
      <c r="R3" s="218" t="s">
        <v>225</v>
      </c>
      <c r="S3" s="132"/>
      <c r="T3" s="207" t="s">
        <v>239</v>
      </c>
      <c r="U3" s="218" t="s">
        <v>226</v>
      </c>
      <c r="V3" s="133"/>
      <c r="W3" s="207" t="s">
        <v>239</v>
      </c>
      <c r="X3" s="218" t="s">
        <v>227</v>
      </c>
      <c r="Y3" s="135"/>
      <c r="Z3" s="207" t="s">
        <v>100</v>
      </c>
      <c r="AA3" s="207" t="s">
        <v>239</v>
      </c>
      <c r="AB3" s="218" t="s">
        <v>228</v>
      </c>
      <c r="AC3" s="135"/>
      <c r="AD3" s="207" t="s">
        <v>99</v>
      </c>
      <c r="AE3" s="207" t="s">
        <v>239</v>
      </c>
      <c r="AF3" s="218" t="s">
        <v>229</v>
      </c>
      <c r="AG3" s="135"/>
      <c r="AH3" s="207" t="s">
        <v>97</v>
      </c>
      <c r="AI3" s="207" t="s">
        <v>239</v>
      </c>
      <c r="AJ3" s="218" t="s">
        <v>230</v>
      </c>
      <c r="AK3" s="131"/>
      <c r="AL3" s="207" t="s">
        <v>239</v>
      </c>
      <c r="AM3" s="218" t="s">
        <v>232</v>
      </c>
    </row>
    <row r="4" spans="1:42" s="2" customFormat="1" ht="12.75" thickTop="1" x14ac:dyDescent="0.2">
      <c r="A4" s="118">
        <f t="shared" ref="A4:A12" ca="1" si="0">IF($D$1,$E18,$E4)</f>
        <v>5</v>
      </c>
      <c r="B4" s="81">
        <f t="shared" ref="B4:B12" ca="1" si="1">IF($D$1,$G18,$G4)</f>
        <v>5</v>
      </c>
      <c r="C4" s="1">
        <v>1</v>
      </c>
      <c r="D4" s="108" t="str">
        <f t="shared" ref="D4:D12" si="2">$D31</f>
        <v>1. FC Riedwald</v>
      </c>
      <c r="E4" s="118">
        <f ca="1">RANK(F4,$F$4:$F$12,1)</f>
        <v>2</v>
      </c>
      <c r="F4" s="125">
        <f ca="1">G4+ROW()/1000+(D4="")*10</f>
        <v>2.004</v>
      </c>
      <c r="G4" s="228">
        <f t="shared" ref="G4:G12" ca="1" si="3">AM4</f>
        <v>2</v>
      </c>
      <c r="H4" s="1">
        <f t="shared" ref="H4:H12" ca="1" si="4">SUMIFS($L$31:$L$102,$J$31:$J$102,$D4)+SUMIFS($M$31:$M$102,$K$31:$K$102,$D4)</f>
        <v>8</v>
      </c>
      <c r="I4" s="1">
        <f t="shared" ref="I4:I12" ca="1" si="5">SUMIFS($M$31:$M$102,$J$31:$J$102,$D4)+SUMIFS($L$31:$L$102,$K$31:$K$102,$D4)</f>
        <v>7</v>
      </c>
      <c r="J4" s="5">
        <f t="shared" ref="J4:J12" ca="1" si="6">H4-I4</f>
        <v>1</v>
      </c>
      <c r="K4" s="8">
        <f ca="1">M4*Einstellungen!$C$4+N4</f>
        <v>6</v>
      </c>
      <c r="L4" s="1">
        <f ca="1">M4+N4+O4</f>
        <v>5</v>
      </c>
      <c r="M4" s="1">
        <f t="shared" ref="M4:M12" ca="1" si="7">SUMPRODUCT(($J$31:$J$102=D4)*($L$31:$L$102&gt;$M$31:$M$102))+SUMPRODUCT(($K$31:$K$102=D4)*($L$31:$L$102&lt;$M$31:$M$102))</f>
        <v>2</v>
      </c>
      <c r="N4" s="1">
        <f t="shared" ref="N4:N12" ca="1" si="8">SUMPRODUCT(($J$31:$K$102=D4)*($L$31:$L$102=$M$31:$M$102)*($L$31:$L$102&lt;&gt;"")*($M$31:$M$102&lt;&gt;""))</f>
        <v>0</v>
      </c>
      <c r="O4" s="1">
        <f t="shared" ref="O4:O12" ca="1" si="9">SUMPRODUCT(($J$31:$J$102=D4)*($L$31:$L$102&lt;$M$31:$M$102))+SUMPRODUCT(($K$31:$K$102=D4)*($L$31:$L$102&gt;$M$31:$M$102))</f>
        <v>3</v>
      </c>
      <c r="P4" s="121">
        <f>Ergebnisse!$D6</f>
        <v>0</v>
      </c>
      <c r="Q4" s="208"/>
      <c r="R4" s="212">
        <f t="shared" ref="R4:R12" ca="1" si="10">RANK($K4,$K$4:$K$12)</f>
        <v>2</v>
      </c>
      <c r="S4" s="209"/>
      <c r="T4" s="5">
        <f t="shared" ref="T4:T12" ca="1" si="11">COUNTIFS($J$4:$J$12,"&gt;"&amp;$J4,$R$4:$R$12,"="&amp;$R4)</f>
        <v>0</v>
      </c>
      <c r="U4" s="137">
        <f t="shared" ref="U4:U12" ca="1" si="12">R4+T4</f>
        <v>2</v>
      </c>
      <c r="V4" s="209"/>
      <c r="W4" s="5">
        <f t="shared" ref="W4:W12" ca="1" si="13">COUNTIFS($H$4:$H$12,"&gt;"&amp;$H4,$U$4:$U$12,"="&amp;$U4)</f>
        <v>0</v>
      </c>
      <c r="X4" s="137">
        <f t="shared" ref="X4:X12" ca="1" si="14">U4+W4</f>
        <v>2</v>
      </c>
      <c r="Y4" s="209"/>
      <c r="Z4" s="1">
        <f t="array" aca="1" ref="Z4" ca="1">SUMPRODUCT($O$31:$O$102*($J$31:$J$102=$D4)*ISNUMBER(MATCH($K$31:$K$102,IF($X$4:$X$12=$X4,$D$4:$D$12,""),0)))+SUMPRODUCT($P$31:$P$102*($K$31:$K$102=$D4)*ISNUMBER(MATCH($J$31:$J$102,IF($X$4:$X$12=$X4,$D$4:$D$12,""),0)))</f>
        <v>0</v>
      </c>
      <c r="AA4" s="5">
        <f t="shared" ref="AA4:AA12" ca="1" si="15">COUNTIFS($Z$4:$Z$12,"&gt;"&amp;$Z4,$X$4:$X$12,"="&amp;$X4)</f>
        <v>0</v>
      </c>
      <c r="AB4" s="137">
        <f t="shared" ref="AB4:AB12" ca="1" si="16">X4+AA4</f>
        <v>2</v>
      </c>
      <c r="AC4" s="209"/>
      <c r="AD4" s="1">
        <f t="array" aca="1" ref="AD4" ca="1">SUMPRODUCT($Q$31:$Q$102*($J$31:$J$102=$D4)*ISNUMBER(MATCH($K$31:$K$102,IF($X$4:$X$12=$X4,$D$4:$D$12,""),0)))+SUMPRODUCT(-$Q$31:$Q$102*($K$31:$K$102=$D4)*ISNUMBER(MATCH($J$31:$J$102,IF($X$4:$X$12=$X4,$D$4:$D$12,""),0)))</f>
        <v>0</v>
      </c>
      <c r="AE4" s="5">
        <f t="shared" ref="AE4:AE12" ca="1" si="17">COUNTIFS($AD$4:$AD$12,"&gt;"&amp;$AD4,$AB$4:$AB$12,"="&amp;$AB4)</f>
        <v>0</v>
      </c>
      <c r="AF4" s="137">
        <f t="shared" ref="AF4:AF12" ca="1" si="18">AB4+AE4</f>
        <v>2</v>
      </c>
      <c r="AG4" s="209"/>
      <c r="AH4" s="1">
        <f t="array" aca="1" ref="AH4" ca="1">SUMPRODUCT($R$31:$R$102*($J$31:$J$102=$D4)*ISNUMBER(MATCH($K$31:$K$102,IF($X$4:$X$12=$X4,$D$4:$D$12,""),0)))+SUMPRODUCT($S$31:$S$102*($K$31:$K$102=$D4)*ISNUMBER(MATCH($J$31:$J$102,IF($X$4:$X$12=$X4,$D$4:$D$12,""),0)))</f>
        <v>0</v>
      </c>
      <c r="AI4" s="5">
        <f t="shared" ref="AI4:AI12" ca="1" si="19">COUNTIFS($AH$4:$AH$12,"&gt;"&amp;$AH4,$AF$4:$AF$12,"="&amp;$AF4)</f>
        <v>0</v>
      </c>
      <c r="AJ4" s="137">
        <f t="shared" ref="AJ4:AJ12" ca="1" si="20">AF4+AI4</f>
        <v>2</v>
      </c>
      <c r="AK4" s="209"/>
      <c r="AL4" s="1">
        <f t="shared" ref="AL4:AL12" ca="1" si="21">COUNTIFS($P$4:$P$12,"&gt;"&amp;$P4,$AJ$4:$AJ$12,"="&amp;$AJ4)</f>
        <v>0</v>
      </c>
      <c r="AM4" s="210">
        <f t="shared" ref="AM4:AM12" ca="1" si="22">AJ4+AL4</f>
        <v>2</v>
      </c>
      <c r="AN4" s="208"/>
    </row>
    <row r="5" spans="1:42" s="2" customFormat="1" x14ac:dyDescent="0.2">
      <c r="A5" s="6">
        <f t="shared" ca="1" si="0"/>
        <v>2</v>
      </c>
      <c r="B5" s="81">
        <f t="shared" ca="1" si="1"/>
        <v>2</v>
      </c>
      <c r="C5" s="1">
        <v>2</v>
      </c>
      <c r="D5" s="108" t="str">
        <f t="shared" si="2"/>
        <v>FC Barcelona</v>
      </c>
      <c r="E5" s="6">
        <f t="shared" ref="E5:E12" ca="1" si="23">RANK(F5,$F$4:$F$12,1)</f>
        <v>5</v>
      </c>
      <c r="F5" s="125">
        <f t="shared" ref="F5:F12" ca="1" si="24">G5+ROW()/1000+(D5="")*10</f>
        <v>5.0049999999999999</v>
      </c>
      <c r="G5" s="228">
        <f t="shared" ca="1" si="3"/>
        <v>5</v>
      </c>
      <c r="H5" s="1">
        <f t="shared" ca="1" si="4"/>
        <v>10</v>
      </c>
      <c r="I5" s="1">
        <f t="shared" ca="1" si="5"/>
        <v>11</v>
      </c>
      <c r="J5" s="5">
        <f t="shared" ca="1" si="6"/>
        <v>-1</v>
      </c>
      <c r="K5" s="8">
        <f ca="1">M5*Einstellungen!$C$4+N5</f>
        <v>6</v>
      </c>
      <c r="L5" s="1">
        <f t="shared" ref="L5:L12" ca="1" si="25">M5+N5+O5</f>
        <v>5</v>
      </c>
      <c r="M5" s="1">
        <f t="shared" ca="1" si="7"/>
        <v>2</v>
      </c>
      <c r="N5" s="1">
        <f t="shared" ca="1" si="8"/>
        <v>0</v>
      </c>
      <c r="O5" s="1">
        <f t="shared" ca="1" si="9"/>
        <v>3</v>
      </c>
      <c r="P5" s="122">
        <f>Ergebnisse!$D7</f>
        <v>0</v>
      </c>
      <c r="Q5" s="208"/>
      <c r="R5" s="213">
        <f t="shared" ca="1" si="10"/>
        <v>2</v>
      </c>
      <c r="S5" s="209"/>
      <c r="T5" s="5">
        <f t="shared" ca="1" si="11"/>
        <v>3</v>
      </c>
      <c r="U5" s="137">
        <f t="shared" ca="1" si="12"/>
        <v>5</v>
      </c>
      <c r="V5" s="209"/>
      <c r="W5" s="5">
        <f t="shared" ca="1" si="13"/>
        <v>0</v>
      </c>
      <c r="X5" s="137">
        <f t="shared" ca="1" si="14"/>
        <v>5</v>
      </c>
      <c r="Y5" s="209"/>
      <c r="Z5" s="1">
        <f t="array" aca="1" ref="Z5" ca="1">SUMPRODUCT($O$31:$O$102*($J$31:$J$102=$D5)*ISNUMBER(MATCH($K$31:$K$102,IF($X$4:$X$12=$X5,$D$4:$D$12,""),0)))+SUMPRODUCT($P$31:$P$102*($K$31:$K$102=$D5)*ISNUMBER(MATCH($J$31:$J$102,IF($X$4:$X$12=$X5,$D$4:$D$12,""),0)))</f>
        <v>0</v>
      </c>
      <c r="AA5" s="5">
        <f t="shared" ca="1" si="15"/>
        <v>0</v>
      </c>
      <c r="AB5" s="137">
        <f t="shared" ca="1" si="16"/>
        <v>5</v>
      </c>
      <c r="AC5" s="209"/>
      <c r="AD5" s="1">
        <f t="array" aca="1" ref="AD5" ca="1">SUMPRODUCT($Q$31:$Q$102*($J$31:$J$102=$D5)*ISNUMBER(MATCH($K$31:$K$102,IF($X$4:$X$12=$X5,$D$4:$D$12,""),0)))+SUMPRODUCT(-$Q$31:$Q$102*($K$31:$K$102=$D5)*ISNUMBER(MATCH($J$31:$J$102,IF($X$4:$X$12=$X5,$D$4:$D$12,""),0)))</f>
        <v>0</v>
      </c>
      <c r="AE5" s="5">
        <f t="shared" ca="1" si="17"/>
        <v>0</v>
      </c>
      <c r="AF5" s="137">
        <f t="shared" ca="1" si="18"/>
        <v>5</v>
      </c>
      <c r="AG5" s="209"/>
      <c r="AH5" s="1">
        <f t="array" aca="1" ref="AH5" ca="1">SUMPRODUCT($R$31:$R$102*($J$31:$J$102=$D5)*ISNUMBER(MATCH($K$31:$K$102,IF($X$4:$X$12=$X5,$D$4:$D$12,""),0)))+SUMPRODUCT($S$31:$S$102*($K$31:$K$102=$D5)*ISNUMBER(MATCH($J$31:$J$102,IF($X$4:$X$12=$X5,$D$4:$D$12,""),0)))</f>
        <v>0</v>
      </c>
      <c r="AI5" s="5">
        <f t="shared" ca="1" si="19"/>
        <v>0</v>
      </c>
      <c r="AJ5" s="137">
        <f t="shared" ca="1" si="20"/>
        <v>5</v>
      </c>
      <c r="AK5" s="209"/>
      <c r="AL5" s="1">
        <f t="shared" ca="1" si="21"/>
        <v>0</v>
      </c>
      <c r="AM5" s="211">
        <f t="shared" ca="1" si="22"/>
        <v>5</v>
      </c>
      <c r="AN5" s="208"/>
    </row>
    <row r="6" spans="1:42" s="2" customFormat="1" x14ac:dyDescent="0.2">
      <c r="A6" s="6">
        <f t="shared" ca="1" si="0"/>
        <v>6</v>
      </c>
      <c r="B6" s="81">
        <f t="shared" ca="1" si="1"/>
        <v>6</v>
      </c>
      <c r="C6" s="1">
        <v>3</v>
      </c>
      <c r="D6" s="108" t="str">
        <f t="shared" si="2"/>
        <v>Eintracht Frankfurt</v>
      </c>
      <c r="E6" s="6">
        <f t="shared" ca="1" si="23"/>
        <v>3</v>
      </c>
      <c r="F6" s="125">
        <f t="shared" ca="1" si="24"/>
        <v>3.0059999999999998</v>
      </c>
      <c r="G6" s="228">
        <f t="shared" ca="1" si="3"/>
        <v>3</v>
      </c>
      <c r="H6" s="1">
        <f t="shared" ca="1" si="4"/>
        <v>10</v>
      </c>
      <c r="I6" s="1">
        <f t="shared" ca="1" si="5"/>
        <v>10</v>
      </c>
      <c r="J6" s="5">
        <f t="shared" ca="1" si="6"/>
        <v>0</v>
      </c>
      <c r="K6" s="8">
        <f ca="1">M6*Einstellungen!$C$4+N6</f>
        <v>6</v>
      </c>
      <c r="L6" s="1">
        <f t="shared" ca="1" si="25"/>
        <v>4</v>
      </c>
      <c r="M6" s="1">
        <f t="shared" ca="1" si="7"/>
        <v>2</v>
      </c>
      <c r="N6" s="1">
        <f t="shared" ca="1" si="8"/>
        <v>0</v>
      </c>
      <c r="O6" s="1">
        <f t="shared" ca="1" si="9"/>
        <v>2</v>
      </c>
      <c r="P6" s="122">
        <f>Ergebnisse!$D8</f>
        <v>0</v>
      </c>
      <c r="Q6" s="208"/>
      <c r="R6" s="213">
        <f t="shared" ca="1" si="10"/>
        <v>2</v>
      </c>
      <c r="S6" s="209"/>
      <c r="T6" s="5">
        <f t="shared" ca="1" si="11"/>
        <v>1</v>
      </c>
      <c r="U6" s="137">
        <f t="shared" ca="1" si="12"/>
        <v>3</v>
      </c>
      <c r="V6" s="209"/>
      <c r="W6" s="5">
        <f t="shared" ca="1" si="13"/>
        <v>0</v>
      </c>
      <c r="X6" s="137">
        <f t="shared" ca="1" si="14"/>
        <v>3</v>
      </c>
      <c r="Y6" s="209"/>
      <c r="Z6" s="1">
        <f t="array" aca="1" ref="Z6" ca="1">SUMPRODUCT($O$31:$O$102*($J$31:$J$102=$D6)*ISNUMBER(MATCH($K$31:$K$102,IF($X$4:$X$12=$X6,$D$4:$D$12,""),0)))+SUMPRODUCT($P$31:$P$102*($K$31:$K$102=$D6)*ISNUMBER(MATCH($J$31:$J$102,IF($X$4:$X$12=$X6,$D$4:$D$12,""),0)))</f>
        <v>0</v>
      </c>
      <c r="AA6" s="5">
        <f t="shared" ca="1" si="15"/>
        <v>0</v>
      </c>
      <c r="AB6" s="137">
        <f t="shared" ca="1" si="16"/>
        <v>3</v>
      </c>
      <c r="AC6" s="209"/>
      <c r="AD6" s="1">
        <f t="array" aca="1" ref="AD6" ca="1">SUMPRODUCT($Q$31:$Q$102*($J$31:$J$102=$D6)*ISNUMBER(MATCH($K$31:$K$102,IF($X$4:$X$12=$X6,$D$4:$D$12,""),0)))+SUMPRODUCT(-$Q$31:$Q$102*($K$31:$K$102=$D6)*ISNUMBER(MATCH($J$31:$J$102,IF($X$4:$X$12=$X6,$D$4:$D$12,""),0)))</f>
        <v>0</v>
      </c>
      <c r="AE6" s="5">
        <f t="shared" ca="1" si="17"/>
        <v>0</v>
      </c>
      <c r="AF6" s="137">
        <f t="shared" ca="1" si="18"/>
        <v>3</v>
      </c>
      <c r="AG6" s="209"/>
      <c r="AH6" s="1">
        <f t="array" aca="1" ref="AH6" ca="1">SUMPRODUCT($R$31:$R$102*($J$31:$J$102=$D6)*ISNUMBER(MATCH($K$31:$K$102,IF($X$4:$X$12=$X6,$D$4:$D$12,""),0)))+SUMPRODUCT($S$31:$S$102*($K$31:$K$102=$D6)*ISNUMBER(MATCH($J$31:$J$102,IF($X$4:$X$12=$X6,$D$4:$D$12,""),0)))</f>
        <v>0</v>
      </c>
      <c r="AI6" s="5">
        <f t="shared" ca="1" si="19"/>
        <v>0</v>
      </c>
      <c r="AJ6" s="137">
        <f t="shared" ca="1" si="20"/>
        <v>3</v>
      </c>
      <c r="AK6" s="209"/>
      <c r="AL6" s="1">
        <f t="shared" ca="1" si="21"/>
        <v>0</v>
      </c>
      <c r="AM6" s="211">
        <f t="shared" ca="1" si="22"/>
        <v>3</v>
      </c>
      <c r="AN6" s="208"/>
    </row>
    <row r="7" spans="1:42" s="2" customFormat="1" x14ac:dyDescent="0.2">
      <c r="A7" s="6">
        <f t="shared" ca="1" si="0"/>
        <v>8</v>
      </c>
      <c r="B7" s="81">
        <f t="shared" ca="1" si="1"/>
        <v>8</v>
      </c>
      <c r="C7" s="1">
        <v>4</v>
      </c>
      <c r="D7" s="108" t="str">
        <f t="shared" si="2"/>
        <v>Maibach 1822 eV</v>
      </c>
      <c r="E7" s="6">
        <f t="shared" ca="1" si="23"/>
        <v>8</v>
      </c>
      <c r="F7" s="125">
        <f t="shared" ca="1" si="24"/>
        <v>8.0069999999999997</v>
      </c>
      <c r="G7" s="228">
        <f t="shared" ca="1" si="3"/>
        <v>8</v>
      </c>
      <c r="H7" s="1">
        <f t="shared" ca="1" si="4"/>
        <v>3</v>
      </c>
      <c r="I7" s="1">
        <f t="shared" ca="1" si="5"/>
        <v>2</v>
      </c>
      <c r="J7" s="5">
        <f t="shared" ca="1" si="6"/>
        <v>1</v>
      </c>
      <c r="K7" s="8">
        <f ca="1">M7*Einstellungen!$C$4+N7</f>
        <v>4</v>
      </c>
      <c r="L7" s="1">
        <f t="shared" ca="1" si="25"/>
        <v>2</v>
      </c>
      <c r="M7" s="1">
        <f t="shared" ca="1" si="7"/>
        <v>1</v>
      </c>
      <c r="N7" s="1">
        <f t="shared" ca="1" si="8"/>
        <v>1</v>
      </c>
      <c r="O7" s="1">
        <f t="shared" ca="1" si="9"/>
        <v>0</v>
      </c>
      <c r="P7" s="122">
        <f>Ergebnisse!$D9</f>
        <v>0</v>
      </c>
      <c r="Q7" s="208"/>
      <c r="R7" s="213">
        <f t="shared" ca="1" si="10"/>
        <v>8</v>
      </c>
      <c r="S7" s="209"/>
      <c r="T7" s="5">
        <f t="shared" ca="1" si="11"/>
        <v>0</v>
      </c>
      <c r="U7" s="137">
        <f t="shared" ca="1" si="12"/>
        <v>8</v>
      </c>
      <c r="V7" s="209"/>
      <c r="W7" s="5">
        <f t="shared" ca="1" si="13"/>
        <v>0</v>
      </c>
      <c r="X7" s="137">
        <f t="shared" ca="1" si="14"/>
        <v>8</v>
      </c>
      <c r="Y7" s="209"/>
      <c r="Z7" s="1">
        <f t="array" aca="1" ref="Z7" ca="1">SUMPRODUCT($O$31:$O$102*($J$31:$J$102=$D7)*ISNUMBER(MATCH($K$31:$K$102,IF($X$4:$X$12=$X7,$D$4:$D$12,""),0)))+SUMPRODUCT($P$31:$P$102*($K$31:$K$102=$D7)*ISNUMBER(MATCH($J$31:$J$102,IF($X$4:$X$12=$X7,$D$4:$D$12,""),0)))</f>
        <v>0</v>
      </c>
      <c r="AA7" s="5">
        <f t="shared" ca="1" si="15"/>
        <v>0</v>
      </c>
      <c r="AB7" s="137">
        <f t="shared" ca="1" si="16"/>
        <v>8</v>
      </c>
      <c r="AC7" s="209"/>
      <c r="AD7" s="1">
        <f t="array" aca="1" ref="AD7" ca="1">SUMPRODUCT($Q$31:$Q$102*($J$31:$J$102=$D7)*ISNUMBER(MATCH($K$31:$K$102,IF($X$4:$X$12=$X7,$D$4:$D$12,""),0)))+SUMPRODUCT(-$Q$31:$Q$102*($K$31:$K$102=$D7)*ISNUMBER(MATCH($J$31:$J$102,IF($X$4:$X$12=$X7,$D$4:$D$12,""),0)))</f>
        <v>0</v>
      </c>
      <c r="AE7" s="5">
        <f t="shared" ca="1" si="17"/>
        <v>0</v>
      </c>
      <c r="AF7" s="137">
        <f t="shared" ca="1" si="18"/>
        <v>8</v>
      </c>
      <c r="AG7" s="209"/>
      <c r="AH7" s="1">
        <f t="array" aca="1" ref="AH7" ca="1">SUMPRODUCT($R$31:$R$102*($J$31:$J$102=$D7)*ISNUMBER(MATCH($K$31:$K$102,IF($X$4:$X$12=$X7,$D$4:$D$12,""),0)))+SUMPRODUCT($S$31:$S$102*($K$31:$K$102=$D7)*ISNUMBER(MATCH($J$31:$J$102,IF($X$4:$X$12=$X7,$D$4:$D$12,""),0)))</f>
        <v>0</v>
      </c>
      <c r="AI7" s="5">
        <f t="shared" ca="1" si="19"/>
        <v>0</v>
      </c>
      <c r="AJ7" s="137">
        <f t="shared" ca="1" si="20"/>
        <v>8</v>
      </c>
      <c r="AK7" s="209"/>
      <c r="AL7" s="1">
        <f t="shared" ca="1" si="21"/>
        <v>0</v>
      </c>
      <c r="AM7" s="211">
        <f t="shared" ca="1" si="22"/>
        <v>8</v>
      </c>
      <c r="AN7" s="208"/>
    </row>
    <row r="8" spans="1:42" s="2" customFormat="1" x14ac:dyDescent="0.2">
      <c r="A8" s="6">
        <f t="shared" ca="1" si="0"/>
        <v>1</v>
      </c>
      <c r="B8" s="81">
        <f t="shared" ca="1" si="1"/>
        <v>1</v>
      </c>
      <c r="C8" s="1">
        <v>5</v>
      </c>
      <c r="D8" s="108" t="str">
        <f t="shared" si="2"/>
        <v>VFB Essenheim</v>
      </c>
      <c r="E8" s="6">
        <f t="shared" ca="1" si="23"/>
        <v>1</v>
      </c>
      <c r="F8" s="125">
        <f t="shared" ca="1" si="24"/>
        <v>1.008</v>
      </c>
      <c r="G8" s="228">
        <f t="shared" ca="1" si="3"/>
        <v>1</v>
      </c>
      <c r="H8" s="1">
        <f t="shared" ca="1" si="4"/>
        <v>11</v>
      </c>
      <c r="I8" s="1">
        <f t="shared" ca="1" si="5"/>
        <v>8</v>
      </c>
      <c r="J8" s="5">
        <f t="shared" ca="1" si="6"/>
        <v>3</v>
      </c>
      <c r="K8" s="8">
        <f ca="1">M8*Einstellungen!$C$4+N8</f>
        <v>9</v>
      </c>
      <c r="L8" s="1">
        <f t="shared" ca="1" si="25"/>
        <v>5</v>
      </c>
      <c r="M8" s="1">
        <f t="shared" ca="1" si="7"/>
        <v>3</v>
      </c>
      <c r="N8" s="1">
        <f t="shared" ca="1" si="8"/>
        <v>0</v>
      </c>
      <c r="O8" s="1">
        <f t="shared" ca="1" si="9"/>
        <v>2</v>
      </c>
      <c r="P8" s="122">
        <f>Ergebnisse!$D10</f>
        <v>0</v>
      </c>
      <c r="Q8" s="208"/>
      <c r="R8" s="213">
        <f t="shared" ca="1" si="10"/>
        <v>1</v>
      </c>
      <c r="S8" s="209"/>
      <c r="T8" s="5">
        <f t="shared" ca="1" si="11"/>
        <v>0</v>
      </c>
      <c r="U8" s="137">
        <f t="shared" ca="1" si="12"/>
        <v>1</v>
      </c>
      <c r="V8" s="209"/>
      <c r="W8" s="5">
        <f t="shared" ca="1" si="13"/>
        <v>0</v>
      </c>
      <c r="X8" s="137">
        <f t="shared" ca="1" si="14"/>
        <v>1</v>
      </c>
      <c r="Y8" s="209"/>
      <c r="Z8" s="1">
        <f t="array" aca="1" ref="Z8" ca="1">SUMPRODUCT($O$31:$O$102*($J$31:$J$102=$D8)*ISNUMBER(MATCH($K$31:$K$102,IF($X$4:$X$12=$X8,$D$4:$D$12,""),0)))+SUMPRODUCT($P$31:$P$102*($K$31:$K$102=$D8)*ISNUMBER(MATCH($J$31:$J$102,IF($X$4:$X$12=$X8,$D$4:$D$12,""),0)))</f>
        <v>0</v>
      </c>
      <c r="AA8" s="5">
        <f t="shared" ca="1" si="15"/>
        <v>0</v>
      </c>
      <c r="AB8" s="137">
        <f t="shared" ca="1" si="16"/>
        <v>1</v>
      </c>
      <c r="AC8" s="209"/>
      <c r="AD8" s="1">
        <f t="array" aca="1" ref="AD8" ca="1">SUMPRODUCT($Q$31:$Q$102*($J$31:$J$102=$D8)*ISNUMBER(MATCH($K$31:$K$102,IF($X$4:$X$12=$X8,$D$4:$D$12,""),0)))+SUMPRODUCT(-$Q$31:$Q$102*($K$31:$K$102=$D8)*ISNUMBER(MATCH($J$31:$J$102,IF($X$4:$X$12=$X8,$D$4:$D$12,""),0)))</f>
        <v>0</v>
      </c>
      <c r="AE8" s="5">
        <f t="shared" ca="1" si="17"/>
        <v>0</v>
      </c>
      <c r="AF8" s="137">
        <f t="shared" ca="1" si="18"/>
        <v>1</v>
      </c>
      <c r="AG8" s="209"/>
      <c r="AH8" s="1">
        <f t="array" aca="1" ref="AH8" ca="1">SUMPRODUCT($R$31:$R$102*($J$31:$J$102=$D8)*ISNUMBER(MATCH($K$31:$K$102,IF($X$4:$X$12=$X8,$D$4:$D$12,""),0)))+SUMPRODUCT($S$31:$S$102*($K$31:$K$102=$D8)*ISNUMBER(MATCH($J$31:$J$102,IF($X$4:$X$12=$X8,$D$4:$D$12,""),0)))</f>
        <v>0</v>
      </c>
      <c r="AI8" s="5">
        <f t="shared" ca="1" si="19"/>
        <v>0</v>
      </c>
      <c r="AJ8" s="137">
        <f t="shared" ca="1" si="20"/>
        <v>1</v>
      </c>
      <c r="AK8" s="209"/>
      <c r="AL8" s="1">
        <f t="shared" ca="1" si="21"/>
        <v>0</v>
      </c>
      <c r="AM8" s="211">
        <f t="shared" ca="1" si="22"/>
        <v>1</v>
      </c>
      <c r="AN8" s="208"/>
    </row>
    <row r="9" spans="1:42" s="2" customFormat="1" x14ac:dyDescent="0.2">
      <c r="A9" s="6">
        <f t="shared" ca="1" si="0"/>
        <v>7</v>
      </c>
      <c r="B9" s="81">
        <f t="shared" ca="1" si="1"/>
        <v>7</v>
      </c>
      <c r="C9" s="1">
        <v>6</v>
      </c>
      <c r="D9" s="108" t="str">
        <f t="shared" si="2"/>
        <v>Inter Mailand</v>
      </c>
      <c r="E9" s="6">
        <f t="shared" ca="1" si="23"/>
        <v>7</v>
      </c>
      <c r="F9" s="125">
        <f t="shared" ca="1" si="24"/>
        <v>7.0090000000000003</v>
      </c>
      <c r="G9" s="228">
        <f t="shared" ca="1" si="3"/>
        <v>7</v>
      </c>
      <c r="H9" s="1">
        <f t="shared" ca="1" si="4"/>
        <v>3</v>
      </c>
      <c r="I9" s="1">
        <f t="shared" ca="1" si="5"/>
        <v>7</v>
      </c>
      <c r="J9" s="5">
        <f t="shared" ca="1" si="6"/>
        <v>-4</v>
      </c>
      <c r="K9" s="8">
        <f ca="1">M9*Einstellungen!$C$4+N9</f>
        <v>6</v>
      </c>
      <c r="L9" s="1">
        <f t="shared" ca="1" si="25"/>
        <v>4</v>
      </c>
      <c r="M9" s="1">
        <f t="shared" ca="1" si="7"/>
        <v>2</v>
      </c>
      <c r="N9" s="1">
        <f t="shared" ca="1" si="8"/>
        <v>0</v>
      </c>
      <c r="O9" s="1">
        <f t="shared" ca="1" si="9"/>
        <v>2</v>
      </c>
      <c r="P9" s="122">
        <f>Ergebnisse!$D11</f>
        <v>0</v>
      </c>
      <c r="Q9" s="208"/>
      <c r="R9" s="213">
        <f t="shared" ca="1" si="10"/>
        <v>2</v>
      </c>
      <c r="S9" s="209"/>
      <c r="T9" s="5">
        <f t="shared" ca="1" si="11"/>
        <v>5</v>
      </c>
      <c r="U9" s="137">
        <f t="shared" ca="1" si="12"/>
        <v>7</v>
      </c>
      <c r="V9" s="209"/>
      <c r="W9" s="5">
        <f t="shared" ca="1" si="13"/>
        <v>0</v>
      </c>
      <c r="X9" s="137">
        <f t="shared" ca="1" si="14"/>
        <v>7</v>
      </c>
      <c r="Y9" s="209"/>
      <c r="Z9" s="1">
        <f t="array" aca="1" ref="Z9" ca="1">SUMPRODUCT($O$31:$O$102*($J$31:$J$102=$D9)*ISNUMBER(MATCH($K$31:$K$102,IF($X$4:$X$12=$X9,$D$4:$D$12,""),0)))+SUMPRODUCT($P$31:$P$102*($K$31:$K$102=$D9)*ISNUMBER(MATCH($J$31:$J$102,IF($X$4:$X$12=$X9,$D$4:$D$12,""),0)))</f>
        <v>0</v>
      </c>
      <c r="AA9" s="5">
        <f t="shared" ca="1" si="15"/>
        <v>0</v>
      </c>
      <c r="AB9" s="137">
        <f t="shared" ca="1" si="16"/>
        <v>7</v>
      </c>
      <c r="AC9" s="209"/>
      <c r="AD9" s="1">
        <f t="array" aca="1" ref="AD9" ca="1">SUMPRODUCT($Q$31:$Q$102*($J$31:$J$102=$D9)*ISNUMBER(MATCH($K$31:$K$102,IF($X$4:$X$12=$X9,$D$4:$D$12,""),0)))+SUMPRODUCT(-$Q$31:$Q$102*($K$31:$K$102=$D9)*ISNUMBER(MATCH($J$31:$J$102,IF($X$4:$X$12=$X9,$D$4:$D$12,""),0)))</f>
        <v>0</v>
      </c>
      <c r="AE9" s="5">
        <f t="shared" ca="1" si="17"/>
        <v>0</v>
      </c>
      <c r="AF9" s="137">
        <f t="shared" ca="1" si="18"/>
        <v>7</v>
      </c>
      <c r="AG9" s="209"/>
      <c r="AH9" s="1">
        <f t="array" aca="1" ref="AH9" ca="1">SUMPRODUCT($R$31:$R$102*($J$31:$J$102=$D9)*ISNUMBER(MATCH($K$31:$K$102,IF($X$4:$X$12=$X9,$D$4:$D$12,""),0)))+SUMPRODUCT($S$31:$S$102*($K$31:$K$102=$D9)*ISNUMBER(MATCH($J$31:$J$102,IF($X$4:$X$12=$X9,$D$4:$D$12,""),0)))</f>
        <v>0</v>
      </c>
      <c r="AI9" s="5">
        <f t="shared" ca="1" si="19"/>
        <v>0</v>
      </c>
      <c r="AJ9" s="137">
        <f t="shared" ca="1" si="20"/>
        <v>7</v>
      </c>
      <c r="AK9" s="209"/>
      <c r="AL9" s="1">
        <f t="shared" ca="1" si="21"/>
        <v>0</v>
      </c>
      <c r="AM9" s="211">
        <f t="shared" ca="1" si="22"/>
        <v>7</v>
      </c>
      <c r="AN9" s="208"/>
    </row>
    <row r="10" spans="1:42" s="2" customFormat="1" x14ac:dyDescent="0.2">
      <c r="A10" s="6">
        <f t="shared" ca="1" si="0"/>
        <v>9</v>
      </c>
      <c r="B10" s="81">
        <f t="shared" ca="1" si="1"/>
        <v>9</v>
      </c>
      <c r="C10" s="1">
        <v>7</v>
      </c>
      <c r="D10" s="108" t="str">
        <f t="shared" si="2"/>
        <v>SSV Wildbach</v>
      </c>
      <c r="E10" s="6">
        <f t="shared" ca="1" si="23"/>
        <v>9</v>
      </c>
      <c r="F10" s="125">
        <f t="shared" ca="1" si="24"/>
        <v>9.01</v>
      </c>
      <c r="G10" s="228">
        <f t="shared" ca="1" si="3"/>
        <v>9</v>
      </c>
      <c r="H10" s="1">
        <f t="shared" ca="1" si="4"/>
        <v>2</v>
      </c>
      <c r="I10" s="1">
        <f t="shared" ca="1" si="5"/>
        <v>1</v>
      </c>
      <c r="J10" s="5">
        <f t="shared" ca="1" si="6"/>
        <v>1</v>
      </c>
      <c r="K10" s="8">
        <f ca="1">M10*Einstellungen!$C$4+N10</f>
        <v>4</v>
      </c>
      <c r="L10" s="1">
        <f t="shared" ca="1" si="25"/>
        <v>2</v>
      </c>
      <c r="M10" s="1">
        <f t="shared" ca="1" si="7"/>
        <v>1</v>
      </c>
      <c r="N10" s="1">
        <f t="shared" ca="1" si="8"/>
        <v>1</v>
      </c>
      <c r="O10" s="1">
        <f t="shared" ca="1" si="9"/>
        <v>0</v>
      </c>
      <c r="P10" s="122">
        <f>Ergebnisse!$D12</f>
        <v>0</v>
      </c>
      <c r="Q10" s="208"/>
      <c r="R10" s="213">
        <f t="shared" ca="1" si="10"/>
        <v>8</v>
      </c>
      <c r="S10" s="209"/>
      <c r="T10" s="5">
        <f t="shared" ca="1" si="11"/>
        <v>0</v>
      </c>
      <c r="U10" s="137">
        <f t="shared" ca="1" si="12"/>
        <v>8</v>
      </c>
      <c r="V10" s="209"/>
      <c r="W10" s="5">
        <f t="shared" ca="1" si="13"/>
        <v>1</v>
      </c>
      <c r="X10" s="137">
        <f t="shared" ca="1" si="14"/>
        <v>9</v>
      </c>
      <c r="Y10" s="209"/>
      <c r="Z10" s="1">
        <f t="array" aca="1" ref="Z10" ca="1">SUMPRODUCT($O$31:$O$102*($J$31:$J$102=$D10)*ISNUMBER(MATCH($K$31:$K$102,IF($X$4:$X$12=$X10,$D$4:$D$12,""),0)))+SUMPRODUCT($P$31:$P$102*($K$31:$K$102=$D10)*ISNUMBER(MATCH($J$31:$J$102,IF($X$4:$X$12=$X10,$D$4:$D$12,""),0)))</f>
        <v>0</v>
      </c>
      <c r="AA10" s="5">
        <f t="shared" ca="1" si="15"/>
        <v>0</v>
      </c>
      <c r="AB10" s="137">
        <f t="shared" ca="1" si="16"/>
        <v>9</v>
      </c>
      <c r="AC10" s="209"/>
      <c r="AD10" s="1">
        <f t="array" aca="1" ref="AD10" ca="1">SUMPRODUCT($Q$31:$Q$102*($J$31:$J$102=$D10)*ISNUMBER(MATCH($K$31:$K$102,IF($X$4:$X$12=$X10,$D$4:$D$12,""),0)))+SUMPRODUCT(-$Q$31:$Q$102*($K$31:$K$102=$D10)*ISNUMBER(MATCH($J$31:$J$102,IF($X$4:$X$12=$X10,$D$4:$D$12,""),0)))</f>
        <v>0</v>
      </c>
      <c r="AE10" s="5">
        <f t="shared" ca="1" si="17"/>
        <v>0</v>
      </c>
      <c r="AF10" s="137">
        <f t="shared" ca="1" si="18"/>
        <v>9</v>
      </c>
      <c r="AG10" s="209"/>
      <c r="AH10" s="1">
        <f t="array" aca="1" ref="AH10" ca="1">SUMPRODUCT($R$31:$R$102*($J$31:$J$102=$D10)*ISNUMBER(MATCH($K$31:$K$102,IF($X$4:$X$12=$X10,$D$4:$D$12,""),0)))+SUMPRODUCT($S$31:$S$102*($K$31:$K$102=$D10)*ISNUMBER(MATCH($J$31:$J$102,IF($X$4:$X$12=$X10,$D$4:$D$12,""),0)))</f>
        <v>0</v>
      </c>
      <c r="AI10" s="5">
        <f t="shared" ca="1" si="19"/>
        <v>0</v>
      </c>
      <c r="AJ10" s="137">
        <f t="shared" ca="1" si="20"/>
        <v>9</v>
      </c>
      <c r="AK10" s="209"/>
      <c r="AL10" s="1">
        <f t="shared" ca="1" si="21"/>
        <v>0</v>
      </c>
      <c r="AM10" s="211">
        <f t="shared" ca="1" si="22"/>
        <v>9</v>
      </c>
      <c r="AN10" s="208"/>
    </row>
    <row r="11" spans="1:42" s="2" customFormat="1" x14ac:dyDescent="0.2">
      <c r="A11" s="6">
        <f t="shared" ca="1" si="0"/>
        <v>4</v>
      </c>
      <c r="B11" s="81">
        <f t="shared" ca="1" si="1"/>
        <v>4</v>
      </c>
      <c r="C11" s="1">
        <v>8</v>
      </c>
      <c r="D11" s="108" t="str">
        <f t="shared" si="2"/>
        <v>SV Obersuhl</v>
      </c>
      <c r="E11" s="6">
        <f t="shared" ca="1" si="23"/>
        <v>6</v>
      </c>
      <c r="F11" s="125">
        <f t="shared" ca="1" si="24"/>
        <v>5.0110000000000001</v>
      </c>
      <c r="G11" s="228">
        <f t="shared" ca="1" si="3"/>
        <v>5</v>
      </c>
      <c r="H11" s="1">
        <f t="shared" ca="1" si="4"/>
        <v>10</v>
      </c>
      <c r="I11" s="1">
        <f t="shared" ca="1" si="5"/>
        <v>11</v>
      </c>
      <c r="J11" s="5">
        <f t="shared" ca="1" si="6"/>
        <v>-1</v>
      </c>
      <c r="K11" s="8">
        <f ca="1">M11*Einstellungen!$C$4+N11</f>
        <v>6</v>
      </c>
      <c r="L11" s="1">
        <f t="shared" ca="1" si="25"/>
        <v>5</v>
      </c>
      <c r="M11" s="1">
        <f t="shared" ca="1" si="7"/>
        <v>2</v>
      </c>
      <c r="N11" s="1">
        <f t="shared" ca="1" si="8"/>
        <v>0</v>
      </c>
      <c r="O11" s="1">
        <f t="shared" ca="1" si="9"/>
        <v>3</v>
      </c>
      <c r="P11" s="122">
        <f>Ergebnisse!$D13</f>
        <v>0</v>
      </c>
      <c r="Q11" s="208"/>
      <c r="R11" s="213">
        <f t="shared" ca="1" si="10"/>
        <v>2</v>
      </c>
      <c r="S11" s="209"/>
      <c r="T11" s="5">
        <f t="shared" ca="1" si="11"/>
        <v>3</v>
      </c>
      <c r="U11" s="137">
        <f t="shared" ca="1" si="12"/>
        <v>5</v>
      </c>
      <c r="V11" s="209"/>
      <c r="W11" s="5">
        <f t="shared" ca="1" si="13"/>
        <v>0</v>
      </c>
      <c r="X11" s="137">
        <f t="shared" ca="1" si="14"/>
        <v>5</v>
      </c>
      <c r="Y11" s="209"/>
      <c r="Z11" s="1">
        <f t="array" aca="1" ref="Z11" ca="1">SUMPRODUCT($O$31:$O$102*($J$31:$J$102=$D11)*ISNUMBER(MATCH($K$31:$K$102,IF($X$4:$X$12=$X11,$D$4:$D$12,""),0)))+SUMPRODUCT($P$31:$P$102*($K$31:$K$102=$D11)*ISNUMBER(MATCH($J$31:$J$102,IF($X$4:$X$12=$X11,$D$4:$D$12,""),0)))</f>
        <v>0</v>
      </c>
      <c r="AA11" s="5">
        <f t="shared" ca="1" si="15"/>
        <v>0</v>
      </c>
      <c r="AB11" s="137">
        <f t="shared" ca="1" si="16"/>
        <v>5</v>
      </c>
      <c r="AC11" s="209"/>
      <c r="AD11" s="1">
        <f t="array" aca="1" ref="AD11" ca="1">SUMPRODUCT($Q$31:$Q$102*($J$31:$J$102=$D11)*ISNUMBER(MATCH($K$31:$K$102,IF($X$4:$X$12=$X11,$D$4:$D$12,""),0)))+SUMPRODUCT(-$Q$31:$Q$102*($K$31:$K$102=$D11)*ISNUMBER(MATCH($J$31:$J$102,IF($X$4:$X$12=$X11,$D$4:$D$12,""),0)))</f>
        <v>0</v>
      </c>
      <c r="AE11" s="5">
        <f t="shared" ca="1" si="17"/>
        <v>0</v>
      </c>
      <c r="AF11" s="137">
        <f t="shared" ca="1" si="18"/>
        <v>5</v>
      </c>
      <c r="AG11" s="209"/>
      <c r="AH11" s="1">
        <f t="array" aca="1" ref="AH11" ca="1">SUMPRODUCT($R$31:$R$102*($J$31:$J$102=$D11)*ISNUMBER(MATCH($K$31:$K$102,IF($X$4:$X$12=$X11,$D$4:$D$12,""),0)))+SUMPRODUCT($S$31:$S$102*($K$31:$K$102=$D11)*ISNUMBER(MATCH($J$31:$J$102,IF($X$4:$X$12=$X11,$D$4:$D$12,""),0)))</f>
        <v>0</v>
      </c>
      <c r="AI11" s="5">
        <f t="shared" ca="1" si="19"/>
        <v>0</v>
      </c>
      <c r="AJ11" s="137">
        <f t="shared" ca="1" si="20"/>
        <v>5</v>
      </c>
      <c r="AK11" s="209"/>
      <c r="AL11" s="1">
        <f t="shared" ca="1" si="21"/>
        <v>0</v>
      </c>
      <c r="AM11" s="211">
        <f t="shared" ca="1" si="22"/>
        <v>5</v>
      </c>
      <c r="AN11" s="208"/>
    </row>
    <row r="12" spans="1:42" s="2" customFormat="1" ht="12.75" thickBot="1" x14ac:dyDescent="0.25">
      <c r="A12" s="7">
        <f t="shared" ca="1" si="0"/>
        <v>3</v>
      </c>
      <c r="B12" s="81">
        <f t="shared" ca="1" si="1"/>
        <v>3</v>
      </c>
      <c r="C12" s="1">
        <v>9</v>
      </c>
      <c r="D12" s="108" t="str">
        <f t="shared" si="2"/>
        <v>SSC Bosserode</v>
      </c>
      <c r="E12" s="7">
        <f t="shared" ca="1" si="23"/>
        <v>4</v>
      </c>
      <c r="F12" s="125">
        <f t="shared" ca="1" si="24"/>
        <v>3.012</v>
      </c>
      <c r="G12" s="228">
        <f t="shared" ca="1" si="3"/>
        <v>3</v>
      </c>
      <c r="H12" s="1">
        <f t="shared" ca="1" si="4"/>
        <v>10</v>
      </c>
      <c r="I12" s="1">
        <f t="shared" ca="1" si="5"/>
        <v>10</v>
      </c>
      <c r="J12" s="5">
        <f t="shared" ca="1" si="6"/>
        <v>0</v>
      </c>
      <c r="K12" s="8">
        <f ca="1">M12*Einstellungen!$C$4+N12</f>
        <v>6</v>
      </c>
      <c r="L12" s="9">
        <f t="shared" ca="1" si="25"/>
        <v>4</v>
      </c>
      <c r="M12" s="1">
        <f t="shared" ca="1" si="7"/>
        <v>2</v>
      </c>
      <c r="N12" s="1">
        <f t="shared" ca="1" si="8"/>
        <v>0</v>
      </c>
      <c r="O12" s="1">
        <f t="shared" ca="1" si="9"/>
        <v>2</v>
      </c>
      <c r="P12" s="123">
        <f>Ergebnisse!$D14</f>
        <v>0</v>
      </c>
      <c r="Q12" s="208"/>
      <c r="R12" s="214">
        <f t="shared" ca="1" si="10"/>
        <v>2</v>
      </c>
      <c r="S12" s="209"/>
      <c r="T12" s="215">
        <f t="shared" ca="1" si="11"/>
        <v>1</v>
      </c>
      <c r="U12" s="216">
        <f t="shared" ca="1" si="12"/>
        <v>3</v>
      </c>
      <c r="V12" s="209"/>
      <c r="W12" s="215">
        <f t="shared" ca="1" si="13"/>
        <v>0</v>
      </c>
      <c r="X12" s="216">
        <f t="shared" ca="1" si="14"/>
        <v>3</v>
      </c>
      <c r="Y12" s="209"/>
      <c r="Z12" s="215">
        <f t="array" aca="1" ref="Z12" ca="1">SUMPRODUCT($O$31:$O$102*($J$31:$J$102=$D12)*ISNUMBER(MATCH($K$31:$K$102,IF($X$4:$X$12=$X12,$D$4:$D$12,""),0)))+SUMPRODUCT($P$31:$P$102*($K$31:$K$102=$D12)*ISNUMBER(MATCH($J$31:$J$102,IF($X$4:$X$12=$X12,$D$4:$D$12,""),0)))</f>
        <v>0</v>
      </c>
      <c r="AA12" s="217">
        <f t="shared" ca="1" si="15"/>
        <v>0</v>
      </c>
      <c r="AB12" s="216">
        <f t="shared" ca="1" si="16"/>
        <v>3</v>
      </c>
      <c r="AC12" s="209"/>
      <c r="AD12" s="215">
        <f t="array" aca="1" ref="AD12" ca="1">SUMPRODUCT($Q$31:$Q$102*($J$31:$J$102=$D12)*ISNUMBER(MATCH($K$31:$K$102,IF($X$4:$X$12=$X12,$D$4:$D$12,""),0)))+SUMPRODUCT(-$Q$31:$Q$102*($K$31:$K$102=$D12)*ISNUMBER(MATCH($J$31:$J$102,IF($X$4:$X$12=$X12,$D$4:$D$12,""),0)))</f>
        <v>0</v>
      </c>
      <c r="AE12" s="217">
        <f t="shared" ca="1" si="17"/>
        <v>0</v>
      </c>
      <c r="AF12" s="216">
        <f t="shared" ca="1" si="18"/>
        <v>3</v>
      </c>
      <c r="AG12" s="209"/>
      <c r="AH12" s="215">
        <f t="array" aca="1" ref="AH12" ca="1">SUMPRODUCT($R$31:$R$102*($J$31:$J$102=$D12)*ISNUMBER(MATCH($K$31:$K$102,IF($X$4:$X$12=$X12,$D$4:$D$12,""),0)))+SUMPRODUCT($S$31:$S$102*($K$31:$K$102=$D12)*ISNUMBER(MATCH($J$31:$J$102,IF($X$4:$X$12=$X12,$D$4:$D$12,""),0)))</f>
        <v>0</v>
      </c>
      <c r="AI12" s="217">
        <f t="shared" ca="1" si="19"/>
        <v>0</v>
      </c>
      <c r="AJ12" s="216">
        <f t="shared" ca="1" si="20"/>
        <v>3</v>
      </c>
      <c r="AK12" s="209"/>
      <c r="AL12" s="215">
        <f t="shared" ca="1" si="21"/>
        <v>0</v>
      </c>
      <c r="AM12" s="216">
        <f t="shared" ca="1" si="22"/>
        <v>3</v>
      </c>
      <c r="AN12" s="208"/>
    </row>
    <row r="13" spans="1:42" s="2" customFormat="1" ht="12.75" thickTop="1" x14ac:dyDescent="0.2">
      <c r="C13" s="5">
        <f>$D$13*($D$13-1)</f>
        <v>72</v>
      </c>
      <c r="D13" s="5">
        <f>9-COUNTBLANK($D$4:$D$12)</f>
        <v>9</v>
      </c>
      <c r="E13" s="5"/>
      <c r="F13" s="107"/>
      <c r="G13" s="107"/>
      <c r="H13" s="5"/>
      <c r="I13" s="5"/>
      <c r="J13" s="5"/>
      <c r="K13" s="5"/>
      <c r="L13" s="8">
        <f ca="1">QUOTIENT(SUM(L4:L12),2)</f>
        <v>18</v>
      </c>
      <c r="M13" s="1"/>
      <c r="N13" s="1"/>
      <c r="O13" s="1"/>
      <c r="P13" s="5"/>
      <c r="Q13" s="5"/>
      <c r="R13" s="5"/>
      <c r="S13" s="5"/>
      <c r="T13" s="5"/>
      <c r="U13" s="5"/>
      <c r="V13" s="3"/>
      <c r="W13" s="3"/>
      <c r="X13" s="5"/>
      <c r="Y13" s="5"/>
      <c r="Z13" s="5"/>
      <c r="AA13" s="3"/>
      <c r="AB13" s="3"/>
      <c r="AC13" s="3"/>
      <c r="AD13" s="3"/>
      <c r="AE13" s="3"/>
      <c r="AF13" s="3"/>
      <c r="AG13" s="3"/>
      <c r="AH13" s="3"/>
      <c r="AI13" s="3"/>
    </row>
    <row r="14" spans="1:42" s="2" customFormat="1" x14ac:dyDescent="0.2">
      <c r="C14" s="5"/>
      <c r="D14" s="5"/>
      <c r="E14" s="5"/>
      <c r="F14" s="107"/>
      <c r="G14" s="107"/>
      <c r="H14" s="5"/>
      <c r="I14" s="5"/>
      <c r="J14" s="5"/>
      <c r="K14" s="5"/>
      <c r="L14" s="8"/>
      <c r="M14" s="1"/>
      <c r="N14" s="1"/>
      <c r="O14" s="1"/>
      <c r="P14" s="5"/>
      <c r="Q14" s="5"/>
      <c r="R14" s="5"/>
      <c r="S14" s="5"/>
      <c r="T14" s="5"/>
      <c r="U14" s="5"/>
      <c r="V14" s="3"/>
      <c r="W14" s="3"/>
      <c r="X14" s="5"/>
      <c r="Y14" s="5"/>
      <c r="Z14" s="5"/>
      <c r="AA14" s="3"/>
      <c r="AB14" s="3"/>
      <c r="AC14" s="3"/>
      <c r="AD14" s="3"/>
      <c r="AE14" s="3"/>
      <c r="AF14" s="3"/>
      <c r="AG14" s="3"/>
      <c r="AH14" s="3"/>
      <c r="AI14" s="3"/>
    </row>
    <row r="15" spans="1:42" s="2" customFormat="1" x14ac:dyDescent="0.2">
      <c r="C15" s="5"/>
      <c r="D15" s="5"/>
      <c r="E15" s="5"/>
      <c r="F15" s="107"/>
      <c r="G15" s="107"/>
      <c r="H15" s="5"/>
      <c r="I15" s="5"/>
      <c r="J15" s="5"/>
      <c r="K15" s="5"/>
      <c r="L15" s="8"/>
      <c r="M15" s="1"/>
      <c r="N15" s="1"/>
      <c r="O15" s="1"/>
      <c r="P15" s="5"/>
      <c r="Q15" s="5"/>
      <c r="R15" s="5"/>
      <c r="S15" s="5"/>
      <c r="T15" s="5"/>
      <c r="U15" s="5"/>
      <c r="V15" s="3"/>
      <c r="W15" s="3"/>
      <c r="X15" s="5"/>
      <c r="Y15" s="5"/>
      <c r="Z15" s="5"/>
      <c r="AA15" s="3"/>
      <c r="AB15" s="3"/>
      <c r="AC15" s="3"/>
      <c r="AD15" s="3"/>
      <c r="AE15" s="3"/>
      <c r="AF15" s="3"/>
      <c r="AG15" s="3"/>
      <c r="AH15" s="3"/>
      <c r="AI15" s="3"/>
    </row>
    <row r="16" spans="1:42" s="109" customFormat="1" x14ac:dyDescent="0.2">
      <c r="E16" s="130" t="s">
        <v>231</v>
      </c>
      <c r="F16" s="131"/>
      <c r="G16" s="130" t="s">
        <v>231</v>
      </c>
      <c r="H16" s="131"/>
      <c r="I16" s="136" t="s">
        <v>231</v>
      </c>
      <c r="J16" s="131"/>
      <c r="K16" s="133" t="s">
        <v>259</v>
      </c>
      <c r="L16" s="130"/>
      <c r="M16" s="136" t="s">
        <v>231</v>
      </c>
      <c r="N16" s="131"/>
      <c r="O16" s="133" t="s">
        <v>259</v>
      </c>
      <c r="P16" s="130"/>
      <c r="Q16" s="136" t="s">
        <v>231</v>
      </c>
      <c r="R16" s="131"/>
      <c r="S16" s="133" t="s">
        <v>259</v>
      </c>
      <c r="T16" s="130"/>
      <c r="U16" s="136" t="s">
        <v>231</v>
      </c>
      <c r="V16" s="132"/>
      <c r="W16" s="133" t="s">
        <v>260</v>
      </c>
      <c r="X16" s="130"/>
      <c r="Y16" s="136" t="s">
        <v>231</v>
      </c>
      <c r="Z16" s="132"/>
      <c r="AA16" s="133" t="s">
        <v>260</v>
      </c>
      <c r="AB16" s="130"/>
      <c r="AC16" s="136" t="s">
        <v>231</v>
      </c>
      <c r="AD16" s="132"/>
      <c r="AE16" s="133" t="s">
        <v>260</v>
      </c>
      <c r="AF16" s="130"/>
      <c r="AG16" s="136" t="s">
        <v>231</v>
      </c>
      <c r="AH16" s="130"/>
      <c r="AI16" s="130" t="s">
        <v>99</v>
      </c>
      <c r="AJ16" s="136" t="s">
        <v>231</v>
      </c>
      <c r="AK16" s="130"/>
      <c r="AL16" s="130" t="s">
        <v>97</v>
      </c>
      <c r="AM16" s="136" t="s">
        <v>231</v>
      </c>
      <c r="AN16" s="131"/>
      <c r="AO16" s="130" t="s">
        <v>236</v>
      </c>
      <c r="AP16" s="136" t="s">
        <v>231</v>
      </c>
    </row>
    <row r="17" spans="1:47" s="109" customFormat="1" ht="12.75" thickBot="1" x14ac:dyDescent="0.25">
      <c r="A17" s="111"/>
      <c r="B17" s="111"/>
      <c r="C17" s="111"/>
      <c r="D17" s="111"/>
      <c r="E17" s="133" t="s">
        <v>174</v>
      </c>
      <c r="F17" s="134"/>
      <c r="G17" s="133" t="s">
        <v>238</v>
      </c>
      <c r="H17" s="134"/>
      <c r="I17" s="222" t="s">
        <v>225</v>
      </c>
      <c r="J17" s="134"/>
      <c r="K17" s="133" t="s">
        <v>100</v>
      </c>
      <c r="L17" s="133" t="s">
        <v>239</v>
      </c>
      <c r="M17" s="222" t="s">
        <v>226</v>
      </c>
      <c r="N17" s="131"/>
      <c r="O17" s="133" t="s">
        <v>99</v>
      </c>
      <c r="P17" s="133" t="s">
        <v>239</v>
      </c>
      <c r="Q17" s="222" t="s">
        <v>227</v>
      </c>
      <c r="R17" s="131"/>
      <c r="S17" s="133" t="s">
        <v>97</v>
      </c>
      <c r="T17" s="133" t="s">
        <v>239</v>
      </c>
      <c r="U17" s="222" t="s">
        <v>228</v>
      </c>
      <c r="V17" s="134"/>
      <c r="W17" s="133" t="s">
        <v>100</v>
      </c>
      <c r="X17" s="133" t="s">
        <v>239</v>
      </c>
      <c r="Y17" s="222" t="s">
        <v>229</v>
      </c>
      <c r="Z17" s="134"/>
      <c r="AA17" s="133" t="s">
        <v>99</v>
      </c>
      <c r="AB17" s="133" t="s">
        <v>239</v>
      </c>
      <c r="AC17" s="222" t="s">
        <v>230</v>
      </c>
      <c r="AD17" s="134"/>
      <c r="AE17" s="133" t="s">
        <v>97</v>
      </c>
      <c r="AF17" s="133" t="s">
        <v>239</v>
      </c>
      <c r="AG17" s="222" t="s">
        <v>232</v>
      </c>
      <c r="AH17" s="133"/>
      <c r="AI17" s="133" t="s">
        <v>239</v>
      </c>
      <c r="AJ17" s="222" t="s">
        <v>233</v>
      </c>
      <c r="AK17" s="133"/>
      <c r="AL17" s="133" t="s">
        <v>239</v>
      </c>
      <c r="AM17" s="222" t="s">
        <v>234</v>
      </c>
      <c r="AN17" s="131"/>
      <c r="AO17" s="133" t="s">
        <v>239</v>
      </c>
      <c r="AP17" s="222" t="s">
        <v>237</v>
      </c>
    </row>
    <row r="18" spans="1:47" s="109" customFormat="1" ht="12.75" thickTop="1" x14ac:dyDescent="0.2">
      <c r="A18" s="111"/>
      <c r="B18" s="111"/>
      <c r="C18" s="110">
        <v>1</v>
      </c>
      <c r="D18" s="107" t="str">
        <f>$D31</f>
        <v>1. FC Riedwald</v>
      </c>
      <c r="E18" s="118">
        <f ca="1">RANK(F18,$F$18:$F$26,1)</f>
        <v>5</v>
      </c>
      <c r="F18" s="125">
        <f ca="1">G18+ROW()/1000+(D18="")*10</f>
        <v>5.0179999999999998</v>
      </c>
      <c r="G18" s="228">
        <f t="shared" ref="G18:G26" ca="1" si="26">AP18</f>
        <v>5</v>
      </c>
      <c r="H18" s="209"/>
      <c r="I18" s="212">
        <f t="shared" ref="I18:I26" ca="1" si="27">RANK($K4,$K$4:$K$12)</f>
        <v>2</v>
      </c>
      <c r="J18" s="209"/>
      <c r="K18" s="226">
        <f t="array" aca="1" ref="K18" ca="1">SUMPRODUCT($O$31:$O$102*($J$31:$J$102=$D18)*ISNUMBER(MATCH($K$31:$K$102,IF($I$18:$I$26=$I18,$D$18:$D$26,""),0)))+SUMPRODUCT($P$31:$P$102*($K$31:$K$102=$D18)*ISNUMBER(MATCH($J$31:$J$102,IF($I$18:$I$26=$I18,$D$18:$D$26,""),0)))</f>
        <v>6</v>
      </c>
      <c r="L18" s="227">
        <f t="shared" ref="L18:L26" ca="1" si="28">COUNTIFS($K$18:$K$26,"&gt;"&amp;$K18,$I$18:$I$26,"="&amp;$I18)</f>
        <v>0</v>
      </c>
      <c r="M18" s="210">
        <f t="shared" ref="M18:M26" ca="1" si="29">I18+L18</f>
        <v>2</v>
      </c>
      <c r="N18" s="209"/>
      <c r="O18" s="226">
        <f t="array" aca="1" ref="O18" ca="1">SUMPRODUCT($Q$31:$Q$102*($J$31:$J$102=$D18)*ISNUMBER(MATCH($K$31:$K$102,IF($I$18:$I$26=$I18,$D$18:$D$26,""),0)))+SUMPRODUCT(-$Q$31:$Q$102*($K$31:$K$102=$D18)*ISNUMBER(MATCH($J$31:$J$102,IF($I$18:$I$26=$I18,$D$18:$D$26,""),0)))</f>
        <v>1</v>
      </c>
      <c r="P18" s="227">
        <f t="shared" ref="P18:P26" ca="1" si="30">COUNTIFS($O$18:$O$26,"&gt;"&amp;$O18,$M$18:$M$26,"="&amp;$M18)</f>
        <v>1</v>
      </c>
      <c r="Q18" s="210">
        <f t="shared" ref="Q18:Q26" ca="1" si="31">M18+P18</f>
        <v>3</v>
      </c>
      <c r="R18" s="209"/>
      <c r="S18" s="226">
        <f t="array" aca="1" ref="S18" ca="1">SUMPRODUCT($R$31:$R$102*($J$31:$J$102=$D18)*ISNUMBER(MATCH($K$31:$K$102,IF($I$18:$I$26=$I18,$D$18:$D$26,""),0)))+SUMPRODUCT($S$31:$S$102*($K$31:$K$102=$D18)*ISNUMBER(MATCH($J$31:$J$102,IF($I$18:$I$26=$I18,$D$18:$D$26,""),0)))</f>
        <v>8</v>
      </c>
      <c r="T18" s="227">
        <f t="shared" ref="T18:T26" ca="1" si="32">COUNTIFS($S$18:$S$26,"&gt;"&amp;$S18,$Q$18:$Q$26,"="&amp;$Q18)</f>
        <v>0</v>
      </c>
      <c r="U18" s="210">
        <f t="shared" ref="U18:U26" ca="1" si="33">Q18+T18</f>
        <v>3</v>
      </c>
      <c r="V18" s="209"/>
      <c r="W18" s="226">
        <f t="array" aca="1" ref="W18" ca="1">SUMPRODUCT($O$31:$O$102*($J$31:$J$102=$D18)*ISNUMBER(MATCH($K$31:$K$102,IF($U$18:$U$26=$U18,$D$18:$D$26,""),0)))+SUMPRODUCT($P$31:$P$102*($K$31:$K$102=$D18)*ISNUMBER(MATCH($J$31:$J$102,IF($U$18:$U$26=$U18,$D$18:$D$26,""),0)))</f>
        <v>0</v>
      </c>
      <c r="X18" s="227">
        <f t="shared" ref="X18:X26" ca="1" si="34">COUNTIFS($W$18:$W$26,"&gt;"&amp;$W18,$U$18:$U$26,"="&amp;$U18)</f>
        <v>2</v>
      </c>
      <c r="Y18" s="210">
        <f t="shared" ref="Y18:Y26" ca="1" si="35">U18+X18</f>
        <v>5</v>
      </c>
      <c r="Z18" s="209"/>
      <c r="AA18" s="226">
        <f t="array" aca="1" ref="AA18" ca="1">SUMPRODUCT($Q$31:$Q$102*($J$31:$J$102=$D18)*ISNUMBER(MATCH($K$31:$K$102,IF($U$18:$U$26=$U18,$D$18:$D$26,""),0)))+SUMPRODUCT(-$Q$31:$Q$102*($K$31:$K$102=$D18)*ISNUMBER(MATCH($J$31:$J$102,IF($U$18:$U$26=$U18,$D$18:$D$26,""),0)))</f>
        <v>-4</v>
      </c>
      <c r="AB18" s="227">
        <f t="shared" ref="AB18:AB26" ca="1" si="36">COUNTIFS($AA$18:$AA$26,"&gt;"&amp;$AA18,$Y$18:$Y$26,"="&amp;$Y18)</f>
        <v>0</v>
      </c>
      <c r="AC18" s="210">
        <f t="shared" ref="AC18:AC26" ca="1" si="37">Y18+AB18</f>
        <v>5</v>
      </c>
      <c r="AD18" s="209"/>
      <c r="AE18" s="226">
        <f t="array" aca="1" ref="AE18" ca="1">SUMPRODUCT($R$31:$R$102*($J$31:$J$102=$D18)*ISNUMBER(MATCH($K$31:$K$102,IF($U$18:$U$26=$U18,$D$18:$D$26,""),0)))+SUMPRODUCT($S$31:$S$102*($K$31:$K$102=$D18)*ISNUMBER(MATCH($J$31:$J$102,IF($U$18:$U$26=$U18,$D$18:$D$26,""),0)))</f>
        <v>1</v>
      </c>
      <c r="AF18" s="227">
        <f t="shared" ref="AF18:AF26" ca="1" si="38">COUNTIFS($AE$18:$AE$26,"&gt;"&amp;$AE18,$AC$18:$AC$26,"="&amp;$AC18)</f>
        <v>0</v>
      </c>
      <c r="AG18" s="210">
        <f t="shared" ref="AG18:AG26" ca="1" si="39">AC18+AF18</f>
        <v>5</v>
      </c>
      <c r="AH18" s="209"/>
      <c r="AI18" s="229">
        <f t="shared" ref="AI18:AI26" ca="1" si="40">COUNTIFS($J$4:$J$12,"&gt;"&amp;$J4,$AG$18:$AG$26,"="&amp;$AG18)</f>
        <v>0</v>
      </c>
      <c r="AJ18" s="230">
        <f ca="1">AG18+AI18</f>
        <v>5</v>
      </c>
      <c r="AK18" s="209"/>
      <c r="AL18" s="229">
        <f t="shared" ref="AL18:AL26" ca="1" si="41">COUNTIFS($H$4:$H$12,"&gt;"&amp;$H4,$AJ$18:$AJ$26,"="&amp;$AJ18)</f>
        <v>0</v>
      </c>
      <c r="AM18" s="230">
        <f ca="1">AJ18+AL18</f>
        <v>5</v>
      </c>
      <c r="AN18" s="209"/>
      <c r="AO18" s="229">
        <f t="shared" ref="AO18:AO26" ca="1" si="42">COUNTIFS($P$4:$P$12,"&gt;"&amp;$P4,$AM$18:$AM$26,"="&amp;$AM18)</f>
        <v>0</v>
      </c>
      <c r="AP18" s="230">
        <f t="shared" ref="AP18:AP26" ca="1" si="43">AM18+AO18</f>
        <v>5</v>
      </c>
      <c r="AQ18" s="209"/>
    </row>
    <row r="19" spans="1:47" s="109" customFormat="1" x14ac:dyDescent="0.2">
      <c r="A19" s="111"/>
      <c r="B19" s="111"/>
      <c r="C19" s="110">
        <v>2</v>
      </c>
      <c r="D19" s="107" t="str">
        <f t="shared" ref="D19:D26" si="44">$D32</f>
        <v>FC Barcelona</v>
      </c>
      <c r="E19" s="6">
        <f t="shared" ref="E19:E26" ca="1" si="45">RANK(F19,$F$18:$F$26,1)</f>
        <v>2</v>
      </c>
      <c r="F19" s="125">
        <f t="shared" ref="F19:F26" ca="1" si="46">G19+ROW()/1000+(D19="")*10</f>
        <v>2.0190000000000001</v>
      </c>
      <c r="G19" s="228">
        <f t="shared" ca="1" si="26"/>
        <v>2</v>
      </c>
      <c r="H19" s="209"/>
      <c r="I19" s="213">
        <f t="shared" ca="1" si="27"/>
        <v>2</v>
      </c>
      <c r="J19" s="209"/>
      <c r="K19" s="1">
        <f t="array" aca="1" ref="K19" ca="1">SUMPRODUCT($O$31:$O$102*($J$31:$J$102=$D19)*ISNUMBER(MATCH($K$31:$K$102,IF($I$18:$I$26=$I19,$D$18:$D$26,""),0)))+SUMPRODUCT($P$31:$P$102*($K$31:$K$102=$D19)*ISNUMBER(MATCH($J$31:$J$102,IF($I$18:$I$26=$I19,$D$18:$D$26,""),0)))</f>
        <v>6</v>
      </c>
      <c r="L19" s="5">
        <f t="shared" ca="1" si="28"/>
        <v>0</v>
      </c>
      <c r="M19" s="137">
        <f t="shared" ca="1" si="29"/>
        <v>2</v>
      </c>
      <c r="N19" s="209"/>
      <c r="O19" s="1">
        <f t="array" aca="1" ref="O19" ca="1">SUMPRODUCT($Q$31:$Q$102*($J$31:$J$102=$D19)*ISNUMBER(MATCH($K$31:$K$102,IF($I$18:$I$26=$I19,$D$18:$D$26,""),0)))+SUMPRODUCT(-$Q$31:$Q$102*($K$31:$K$102=$D19)*ISNUMBER(MATCH($J$31:$J$102,IF($I$18:$I$26=$I19,$D$18:$D$26,""),0)))</f>
        <v>3</v>
      </c>
      <c r="P19" s="5">
        <f t="shared" ca="1" si="30"/>
        <v>0</v>
      </c>
      <c r="Q19" s="137">
        <f t="shared" ca="1" si="31"/>
        <v>2</v>
      </c>
      <c r="R19" s="209"/>
      <c r="S19" s="1">
        <f t="array" aca="1" ref="S19" ca="1">SUMPRODUCT($R$31:$R$102*($J$31:$J$102=$D19)*ISNUMBER(MATCH($K$31:$K$102,IF($I$18:$I$26=$I19,$D$18:$D$26,""),0)))+SUMPRODUCT($S$31:$S$102*($K$31:$K$102=$D19)*ISNUMBER(MATCH($J$31:$J$102,IF($I$18:$I$26=$I19,$D$18:$D$26,""),0)))</f>
        <v>10</v>
      </c>
      <c r="T19" s="5">
        <f t="shared" ca="1" si="32"/>
        <v>0</v>
      </c>
      <c r="U19" s="137">
        <f t="shared" ca="1" si="33"/>
        <v>2</v>
      </c>
      <c r="V19" s="209"/>
      <c r="W19" s="1">
        <f t="array" aca="1" ref="W19" ca="1">SUMPRODUCT($O$31:$O$102*($J$31:$J$102=$D19)*ISNUMBER(MATCH($K$31:$K$102,IF($U$18:$U$26=$U19,$D$18:$D$26,""),0)))+SUMPRODUCT($P$31:$P$102*($K$31:$K$102=$D19)*ISNUMBER(MATCH($J$31:$J$102,IF($U$18:$U$26=$U19,$D$18:$D$26,""),0)))</f>
        <v>0</v>
      </c>
      <c r="X19" s="5">
        <f t="shared" ca="1" si="34"/>
        <v>0</v>
      </c>
      <c r="Y19" s="137">
        <f t="shared" ca="1" si="35"/>
        <v>2</v>
      </c>
      <c r="Z19" s="209"/>
      <c r="AA19" s="1">
        <f t="array" aca="1" ref="AA19" ca="1">SUMPRODUCT($Q$31:$Q$102*($J$31:$J$102=$D19)*ISNUMBER(MATCH($K$31:$K$102,IF($U$18:$U$26=$U19,$D$18:$D$26,""),0)))+SUMPRODUCT(-$Q$31:$Q$102*($K$31:$K$102=$D19)*ISNUMBER(MATCH($J$31:$J$102,IF($U$18:$U$26=$U19,$D$18:$D$26,""),0)))</f>
        <v>0</v>
      </c>
      <c r="AB19" s="5">
        <f t="shared" ca="1" si="36"/>
        <v>0</v>
      </c>
      <c r="AC19" s="137">
        <f t="shared" ca="1" si="37"/>
        <v>2</v>
      </c>
      <c r="AD19" s="209"/>
      <c r="AE19" s="1">
        <f t="array" aca="1" ref="AE19" ca="1">SUMPRODUCT($R$31:$R$102*($J$31:$J$102=$D19)*ISNUMBER(MATCH($K$31:$K$102,IF($U$18:$U$26=$U19,$D$18:$D$26,""),0)))+SUMPRODUCT($S$31:$S$102*($K$31:$K$102=$D19)*ISNUMBER(MATCH($J$31:$J$102,IF($U$18:$U$26=$U19,$D$18:$D$26,""),0)))</f>
        <v>0</v>
      </c>
      <c r="AF19" s="5">
        <f t="shared" ca="1" si="38"/>
        <v>0</v>
      </c>
      <c r="AG19" s="137">
        <f t="shared" ca="1" si="39"/>
        <v>2</v>
      </c>
      <c r="AH19" s="209"/>
      <c r="AI19" s="107">
        <f t="shared" ca="1" si="40"/>
        <v>0</v>
      </c>
      <c r="AJ19" s="137">
        <f t="shared" ref="AJ19:AJ26" ca="1" si="47">AG19+AI19</f>
        <v>2</v>
      </c>
      <c r="AK19" s="209"/>
      <c r="AL19" s="107">
        <f t="shared" ca="1" si="41"/>
        <v>0</v>
      </c>
      <c r="AM19" s="137">
        <f t="shared" ref="AM19:AM26" ca="1" si="48">AJ19+AL19</f>
        <v>2</v>
      </c>
      <c r="AN19" s="209"/>
      <c r="AO19" s="107">
        <f t="shared" ca="1" si="42"/>
        <v>0</v>
      </c>
      <c r="AP19" s="137">
        <f t="shared" ca="1" si="43"/>
        <v>2</v>
      </c>
      <c r="AQ19" s="209"/>
    </row>
    <row r="20" spans="1:47" s="109" customFormat="1" x14ac:dyDescent="0.2">
      <c r="A20" s="111"/>
      <c r="B20" s="111"/>
      <c r="C20" s="110">
        <v>3</v>
      </c>
      <c r="D20" s="107" t="str">
        <f t="shared" si="44"/>
        <v>Eintracht Frankfurt</v>
      </c>
      <c r="E20" s="6">
        <f t="shared" ca="1" si="45"/>
        <v>6</v>
      </c>
      <c r="F20" s="125">
        <f t="shared" ca="1" si="46"/>
        <v>6.02</v>
      </c>
      <c r="G20" s="228">
        <f t="shared" ca="1" si="26"/>
        <v>6</v>
      </c>
      <c r="H20" s="209"/>
      <c r="I20" s="213">
        <f t="shared" ca="1" si="27"/>
        <v>2</v>
      </c>
      <c r="J20" s="209"/>
      <c r="K20" s="1">
        <f t="array" aca="1" ref="K20" ca="1">SUMPRODUCT($O$31:$O$102*($J$31:$J$102=$D20)*ISNUMBER(MATCH($K$31:$K$102,IF($I$18:$I$26=$I20,$D$18:$D$26,""),0)))+SUMPRODUCT($P$31:$P$102*($K$31:$K$102=$D20)*ISNUMBER(MATCH($J$31:$J$102,IF($I$18:$I$26=$I20,$D$18:$D$26,""),0)))</f>
        <v>6</v>
      </c>
      <c r="L20" s="5">
        <f t="shared" ca="1" si="28"/>
        <v>0</v>
      </c>
      <c r="M20" s="137">
        <f t="shared" ca="1" si="29"/>
        <v>2</v>
      </c>
      <c r="N20" s="209"/>
      <c r="O20" s="1">
        <f t="array" aca="1" ref="O20" ca="1">SUMPRODUCT($Q$31:$Q$102*($J$31:$J$102=$D20)*ISNUMBER(MATCH($K$31:$K$102,IF($I$18:$I$26=$I20,$D$18:$D$26,""),0)))+SUMPRODUCT(-$Q$31:$Q$102*($K$31:$K$102=$D20)*ISNUMBER(MATCH($J$31:$J$102,IF($I$18:$I$26=$I20,$D$18:$D$26,""),0)))</f>
        <v>0</v>
      </c>
      <c r="P20" s="5">
        <f t="shared" ca="1" si="30"/>
        <v>4</v>
      </c>
      <c r="Q20" s="137">
        <f t="shared" ca="1" si="31"/>
        <v>6</v>
      </c>
      <c r="R20" s="209"/>
      <c r="S20" s="1">
        <f t="array" aca="1" ref="S20" ca="1">SUMPRODUCT($R$31:$R$102*($J$31:$J$102=$D20)*ISNUMBER(MATCH($K$31:$K$102,IF($I$18:$I$26=$I20,$D$18:$D$26,""),0)))+SUMPRODUCT($S$31:$S$102*($K$31:$K$102=$D20)*ISNUMBER(MATCH($J$31:$J$102,IF($I$18:$I$26=$I20,$D$18:$D$26,""),0)))</f>
        <v>10</v>
      </c>
      <c r="T20" s="5">
        <f t="shared" ca="1" si="32"/>
        <v>0</v>
      </c>
      <c r="U20" s="137">
        <f t="shared" ca="1" si="33"/>
        <v>6</v>
      </c>
      <c r="V20" s="209"/>
      <c r="W20" s="1">
        <f t="array" aca="1" ref="W20" ca="1">SUMPRODUCT($O$31:$O$102*($J$31:$J$102=$D20)*ISNUMBER(MATCH($K$31:$K$102,IF($U$18:$U$26=$U20,$D$18:$D$26,""),0)))+SUMPRODUCT($P$31:$P$102*($K$31:$K$102=$D20)*ISNUMBER(MATCH($J$31:$J$102,IF($U$18:$U$26=$U20,$D$18:$D$26,""),0)))</f>
        <v>0</v>
      </c>
      <c r="X20" s="5">
        <f t="shared" ca="1" si="34"/>
        <v>0</v>
      </c>
      <c r="Y20" s="137">
        <f t="shared" ca="1" si="35"/>
        <v>6</v>
      </c>
      <c r="Z20" s="209"/>
      <c r="AA20" s="1">
        <f t="array" aca="1" ref="AA20" ca="1">SUMPRODUCT($Q$31:$Q$102*($J$31:$J$102=$D20)*ISNUMBER(MATCH($K$31:$K$102,IF($U$18:$U$26=$U20,$D$18:$D$26,""),0)))+SUMPRODUCT(-$Q$31:$Q$102*($K$31:$K$102=$D20)*ISNUMBER(MATCH($J$31:$J$102,IF($U$18:$U$26=$U20,$D$18:$D$26,""),0)))</f>
        <v>0</v>
      </c>
      <c r="AB20" s="5">
        <f t="shared" ca="1" si="36"/>
        <v>0</v>
      </c>
      <c r="AC20" s="137">
        <f t="shared" ca="1" si="37"/>
        <v>6</v>
      </c>
      <c r="AD20" s="209"/>
      <c r="AE20" s="1">
        <f t="array" aca="1" ref="AE20" ca="1">SUMPRODUCT($R$31:$R$102*($J$31:$J$102=$D20)*ISNUMBER(MATCH($K$31:$K$102,IF($U$18:$U$26=$U20,$D$18:$D$26,""),0)))+SUMPRODUCT($S$31:$S$102*($K$31:$K$102=$D20)*ISNUMBER(MATCH($J$31:$J$102,IF($U$18:$U$26=$U20,$D$18:$D$26,""),0)))</f>
        <v>0</v>
      </c>
      <c r="AF20" s="5">
        <f t="shared" ca="1" si="38"/>
        <v>0</v>
      </c>
      <c r="AG20" s="137">
        <f t="shared" ca="1" si="39"/>
        <v>6</v>
      </c>
      <c r="AH20" s="209"/>
      <c r="AI20" s="107">
        <f t="shared" ca="1" si="40"/>
        <v>0</v>
      </c>
      <c r="AJ20" s="137">
        <f t="shared" ca="1" si="47"/>
        <v>6</v>
      </c>
      <c r="AK20" s="209"/>
      <c r="AL20" s="107">
        <f t="shared" ca="1" si="41"/>
        <v>0</v>
      </c>
      <c r="AM20" s="137">
        <f t="shared" ca="1" si="48"/>
        <v>6</v>
      </c>
      <c r="AN20" s="209"/>
      <c r="AO20" s="107">
        <f t="shared" ca="1" si="42"/>
        <v>0</v>
      </c>
      <c r="AP20" s="137">
        <f t="shared" ca="1" si="43"/>
        <v>6</v>
      </c>
      <c r="AQ20" s="209"/>
    </row>
    <row r="21" spans="1:47" s="109" customFormat="1" x14ac:dyDescent="0.2">
      <c r="A21" s="111"/>
      <c r="B21" s="111"/>
      <c r="C21" s="110">
        <v>4</v>
      </c>
      <c r="D21" s="107" t="str">
        <f t="shared" si="44"/>
        <v>Maibach 1822 eV</v>
      </c>
      <c r="E21" s="6">
        <f t="shared" ca="1" si="45"/>
        <v>8</v>
      </c>
      <c r="F21" s="125">
        <f t="shared" ca="1" si="46"/>
        <v>8.0210000000000008</v>
      </c>
      <c r="G21" s="228">
        <f t="shared" ca="1" si="26"/>
        <v>8</v>
      </c>
      <c r="H21" s="209"/>
      <c r="I21" s="213">
        <f t="shared" ca="1" si="27"/>
        <v>8</v>
      </c>
      <c r="J21" s="209"/>
      <c r="K21" s="1">
        <f t="array" aca="1" ref="K21" ca="1">SUMPRODUCT($O$31:$O$102*($J$31:$J$102=$D21)*ISNUMBER(MATCH($K$31:$K$102,IF($I$18:$I$26=$I21,$D$18:$D$26,""),0)))+SUMPRODUCT($P$31:$P$102*($K$31:$K$102=$D21)*ISNUMBER(MATCH($J$31:$J$102,IF($I$18:$I$26=$I21,$D$18:$D$26,""),0)))</f>
        <v>1</v>
      </c>
      <c r="L21" s="5">
        <f t="shared" ca="1" si="28"/>
        <v>0</v>
      </c>
      <c r="M21" s="137">
        <f t="shared" ca="1" si="29"/>
        <v>8</v>
      </c>
      <c r="N21" s="209"/>
      <c r="O21" s="1">
        <f t="array" aca="1" ref="O21" ca="1">SUMPRODUCT($Q$31:$Q$102*($J$31:$J$102=$D21)*ISNUMBER(MATCH($K$31:$K$102,IF($I$18:$I$26=$I21,$D$18:$D$26,""),0)))+SUMPRODUCT(-$Q$31:$Q$102*($K$31:$K$102=$D21)*ISNUMBER(MATCH($J$31:$J$102,IF($I$18:$I$26=$I21,$D$18:$D$26,""),0)))</f>
        <v>0</v>
      </c>
      <c r="P21" s="5">
        <f t="shared" ca="1" si="30"/>
        <v>0</v>
      </c>
      <c r="Q21" s="137">
        <f t="shared" ca="1" si="31"/>
        <v>8</v>
      </c>
      <c r="R21" s="209"/>
      <c r="S21" s="1">
        <f t="array" aca="1" ref="S21" ca="1">SUMPRODUCT($R$31:$R$102*($J$31:$J$102=$D21)*ISNUMBER(MATCH($K$31:$K$102,IF($I$18:$I$26=$I21,$D$18:$D$26,""),0)))+SUMPRODUCT($S$31:$S$102*($K$31:$K$102=$D21)*ISNUMBER(MATCH($J$31:$J$102,IF($I$18:$I$26=$I21,$D$18:$D$26,""),0)))</f>
        <v>1</v>
      </c>
      <c r="T21" s="5">
        <f t="shared" ca="1" si="32"/>
        <v>0</v>
      </c>
      <c r="U21" s="137">
        <f t="shared" ca="1" si="33"/>
        <v>8</v>
      </c>
      <c r="V21" s="209"/>
      <c r="W21" s="1">
        <f t="array" aca="1" ref="W21" ca="1">SUMPRODUCT($O$31:$O$102*($J$31:$J$102=$D21)*ISNUMBER(MATCH($K$31:$K$102,IF($U$18:$U$26=$U21,$D$18:$D$26,""),0)))+SUMPRODUCT($P$31:$P$102*($K$31:$K$102=$D21)*ISNUMBER(MATCH($J$31:$J$102,IF($U$18:$U$26=$U21,$D$18:$D$26,""),0)))</f>
        <v>1</v>
      </c>
      <c r="X21" s="5">
        <f t="shared" ca="1" si="34"/>
        <v>0</v>
      </c>
      <c r="Y21" s="137">
        <f t="shared" ca="1" si="35"/>
        <v>8</v>
      </c>
      <c r="Z21" s="209"/>
      <c r="AA21" s="1">
        <f t="array" aca="1" ref="AA21" ca="1">SUMPRODUCT($Q$31:$Q$102*($J$31:$J$102=$D21)*ISNUMBER(MATCH($K$31:$K$102,IF($U$18:$U$26=$U21,$D$18:$D$26,""),0)))+SUMPRODUCT(-$Q$31:$Q$102*($K$31:$K$102=$D21)*ISNUMBER(MATCH($J$31:$J$102,IF($U$18:$U$26=$U21,$D$18:$D$26,""),0)))</f>
        <v>0</v>
      </c>
      <c r="AB21" s="5">
        <f t="shared" ca="1" si="36"/>
        <v>0</v>
      </c>
      <c r="AC21" s="137">
        <f t="shared" ca="1" si="37"/>
        <v>8</v>
      </c>
      <c r="AD21" s="209"/>
      <c r="AE21" s="1">
        <f t="array" aca="1" ref="AE21" ca="1">SUMPRODUCT($R$31:$R$102*($J$31:$J$102=$D21)*ISNUMBER(MATCH($K$31:$K$102,IF($U$18:$U$26=$U21,$D$18:$D$26,""),0)))+SUMPRODUCT($S$31:$S$102*($K$31:$K$102=$D21)*ISNUMBER(MATCH($J$31:$J$102,IF($U$18:$U$26=$U21,$D$18:$D$26,""),0)))</f>
        <v>1</v>
      </c>
      <c r="AF21" s="5">
        <f t="shared" ca="1" si="38"/>
        <v>0</v>
      </c>
      <c r="AG21" s="137">
        <f t="shared" ca="1" si="39"/>
        <v>8</v>
      </c>
      <c r="AH21" s="209"/>
      <c r="AI21" s="107">
        <f t="shared" ca="1" si="40"/>
        <v>0</v>
      </c>
      <c r="AJ21" s="137">
        <f t="shared" ca="1" si="47"/>
        <v>8</v>
      </c>
      <c r="AK21" s="209"/>
      <c r="AL21" s="107">
        <f t="shared" ca="1" si="41"/>
        <v>0</v>
      </c>
      <c r="AM21" s="137">
        <f t="shared" ca="1" si="48"/>
        <v>8</v>
      </c>
      <c r="AN21" s="209"/>
      <c r="AO21" s="107">
        <f t="shared" ca="1" si="42"/>
        <v>0</v>
      </c>
      <c r="AP21" s="137">
        <f t="shared" ca="1" si="43"/>
        <v>8</v>
      </c>
      <c r="AQ21" s="209"/>
    </row>
    <row r="22" spans="1:47" s="109" customFormat="1" x14ac:dyDescent="0.2">
      <c r="A22" s="111"/>
      <c r="B22" s="111"/>
      <c r="C22" s="110">
        <v>5</v>
      </c>
      <c r="D22" s="107" t="str">
        <f t="shared" si="44"/>
        <v>VFB Essenheim</v>
      </c>
      <c r="E22" s="6">
        <f t="shared" ca="1" si="45"/>
        <v>1</v>
      </c>
      <c r="F22" s="125">
        <f t="shared" ca="1" si="46"/>
        <v>1.022</v>
      </c>
      <c r="G22" s="228">
        <f t="shared" ca="1" si="26"/>
        <v>1</v>
      </c>
      <c r="H22" s="209"/>
      <c r="I22" s="213">
        <f t="shared" ca="1" si="27"/>
        <v>1</v>
      </c>
      <c r="J22" s="209"/>
      <c r="K22" s="1">
        <f t="array" aca="1" ref="K22" ca="1">SUMPRODUCT($O$31:$O$102*($J$31:$J$102=$D22)*ISNUMBER(MATCH($K$31:$K$102,IF($I$18:$I$26=$I22,$D$18:$D$26,""),0)))+SUMPRODUCT($P$31:$P$102*($K$31:$K$102=$D22)*ISNUMBER(MATCH($J$31:$J$102,IF($I$18:$I$26=$I22,$D$18:$D$26,""),0)))</f>
        <v>0</v>
      </c>
      <c r="L22" s="5">
        <f t="shared" ca="1" si="28"/>
        <v>0</v>
      </c>
      <c r="M22" s="137">
        <f t="shared" ca="1" si="29"/>
        <v>1</v>
      </c>
      <c r="N22" s="209"/>
      <c r="O22" s="1">
        <f t="array" aca="1" ref="O22" ca="1">SUMPRODUCT($Q$31:$Q$102*($J$31:$J$102=$D22)*ISNUMBER(MATCH($K$31:$K$102,IF($I$18:$I$26=$I22,$D$18:$D$26,""),0)))+SUMPRODUCT(-$Q$31:$Q$102*($K$31:$K$102=$D22)*ISNUMBER(MATCH($J$31:$J$102,IF($I$18:$I$26=$I22,$D$18:$D$26,""),0)))</f>
        <v>0</v>
      </c>
      <c r="P22" s="5">
        <f t="shared" ca="1" si="30"/>
        <v>0</v>
      </c>
      <c r="Q22" s="137">
        <f t="shared" ca="1" si="31"/>
        <v>1</v>
      </c>
      <c r="R22" s="209"/>
      <c r="S22" s="1">
        <f t="array" aca="1" ref="S22" ca="1">SUMPRODUCT($R$31:$R$102*($J$31:$J$102=$D22)*ISNUMBER(MATCH($K$31:$K$102,IF($I$18:$I$26=$I22,$D$18:$D$26,""),0)))+SUMPRODUCT($S$31:$S$102*($K$31:$K$102=$D22)*ISNUMBER(MATCH($J$31:$J$102,IF($I$18:$I$26=$I22,$D$18:$D$26,""),0)))</f>
        <v>0</v>
      </c>
      <c r="T22" s="5">
        <f t="shared" ca="1" si="32"/>
        <v>0</v>
      </c>
      <c r="U22" s="137">
        <f t="shared" ca="1" si="33"/>
        <v>1</v>
      </c>
      <c r="V22" s="209"/>
      <c r="W22" s="1">
        <f t="array" aca="1" ref="W22" ca="1">SUMPRODUCT($O$31:$O$102*($J$31:$J$102=$D22)*ISNUMBER(MATCH($K$31:$K$102,IF($U$18:$U$26=$U22,$D$18:$D$26,""),0)))+SUMPRODUCT($P$31:$P$102*($K$31:$K$102=$D22)*ISNUMBER(MATCH($J$31:$J$102,IF($U$18:$U$26=$U22,$D$18:$D$26,""),0)))</f>
        <v>0</v>
      </c>
      <c r="X22" s="5">
        <f t="shared" ca="1" si="34"/>
        <v>0</v>
      </c>
      <c r="Y22" s="137">
        <f t="shared" ca="1" si="35"/>
        <v>1</v>
      </c>
      <c r="Z22" s="209"/>
      <c r="AA22" s="1">
        <f t="array" aca="1" ref="AA22" ca="1">SUMPRODUCT($Q$31:$Q$102*($J$31:$J$102=$D22)*ISNUMBER(MATCH($K$31:$K$102,IF($U$18:$U$26=$U22,$D$18:$D$26,""),0)))+SUMPRODUCT(-$Q$31:$Q$102*($K$31:$K$102=$D22)*ISNUMBER(MATCH($J$31:$J$102,IF($U$18:$U$26=$U22,$D$18:$D$26,""),0)))</f>
        <v>0</v>
      </c>
      <c r="AB22" s="5">
        <f t="shared" ca="1" si="36"/>
        <v>0</v>
      </c>
      <c r="AC22" s="137">
        <f t="shared" ca="1" si="37"/>
        <v>1</v>
      </c>
      <c r="AD22" s="209"/>
      <c r="AE22" s="1">
        <f t="array" aca="1" ref="AE22" ca="1">SUMPRODUCT($R$31:$R$102*($J$31:$J$102=$D22)*ISNUMBER(MATCH($K$31:$K$102,IF($U$18:$U$26=$U22,$D$18:$D$26,""),0)))+SUMPRODUCT($S$31:$S$102*($K$31:$K$102=$D22)*ISNUMBER(MATCH($J$31:$J$102,IF($U$18:$U$26=$U22,$D$18:$D$26,""),0)))</f>
        <v>0</v>
      </c>
      <c r="AF22" s="5">
        <f t="shared" ca="1" si="38"/>
        <v>0</v>
      </c>
      <c r="AG22" s="137">
        <f t="shared" ca="1" si="39"/>
        <v>1</v>
      </c>
      <c r="AH22" s="209"/>
      <c r="AI22" s="107">
        <f t="shared" ca="1" si="40"/>
        <v>0</v>
      </c>
      <c r="AJ22" s="137">
        <f t="shared" ca="1" si="47"/>
        <v>1</v>
      </c>
      <c r="AK22" s="209"/>
      <c r="AL22" s="107">
        <f t="shared" ca="1" si="41"/>
        <v>0</v>
      </c>
      <c r="AM22" s="137">
        <f t="shared" ca="1" si="48"/>
        <v>1</v>
      </c>
      <c r="AN22" s="209"/>
      <c r="AO22" s="107">
        <f t="shared" ca="1" si="42"/>
        <v>0</v>
      </c>
      <c r="AP22" s="137">
        <f t="shared" ca="1" si="43"/>
        <v>1</v>
      </c>
      <c r="AQ22" s="209"/>
    </row>
    <row r="23" spans="1:47" s="109" customFormat="1" x14ac:dyDescent="0.2">
      <c r="A23" s="111"/>
      <c r="B23" s="111"/>
      <c r="C23" s="110">
        <v>6</v>
      </c>
      <c r="D23" s="107" t="str">
        <f t="shared" si="44"/>
        <v>Inter Mailand</v>
      </c>
      <c r="E23" s="6">
        <f t="shared" ca="1" si="45"/>
        <v>7</v>
      </c>
      <c r="F23" s="125">
        <f t="shared" ca="1" si="46"/>
        <v>7.0229999999999997</v>
      </c>
      <c r="G23" s="228">
        <f t="shared" ca="1" si="26"/>
        <v>7</v>
      </c>
      <c r="H23" s="209"/>
      <c r="I23" s="213">
        <f t="shared" ca="1" si="27"/>
        <v>2</v>
      </c>
      <c r="J23" s="209"/>
      <c r="K23" s="1">
        <f t="array" aca="1" ref="K23" ca="1">SUMPRODUCT($O$31:$O$102*($J$31:$J$102=$D23)*ISNUMBER(MATCH($K$31:$K$102,IF($I$18:$I$26=$I23,$D$18:$D$26,""),0)))+SUMPRODUCT($P$31:$P$102*($K$31:$K$102=$D23)*ISNUMBER(MATCH($J$31:$J$102,IF($I$18:$I$26=$I23,$D$18:$D$26,""),0)))</f>
        <v>3</v>
      </c>
      <c r="L23" s="5">
        <f t="shared" ca="1" si="28"/>
        <v>5</v>
      </c>
      <c r="M23" s="137">
        <f t="shared" ca="1" si="29"/>
        <v>7</v>
      </c>
      <c r="N23" s="209"/>
      <c r="O23" s="1">
        <f t="array" aca="1" ref="O23" ca="1">SUMPRODUCT($Q$31:$Q$102*($J$31:$J$102=$D23)*ISNUMBER(MATCH($K$31:$K$102,IF($I$18:$I$26=$I23,$D$18:$D$26,""),0)))+SUMPRODUCT(-$Q$31:$Q$102*($K$31:$K$102=$D23)*ISNUMBER(MATCH($J$31:$J$102,IF($I$18:$I$26=$I23,$D$18:$D$26,""),0)))</f>
        <v>-6</v>
      </c>
      <c r="P23" s="5">
        <f t="shared" ca="1" si="30"/>
        <v>0</v>
      </c>
      <c r="Q23" s="137">
        <f t="shared" ca="1" si="31"/>
        <v>7</v>
      </c>
      <c r="R23" s="209"/>
      <c r="S23" s="1">
        <f t="array" aca="1" ref="S23" ca="1">SUMPRODUCT($R$31:$R$102*($J$31:$J$102=$D23)*ISNUMBER(MATCH($K$31:$K$102,IF($I$18:$I$26=$I23,$D$18:$D$26,""),0)))+SUMPRODUCT($S$31:$S$102*($K$31:$K$102=$D23)*ISNUMBER(MATCH($J$31:$J$102,IF($I$18:$I$26=$I23,$D$18:$D$26,""),0)))</f>
        <v>1</v>
      </c>
      <c r="T23" s="5">
        <f t="shared" ca="1" si="32"/>
        <v>0</v>
      </c>
      <c r="U23" s="137">
        <f t="shared" ca="1" si="33"/>
        <v>7</v>
      </c>
      <c r="V23" s="209"/>
      <c r="W23" s="1">
        <f t="array" aca="1" ref="W23" ca="1">SUMPRODUCT($O$31:$O$102*($J$31:$J$102=$D23)*ISNUMBER(MATCH($K$31:$K$102,IF($U$18:$U$26=$U23,$D$18:$D$26,""),0)))+SUMPRODUCT($P$31:$P$102*($K$31:$K$102=$D23)*ISNUMBER(MATCH($J$31:$J$102,IF($U$18:$U$26=$U23,$D$18:$D$26,""),0)))</f>
        <v>0</v>
      </c>
      <c r="X23" s="5">
        <f t="shared" ca="1" si="34"/>
        <v>0</v>
      </c>
      <c r="Y23" s="137">
        <f t="shared" ca="1" si="35"/>
        <v>7</v>
      </c>
      <c r="Z23" s="209"/>
      <c r="AA23" s="1">
        <f t="array" aca="1" ref="AA23" ca="1">SUMPRODUCT($Q$31:$Q$102*($J$31:$J$102=$D23)*ISNUMBER(MATCH($K$31:$K$102,IF($U$18:$U$26=$U23,$D$18:$D$26,""),0)))+SUMPRODUCT(-$Q$31:$Q$102*($K$31:$K$102=$D23)*ISNUMBER(MATCH($J$31:$J$102,IF($U$18:$U$26=$U23,$D$18:$D$26,""),0)))</f>
        <v>0</v>
      </c>
      <c r="AB23" s="5">
        <f t="shared" ca="1" si="36"/>
        <v>0</v>
      </c>
      <c r="AC23" s="137">
        <f t="shared" ca="1" si="37"/>
        <v>7</v>
      </c>
      <c r="AD23" s="209"/>
      <c r="AE23" s="1">
        <f t="array" aca="1" ref="AE23" ca="1">SUMPRODUCT($R$31:$R$102*($J$31:$J$102=$D23)*ISNUMBER(MATCH($K$31:$K$102,IF($U$18:$U$26=$U23,$D$18:$D$26,""),0)))+SUMPRODUCT($S$31:$S$102*($K$31:$K$102=$D23)*ISNUMBER(MATCH($J$31:$J$102,IF($U$18:$U$26=$U23,$D$18:$D$26,""),0)))</f>
        <v>0</v>
      </c>
      <c r="AF23" s="5">
        <f t="shared" ca="1" si="38"/>
        <v>0</v>
      </c>
      <c r="AG23" s="137">
        <f t="shared" ca="1" si="39"/>
        <v>7</v>
      </c>
      <c r="AH23" s="209"/>
      <c r="AI23" s="107">
        <f t="shared" ca="1" si="40"/>
        <v>0</v>
      </c>
      <c r="AJ23" s="137">
        <f t="shared" ca="1" si="47"/>
        <v>7</v>
      </c>
      <c r="AK23" s="209"/>
      <c r="AL23" s="107">
        <f t="shared" ca="1" si="41"/>
        <v>0</v>
      </c>
      <c r="AM23" s="137">
        <f t="shared" ca="1" si="48"/>
        <v>7</v>
      </c>
      <c r="AN23" s="209"/>
      <c r="AO23" s="107">
        <f t="shared" ca="1" si="42"/>
        <v>0</v>
      </c>
      <c r="AP23" s="137">
        <f t="shared" ca="1" si="43"/>
        <v>7</v>
      </c>
      <c r="AQ23" s="209"/>
    </row>
    <row r="24" spans="1:47" s="109" customFormat="1" x14ac:dyDescent="0.2">
      <c r="A24" s="111"/>
      <c r="B24" s="111"/>
      <c r="C24" s="110">
        <v>7</v>
      </c>
      <c r="D24" s="107" t="str">
        <f t="shared" si="44"/>
        <v>SSV Wildbach</v>
      </c>
      <c r="E24" s="6">
        <f t="shared" ca="1" si="45"/>
        <v>9</v>
      </c>
      <c r="F24" s="125">
        <f t="shared" ca="1" si="46"/>
        <v>9.0239999999999991</v>
      </c>
      <c r="G24" s="228">
        <f t="shared" ca="1" si="26"/>
        <v>9</v>
      </c>
      <c r="H24" s="209"/>
      <c r="I24" s="213">
        <f t="shared" ca="1" si="27"/>
        <v>8</v>
      </c>
      <c r="J24" s="209"/>
      <c r="K24" s="1">
        <f t="array" aca="1" ref="K24" ca="1">SUMPRODUCT($O$31:$O$102*($J$31:$J$102=$D24)*ISNUMBER(MATCH($K$31:$K$102,IF($I$18:$I$26=$I24,$D$18:$D$26,""),0)))+SUMPRODUCT($P$31:$P$102*($K$31:$K$102=$D24)*ISNUMBER(MATCH($J$31:$J$102,IF($I$18:$I$26=$I24,$D$18:$D$26,""),0)))</f>
        <v>1</v>
      </c>
      <c r="L24" s="5">
        <f t="shared" ca="1" si="28"/>
        <v>0</v>
      </c>
      <c r="M24" s="137">
        <f t="shared" ca="1" si="29"/>
        <v>8</v>
      </c>
      <c r="N24" s="209"/>
      <c r="O24" s="1">
        <f t="array" aca="1" ref="O24" ca="1">SUMPRODUCT($Q$31:$Q$102*($J$31:$J$102=$D24)*ISNUMBER(MATCH($K$31:$K$102,IF($I$18:$I$26=$I24,$D$18:$D$26,""),0)))+SUMPRODUCT(-$Q$31:$Q$102*($K$31:$K$102=$D24)*ISNUMBER(MATCH($J$31:$J$102,IF($I$18:$I$26=$I24,$D$18:$D$26,""),0)))</f>
        <v>0</v>
      </c>
      <c r="P24" s="5">
        <f t="shared" ca="1" si="30"/>
        <v>0</v>
      </c>
      <c r="Q24" s="137">
        <f t="shared" ca="1" si="31"/>
        <v>8</v>
      </c>
      <c r="R24" s="209"/>
      <c r="S24" s="1">
        <f t="array" aca="1" ref="S24" ca="1">SUMPRODUCT($R$31:$R$102*($J$31:$J$102=$D24)*ISNUMBER(MATCH($K$31:$K$102,IF($I$18:$I$26=$I24,$D$18:$D$26,""),0)))+SUMPRODUCT($S$31:$S$102*($K$31:$K$102=$D24)*ISNUMBER(MATCH($J$31:$J$102,IF($I$18:$I$26=$I24,$D$18:$D$26,""),0)))</f>
        <v>1</v>
      </c>
      <c r="T24" s="5">
        <f t="shared" ca="1" si="32"/>
        <v>0</v>
      </c>
      <c r="U24" s="137">
        <f t="shared" ca="1" si="33"/>
        <v>8</v>
      </c>
      <c r="V24" s="209"/>
      <c r="W24" s="1">
        <f t="array" aca="1" ref="W24" ca="1">SUMPRODUCT($O$31:$O$102*($J$31:$J$102=$D24)*ISNUMBER(MATCH($K$31:$K$102,IF($U$18:$U$26=$U24,$D$18:$D$26,""),0)))+SUMPRODUCT($P$31:$P$102*($K$31:$K$102=$D24)*ISNUMBER(MATCH($J$31:$J$102,IF($U$18:$U$26=$U24,$D$18:$D$26,""),0)))</f>
        <v>1</v>
      </c>
      <c r="X24" s="5">
        <f t="shared" ca="1" si="34"/>
        <v>0</v>
      </c>
      <c r="Y24" s="137">
        <f t="shared" ca="1" si="35"/>
        <v>8</v>
      </c>
      <c r="Z24" s="209"/>
      <c r="AA24" s="1">
        <f t="array" aca="1" ref="AA24" ca="1">SUMPRODUCT($Q$31:$Q$102*($J$31:$J$102=$D24)*ISNUMBER(MATCH($K$31:$K$102,IF($U$18:$U$26=$U24,$D$18:$D$26,""),0)))+SUMPRODUCT(-$Q$31:$Q$102*($K$31:$K$102=$D24)*ISNUMBER(MATCH($J$31:$J$102,IF($U$18:$U$26=$U24,$D$18:$D$26,""),0)))</f>
        <v>0</v>
      </c>
      <c r="AB24" s="5">
        <f t="shared" ca="1" si="36"/>
        <v>0</v>
      </c>
      <c r="AC24" s="137">
        <f t="shared" ca="1" si="37"/>
        <v>8</v>
      </c>
      <c r="AD24" s="209"/>
      <c r="AE24" s="1">
        <f t="array" aca="1" ref="AE24" ca="1">SUMPRODUCT($R$31:$R$102*($J$31:$J$102=$D24)*ISNUMBER(MATCH($K$31:$K$102,IF($U$18:$U$26=$U24,$D$18:$D$26,""),0)))+SUMPRODUCT($S$31:$S$102*($K$31:$K$102=$D24)*ISNUMBER(MATCH($J$31:$J$102,IF($U$18:$U$26=$U24,$D$18:$D$26,""),0)))</f>
        <v>1</v>
      </c>
      <c r="AF24" s="5">
        <f t="shared" ca="1" si="38"/>
        <v>0</v>
      </c>
      <c r="AG24" s="137">
        <f t="shared" ca="1" si="39"/>
        <v>8</v>
      </c>
      <c r="AH24" s="209"/>
      <c r="AI24" s="107">
        <f t="shared" ca="1" si="40"/>
        <v>0</v>
      </c>
      <c r="AJ24" s="137">
        <f t="shared" ca="1" si="47"/>
        <v>8</v>
      </c>
      <c r="AK24" s="209"/>
      <c r="AL24" s="107">
        <f t="shared" ca="1" si="41"/>
        <v>1</v>
      </c>
      <c r="AM24" s="137">
        <f t="shared" ca="1" si="48"/>
        <v>9</v>
      </c>
      <c r="AN24" s="209"/>
      <c r="AO24" s="107">
        <f t="shared" ca="1" si="42"/>
        <v>0</v>
      </c>
      <c r="AP24" s="137">
        <f t="shared" ca="1" si="43"/>
        <v>9</v>
      </c>
      <c r="AQ24" s="209"/>
    </row>
    <row r="25" spans="1:47" s="109" customFormat="1" x14ac:dyDescent="0.2">
      <c r="A25" s="111"/>
      <c r="B25" s="111"/>
      <c r="C25" s="110">
        <v>8</v>
      </c>
      <c r="D25" s="107" t="str">
        <f t="shared" si="44"/>
        <v>SV Obersuhl</v>
      </c>
      <c r="E25" s="6">
        <f t="shared" ca="1" si="45"/>
        <v>4</v>
      </c>
      <c r="F25" s="125">
        <f t="shared" ca="1" si="46"/>
        <v>4.0250000000000004</v>
      </c>
      <c r="G25" s="228">
        <f t="shared" ca="1" si="26"/>
        <v>4</v>
      </c>
      <c r="H25" s="209"/>
      <c r="I25" s="213">
        <f t="shared" ca="1" si="27"/>
        <v>2</v>
      </c>
      <c r="J25" s="209"/>
      <c r="K25" s="1">
        <f t="array" aca="1" ref="K25" ca="1">SUMPRODUCT($O$31:$O$102*($J$31:$J$102=$D25)*ISNUMBER(MATCH($K$31:$K$102,IF($I$18:$I$26=$I25,$D$18:$D$26,""),0)))+SUMPRODUCT($P$31:$P$102*($K$31:$K$102=$D25)*ISNUMBER(MATCH($J$31:$J$102,IF($I$18:$I$26=$I25,$D$18:$D$26,""),0)))</f>
        <v>6</v>
      </c>
      <c r="L25" s="5">
        <f t="shared" ca="1" si="28"/>
        <v>0</v>
      </c>
      <c r="M25" s="137">
        <f t="shared" ca="1" si="29"/>
        <v>2</v>
      </c>
      <c r="N25" s="209"/>
      <c r="O25" s="1">
        <f t="array" aca="1" ref="O25" ca="1">SUMPRODUCT($Q$31:$Q$102*($J$31:$J$102=$D25)*ISNUMBER(MATCH($K$31:$K$102,IF($I$18:$I$26=$I25,$D$18:$D$26,""),0)))+SUMPRODUCT(-$Q$31:$Q$102*($K$31:$K$102=$D25)*ISNUMBER(MATCH($J$31:$J$102,IF($I$18:$I$26=$I25,$D$18:$D$26,""),0)))</f>
        <v>1</v>
      </c>
      <c r="P25" s="5">
        <f t="shared" ca="1" si="30"/>
        <v>1</v>
      </c>
      <c r="Q25" s="137">
        <f t="shared" ca="1" si="31"/>
        <v>3</v>
      </c>
      <c r="R25" s="209"/>
      <c r="S25" s="1">
        <f t="array" aca="1" ref="S25" ca="1">SUMPRODUCT($R$31:$R$102*($J$31:$J$102=$D25)*ISNUMBER(MATCH($K$31:$K$102,IF($I$18:$I$26=$I25,$D$18:$D$26,""),0)))+SUMPRODUCT($S$31:$S$102*($K$31:$K$102=$D25)*ISNUMBER(MATCH($J$31:$J$102,IF($I$18:$I$26=$I25,$D$18:$D$26,""),0)))</f>
        <v>8</v>
      </c>
      <c r="T25" s="5">
        <f t="shared" ca="1" si="32"/>
        <v>0</v>
      </c>
      <c r="U25" s="137">
        <f t="shared" ca="1" si="33"/>
        <v>3</v>
      </c>
      <c r="V25" s="209"/>
      <c r="W25" s="1">
        <f t="array" aca="1" ref="W25" ca="1">SUMPRODUCT($O$31:$O$102*($J$31:$J$102=$D25)*ISNUMBER(MATCH($K$31:$K$102,IF($U$18:$U$26=$U25,$D$18:$D$26,""),0)))+SUMPRODUCT($P$31:$P$102*($K$31:$K$102=$D25)*ISNUMBER(MATCH($J$31:$J$102,IF($U$18:$U$26=$U25,$D$18:$D$26,""),0)))</f>
        <v>3</v>
      </c>
      <c r="X25" s="5">
        <f t="shared" ca="1" si="34"/>
        <v>1</v>
      </c>
      <c r="Y25" s="137">
        <f t="shared" ca="1" si="35"/>
        <v>4</v>
      </c>
      <c r="Z25" s="209"/>
      <c r="AA25" s="1">
        <f t="array" aca="1" ref="AA25" ca="1">SUMPRODUCT($Q$31:$Q$102*($J$31:$J$102=$D25)*ISNUMBER(MATCH($K$31:$K$102,IF($U$18:$U$26=$U25,$D$18:$D$26,""),0)))+SUMPRODUCT(-$Q$31:$Q$102*($K$31:$K$102=$D25)*ISNUMBER(MATCH($J$31:$J$102,IF($U$18:$U$26=$U25,$D$18:$D$26,""),0)))</f>
        <v>-1</v>
      </c>
      <c r="AB25" s="5">
        <f t="shared" ca="1" si="36"/>
        <v>0</v>
      </c>
      <c r="AC25" s="137">
        <f t="shared" ca="1" si="37"/>
        <v>4</v>
      </c>
      <c r="AD25" s="209"/>
      <c r="AE25" s="1">
        <f t="array" aca="1" ref="AE25" ca="1">SUMPRODUCT($R$31:$R$102*($J$31:$J$102=$D25)*ISNUMBER(MATCH($K$31:$K$102,IF($U$18:$U$26=$U25,$D$18:$D$26,""),0)))+SUMPRODUCT($S$31:$S$102*($K$31:$K$102=$D25)*ISNUMBER(MATCH($J$31:$J$102,IF($U$18:$U$26=$U25,$D$18:$D$26,""),0)))</f>
        <v>2</v>
      </c>
      <c r="AF25" s="5">
        <f t="shared" ca="1" si="38"/>
        <v>0</v>
      </c>
      <c r="AG25" s="137">
        <f t="shared" ca="1" si="39"/>
        <v>4</v>
      </c>
      <c r="AH25" s="209"/>
      <c r="AI25" s="107">
        <f t="shared" ca="1" si="40"/>
        <v>0</v>
      </c>
      <c r="AJ25" s="137">
        <f t="shared" ca="1" si="47"/>
        <v>4</v>
      </c>
      <c r="AK25" s="209"/>
      <c r="AL25" s="107">
        <f t="shared" ca="1" si="41"/>
        <v>0</v>
      </c>
      <c r="AM25" s="137">
        <f t="shared" ca="1" si="48"/>
        <v>4</v>
      </c>
      <c r="AN25" s="209"/>
      <c r="AO25" s="107">
        <f t="shared" ca="1" si="42"/>
        <v>0</v>
      </c>
      <c r="AP25" s="137">
        <f t="shared" ca="1" si="43"/>
        <v>4</v>
      </c>
      <c r="AQ25" s="209"/>
    </row>
    <row r="26" spans="1:47" s="109" customFormat="1" ht="12.75" thickBot="1" x14ac:dyDescent="0.25">
      <c r="A26" s="111"/>
      <c r="B26" s="111"/>
      <c r="C26" s="110">
        <v>9</v>
      </c>
      <c r="D26" s="107" t="str">
        <f t="shared" si="44"/>
        <v>SSC Bosserode</v>
      </c>
      <c r="E26" s="7">
        <f t="shared" ca="1" si="45"/>
        <v>3</v>
      </c>
      <c r="F26" s="125">
        <f t="shared" ca="1" si="46"/>
        <v>3.0259999999999998</v>
      </c>
      <c r="G26" s="228">
        <f t="shared" ca="1" si="26"/>
        <v>3</v>
      </c>
      <c r="H26" s="209"/>
      <c r="I26" s="214">
        <f t="shared" ca="1" si="27"/>
        <v>2</v>
      </c>
      <c r="J26" s="209"/>
      <c r="K26" s="215">
        <f t="array" aca="1" ref="K26" ca="1">SUMPRODUCT($O$31:$O$102*($J$31:$J$102=$D26)*ISNUMBER(MATCH($K$31:$K$102,IF($I$18:$I$26=$I26,$D$18:$D$26,""),0)))+SUMPRODUCT($P$31:$P$102*($K$31:$K$102=$D26)*ISNUMBER(MATCH($J$31:$J$102,IF($I$18:$I$26=$I26,$D$18:$D$26,""),0)))</f>
        <v>6</v>
      </c>
      <c r="L26" s="217">
        <f t="shared" ca="1" si="28"/>
        <v>0</v>
      </c>
      <c r="M26" s="216">
        <f t="shared" ca="1" si="29"/>
        <v>2</v>
      </c>
      <c r="N26" s="209"/>
      <c r="O26" s="215">
        <f t="array" aca="1" ref="O26" ca="1">SUMPRODUCT($Q$31:$Q$102*($J$31:$J$102=$D26)*ISNUMBER(MATCH($K$31:$K$102,IF($I$18:$I$26=$I26,$D$18:$D$26,""),0)))+SUMPRODUCT(-$Q$31:$Q$102*($K$31:$K$102=$D26)*ISNUMBER(MATCH($J$31:$J$102,IF($I$18:$I$26=$I26,$D$18:$D$26,""),0)))</f>
        <v>1</v>
      </c>
      <c r="P26" s="217">
        <f t="shared" ca="1" si="30"/>
        <v>1</v>
      </c>
      <c r="Q26" s="216">
        <f t="shared" ca="1" si="31"/>
        <v>3</v>
      </c>
      <c r="R26" s="209"/>
      <c r="S26" s="215">
        <f t="array" aca="1" ref="S26" ca="1">SUMPRODUCT($R$31:$R$102*($J$31:$J$102=$D26)*ISNUMBER(MATCH($K$31:$K$102,IF($I$18:$I$26=$I26,$D$18:$D$26,""),0)))+SUMPRODUCT($S$31:$S$102*($K$31:$K$102=$D26)*ISNUMBER(MATCH($J$31:$J$102,IF($I$18:$I$26=$I26,$D$18:$D$26,""),0)))</f>
        <v>8</v>
      </c>
      <c r="T26" s="217">
        <f t="shared" ca="1" si="32"/>
        <v>0</v>
      </c>
      <c r="U26" s="216">
        <f t="shared" ca="1" si="33"/>
        <v>3</v>
      </c>
      <c r="V26" s="209"/>
      <c r="W26" s="215">
        <f t="array" aca="1" ref="W26" ca="1">SUMPRODUCT($O$31:$O$102*($J$31:$J$102=$D26)*ISNUMBER(MATCH($K$31:$K$102,IF($U$18:$U$26=$U26,$D$18:$D$26,""),0)))+SUMPRODUCT($P$31:$P$102*($K$31:$K$102=$D26)*ISNUMBER(MATCH($J$31:$J$102,IF($U$18:$U$26=$U26,$D$18:$D$26,""),0)))</f>
        <v>6</v>
      </c>
      <c r="X26" s="217">
        <f t="shared" ca="1" si="34"/>
        <v>0</v>
      </c>
      <c r="Y26" s="216">
        <f t="shared" ca="1" si="35"/>
        <v>3</v>
      </c>
      <c r="Z26" s="209"/>
      <c r="AA26" s="215">
        <f t="array" aca="1" ref="AA26" ca="1">SUMPRODUCT($Q$31:$Q$102*($J$31:$J$102=$D26)*ISNUMBER(MATCH($K$31:$K$102,IF($U$18:$U$26=$U26,$D$18:$D$26,""),0)))+SUMPRODUCT(-$Q$31:$Q$102*($K$31:$K$102=$D26)*ISNUMBER(MATCH($J$31:$J$102,IF($U$18:$U$26=$U26,$D$18:$D$26,""),0)))</f>
        <v>5</v>
      </c>
      <c r="AB26" s="217">
        <f t="shared" ca="1" si="36"/>
        <v>0</v>
      </c>
      <c r="AC26" s="216">
        <f t="shared" ca="1" si="37"/>
        <v>3</v>
      </c>
      <c r="AD26" s="209"/>
      <c r="AE26" s="215">
        <f t="array" aca="1" ref="AE26" ca="1">SUMPRODUCT($R$31:$R$102*($J$31:$J$102=$D26)*ISNUMBER(MATCH($K$31:$K$102,IF($U$18:$U$26=$U26,$D$18:$D$26,""),0)))+SUMPRODUCT($S$31:$S$102*($K$31:$K$102=$D26)*ISNUMBER(MATCH($J$31:$J$102,IF($U$18:$U$26=$U26,$D$18:$D$26,""),0)))</f>
        <v>5</v>
      </c>
      <c r="AF26" s="217">
        <f t="shared" ca="1" si="38"/>
        <v>0</v>
      </c>
      <c r="AG26" s="216">
        <f t="shared" ca="1" si="39"/>
        <v>3</v>
      </c>
      <c r="AH26" s="209"/>
      <c r="AI26" s="107">
        <f t="shared" ca="1" si="40"/>
        <v>0</v>
      </c>
      <c r="AJ26" s="137">
        <f t="shared" ca="1" si="47"/>
        <v>3</v>
      </c>
      <c r="AK26" s="209"/>
      <c r="AL26" s="107">
        <f t="shared" ca="1" si="41"/>
        <v>0</v>
      </c>
      <c r="AM26" s="137">
        <f t="shared" ca="1" si="48"/>
        <v>3</v>
      </c>
      <c r="AN26" s="209"/>
      <c r="AO26" s="107">
        <f t="shared" ca="1" si="42"/>
        <v>0</v>
      </c>
      <c r="AP26" s="137">
        <f t="shared" ca="1" si="43"/>
        <v>3</v>
      </c>
      <c r="AQ26" s="209"/>
    </row>
    <row r="27" spans="1:47" s="109" customFormat="1" ht="12.75" thickTop="1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07"/>
      <c r="Q27" s="107"/>
      <c r="R27" s="107"/>
      <c r="S27" s="107"/>
      <c r="T27" s="107"/>
      <c r="U27" s="107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</row>
    <row r="28" spans="1:47" s="109" customFormat="1" x14ac:dyDescent="0.2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</row>
    <row r="29" spans="1:47" s="2" customFormat="1" x14ac:dyDescent="0.2">
      <c r="D29" s="3"/>
      <c r="E29" s="3"/>
      <c r="F29" s="3"/>
      <c r="G29" s="3"/>
      <c r="H29" s="3"/>
      <c r="O29" s="68"/>
      <c r="R29" s="3"/>
      <c r="S29" s="3"/>
      <c r="T29" s="3"/>
      <c r="U29" s="3"/>
      <c r="AE29" s="3"/>
      <c r="AF29" s="3"/>
      <c r="AG29" s="3"/>
      <c r="AH29" s="3"/>
      <c r="AI29" s="3"/>
      <c r="AR29" s="233" t="s">
        <v>262</v>
      </c>
    </row>
    <row r="30" spans="1:47" s="2" customFormat="1" ht="12.75" thickBot="1" x14ac:dyDescent="0.25">
      <c r="D30" s="106"/>
      <c r="E30" s="106"/>
      <c r="F30" s="106"/>
      <c r="G30" s="106"/>
      <c r="H30" s="3"/>
      <c r="N30" s="68" t="s">
        <v>14</v>
      </c>
      <c r="O30" s="247" t="s">
        <v>100</v>
      </c>
      <c r="P30" s="247"/>
      <c r="Q30" s="119" t="s">
        <v>99</v>
      </c>
      <c r="R30" s="248" t="s">
        <v>97</v>
      </c>
      <c r="S30" s="248"/>
      <c r="Z30" s="109"/>
      <c r="AA30" s="109"/>
      <c r="AB30" s="109"/>
      <c r="AC30" s="109"/>
      <c r="AD30" s="109"/>
      <c r="AE30" s="111"/>
      <c r="AF30" s="109"/>
      <c r="AG30" s="3"/>
      <c r="AH30" s="109"/>
      <c r="AI30" s="109"/>
      <c r="AJ30" s="109"/>
      <c r="AK30" s="109"/>
      <c r="AL30" s="109"/>
      <c r="AM30" s="109"/>
      <c r="AN30" s="111"/>
      <c r="AO30" s="109"/>
    </row>
    <row r="31" spans="1:47" s="2" customFormat="1" ht="12.75" thickTop="1" x14ac:dyDescent="0.2">
      <c r="C31" s="65" t="s">
        <v>6</v>
      </c>
      <c r="D31" s="18" t="str">
        <f>IF(Ergebnisse!$C6="","",Ergebnisse!$C6)</f>
        <v>1. FC Riedwald</v>
      </c>
      <c r="E31" s="124"/>
      <c r="F31" s="5"/>
      <c r="G31" s="5"/>
      <c r="H31" s="127"/>
      <c r="I31" s="223" t="s">
        <v>6</v>
      </c>
      <c r="J31" s="15" t="str">
        <f ca="1">Ergebnisse!$I6</f>
        <v>SSC Bosserode</v>
      </c>
      <c r="K31" s="10" t="str">
        <f ca="1">Ergebnisse!$K6</f>
        <v>FC Barcelona</v>
      </c>
      <c r="L31" s="10">
        <f ca="1">IF(AND(Ergebnisse!$L6&lt;&gt;"",Ergebnisse!$N6&lt;&gt;"",Ergebnisse!$I6&lt;&gt;Ergebnisse!$K6,$J31&lt;&gt;"",$K31&lt;&gt;""),Ergebnisse!$L6,"")</f>
        <v>3</v>
      </c>
      <c r="M31" s="11">
        <f ca="1">IF(AND(Ergebnisse!$L6&lt;&gt;"",Ergebnisse!$N6&lt;&gt;"",Ergebnisse!$I6&lt;&gt;Ergebnisse!$K6,$J31&lt;&gt;"",$K31&lt;&gt;""),Ergebnisse!$N6,"")</f>
        <v>7</v>
      </c>
      <c r="N31" s="10">
        <f t="shared" ref="N31:N94" ca="1" si="49">IF(AND(J31&lt;&gt;"",K31&lt;&gt;"",J31&lt;&gt;K31,L31&lt;&gt;"",M31&lt;&gt;""),1,0)</f>
        <v>1</v>
      </c>
      <c r="O31" s="65">
        <f ca="1">IF($N31=0,0,IF($L31&gt;$M31,Einstellungen!$C$4,IF($L31=$M31,1,0)))</f>
        <v>0</v>
      </c>
      <c r="P31" s="60">
        <f ca="1">IF($N31=0,0,IF($L31&lt;$M31,Einstellungen!$C$4,IF($L31=$M31,1,0)))</f>
        <v>3</v>
      </c>
      <c r="Q31" s="115">
        <f t="shared" ref="Q31:Q62" ca="1" si="50">IF(OR(L31="",M31=""),0,L31-M31)</f>
        <v>-4</v>
      </c>
      <c r="R31" s="112">
        <f t="shared" ref="R31:R62" ca="1" si="51">IF(OR(L31="",M31=""),0,L31)</f>
        <v>3</v>
      </c>
      <c r="S31" s="61">
        <f t="shared" ref="S31:S62" ca="1" si="52">IF(OR(L31="",M31=""),0,M31)</f>
        <v>7</v>
      </c>
      <c r="Z31" s="107"/>
      <c r="AA31" s="107"/>
      <c r="AB31" s="107"/>
      <c r="AC31" s="129"/>
      <c r="AD31" s="107"/>
      <c r="AE31" s="107"/>
      <c r="AF31" s="107"/>
      <c r="AG31" s="3"/>
      <c r="AH31" s="107"/>
      <c r="AI31" s="107"/>
      <c r="AJ31" s="107"/>
      <c r="AK31" s="129"/>
      <c r="AL31" s="107"/>
      <c r="AM31" s="107"/>
      <c r="AN31" s="107"/>
      <c r="AO31" s="107"/>
      <c r="AR31" s="129" t="b">
        <f t="array" aca="1" ref="AR31:AR39" ca="1">$I$18:$I$26=$I18</f>
        <v>1</v>
      </c>
      <c r="AS31" s="232" t="str">
        <f t="array" aca="1" ref="AS31:AS39" ca="1">IF($I$18:$I$26=$I18,$D$18:$D$26,"")</f>
        <v>1. FC Riedwald</v>
      </c>
      <c r="AT31" s="107">
        <f t="array" aca="1" ref="AT31:AT102" ca="1">MATCH($K$31:$K$102,IF($I$18:$I$26=$I18,$D$18:$D$26,""),0)</f>
        <v>2</v>
      </c>
      <c r="AU31" s="107" t="b">
        <f t="array" ref="AU31:AU102" ca="1">ISNUMBER(MATCH($K$31:$K$102,IF($I$18:$I$26=$I18,$D$18:$D$26,""),0))</f>
        <v>1</v>
      </c>
    </row>
    <row r="32" spans="1:47" s="2" customFormat="1" x14ac:dyDescent="0.2">
      <c r="C32" s="66" t="s">
        <v>7</v>
      </c>
      <c r="D32" s="19" t="str">
        <f>IF(Ergebnisse!$C7="","",Ergebnisse!$C7)</f>
        <v>FC Barcelona</v>
      </c>
      <c r="E32" s="124"/>
      <c r="F32" s="5"/>
      <c r="G32" s="5"/>
      <c r="H32" s="127"/>
      <c r="I32" s="224" t="s">
        <v>7</v>
      </c>
      <c r="J32" s="16" t="str">
        <f ca="1">Ergebnisse!$I7</f>
        <v>Eintracht Frankfurt</v>
      </c>
      <c r="K32" s="5" t="str">
        <f ca="1">Ergebnisse!$K7</f>
        <v>SV Obersuhl</v>
      </c>
      <c r="L32" s="5">
        <f ca="1">IF(AND(Ergebnisse!$L7&lt;&gt;"",Ergebnisse!$N7&lt;&gt;"",Ergebnisse!$I7&lt;&gt;Ergebnisse!$K7,$J32&lt;&gt;"",$K32&lt;&gt;""),Ergebnisse!$L7,"")</f>
        <v>3</v>
      </c>
      <c r="M32" s="12">
        <f ca="1">IF(AND(Ergebnisse!$L7&lt;&gt;"",Ergebnisse!$N7&lt;&gt;"",Ergebnisse!$I7&lt;&gt;Ergebnisse!$K7,$J32&lt;&gt;"",$K32&lt;&gt;""),Ergebnisse!$N7,"")</f>
        <v>6</v>
      </c>
      <c r="N32" s="5">
        <f t="shared" ca="1" si="49"/>
        <v>1</v>
      </c>
      <c r="O32" s="66">
        <f ca="1">IF($N32=0,0,IF($L32&gt;$M32,Einstellungen!$C$4,IF($L32=$M32,1,0)))</f>
        <v>0</v>
      </c>
      <c r="P32" s="5">
        <f ca="1">IF($N32=0,0,IF($L32&lt;$M32,Einstellungen!$C$4,IF($L32=$M32,1,0)))</f>
        <v>3</v>
      </c>
      <c r="Q32" s="116">
        <f t="shared" ca="1" si="50"/>
        <v>-3</v>
      </c>
      <c r="R32" s="113">
        <f t="shared" ca="1" si="51"/>
        <v>3</v>
      </c>
      <c r="S32" s="62">
        <f t="shared" ca="1" si="52"/>
        <v>6</v>
      </c>
      <c r="Z32" s="107"/>
      <c r="AA32" s="107"/>
      <c r="AB32" s="107"/>
      <c r="AC32" s="129"/>
      <c r="AD32" s="107"/>
      <c r="AE32" s="107"/>
      <c r="AF32" s="107"/>
      <c r="AG32" s="5"/>
      <c r="AH32" s="107"/>
      <c r="AI32" s="107"/>
      <c r="AJ32" s="107"/>
      <c r="AK32" s="129"/>
      <c r="AL32" s="107"/>
      <c r="AM32" s="107"/>
      <c r="AN32" s="107"/>
      <c r="AO32" s="107"/>
      <c r="AR32" s="129" t="b">
        <f ca="1"/>
        <v>1</v>
      </c>
      <c r="AS32" s="232" t="str">
        <f ca="1"/>
        <v>FC Barcelona</v>
      </c>
      <c r="AT32" s="107">
        <f ca="1"/>
        <v>8</v>
      </c>
      <c r="AU32" s="107" t="b">
        <f ca="1"/>
        <v>1</v>
      </c>
    </row>
    <row r="33" spans="3:47" s="2" customFormat="1" x14ac:dyDescent="0.2">
      <c r="C33" s="66" t="s">
        <v>8</v>
      </c>
      <c r="D33" s="19" t="str">
        <f>IF(Ergebnisse!$C8="","",Ergebnisse!$C8)</f>
        <v>Eintracht Frankfurt</v>
      </c>
      <c r="E33" s="124"/>
      <c r="F33" s="5"/>
      <c r="G33" s="5"/>
      <c r="H33" s="127"/>
      <c r="I33" s="224" t="s">
        <v>8</v>
      </c>
      <c r="J33" s="16" t="str">
        <f ca="1">Ergebnisse!$I8</f>
        <v>SSV Wildbach</v>
      </c>
      <c r="K33" s="5" t="str">
        <f ca="1">Ergebnisse!$K8</f>
        <v>Maibach 1822 eV</v>
      </c>
      <c r="L33" s="5">
        <f ca="1">IF(AND(Ergebnisse!$L8&lt;&gt;"",Ergebnisse!$N8&lt;&gt;"",Ergebnisse!$I8&lt;&gt;Ergebnisse!$K8,$J33&lt;&gt;"",$K33&lt;&gt;""),Ergebnisse!$L8,"")</f>
        <v>1</v>
      </c>
      <c r="M33" s="12">
        <f ca="1">IF(AND(Ergebnisse!$L8&lt;&gt;"",Ergebnisse!$N8&lt;&gt;"",Ergebnisse!$I8&lt;&gt;Ergebnisse!$K8,$J33&lt;&gt;"",$K33&lt;&gt;""),Ergebnisse!$N8,"")</f>
        <v>1</v>
      </c>
      <c r="N33" s="5">
        <f t="shared" ca="1" si="49"/>
        <v>1</v>
      </c>
      <c r="O33" s="66">
        <f ca="1">IF($N33=0,0,IF($L33&gt;$M33,Einstellungen!$C$4,IF($L33=$M33,1,0)))</f>
        <v>1</v>
      </c>
      <c r="P33" s="5">
        <f ca="1">IF($N33=0,0,IF($L33&lt;$M33,Einstellungen!$C$4,IF($L33=$M33,1,0)))</f>
        <v>1</v>
      </c>
      <c r="Q33" s="116">
        <f t="shared" ca="1" si="50"/>
        <v>0</v>
      </c>
      <c r="R33" s="113">
        <f t="shared" ca="1" si="51"/>
        <v>1</v>
      </c>
      <c r="S33" s="62">
        <f t="shared" ca="1" si="52"/>
        <v>1</v>
      </c>
      <c r="Z33" s="107"/>
      <c r="AA33" s="107"/>
      <c r="AB33" s="107"/>
      <c r="AC33" s="129"/>
      <c r="AD33" s="107"/>
      <c r="AE33" s="107"/>
      <c r="AF33" s="107"/>
      <c r="AG33" s="5"/>
      <c r="AH33" s="107"/>
      <c r="AI33" s="107"/>
      <c r="AJ33" s="107"/>
      <c r="AK33" s="129"/>
      <c r="AL33" s="107"/>
      <c r="AM33" s="107"/>
      <c r="AN33" s="107"/>
      <c r="AO33" s="107"/>
      <c r="AR33" s="129" t="b">
        <f ca="1"/>
        <v>1</v>
      </c>
      <c r="AS33" s="232" t="str">
        <f ca="1"/>
        <v>Eintracht Frankfurt</v>
      </c>
      <c r="AT33" s="107" t="e">
        <f ca="1"/>
        <v>#N/A</v>
      </c>
      <c r="AU33" s="107" t="b">
        <f ca="1"/>
        <v>0</v>
      </c>
    </row>
    <row r="34" spans="3:47" s="2" customFormat="1" x14ac:dyDescent="0.2">
      <c r="C34" s="66" t="s">
        <v>9</v>
      </c>
      <c r="D34" s="19" t="str">
        <f>IF(Ergebnisse!$C9="","",Ergebnisse!$C9)</f>
        <v>Maibach 1822 eV</v>
      </c>
      <c r="E34" s="124"/>
      <c r="F34" s="5"/>
      <c r="G34" s="5"/>
      <c r="H34" s="128"/>
      <c r="I34" s="224" t="s">
        <v>9</v>
      </c>
      <c r="J34" s="16" t="str">
        <f ca="1">Ergebnisse!$I9</f>
        <v>VFB Essenheim</v>
      </c>
      <c r="K34" s="5" t="str">
        <f ca="1">Ergebnisse!$K9</f>
        <v>Inter Mailand</v>
      </c>
      <c r="L34" s="5">
        <f ca="1">IF(AND(Ergebnisse!$L9&lt;&gt;"",Ergebnisse!$N9&lt;&gt;"",Ergebnisse!$I9&lt;&gt;Ergebnisse!$K9,$J34&lt;&gt;"",$K34&lt;&gt;""),Ergebnisse!$L9,"")</f>
        <v>0</v>
      </c>
      <c r="M34" s="12">
        <f ca="1">IF(AND(Ergebnisse!$L9&lt;&gt;"",Ergebnisse!$N9&lt;&gt;"",Ergebnisse!$I9&lt;&gt;Ergebnisse!$K9,$J34&lt;&gt;"",$K34&lt;&gt;""),Ergebnisse!$N9,"")</f>
        <v>2</v>
      </c>
      <c r="N34" s="5">
        <f t="shared" ca="1" si="49"/>
        <v>1</v>
      </c>
      <c r="O34" s="66">
        <f ca="1">IF($N34=0,0,IF($L34&gt;$M34,Einstellungen!$C$4,IF($L34=$M34,1,0)))</f>
        <v>0</v>
      </c>
      <c r="P34" s="5">
        <f ca="1">IF($N34=0,0,IF($L34&lt;$M34,Einstellungen!$C$4,IF($L34=$M34,1,0)))</f>
        <v>3</v>
      </c>
      <c r="Q34" s="116">
        <f t="shared" ca="1" si="50"/>
        <v>-2</v>
      </c>
      <c r="R34" s="113">
        <f t="shared" ca="1" si="51"/>
        <v>0</v>
      </c>
      <c r="S34" s="62">
        <f t="shared" ca="1" si="52"/>
        <v>2</v>
      </c>
      <c r="Z34" s="107"/>
      <c r="AA34" s="107"/>
      <c r="AB34" s="107"/>
      <c r="AC34" s="129"/>
      <c r="AD34" s="107"/>
      <c r="AE34" s="107"/>
      <c r="AF34" s="107"/>
      <c r="AG34" s="5"/>
      <c r="AH34" s="107"/>
      <c r="AI34" s="107"/>
      <c r="AJ34" s="107"/>
      <c r="AK34" s="129"/>
      <c r="AL34" s="107"/>
      <c r="AM34" s="107"/>
      <c r="AN34" s="107"/>
      <c r="AO34" s="107"/>
      <c r="AR34" s="129" t="b">
        <f ca="1"/>
        <v>0</v>
      </c>
      <c r="AS34" s="232" t="str">
        <f ca="1"/>
        <v/>
      </c>
      <c r="AT34" s="107">
        <f ca="1"/>
        <v>6</v>
      </c>
      <c r="AU34" s="107" t="b">
        <f ca="1"/>
        <v>1</v>
      </c>
    </row>
    <row r="35" spans="3:47" s="2" customFormat="1" x14ac:dyDescent="0.2">
      <c r="C35" s="66" t="s">
        <v>10</v>
      </c>
      <c r="D35" s="19" t="str">
        <f>IF(Ergebnisse!$C10="","",Ergebnisse!$C10)</f>
        <v>VFB Essenheim</v>
      </c>
      <c r="E35" s="124"/>
      <c r="F35" s="5"/>
      <c r="G35" s="5"/>
      <c r="H35" s="68"/>
      <c r="I35" s="224" t="s">
        <v>10</v>
      </c>
      <c r="J35" s="16" t="str">
        <f ca="1">Ergebnisse!$I10</f>
        <v>SSC Bosserode</v>
      </c>
      <c r="K35" s="5" t="str">
        <f ca="1">Ergebnisse!$K10</f>
        <v>1. FC Riedwald</v>
      </c>
      <c r="L35" s="5">
        <f ca="1">IF(AND(Ergebnisse!$L10&lt;&gt;"",Ergebnisse!$N10&lt;&gt;"",Ergebnisse!$I10&lt;&gt;Ergebnisse!$K10,$J35&lt;&gt;"",$K35&lt;&gt;""),Ergebnisse!$L10,"")</f>
        <v>3</v>
      </c>
      <c r="M35" s="12">
        <f ca="1">IF(AND(Ergebnisse!$L10&lt;&gt;"",Ergebnisse!$N10&lt;&gt;"",Ergebnisse!$I10&lt;&gt;Ergebnisse!$K10,$J35&lt;&gt;"",$K35&lt;&gt;""),Ergebnisse!$N10,"")</f>
        <v>0</v>
      </c>
      <c r="N35" s="5">
        <f t="shared" ca="1" si="49"/>
        <v>1</v>
      </c>
      <c r="O35" s="66">
        <f ca="1">IF($N35=0,0,IF($L35&gt;$M35,Einstellungen!$C$4,IF($L35=$M35,1,0)))</f>
        <v>3</v>
      </c>
      <c r="P35" s="5">
        <f ca="1">IF($N35=0,0,IF($L35&lt;$M35,Einstellungen!$C$4,IF($L35=$M35,1,0)))</f>
        <v>0</v>
      </c>
      <c r="Q35" s="116">
        <f t="shared" ca="1" si="50"/>
        <v>3</v>
      </c>
      <c r="R35" s="113">
        <f t="shared" ca="1" si="51"/>
        <v>3</v>
      </c>
      <c r="S35" s="62">
        <f t="shared" ca="1" si="52"/>
        <v>0</v>
      </c>
      <c r="Z35" s="107"/>
      <c r="AA35" s="107"/>
      <c r="AB35" s="107"/>
      <c r="AC35" s="129"/>
      <c r="AD35" s="107"/>
      <c r="AE35" s="107"/>
      <c r="AF35" s="107"/>
      <c r="AG35" s="5"/>
      <c r="AH35" s="107"/>
      <c r="AI35" s="107"/>
      <c r="AJ35" s="107"/>
      <c r="AK35" s="129"/>
      <c r="AL35" s="107"/>
      <c r="AM35" s="107"/>
      <c r="AN35" s="107"/>
      <c r="AO35" s="107"/>
      <c r="AR35" s="129" t="b">
        <f ca="1"/>
        <v>0</v>
      </c>
      <c r="AS35" s="232" t="str">
        <f ca="1"/>
        <v/>
      </c>
      <c r="AT35" s="107">
        <f ca="1"/>
        <v>1</v>
      </c>
      <c r="AU35" s="107" t="b">
        <f ca="1"/>
        <v>1</v>
      </c>
    </row>
    <row r="36" spans="3:47" s="2" customFormat="1" x14ac:dyDescent="0.2">
      <c r="C36" s="66" t="s">
        <v>11</v>
      </c>
      <c r="D36" s="19" t="str">
        <f>IF(Ergebnisse!$C11="","",Ergebnisse!$C11)</f>
        <v>Inter Mailand</v>
      </c>
      <c r="E36" s="124"/>
      <c r="F36" s="5"/>
      <c r="G36" s="5"/>
      <c r="H36" s="68"/>
      <c r="I36" s="224" t="s">
        <v>11</v>
      </c>
      <c r="J36" s="16" t="str">
        <f ca="1">Ergebnisse!$I11</f>
        <v>FC Barcelona</v>
      </c>
      <c r="K36" s="5" t="str">
        <f ca="1">Ergebnisse!$K11</f>
        <v>SSV Wildbach</v>
      </c>
      <c r="L36" s="5">
        <f ca="1">IF(AND(Ergebnisse!$L11&lt;&gt;"",Ergebnisse!$N11&lt;&gt;"",Ergebnisse!$I11&lt;&gt;Ergebnisse!$K11,$J36&lt;&gt;"",$K36&lt;&gt;""),Ergebnisse!$L11,"")</f>
        <v>0</v>
      </c>
      <c r="M36" s="12">
        <f ca="1">IF(AND(Ergebnisse!$L11&lt;&gt;"",Ergebnisse!$N11&lt;&gt;"",Ergebnisse!$I11&lt;&gt;Ergebnisse!$K11,$J36&lt;&gt;"",$K36&lt;&gt;""),Ergebnisse!$N11,"")</f>
        <v>1</v>
      </c>
      <c r="N36" s="5">
        <f t="shared" ca="1" si="49"/>
        <v>1</v>
      </c>
      <c r="O36" s="66">
        <f ca="1">IF($N36=0,0,IF($L36&gt;$M36,Einstellungen!$C$4,IF($L36=$M36,1,0)))</f>
        <v>0</v>
      </c>
      <c r="P36" s="5">
        <f ca="1">IF($N36=0,0,IF($L36&lt;$M36,Einstellungen!$C$4,IF($L36=$M36,1,0)))</f>
        <v>3</v>
      </c>
      <c r="Q36" s="116">
        <f t="shared" ca="1" si="50"/>
        <v>-1</v>
      </c>
      <c r="R36" s="113">
        <f t="shared" ca="1" si="51"/>
        <v>0</v>
      </c>
      <c r="S36" s="62">
        <f t="shared" ca="1" si="52"/>
        <v>1</v>
      </c>
      <c r="Z36" s="107"/>
      <c r="AA36" s="107"/>
      <c r="AB36" s="107"/>
      <c r="AC36" s="129"/>
      <c r="AD36" s="107"/>
      <c r="AE36" s="107"/>
      <c r="AF36" s="107"/>
      <c r="AG36" s="5"/>
      <c r="AH36" s="107"/>
      <c r="AI36" s="107"/>
      <c r="AJ36" s="107"/>
      <c r="AK36" s="129"/>
      <c r="AL36" s="107"/>
      <c r="AM36" s="107"/>
      <c r="AN36" s="107"/>
      <c r="AO36" s="107"/>
      <c r="AR36" s="129" t="b">
        <f ca="1"/>
        <v>1</v>
      </c>
      <c r="AS36" s="232" t="str">
        <f ca="1"/>
        <v>Inter Mailand</v>
      </c>
      <c r="AT36" s="107" t="e">
        <f ca="1"/>
        <v>#N/A</v>
      </c>
      <c r="AU36" s="107" t="b">
        <f ca="1"/>
        <v>0</v>
      </c>
    </row>
    <row r="37" spans="3:47" s="2" customFormat="1" x14ac:dyDescent="0.2">
      <c r="C37" s="66" t="s">
        <v>15</v>
      </c>
      <c r="D37" s="19" t="str">
        <f>IF(Ergebnisse!$C12="","",Ergebnisse!$C12)</f>
        <v>SSV Wildbach</v>
      </c>
      <c r="E37" s="124"/>
      <c r="F37" s="5"/>
      <c r="G37" s="5"/>
      <c r="H37" s="68"/>
      <c r="I37" s="224" t="s">
        <v>15</v>
      </c>
      <c r="J37" s="16" t="str">
        <f ca="1">Ergebnisse!$I12</f>
        <v>Inter Mailand</v>
      </c>
      <c r="K37" s="5" t="str">
        <f ca="1">Ergebnisse!$K12</f>
        <v>Eintracht Frankfurt</v>
      </c>
      <c r="L37" s="5">
        <f ca="1">IF(AND(Ergebnisse!$L12&lt;&gt;"",Ergebnisse!$N12&lt;&gt;"",Ergebnisse!$I12&lt;&gt;Ergebnisse!$K12,$J37&lt;&gt;"",$K37&lt;&gt;""),Ergebnisse!$L12,"")</f>
        <v>0</v>
      </c>
      <c r="M37" s="12">
        <f ca="1">IF(AND(Ergebnisse!$L12&lt;&gt;"",Ergebnisse!$N12&lt;&gt;"",Ergebnisse!$I12&lt;&gt;Ergebnisse!$K12,$J37&lt;&gt;"",$K37&lt;&gt;""),Ergebnisse!$N12,"")</f>
        <v>3</v>
      </c>
      <c r="N37" s="5">
        <f t="shared" ca="1" si="49"/>
        <v>1</v>
      </c>
      <c r="O37" s="66">
        <f ca="1">IF($N37=0,0,IF($L37&gt;$M37,Einstellungen!$C$4,IF($L37=$M37,1,0)))</f>
        <v>0</v>
      </c>
      <c r="P37" s="5">
        <f ca="1">IF($N37=0,0,IF($L37&lt;$M37,Einstellungen!$C$4,IF($L37=$M37,1,0)))</f>
        <v>3</v>
      </c>
      <c r="Q37" s="116">
        <f t="shared" ca="1" si="50"/>
        <v>-3</v>
      </c>
      <c r="R37" s="113">
        <f t="shared" ca="1" si="51"/>
        <v>0</v>
      </c>
      <c r="S37" s="62">
        <f t="shared" ca="1" si="52"/>
        <v>3</v>
      </c>
      <c r="Z37" s="107"/>
      <c r="AA37" s="107"/>
      <c r="AB37" s="107"/>
      <c r="AC37" s="129"/>
      <c r="AD37" s="107"/>
      <c r="AE37" s="107"/>
      <c r="AF37" s="107"/>
      <c r="AG37" s="5"/>
      <c r="AH37" s="107"/>
      <c r="AI37" s="107"/>
      <c r="AJ37" s="107"/>
      <c r="AK37" s="129"/>
      <c r="AL37" s="107"/>
      <c r="AM37" s="107"/>
      <c r="AN37" s="107"/>
      <c r="AO37" s="107"/>
      <c r="AR37" s="129" t="b">
        <f ca="1"/>
        <v>0</v>
      </c>
      <c r="AS37" s="232" t="str">
        <f ca="1"/>
        <v/>
      </c>
      <c r="AT37" s="107">
        <f ca="1"/>
        <v>3</v>
      </c>
      <c r="AU37" s="107" t="b">
        <f ca="1"/>
        <v>1</v>
      </c>
    </row>
    <row r="38" spans="3:47" s="2" customFormat="1" x14ac:dyDescent="0.2">
      <c r="C38" s="66" t="s">
        <v>16</v>
      </c>
      <c r="D38" s="19" t="str">
        <f>IF(Ergebnisse!$C13="","",Ergebnisse!$C13)</f>
        <v>SV Obersuhl</v>
      </c>
      <c r="E38" s="124"/>
      <c r="F38" s="5"/>
      <c r="G38" s="5"/>
      <c r="H38" s="128"/>
      <c r="I38" s="224" t="s">
        <v>16</v>
      </c>
      <c r="J38" s="16" t="str">
        <f ca="1">Ergebnisse!$I13</f>
        <v>Maibach 1822 eV</v>
      </c>
      <c r="K38" s="5" t="str">
        <f ca="1">Ergebnisse!$K13</f>
        <v>VFB Essenheim</v>
      </c>
      <c r="L38" s="5">
        <f ca="1">IF(AND(Ergebnisse!$L13&lt;&gt;"",Ergebnisse!$N13&lt;&gt;"",Ergebnisse!$I13&lt;&gt;Ergebnisse!$K13,$J38&lt;&gt;"",$K38&lt;&gt;""),Ergebnisse!$L13,"")</f>
        <v>2</v>
      </c>
      <c r="M38" s="12">
        <f ca="1">IF(AND(Ergebnisse!$L13&lt;&gt;"",Ergebnisse!$N13&lt;&gt;"",Ergebnisse!$I13&lt;&gt;Ergebnisse!$K13,$J38&lt;&gt;"",$K38&lt;&gt;""),Ergebnisse!$N13,"")</f>
        <v>1</v>
      </c>
      <c r="N38" s="5">
        <f t="shared" ca="1" si="49"/>
        <v>1</v>
      </c>
      <c r="O38" s="66">
        <f ca="1">IF($N38=0,0,IF($L38&gt;$M38,Einstellungen!$C$4,IF($L38=$M38,1,0)))</f>
        <v>3</v>
      </c>
      <c r="P38" s="5">
        <f ca="1">IF($N38=0,0,IF($L38&lt;$M38,Einstellungen!$C$4,IF($L38=$M38,1,0)))</f>
        <v>0</v>
      </c>
      <c r="Q38" s="116">
        <f t="shared" ca="1" si="50"/>
        <v>1</v>
      </c>
      <c r="R38" s="113">
        <f t="shared" ca="1" si="51"/>
        <v>2</v>
      </c>
      <c r="S38" s="62">
        <f t="shared" ca="1" si="52"/>
        <v>1</v>
      </c>
      <c r="Z38" s="107"/>
      <c r="AA38" s="107"/>
      <c r="AB38" s="107"/>
      <c r="AC38" s="129"/>
      <c r="AD38" s="107"/>
      <c r="AE38" s="107"/>
      <c r="AF38" s="107"/>
      <c r="AG38" s="5"/>
      <c r="AH38" s="107"/>
      <c r="AI38" s="107"/>
      <c r="AJ38" s="107"/>
      <c r="AK38" s="129"/>
      <c r="AL38" s="107"/>
      <c r="AM38" s="107"/>
      <c r="AN38" s="107"/>
      <c r="AO38" s="107"/>
      <c r="AR38" s="129" t="b">
        <f ca="1"/>
        <v>1</v>
      </c>
      <c r="AS38" s="232" t="str">
        <f ca="1"/>
        <v>SV Obersuhl</v>
      </c>
      <c r="AT38" s="107" t="e">
        <f ca="1"/>
        <v>#N/A</v>
      </c>
      <c r="AU38" s="107" t="b">
        <f ca="1"/>
        <v>0</v>
      </c>
    </row>
    <row r="39" spans="3:47" s="2" customFormat="1" ht="12.75" thickBot="1" x14ac:dyDescent="0.25">
      <c r="C39" s="67" t="s">
        <v>17</v>
      </c>
      <c r="D39" s="20" t="str">
        <f>IF(Ergebnisse!$C14="","",Ergebnisse!$C14)</f>
        <v>SSC Bosserode</v>
      </c>
      <c r="E39" s="124"/>
      <c r="F39" s="5"/>
      <c r="G39" s="5"/>
      <c r="H39" s="128"/>
      <c r="I39" s="224" t="s">
        <v>17</v>
      </c>
      <c r="J39" s="16" t="str">
        <f ca="1">Ergebnisse!$I14</f>
        <v>1. FC Riedwald</v>
      </c>
      <c r="K39" s="5" t="str">
        <f ca="1">Ergebnisse!$K14</f>
        <v>SV Obersuhl</v>
      </c>
      <c r="L39" s="5">
        <f ca="1">IF(AND(Ergebnisse!$L14&lt;&gt;"",Ergebnisse!$N14&lt;&gt;"",Ergebnisse!$I14&lt;&gt;Ergebnisse!$K14,$J39&lt;&gt;"",$K39&lt;&gt;""),Ergebnisse!$L14,"")</f>
        <v>1</v>
      </c>
      <c r="M39" s="12">
        <f ca="1">IF(AND(Ergebnisse!$L14&lt;&gt;"",Ergebnisse!$N14&lt;&gt;"",Ergebnisse!$I14&lt;&gt;Ergebnisse!$K14,$J39&lt;&gt;"",$K39&lt;&gt;""),Ergebnisse!$N14,"")</f>
        <v>2</v>
      </c>
      <c r="N39" s="5">
        <f t="shared" ca="1" si="49"/>
        <v>1</v>
      </c>
      <c r="O39" s="66">
        <f ca="1">IF($N39=0,0,IF($L39&gt;$M39,Einstellungen!$C$4,IF($L39=$M39,1,0)))</f>
        <v>0</v>
      </c>
      <c r="P39" s="5">
        <f ca="1">IF($N39=0,0,IF($L39&lt;$M39,Einstellungen!$C$4,IF($L39=$M39,1,0)))</f>
        <v>3</v>
      </c>
      <c r="Q39" s="116">
        <f t="shared" ca="1" si="50"/>
        <v>-1</v>
      </c>
      <c r="R39" s="113">
        <f t="shared" ca="1" si="51"/>
        <v>1</v>
      </c>
      <c r="S39" s="62">
        <f t="shared" ca="1" si="52"/>
        <v>2</v>
      </c>
      <c r="Z39" s="107"/>
      <c r="AA39" s="107"/>
      <c r="AB39" s="107"/>
      <c r="AC39" s="129"/>
      <c r="AD39" s="107"/>
      <c r="AE39" s="107"/>
      <c r="AF39" s="107"/>
      <c r="AG39" s="5"/>
      <c r="AH39" s="107"/>
      <c r="AI39" s="107"/>
      <c r="AJ39" s="107"/>
      <c r="AK39" s="129"/>
      <c r="AL39" s="107"/>
      <c r="AM39" s="107"/>
      <c r="AN39" s="107"/>
      <c r="AO39" s="107"/>
      <c r="AR39" s="129" t="b">
        <f ca="1"/>
        <v>1</v>
      </c>
      <c r="AS39" s="232" t="str">
        <f ca="1"/>
        <v>SSC Bosserode</v>
      </c>
      <c r="AT39" s="107">
        <f ca="1"/>
        <v>8</v>
      </c>
      <c r="AU39" s="107" t="b">
        <f ca="1"/>
        <v>1</v>
      </c>
    </row>
    <row r="40" spans="3:47" s="2" customFormat="1" ht="12.75" thickTop="1" x14ac:dyDescent="0.2">
      <c r="C40" s="3"/>
      <c r="D40" s="5"/>
      <c r="E40" s="5"/>
      <c r="F40" s="5"/>
      <c r="G40" s="5"/>
      <c r="H40" s="128"/>
      <c r="I40" s="224" t="s">
        <v>22</v>
      </c>
      <c r="J40" s="16" t="str">
        <f ca="1">Ergebnisse!$I15</f>
        <v>SSV Wildbach</v>
      </c>
      <c r="K40" s="5" t="str">
        <f ca="1">Ergebnisse!$K15</f>
        <v>SSC Bosserode</v>
      </c>
      <c r="L40" s="5" t="str">
        <f ca="1">IF(AND(Ergebnisse!$L15&lt;&gt;"",Ergebnisse!$N15&lt;&gt;"",Ergebnisse!$I15&lt;&gt;Ergebnisse!$K15,$J40&lt;&gt;"",$K40&lt;&gt;""),Ergebnisse!$L15,"")</f>
        <v/>
      </c>
      <c r="M40" s="12" t="str">
        <f ca="1">IF(AND(Ergebnisse!$L15&lt;&gt;"",Ergebnisse!$N15&lt;&gt;"",Ergebnisse!$I15&lt;&gt;Ergebnisse!$K15,$J40&lt;&gt;"",$K40&lt;&gt;""),Ergebnisse!$N15,"")</f>
        <v/>
      </c>
      <c r="N40" s="5">
        <f t="shared" ca="1" si="49"/>
        <v>0</v>
      </c>
      <c r="O40" s="66">
        <f ca="1">IF($N40=0,0,IF($L40&gt;$M40,Einstellungen!$C$4,IF($L40=$M40,1,0)))</f>
        <v>0</v>
      </c>
      <c r="P40" s="5">
        <f ca="1">IF($N40=0,0,IF($L40&lt;$M40,Einstellungen!$C$4,IF($L40=$M40,1,0)))</f>
        <v>0</v>
      </c>
      <c r="Q40" s="116">
        <f t="shared" ca="1" si="50"/>
        <v>0</v>
      </c>
      <c r="R40" s="113">
        <f t="shared" ca="1" si="51"/>
        <v>0</v>
      </c>
      <c r="S40" s="62">
        <f t="shared" ca="1" si="52"/>
        <v>0</v>
      </c>
      <c r="Z40" s="109"/>
      <c r="AA40" s="109"/>
      <c r="AB40" s="109"/>
      <c r="AC40" s="109"/>
      <c r="AD40" s="109"/>
      <c r="AE40" s="109"/>
      <c r="AF40" s="109"/>
      <c r="AG40" s="5"/>
      <c r="AH40" s="109"/>
      <c r="AI40" s="109"/>
      <c r="AJ40" s="109"/>
      <c r="AK40" s="109"/>
      <c r="AL40" s="109"/>
      <c r="AM40" s="109"/>
      <c r="AN40" s="109"/>
      <c r="AO40" s="109"/>
      <c r="AT40" s="110">
        <f ca="1"/>
        <v>9</v>
      </c>
      <c r="AU40" s="109" t="b">
        <f ca="1"/>
        <v>1</v>
      </c>
    </row>
    <row r="41" spans="3:47" s="2" customFormat="1" x14ac:dyDescent="0.2">
      <c r="C41" s="3"/>
      <c r="D41" s="5"/>
      <c r="E41" s="5"/>
      <c r="F41" s="1"/>
      <c r="G41" s="5"/>
      <c r="H41" s="128"/>
      <c r="I41" s="224" t="s">
        <v>23</v>
      </c>
      <c r="J41" s="16" t="str">
        <f ca="1">Ergebnisse!$I16</f>
        <v>VFB Essenheim</v>
      </c>
      <c r="K41" s="5" t="str">
        <f ca="1">Ergebnisse!$K16</f>
        <v>FC Barcelona</v>
      </c>
      <c r="L41" s="5">
        <f ca="1">IF(AND(Ergebnisse!$L16&lt;&gt;"",Ergebnisse!$N16&lt;&gt;"",Ergebnisse!$I16&lt;&gt;Ergebnisse!$K16,$J41&lt;&gt;"",$K41&lt;&gt;""),Ergebnisse!$L16,"")</f>
        <v>3</v>
      </c>
      <c r="M41" s="12">
        <f ca="1">IF(AND(Ergebnisse!$L16&lt;&gt;"",Ergebnisse!$N16&lt;&gt;"",Ergebnisse!$I16&lt;&gt;Ergebnisse!$K16,$J41&lt;&gt;"",$K41&lt;&gt;""),Ergebnisse!$N16,"")</f>
        <v>0</v>
      </c>
      <c r="N41" s="5">
        <f t="shared" ca="1" si="49"/>
        <v>1</v>
      </c>
      <c r="O41" s="66">
        <f ca="1">IF($N41=0,0,IF($L41&gt;$M41,Einstellungen!$C$4,IF($L41=$M41,1,0)))</f>
        <v>3</v>
      </c>
      <c r="P41" s="5">
        <f ca="1">IF($N41=0,0,IF($L41&lt;$M41,Einstellungen!$C$4,IF($L41=$M41,1,0)))</f>
        <v>0</v>
      </c>
      <c r="Q41" s="116">
        <f t="shared" ca="1" si="50"/>
        <v>3</v>
      </c>
      <c r="R41" s="113">
        <f t="shared" ca="1" si="51"/>
        <v>3</v>
      </c>
      <c r="S41" s="62">
        <f t="shared" ca="1" si="52"/>
        <v>0</v>
      </c>
      <c r="Z41" s="109"/>
      <c r="AA41" s="109"/>
      <c r="AB41" s="109"/>
      <c r="AC41" s="109"/>
      <c r="AD41" s="109"/>
      <c r="AE41" s="111"/>
      <c r="AF41" s="109"/>
      <c r="AH41" s="109"/>
      <c r="AI41" s="109"/>
      <c r="AJ41" s="109"/>
      <c r="AK41" s="109"/>
      <c r="AL41" s="109"/>
      <c r="AM41" s="109"/>
      <c r="AN41" s="111"/>
      <c r="AO41" s="109"/>
      <c r="AT41" s="110">
        <f ca="1"/>
        <v>2</v>
      </c>
      <c r="AU41" s="109" t="b">
        <f ca="1"/>
        <v>1</v>
      </c>
    </row>
    <row r="42" spans="3:47" s="2" customFormat="1" x14ac:dyDescent="0.2">
      <c r="C42" s="3"/>
      <c r="D42" s="5"/>
      <c r="E42" s="5"/>
      <c r="F42" s="5"/>
      <c r="G42" s="5"/>
      <c r="H42" s="5"/>
      <c r="I42" s="224" t="s">
        <v>24</v>
      </c>
      <c r="J42" s="16" t="str">
        <f ca="1">Ergebnisse!$I17</f>
        <v>Eintracht Frankfurt</v>
      </c>
      <c r="K42" s="5" t="str">
        <f ca="1">Ergebnisse!$K17</f>
        <v>Maibach 1822 eV</v>
      </c>
      <c r="L42" s="5" t="str">
        <f ca="1">IF(AND(Ergebnisse!$L17&lt;&gt;"",Ergebnisse!$N17&lt;&gt;"",Ergebnisse!$I17&lt;&gt;Ergebnisse!$K17,$J42&lt;&gt;"",$K42&lt;&gt;""),Ergebnisse!$L17,"")</f>
        <v/>
      </c>
      <c r="M42" s="12" t="str">
        <f ca="1">IF(AND(Ergebnisse!$L17&lt;&gt;"",Ergebnisse!$N17&lt;&gt;"",Ergebnisse!$I17&lt;&gt;Ergebnisse!$K17,$J42&lt;&gt;"",$K42&lt;&gt;""),Ergebnisse!$N17,"")</f>
        <v/>
      </c>
      <c r="N42" s="5">
        <f t="shared" ca="1" si="49"/>
        <v>0</v>
      </c>
      <c r="O42" s="66">
        <f ca="1">IF($N42=0,0,IF($L42&gt;$M42,Einstellungen!$C$4,IF($L42=$M42,1,0)))</f>
        <v>0</v>
      </c>
      <c r="P42" s="5">
        <f ca="1">IF($N42=0,0,IF($L42&lt;$M42,Einstellungen!$C$4,IF($L42=$M42,1,0)))</f>
        <v>0</v>
      </c>
      <c r="Q42" s="116">
        <f t="shared" ca="1" si="50"/>
        <v>0</v>
      </c>
      <c r="R42" s="113">
        <f t="shared" ca="1" si="51"/>
        <v>0</v>
      </c>
      <c r="S42" s="62">
        <f t="shared" ca="1" si="52"/>
        <v>0</v>
      </c>
      <c r="Z42" s="107"/>
      <c r="AA42" s="107"/>
      <c r="AB42" s="107"/>
      <c r="AC42" s="129"/>
      <c r="AD42" s="107"/>
      <c r="AE42" s="107"/>
      <c r="AF42" s="107"/>
      <c r="AH42" s="107"/>
      <c r="AI42" s="107"/>
      <c r="AJ42" s="107"/>
      <c r="AK42" s="129"/>
      <c r="AL42" s="107"/>
      <c r="AM42" s="107"/>
      <c r="AN42" s="107"/>
      <c r="AO42" s="107"/>
      <c r="AT42" s="107" t="e">
        <f ca="1"/>
        <v>#N/A</v>
      </c>
      <c r="AU42" s="107" t="b">
        <f ca="1"/>
        <v>0</v>
      </c>
    </row>
    <row r="43" spans="3:47" s="2" customFormat="1" x14ac:dyDescent="0.2">
      <c r="C43" s="3"/>
      <c r="D43" s="5"/>
      <c r="E43" s="5"/>
      <c r="F43" s="5"/>
      <c r="G43" s="5"/>
      <c r="H43" s="5"/>
      <c r="I43" s="224" t="s">
        <v>25</v>
      </c>
      <c r="J43" s="16" t="str">
        <f ca="1">Ergebnisse!$I18</f>
        <v>SSV Wildbach</v>
      </c>
      <c r="K43" s="5" t="str">
        <f ca="1">Ergebnisse!$K18</f>
        <v>1. FC Riedwald</v>
      </c>
      <c r="L43" s="5" t="str">
        <f ca="1">IF(AND(Ergebnisse!$L18&lt;&gt;"",Ergebnisse!$N18&lt;&gt;"",Ergebnisse!$I18&lt;&gt;Ergebnisse!$K18,$J43&lt;&gt;"",$K43&lt;&gt;""),Ergebnisse!$L18,"")</f>
        <v/>
      </c>
      <c r="M43" s="12" t="str">
        <f ca="1">IF(AND(Ergebnisse!$L18&lt;&gt;"",Ergebnisse!$N18&lt;&gt;"",Ergebnisse!$I18&lt;&gt;Ergebnisse!$K18,$J43&lt;&gt;"",$K43&lt;&gt;""),Ergebnisse!$N18,"")</f>
        <v/>
      </c>
      <c r="N43" s="5">
        <f t="shared" ca="1" si="49"/>
        <v>0</v>
      </c>
      <c r="O43" s="66">
        <f ca="1">IF($N43=0,0,IF($L43&gt;$M43,Einstellungen!$C$4,IF($L43=$M43,1,0)))</f>
        <v>0</v>
      </c>
      <c r="P43" s="5">
        <f ca="1">IF($N43=0,0,IF($L43&lt;$M43,Einstellungen!$C$4,IF($L43=$M43,1,0)))</f>
        <v>0</v>
      </c>
      <c r="Q43" s="116">
        <f t="shared" ca="1" si="50"/>
        <v>0</v>
      </c>
      <c r="R43" s="113">
        <f t="shared" ca="1" si="51"/>
        <v>0</v>
      </c>
      <c r="S43" s="62">
        <f t="shared" ca="1" si="52"/>
        <v>0</v>
      </c>
      <c r="Z43" s="107"/>
      <c r="AA43" s="107"/>
      <c r="AB43" s="107"/>
      <c r="AC43" s="129"/>
      <c r="AD43" s="107"/>
      <c r="AE43" s="107"/>
      <c r="AF43" s="107"/>
      <c r="AH43" s="107"/>
      <c r="AI43" s="107"/>
      <c r="AJ43" s="107"/>
      <c r="AK43" s="129"/>
      <c r="AL43" s="107"/>
      <c r="AM43" s="107"/>
      <c r="AN43" s="107"/>
      <c r="AO43" s="107"/>
      <c r="AT43" s="107">
        <f ca="1"/>
        <v>1</v>
      </c>
      <c r="AU43" s="107" t="b">
        <f ca="1"/>
        <v>1</v>
      </c>
    </row>
    <row r="44" spans="3:47" s="2" customFormat="1" x14ac:dyDescent="0.2">
      <c r="C44" s="3"/>
      <c r="D44" s="5"/>
      <c r="E44" s="5"/>
      <c r="F44" s="5"/>
      <c r="G44" s="5"/>
      <c r="H44" s="5"/>
      <c r="I44" s="224" t="s">
        <v>26</v>
      </c>
      <c r="J44" s="16" t="str">
        <f ca="1">Ergebnisse!$I19</f>
        <v>Inter Mailand</v>
      </c>
      <c r="K44" s="5" t="str">
        <f ca="1">Ergebnisse!$K19</f>
        <v>SV Obersuhl</v>
      </c>
      <c r="L44" s="5">
        <f ca="1">IF(AND(Ergebnisse!$L19&lt;&gt;"",Ergebnisse!$N19&lt;&gt;"",Ergebnisse!$I19&lt;&gt;Ergebnisse!$K19,$J44&lt;&gt;"",$K44&lt;&gt;""),Ergebnisse!$L19,"")</f>
        <v>1</v>
      </c>
      <c r="M44" s="12">
        <f ca="1">IF(AND(Ergebnisse!$L19&lt;&gt;"",Ergebnisse!$N19&lt;&gt;"",Ergebnisse!$I19&lt;&gt;Ergebnisse!$K19,$J44&lt;&gt;"",$K44&lt;&gt;""),Ergebnisse!$N19,"")</f>
        <v>0</v>
      </c>
      <c r="N44" s="5">
        <f t="shared" ca="1" si="49"/>
        <v>1</v>
      </c>
      <c r="O44" s="66">
        <f ca="1">IF($N44=0,0,IF($L44&gt;$M44,Einstellungen!$C$4,IF($L44=$M44,1,0)))</f>
        <v>3</v>
      </c>
      <c r="P44" s="5">
        <f ca="1">IF($N44=0,0,IF($L44&lt;$M44,Einstellungen!$C$4,IF($L44=$M44,1,0)))</f>
        <v>0</v>
      </c>
      <c r="Q44" s="116">
        <f t="shared" ca="1" si="50"/>
        <v>1</v>
      </c>
      <c r="R44" s="113">
        <f t="shared" ca="1" si="51"/>
        <v>1</v>
      </c>
      <c r="S44" s="62">
        <f t="shared" ca="1" si="52"/>
        <v>0</v>
      </c>
      <c r="Z44" s="107"/>
      <c r="AA44" s="107"/>
      <c r="AB44" s="107"/>
      <c r="AC44" s="129"/>
      <c r="AD44" s="107"/>
      <c r="AE44" s="107"/>
      <c r="AF44" s="107"/>
      <c r="AH44" s="107"/>
      <c r="AI44" s="107"/>
      <c r="AJ44" s="107"/>
      <c r="AK44" s="129"/>
      <c r="AL44" s="107"/>
      <c r="AM44" s="107"/>
      <c r="AN44" s="107"/>
      <c r="AO44" s="107"/>
      <c r="AT44" s="107">
        <f ca="1"/>
        <v>8</v>
      </c>
      <c r="AU44" s="107" t="b">
        <f ca="1"/>
        <v>1</v>
      </c>
    </row>
    <row r="45" spans="3:47" s="2" customFormat="1" x14ac:dyDescent="0.2">
      <c r="C45" s="3"/>
      <c r="D45" s="5"/>
      <c r="E45" s="5"/>
      <c r="F45" s="5"/>
      <c r="G45" s="5"/>
      <c r="H45" s="5"/>
      <c r="I45" s="224" t="s">
        <v>27</v>
      </c>
      <c r="J45" s="16" t="str">
        <f ca="1">Ergebnisse!$I20</f>
        <v>SSC Bosserode</v>
      </c>
      <c r="K45" s="5" t="str">
        <f ca="1">Ergebnisse!$K20</f>
        <v>VFB Essenheim</v>
      </c>
      <c r="L45" s="5">
        <f ca="1">IF(AND(Ergebnisse!$L20&lt;&gt;"",Ergebnisse!$N20&lt;&gt;"",Ergebnisse!$I20&lt;&gt;Ergebnisse!$K20,$J45&lt;&gt;"",$K45&lt;&gt;""),Ergebnisse!$L20,"")</f>
        <v>2</v>
      </c>
      <c r="M45" s="12">
        <f ca="1">IF(AND(Ergebnisse!$L20&lt;&gt;"",Ergebnisse!$N20&lt;&gt;"",Ergebnisse!$I20&lt;&gt;Ergebnisse!$K20,$J45&lt;&gt;"",$K45&lt;&gt;""),Ergebnisse!$N20,"")</f>
        <v>3</v>
      </c>
      <c r="N45" s="5">
        <f t="shared" ca="1" si="49"/>
        <v>1</v>
      </c>
      <c r="O45" s="66">
        <f ca="1">IF($N45=0,0,IF($L45&gt;$M45,Einstellungen!$C$4,IF($L45=$M45,1,0)))</f>
        <v>0</v>
      </c>
      <c r="P45" s="5">
        <f ca="1">IF($N45=0,0,IF($L45&lt;$M45,Einstellungen!$C$4,IF($L45=$M45,1,0)))</f>
        <v>3</v>
      </c>
      <c r="Q45" s="116">
        <f t="shared" ca="1" si="50"/>
        <v>-1</v>
      </c>
      <c r="R45" s="113">
        <f t="shared" ca="1" si="51"/>
        <v>2</v>
      </c>
      <c r="S45" s="62">
        <f t="shared" ca="1" si="52"/>
        <v>3</v>
      </c>
      <c r="Z45" s="107"/>
      <c r="AA45" s="107"/>
      <c r="AB45" s="107"/>
      <c r="AC45" s="129"/>
      <c r="AD45" s="107"/>
      <c r="AE45" s="107"/>
      <c r="AF45" s="107"/>
      <c r="AH45" s="107"/>
      <c r="AI45" s="107"/>
      <c r="AJ45" s="107"/>
      <c r="AK45" s="129"/>
      <c r="AL45" s="107"/>
      <c r="AM45" s="107"/>
      <c r="AN45" s="107"/>
      <c r="AO45" s="107"/>
      <c r="AT45" s="107" t="e">
        <f ca="1"/>
        <v>#N/A</v>
      </c>
      <c r="AU45" s="107" t="b">
        <f ca="1"/>
        <v>0</v>
      </c>
    </row>
    <row r="46" spans="3:47" s="2" customFormat="1" x14ac:dyDescent="0.2">
      <c r="C46" s="3"/>
      <c r="D46" s="5"/>
      <c r="E46" s="5"/>
      <c r="F46" s="5"/>
      <c r="G46" s="5"/>
      <c r="H46" s="5"/>
      <c r="I46" s="224" t="s">
        <v>28</v>
      </c>
      <c r="J46" s="16" t="str">
        <f ca="1">Ergebnisse!$I21</f>
        <v>FC Barcelona</v>
      </c>
      <c r="K46" s="5" t="str">
        <f ca="1">Ergebnisse!$K21</f>
        <v>Eintracht Frankfurt</v>
      </c>
      <c r="L46" s="5">
        <f ca="1">IF(AND(Ergebnisse!$L21&lt;&gt;"",Ergebnisse!$N21&lt;&gt;"",Ergebnisse!$I21&lt;&gt;Ergebnisse!$K21,$J46&lt;&gt;"",$K46&lt;&gt;""),Ergebnisse!$L21,"")</f>
        <v>3</v>
      </c>
      <c r="M46" s="12">
        <f ca="1">IF(AND(Ergebnisse!$L21&lt;&gt;"",Ergebnisse!$N21&lt;&gt;"",Ergebnisse!$I21&lt;&gt;Ergebnisse!$K21,$J46&lt;&gt;"",$K46&lt;&gt;""),Ergebnisse!$N21,"")</f>
        <v>2</v>
      </c>
      <c r="N46" s="5">
        <f t="shared" ca="1" si="49"/>
        <v>1</v>
      </c>
      <c r="O46" s="66">
        <f ca="1">IF($N46=0,0,IF($L46&gt;$M46,Einstellungen!$C$4,IF($L46=$M46,1,0)))</f>
        <v>3</v>
      </c>
      <c r="P46" s="5">
        <f ca="1">IF($N46=0,0,IF($L46&lt;$M46,Einstellungen!$C$4,IF($L46=$M46,1,0)))</f>
        <v>0</v>
      </c>
      <c r="Q46" s="116">
        <f t="shared" ca="1" si="50"/>
        <v>1</v>
      </c>
      <c r="R46" s="113">
        <f t="shared" ca="1" si="51"/>
        <v>3</v>
      </c>
      <c r="S46" s="62">
        <f t="shared" ca="1" si="52"/>
        <v>2</v>
      </c>
      <c r="Z46" s="107"/>
      <c r="AA46" s="107"/>
      <c r="AB46" s="107"/>
      <c r="AC46" s="129"/>
      <c r="AD46" s="107"/>
      <c r="AE46" s="107"/>
      <c r="AF46" s="107"/>
      <c r="AH46" s="107"/>
      <c r="AI46" s="107"/>
      <c r="AJ46" s="107"/>
      <c r="AK46" s="129"/>
      <c r="AL46" s="107"/>
      <c r="AM46" s="107"/>
      <c r="AN46" s="107"/>
      <c r="AO46" s="107"/>
      <c r="AT46" s="107">
        <f ca="1"/>
        <v>3</v>
      </c>
      <c r="AU46" s="107" t="b">
        <f ca="1"/>
        <v>1</v>
      </c>
    </row>
    <row r="47" spans="3:47" s="2" customFormat="1" x14ac:dyDescent="0.2">
      <c r="C47" s="3"/>
      <c r="D47" s="5"/>
      <c r="E47" s="5"/>
      <c r="F47" s="5"/>
      <c r="G47" s="5"/>
      <c r="H47" s="5"/>
      <c r="I47" s="224" t="s">
        <v>29</v>
      </c>
      <c r="J47" s="16" t="str">
        <f ca="1">Ergebnisse!$I22</f>
        <v>1. FC Riedwald</v>
      </c>
      <c r="K47" s="5" t="str">
        <f ca="1">Ergebnisse!$K22</f>
        <v>Inter Mailand</v>
      </c>
      <c r="L47" s="5">
        <f ca="1">IF(AND(Ergebnisse!$L22&lt;&gt;"",Ergebnisse!$N22&lt;&gt;"",Ergebnisse!$I22&lt;&gt;Ergebnisse!$K22,$J47&lt;&gt;"",$K47&lt;&gt;""),Ergebnisse!$L22,"")</f>
        <v>4</v>
      </c>
      <c r="M47" s="12">
        <f ca="1">IF(AND(Ergebnisse!$L22&lt;&gt;"",Ergebnisse!$N22&lt;&gt;"",Ergebnisse!$I22&lt;&gt;Ergebnisse!$K22,$J47&lt;&gt;"",$K47&lt;&gt;""),Ergebnisse!$N22,"")</f>
        <v>0</v>
      </c>
      <c r="N47" s="5">
        <f t="shared" ca="1" si="49"/>
        <v>1</v>
      </c>
      <c r="O47" s="66">
        <f ca="1">IF($N47=0,0,IF($L47&gt;$M47,Einstellungen!$C$4,IF($L47=$M47,1,0)))</f>
        <v>3</v>
      </c>
      <c r="P47" s="5">
        <f ca="1">IF($N47=0,0,IF($L47&lt;$M47,Einstellungen!$C$4,IF($L47=$M47,1,0)))</f>
        <v>0</v>
      </c>
      <c r="Q47" s="116">
        <f t="shared" ca="1" si="50"/>
        <v>4</v>
      </c>
      <c r="R47" s="113">
        <f t="shared" ca="1" si="51"/>
        <v>4</v>
      </c>
      <c r="S47" s="62">
        <f t="shared" ca="1" si="52"/>
        <v>0</v>
      </c>
      <c r="Z47" s="107"/>
      <c r="AA47" s="107"/>
      <c r="AB47" s="107"/>
      <c r="AC47" s="129"/>
      <c r="AD47" s="107"/>
      <c r="AE47" s="107"/>
      <c r="AF47" s="107"/>
      <c r="AH47" s="107"/>
      <c r="AI47" s="107"/>
      <c r="AJ47" s="107"/>
      <c r="AK47" s="129"/>
      <c r="AL47" s="107"/>
      <c r="AM47" s="107"/>
      <c r="AN47" s="107"/>
      <c r="AO47" s="107"/>
      <c r="AT47" s="107">
        <f ca="1"/>
        <v>6</v>
      </c>
      <c r="AU47" s="107" t="b">
        <f ca="1"/>
        <v>1</v>
      </c>
    </row>
    <row r="48" spans="3:47" s="2" customFormat="1" x14ac:dyDescent="0.2">
      <c r="C48" s="3"/>
      <c r="D48" s="5"/>
      <c r="E48" s="5"/>
      <c r="F48" s="5"/>
      <c r="G48" s="5"/>
      <c r="H48" s="5"/>
      <c r="I48" s="224" t="s">
        <v>30</v>
      </c>
      <c r="J48" s="16" t="str">
        <f ca="1">Ergebnisse!$I23</f>
        <v>VFB Essenheim</v>
      </c>
      <c r="K48" s="5" t="str">
        <f ca="1">Ergebnisse!$K23</f>
        <v>SSV Wildbach</v>
      </c>
      <c r="L48" s="5" t="str">
        <f ca="1">IF(AND(Ergebnisse!$L23&lt;&gt;"",Ergebnisse!$N23&lt;&gt;"",Ergebnisse!$I23&lt;&gt;Ergebnisse!$K23,$J48&lt;&gt;"",$K48&lt;&gt;""),Ergebnisse!$L23,"")</f>
        <v/>
      </c>
      <c r="M48" s="12" t="str">
        <f ca="1">IF(AND(Ergebnisse!$L23&lt;&gt;"",Ergebnisse!$N23&lt;&gt;"",Ergebnisse!$I23&lt;&gt;Ergebnisse!$K23,$J48&lt;&gt;"",$K48&lt;&gt;""),Ergebnisse!$N23,"")</f>
        <v/>
      </c>
      <c r="N48" s="5">
        <f t="shared" ca="1" si="49"/>
        <v>0</v>
      </c>
      <c r="O48" s="66">
        <f ca="1">IF($N48=0,0,IF($L48&gt;$M48,Einstellungen!$C$4,IF($L48=$M48,1,0)))</f>
        <v>0</v>
      </c>
      <c r="P48" s="5">
        <f ca="1">IF($N48=0,0,IF($L48&lt;$M48,Einstellungen!$C$4,IF($L48=$M48,1,0)))</f>
        <v>0</v>
      </c>
      <c r="Q48" s="116">
        <f t="shared" ca="1" si="50"/>
        <v>0</v>
      </c>
      <c r="R48" s="113">
        <f t="shared" ca="1" si="51"/>
        <v>0</v>
      </c>
      <c r="S48" s="62">
        <f t="shared" ca="1" si="52"/>
        <v>0</v>
      </c>
      <c r="Z48" s="107"/>
      <c r="AA48" s="107"/>
      <c r="AB48" s="107"/>
      <c r="AC48" s="129"/>
      <c r="AD48" s="107"/>
      <c r="AE48" s="107"/>
      <c r="AF48" s="107"/>
      <c r="AH48" s="107"/>
      <c r="AI48" s="107"/>
      <c r="AJ48" s="107"/>
      <c r="AK48" s="129"/>
      <c r="AL48" s="107"/>
      <c r="AM48" s="107"/>
      <c r="AN48" s="107"/>
      <c r="AO48" s="107"/>
      <c r="AT48" s="107" t="e">
        <f ca="1"/>
        <v>#N/A</v>
      </c>
      <c r="AU48" s="107" t="b">
        <f ca="1"/>
        <v>0</v>
      </c>
    </row>
    <row r="49" spans="3:47" s="2" customFormat="1" x14ac:dyDescent="0.2">
      <c r="C49" s="3"/>
      <c r="D49" s="5"/>
      <c r="E49" s="5"/>
      <c r="F49" s="5"/>
      <c r="G49" s="5"/>
      <c r="H49" s="5"/>
      <c r="I49" s="224" t="s">
        <v>31</v>
      </c>
      <c r="J49" s="16" t="str">
        <f ca="1">Ergebnisse!$I24</f>
        <v>SV Obersuhl</v>
      </c>
      <c r="K49" s="5" t="str">
        <f ca="1">Ergebnisse!$K24</f>
        <v>Maibach 1822 eV</v>
      </c>
      <c r="L49" s="5" t="str">
        <f ca="1">IF(AND(Ergebnisse!$L24&lt;&gt;"",Ergebnisse!$N24&lt;&gt;"",Ergebnisse!$I24&lt;&gt;Ergebnisse!$K24,$J49&lt;&gt;"",$K49&lt;&gt;""),Ergebnisse!$L24,"")</f>
        <v/>
      </c>
      <c r="M49" s="12" t="str">
        <f ca="1">IF(AND(Ergebnisse!$L24&lt;&gt;"",Ergebnisse!$N24&lt;&gt;"",Ergebnisse!$I24&lt;&gt;Ergebnisse!$K24,$J49&lt;&gt;"",$K49&lt;&gt;""),Ergebnisse!$N24,"")</f>
        <v/>
      </c>
      <c r="N49" s="5">
        <f t="shared" ca="1" si="49"/>
        <v>0</v>
      </c>
      <c r="O49" s="66">
        <f ca="1">IF($N49=0,0,IF($L49&gt;$M49,Einstellungen!$C$4,IF($L49=$M49,1,0)))</f>
        <v>0</v>
      </c>
      <c r="P49" s="5">
        <f ca="1">IF($N49=0,0,IF($L49&lt;$M49,Einstellungen!$C$4,IF($L49=$M49,1,0)))</f>
        <v>0</v>
      </c>
      <c r="Q49" s="116">
        <f t="shared" ca="1" si="50"/>
        <v>0</v>
      </c>
      <c r="R49" s="113">
        <f t="shared" ca="1" si="51"/>
        <v>0</v>
      </c>
      <c r="S49" s="62">
        <f t="shared" ca="1" si="52"/>
        <v>0</v>
      </c>
      <c r="Z49" s="107"/>
      <c r="AA49" s="107"/>
      <c r="AB49" s="107"/>
      <c r="AC49" s="129"/>
      <c r="AD49" s="107"/>
      <c r="AE49" s="107"/>
      <c r="AF49" s="107"/>
      <c r="AH49" s="107"/>
      <c r="AI49" s="107"/>
      <c r="AJ49" s="107"/>
      <c r="AK49" s="129"/>
      <c r="AL49" s="107"/>
      <c r="AM49" s="107"/>
      <c r="AN49" s="107"/>
      <c r="AO49" s="107"/>
      <c r="AT49" s="107" t="e">
        <f ca="1"/>
        <v>#N/A</v>
      </c>
      <c r="AU49" s="107" t="b">
        <f ca="1"/>
        <v>0</v>
      </c>
    </row>
    <row r="50" spans="3:47" s="2" customFormat="1" x14ac:dyDescent="0.2">
      <c r="C50" s="3"/>
      <c r="D50" s="5"/>
      <c r="E50" s="5"/>
      <c r="F50" s="5"/>
      <c r="G50" s="5"/>
      <c r="H50" s="5"/>
      <c r="I50" s="224" t="s">
        <v>32</v>
      </c>
      <c r="J50" s="16" t="str">
        <f ca="1">Ergebnisse!$I25</f>
        <v>Eintracht Frankfurt</v>
      </c>
      <c r="K50" s="5" t="str">
        <f ca="1">Ergebnisse!$K25</f>
        <v>SSC Bosserode</v>
      </c>
      <c r="L50" s="5" t="str">
        <f ca="1">IF(AND(Ergebnisse!$L25&lt;&gt;"",Ergebnisse!$N25&lt;&gt;"",Ergebnisse!$I25&lt;&gt;Ergebnisse!$K25,$J50&lt;&gt;"",$K50&lt;&gt;""),Ergebnisse!$L25,"")</f>
        <v/>
      </c>
      <c r="M50" s="12" t="str">
        <f ca="1">IF(AND(Ergebnisse!$L25&lt;&gt;"",Ergebnisse!$N25&lt;&gt;"",Ergebnisse!$I25&lt;&gt;Ergebnisse!$K25,$J50&lt;&gt;"",$K50&lt;&gt;""),Ergebnisse!$N25,"")</f>
        <v/>
      </c>
      <c r="N50" s="5">
        <f t="shared" ca="1" si="49"/>
        <v>0</v>
      </c>
      <c r="O50" s="66">
        <f ca="1">IF($N50=0,0,IF($L50&gt;$M50,Einstellungen!$C$4,IF($L50=$M50,1,0)))</f>
        <v>0</v>
      </c>
      <c r="P50" s="5">
        <f ca="1">IF($N50=0,0,IF($L50&lt;$M50,Einstellungen!$C$4,IF($L50=$M50,1,0)))</f>
        <v>0</v>
      </c>
      <c r="Q50" s="116">
        <f t="shared" ca="1" si="50"/>
        <v>0</v>
      </c>
      <c r="R50" s="113">
        <f t="shared" ca="1" si="51"/>
        <v>0</v>
      </c>
      <c r="S50" s="62">
        <f t="shared" ca="1" si="52"/>
        <v>0</v>
      </c>
      <c r="Z50" s="107"/>
      <c r="AA50" s="107"/>
      <c r="AB50" s="107"/>
      <c r="AC50" s="129"/>
      <c r="AD50" s="107"/>
      <c r="AE50" s="107"/>
      <c r="AF50" s="107"/>
      <c r="AH50" s="107"/>
      <c r="AI50" s="107"/>
      <c r="AJ50" s="107"/>
      <c r="AK50" s="129"/>
      <c r="AL50" s="107"/>
      <c r="AM50" s="107"/>
      <c r="AN50" s="107"/>
      <c r="AO50" s="107"/>
      <c r="AT50" s="107">
        <f ca="1"/>
        <v>9</v>
      </c>
      <c r="AU50" s="107" t="b">
        <f ca="1"/>
        <v>1</v>
      </c>
    </row>
    <row r="51" spans="3:47" s="2" customFormat="1" x14ac:dyDescent="0.2">
      <c r="C51" s="3"/>
      <c r="D51" s="5"/>
      <c r="E51" s="5"/>
      <c r="F51" s="5"/>
      <c r="G51" s="5"/>
      <c r="H51" s="5"/>
      <c r="I51" s="224" t="s">
        <v>33</v>
      </c>
      <c r="J51" s="16" t="str">
        <f ca="1">Ergebnisse!$I26</f>
        <v>VFB Essenheim</v>
      </c>
      <c r="K51" s="5" t="str">
        <f ca="1">Ergebnisse!$K26</f>
        <v>1. FC Riedwald</v>
      </c>
      <c r="L51" s="5" t="str">
        <f ca="1">IF(AND(Ergebnisse!$L26&lt;&gt;"",Ergebnisse!$N26&lt;&gt;"",Ergebnisse!$I26&lt;&gt;Ergebnisse!$K26,$J51&lt;&gt;"",$K51&lt;&gt;""),Ergebnisse!$L26,"")</f>
        <v/>
      </c>
      <c r="M51" s="12" t="str">
        <f ca="1">IF(AND(Ergebnisse!$L26&lt;&gt;"",Ergebnisse!$N26&lt;&gt;"",Ergebnisse!$I26&lt;&gt;Ergebnisse!$K26,$J51&lt;&gt;"",$K51&lt;&gt;""),Ergebnisse!$N26,"")</f>
        <v/>
      </c>
      <c r="N51" s="5">
        <f t="shared" ca="1" si="49"/>
        <v>0</v>
      </c>
      <c r="O51" s="66">
        <f ca="1">IF($N51=0,0,IF($L51&gt;$M51,Einstellungen!$C$4,IF($L51=$M51,1,0)))</f>
        <v>0</v>
      </c>
      <c r="P51" s="5">
        <f ca="1">IF($N51=0,0,IF($L51&lt;$M51,Einstellungen!$C$4,IF($L51=$M51,1,0)))</f>
        <v>0</v>
      </c>
      <c r="Q51" s="116">
        <f t="shared" ca="1" si="50"/>
        <v>0</v>
      </c>
      <c r="R51" s="113">
        <f t="shared" ca="1" si="51"/>
        <v>0</v>
      </c>
      <c r="S51" s="62">
        <f t="shared" ca="1" si="52"/>
        <v>0</v>
      </c>
      <c r="Z51" s="109"/>
      <c r="AA51" s="109"/>
      <c r="AB51" s="109"/>
      <c r="AC51" s="109"/>
      <c r="AD51" s="109"/>
      <c r="AE51" s="109"/>
      <c r="AF51" s="109"/>
      <c r="AH51" s="109"/>
      <c r="AI51" s="109"/>
      <c r="AJ51" s="109"/>
      <c r="AK51" s="109"/>
      <c r="AL51" s="109"/>
      <c r="AM51" s="109"/>
      <c r="AN51" s="109"/>
      <c r="AO51" s="109"/>
      <c r="AT51" s="110">
        <f ca="1"/>
        <v>1</v>
      </c>
      <c r="AU51" s="109" t="b">
        <f ca="1"/>
        <v>1</v>
      </c>
    </row>
    <row r="52" spans="3:47" s="2" customFormat="1" x14ac:dyDescent="0.2">
      <c r="C52" s="3"/>
      <c r="D52" s="5"/>
      <c r="E52" s="5"/>
      <c r="F52" s="5"/>
      <c r="G52" s="5"/>
      <c r="H52" s="5"/>
      <c r="I52" s="224" t="s">
        <v>34</v>
      </c>
      <c r="J52" s="16" t="str">
        <f ca="1">Ergebnisse!$I27</f>
        <v>Maibach 1822 eV</v>
      </c>
      <c r="K52" s="5" t="str">
        <f ca="1">Ergebnisse!$K27</f>
        <v>Inter Mailand</v>
      </c>
      <c r="L52" s="5" t="str">
        <f ca="1">IF(AND(Ergebnisse!$L27&lt;&gt;"",Ergebnisse!$N27&lt;&gt;"",Ergebnisse!$I27&lt;&gt;Ergebnisse!$K27,$J52&lt;&gt;"",$K52&lt;&gt;""),Ergebnisse!$L27,"")</f>
        <v/>
      </c>
      <c r="M52" s="12" t="str">
        <f ca="1">IF(AND(Ergebnisse!$L27&lt;&gt;"",Ergebnisse!$N27&lt;&gt;"",Ergebnisse!$I27&lt;&gt;Ergebnisse!$K27,$J52&lt;&gt;"",$K52&lt;&gt;""),Ergebnisse!$N27,"")</f>
        <v/>
      </c>
      <c r="N52" s="5">
        <f t="shared" ca="1" si="49"/>
        <v>0</v>
      </c>
      <c r="O52" s="66">
        <f ca="1">IF($N52=0,0,IF($L52&gt;$M52,Einstellungen!$C$4,IF($L52=$M52,1,0)))</f>
        <v>0</v>
      </c>
      <c r="P52" s="5">
        <f ca="1">IF($N52=0,0,IF($L52&lt;$M52,Einstellungen!$C$4,IF($L52=$M52,1,0)))</f>
        <v>0</v>
      </c>
      <c r="Q52" s="116">
        <f t="shared" ca="1" si="50"/>
        <v>0</v>
      </c>
      <c r="R52" s="113">
        <f t="shared" ca="1" si="51"/>
        <v>0</v>
      </c>
      <c r="S52" s="62">
        <f t="shared" ca="1" si="52"/>
        <v>0</v>
      </c>
      <c r="Z52" s="109"/>
      <c r="AA52" s="109"/>
      <c r="AB52" s="109"/>
      <c r="AC52" s="109"/>
      <c r="AD52" s="109"/>
      <c r="AE52" s="111"/>
      <c r="AF52" s="109"/>
      <c r="AH52" s="109"/>
      <c r="AI52" s="109"/>
      <c r="AJ52" s="109"/>
      <c r="AK52" s="109"/>
      <c r="AL52" s="109"/>
      <c r="AM52" s="109"/>
      <c r="AN52" s="111"/>
      <c r="AO52" s="109"/>
      <c r="AT52" s="110">
        <f ca="1"/>
        <v>6</v>
      </c>
      <c r="AU52" s="109" t="b">
        <f ca="1"/>
        <v>1</v>
      </c>
    </row>
    <row r="53" spans="3:47" s="2" customFormat="1" x14ac:dyDescent="0.2">
      <c r="C53" s="3"/>
      <c r="E53" s="5"/>
      <c r="F53" s="5"/>
      <c r="G53" s="5"/>
      <c r="H53" s="5"/>
      <c r="I53" s="224" t="s">
        <v>35</v>
      </c>
      <c r="J53" s="16" t="str">
        <f ca="1">Ergebnisse!$I28</f>
        <v>SSV Wildbach</v>
      </c>
      <c r="K53" s="5" t="str">
        <f ca="1">Ergebnisse!$K28</f>
        <v>Eintracht Frankfurt</v>
      </c>
      <c r="L53" s="5" t="str">
        <f ca="1">IF(AND(Ergebnisse!$L28&lt;&gt;"",Ergebnisse!$N28&lt;&gt;"",Ergebnisse!$I28&lt;&gt;Ergebnisse!$K28,$J53&lt;&gt;"",$K53&lt;&gt;""),Ergebnisse!$L28,"")</f>
        <v/>
      </c>
      <c r="M53" s="12" t="str">
        <f ca="1">IF(AND(Ergebnisse!$L28&lt;&gt;"",Ergebnisse!$N28&lt;&gt;"",Ergebnisse!$I28&lt;&gt;Ergebnisse!$K28,$J53&lt;&gt;"",$K53&lt;&gt;""),Ergebnisse!$N28,"")</f>
        <v/>
      </c>
      <c r="N53" s="5">
        <f t="shared" ca="1" si="49"/>
        <v>0</v>
      </c>
      <c r="O53" s="66">
        <f ca="1">IF($N53=0,0,IF($L53&gt;$M53,Einstellungen!$C$4,IF($L53=$M53,1,0)))</f>
        <v>0</v>
      </c>
      <c r="P53" s="5">
        <f ca="1">IF($N53=0,0,IF($L53&lt;$M53,Einstellungen!$C$4,IF($L53=$M53,1,0)))</f>
        <v>0</v>
      </c>
      <c r="Q53" s="116">
        <f t="shared" ca="1" si="50"/>
        <v>0</v>
      </c>
      <c r="R53" s="113">
        <f t="shared" ca="1" si="51"/>
        <v>0</v>
      </c>
      <c r="S53" s="62">
        <f t="shared" ca="1" si="52"/>
        <v>0</v>
      </c>
      <c r="Z53" s="107"/>
      <c r="AA53" s="107"/>
      <c r="AB53" s="107"/>
      <c r="AC53" s="129"/>
      <c r="AD53" s="107"/>
      <c r="AE53" s="107"/>
      <c r="AF53" s="107"/>
      <c r="AH53" s="107"/>
      <c r="AI53" s="107"/>
      <c r="AJ53" s="107"/>
      <c r="AK53" s="129"/>
      <c r="AL53" s="107"/>
      <c r="AM53" s="107"/>
      <c r="AN53" s="107"/>
      <c r="AO53" s="107"/>
      <c r="AT53" s="107">
        <f ca="1"/>
        <v>3</v>
      </c>
      <c r="AU53" s="107" t="b">
        <f ca="1"/>
        <v>1</v>
      </c>
    </row>
    <row r="54" spans="3:47" s="2" customFormat="1" x14ac:dyDescent="0.2">
      <c r="C54" s="3"/>
      <c r="D54" s="1"/>
      <c r="E54" s="5"/>
      <c r="F54" s="105"/>
      <c r="G54" s="5"/>
      <c r="H54" s="5"/>
      <c r="I54" s="224" t="s">
        <v>36</v>
      </c>
      <c r="J54" s="16" t="str">
        <f ca="1">Ergebnisse!$I29</f>
        <v>FC Barcelona</v>
      </c>
      <c r="K54" s="5" t="str">
        <f ca="1">Ergebnisse!$K29</f>
        <v>SV Obersuhl</v>
      </c>
      <c r="L54" s="5" t="str">
        <f ca="1">IF(AND(Ergebnisse!$L29&lt;&gt;"",Ergebnisse!$N29&lt;&gt;"",Ergebnisse!$I29&lt;&gt;Ergebnisse!$K29,$J54&lt;&gt;"",$K54&lt;&gt;""),Ergebnisse!$L29,"")</f>
        <v/>
      </c>
      <c r="M54" s="12" t="str">
        <f ca="1">IF(AND(Ergebnisse!$L29&lt;&gt;"",Ergebnisse!$N29&lt;&gt;"",Ergebnisse!$I29&lt;&gt;Ergebnisse!$K29,$J54&lt;&gt;"",$K54&lt;&gt;""),Ergebnisse!$N29,"")</f>
        <v/>
      </c>
      <c r="N54" s="5">
        <f t="shared" ca="1" si="49"/>
        <v>0</v>
      </c>
      <c r="O54" s="66">
        <f ca="1">IF($N54=0,0,IF($L54&gt;$M54,Einstellungen!$C$4,IF($L54=$M54,1,0)))</f>
        <v>0</v>
      </c>
      <c r="P54" s="5">
        <f ca="1">IF($N54=0,0,IF($L54&lt;$M54,Einstellungen!$C$4,IF($L54=$M54,1,0)))</f>
        <v>0</v>
      </c>
      <c r="Q54" s="116">
        <f t="shared" ca="1" si="50"/>
        <v>0</v>
      </c>
      <c r="R54" s="113">
        <f t="shared" ca="1" si="51"/>
        <v>0</v>
      </c>
      <c r="S54" s="62">
        <f t="shared" ca="1" si="52"/>
        <v>0</v>
      </c>
      <c r="Z54" s="107"/>
      <c r="AA54" s="107"/>
      <c r="AB54" s="107"/>
      <c r="AC54" s="129"/>
      <c r="AD54" s="107"/>
      <c r="AE54" s="107"/>
      <c r="AF54" s="107"/>
      <c r="AH54" s="107"/>
      <c r="AI54" s="107"/>
      <c r="AJ54" s="107"/>
      <c r="AK54" s="129"/>
      <c r="AL54" s="107"/>
      <c r="AM54" s="107"/>
      <c r="AN54" s="107"/>
      <c r="AO54" s="107"/>
      <c r="AT54" s="107">
        <f ca="1"/>
        <v>8</v>
      </c>
      <c r="AU54" s="107" t="b">
        <f ca="1"/>
        <v>1</v>
      </c>
    </row>
    <row r="55" spans="3:47" s="2" customFormat="1" x14ac:dyDescent="0.2">
      <c r="C55" s="3"/>
      <c r="D55" s="1"/>
      <c r="E55" s="5"/>
      <c r="F55" s="5"/>
      <c r="G55" s="5"/>
      <c r="H55" s="5"/>
      <c r="I55" s="224" t="s">
        <v>37</v>
      </c>
      <c r="J55" s="16" t="str">
        <f ca="1">Ergebnisse!$I30</f>
        <v>1. FC Riedwald</v>
      </c>
      <c r="K55" s="5" t="str">
        <f ca="1">Ergebnisse!$K30</f>
        <v>Maibach 1822 eV</v>
      </c>
      <c r="L55" s="5" t="str">
        <f ca="1">IF(AND(Ergebnisse!$L30&lt;&gt;"",Ergebnisse!$N30&lt;&gt;"",Ergebnisse!$I30&lt;&gt;Ergebnisse!$K30,$J55&lt;&gt;"",$K55&lt;&gt;""),Ergebnisse!$L30,"")</f>
        <v/>
      </c>
      <c r="M55" s="12" t="str">
        <f ca="1">IF(AND(Ergebnisse!$L30&lt;&gt;"",Ergebnisse!$N30&lt;&gt;"",Ergebnisse!$I30&lt;&gt;Ergebnisse!$K30,$J55&lt;&gt;"",$K55&lt;&gt;""),Ergebnisse!$N30,"")</f>
        <v/>
      </c>
      <c r="N55" s="5">
        <f t="shared" ca="1" si="49"/>
        <v>0</v>
      </c>
      <c r="O55" s="66">
        <f ca="1">IF($N55=0,0,IF($L55&gt;$M55,Einstellungen!$C$4,IF($L55=$M55,1,0)))</f>
        <v>0</v>
      </c>
      <c r="P55" s="5">
        <f ca="1">IF($N55=0,0,IF($L55&lt;$M55,Einstellungen!$C$4,IF($L55=$M55,1,0)))</f>
        <v>0</v>
      </c>
      <c r="Q55" s="116">
        <f t="shared" ca="1" si="50"/>
        <v>0</v>
      </c>
      <c r="R55" s="113">
        <f t="shared" ca="1" si="51"/>
        <v>0</v>
      </c>
      <c r="S55" s="62">
        <f t="shared" ca="1" si="52"/>
        <v>0</v>
      </c>
      <c r="Z55" s="107"/>
      <c r="AA55" s="107"/>
      <c r="AB55" s="107"/>
      <c r="AC55" s="129"/>
      <c r="AD55" s="107"/>
      <c r="AE55" s="107"/>
      <c r="AF55" s="107"/>
      <c r="AH55" s="107"/>
      <c r="AI55" s="107"/>
      <c r="AJ55" s="107"/>
      <c r="AK55" s="129"/>
      <c r="AL55" s="107"/>
      <c r="AM55" s="107"/>
      <c r="AN55" s="107"/>
      <c r="AO55" s="107"/>
      <c r="AT55" s="107" t="e">
        <f ca="1"/>
        <v>#N/A</v>
      </c>
      <c r="AU55" s="107" t="b">
        <f ca="1"/>
        <v>0</v>
      </c>
    </row>
    <row r="56" spans="3:47" s="2" customFormat="1" x14ac:dyDescent="0.2">
      <c r="C56" s="3"/>
      <c r="D56" s="1"/>
      <c r="E56" s="5"/>
      <c r="F56" s="105"/>
      <c r="G56" s="5"/>
      <c r="H56" s="5"/>
      <c r="I56" s="224" t="s">
        <v>38</v>
      </c>
      <c r="J56" s="16" t="str">
        <f ca="1">Ergebnisse!$I31</f>
        <v>Eintracht Frankfurt</v>
      </c>
      <c r="K56" s="5" t="str">
        <f ca="1">Ergebnisse!$K31</f>
        <v>VFB Essenheim</v>
      </c>
      <c r="L56" s="5" t="str">
        <f ca="1">IF(AND(Ergebnisse!$L31&lt;&gt;"",Ergebnisse!$N31&lt;&gt;"",Ergebnisse!$I31&lt;&gt;Ergebnisse!$K31,$J56&lt;&gt;"",$K56&lt;&gt;""),Ergebnisse!$L31,"")</f>
        <v/>
      </c>
      <c r="M56" s="12" t="str">
        <f ca="1">IF(AND(Ergebnisse!$L31&lt;&gt;"",Ergebnisse!$N31&lt;&gt;"",Ergebnisse!$I31&lt;&gt;Ergebnisse!$K31,$J56&lt;&gt;"",$K56&lt;&gt;""),Ergebnisse!$N31,"")</f>
        <v/>
      </c>
      <c r="N56" s="5">
        <f t="shared" ca="1" si="49"/>
        <v>0</v>
      </c>
      <c r="O56" s="66">
        <f ca="1">IF($N56=0,0,IF($L56&gt;$M56,Einstellungen!$C$4,IF($L56=$M56,1,0)))</f>
        <v>0</v>
      </c>
      <c r="P56" s="5">
        <f ca="1">IF($N56=0,0,IF($L56&lt;$M56,Einstellungen!$C$4,IF($L56=$M56,1,0)))</f>
        <v>0</v>
      </c>
      <c r="Q56" s="116">
        <f t="shared" ca="1" si="50"/>
        <v>0</v>
      </c>
      <c r="R56" s="113">
        <f t="shared" ca="1" si="51"/>
        <v>0</v>
      </c>
      <c r="S56" s="62">
        <f t="shared" ca="1" si="52"/>
        <v>0</v>
      </c>
      <c r="Z56" s="107"/>
      <c r="AA56" s="107"/>
      <c r="AB56" s="107"/>
      <c r="AC56" s="129"/>
      <c r="AD56" s="107"/>
      <c r="AE56" s="107"/>
      <c r="AF56" s="107"/>
      <c r="AH56" s="107"/>
      <c r="AI56" s="107"/>
      <c r="AJ56" s="107"/>
      <c r="AK56" s="129"/>
      <c r="AL56" s="107"/>
      <c r="AM56" s="107"/>
      <c r="AN56" s="107"/>
      <c r="AO56" s="107"/>
      <c r="AT56" s="107" t="e">
        <f ca="1"/>
        <v>#N/A</v>
      </c>
      <c r="AU56" s="107" t="b">
        <f ca="1"/>
        <v>0</v>
      </c>
    </row>
    <row r="57" spans="3:47" s="2" customFormat="1" x14ac:dyDescent="0.2">
      <c r="C57" s="3"/>
      <c r="D57" s="1"/>
      <c r="E57" s="5"/>
      <c r="F57" s="5"/>
      <c r="G57" s="5"/>
      <c r="H57" s="5"/>
      <c r="I57" s="224" t="s">
        <v>39</v>
      </c>
      <c r="J57" s="16" t="str">
        <f ca="1">Ergebnisse!$I32</f>
        <v>Inter Mailand</v>
      </c>
      <c r="K57" s="5" t="str">
        <f ca="1">Ergebnisse!$K32</f>
        <v>FC Barcelona</v>
      </c>
      <c r="L57" s="5" t="str">
        <f ca="1">IF(AND(Ergebnisse!$L32&lt;&gt;"",Ergebnisse!$N32&lt;&gt;"",Ergebnisse!$I32&lt;&gt;Ergebnisse!$K32,$J57&lt;&gt;"",$K57&lt;&gt;""),Ergebnisse!$L32,"")</f>
        <v/>
      </c>
      <c r="M57" s="12" t="str">
        <f ca="1">IF(AND(Ergebnisse!$L32&lt;&gt;"",Ergebnisse!$N32&lt;&gt;"",Ergebnisse!$I32&lt;&gt;Ergebnisse!$K32,$J57&lt;&gt;"",$K57&lt;&gt;""),Ergebnisse!$N32,"")</f>
        <v/>
      </c>
      <c r="N57" s="5">
        <f t="shared" ca="1" si="49"/>
        <v>0</v>
      </c>
      <c r="O57" s="66">
        <f ca="1">IF($N57=0,0,IF($L57&gt;$M57,Einstellungen!$C$4,IF($L57=$M57,1,0)))</f>
        <v>0</v>
      </c>
      <c r="P57" s="5">
        <f ca="1">IF($N57=0,0,IF($L57&lt;$M57,Einstellungen!$C$4,IF($L57=$M57,1,0)))</f>
        <v>0</v>
      </c>
      <c r="Q57" s="116">
        <f t="shared" ca="1" si="50"/>
        <v>0</v>
      </c>
      <c r="R57" s="113">
        <f t="shared" ca="1" si="51"/>
        <v>0</v>
      </c>
      <c r="S57" s="62">
        <f t="shared" ca="1" si="52"/>
        <v>0</v>
      </c>
      <c r="Z57" s="107"/>
      <c r="AA57" s="107"/>
      <c r="AB57" s="107"/>
      <c r="AC57" s="129"/>
      <c r="AD57" s="107"/>
      <c r="AE57" s="107"/>
      <c r="AF57" s="107"/>
      <c r="AH57" s="107"/>
      <c r="AI57" s="107"/>
      <c r="AJ57" s="107"/>
      <c r="AK57" s="129"/>
      <c r="AL57" s="107"/>
      <c r="AM57" s="107"/>
      <c r="AN57" s="107"/>
      <c r="AO57" s="107"/>
      <c r="AT57" s="107">
        <f ca="1"/>
        <v>2</v>
      </c>
      <c r="AU57" s="107" t="b">
        <f ca="1"/>
        <v>1</v>
      </c>
    </row>
    <row r="58" spans="3:47" s="2" customFormat="1" x14ac:dyDescent="0.2">
      <c r="C58" s="3"/>
      <c r="D58" s="1"/>
      <c r="E58" s="5"/>
      <c r="F58" s="5"/>
      <c r="G58" s="5"/>
      <c r="H58" s="5"/>
      <c r="I58" s="224" t="s">
        <v>40</v>
      </c>
      <c r="J58" s="16" t="str">
        <f ca="1">Ergebnisse!$I33</f>
        <v>SV Obersuhl</v>
      </c>
      <c r="K58" s="5" t="str">
        <f ca="1">Ergebnisse!$K33</f>
        <v>SSC Bosserode</v>
      </c>
      <c r="L58" s="5">
        <f ca="1">IF(AND(Ergebnisse!$L33&lt;&gt;"",Ergebnisse!$N33&lt;&gt;"",Ergebnisse!$I33&lt;&gt;Ergebnisse!$K33,$J58&lt;&gt;"",$K58&lt;&gt;""),Ergebnisse!$L33,"")</f>
        <v>0</v>
      </c>
      <c r="M58" s="12">
        <f ca="1">IF(AND(Ergebnisse!$L33&lt;&gt;"",Ergebnisse!$N33&lt;&gt;"",Ergebnisse!$I33&lt;&gt;Ergebnisse!$K33,$J58&lt;&gt;"",$K58&lt;&gt;""),Ergebnisse!$N33,"")</f>
        <v>2</v>
      </c>
      <c r="N58" s="5">
        <f t="shared" ca="1" si="49"/>
        <v>1</v>
      </c>
      <c r="O58" s="66">
        <f ca="1">IF($N58=0,0,IF($L58&gt;$M58,Einstellungen!$C$4,IF($L58=$M58,1,0)))</f>
        <v>0</v>
      </c>
      <c r="P58" s="5">
        <f ca="1">IF($N58=0,0,IF($L58&lt;$M58,Einstellungen!$C$4,IF($L58=$M58,1,0)))</f>
        <v>3</v>
      </c>
      <c r="Q58" s="116">
        <f t="shared" ca="1" si="50"/>
        <v>-2</v>
      </c>
      <c r="R58" s="113">
        <f t="shared" ca="1" si="51"/>
        <v>0</v>
      </c>
      <c r="S58" s="62">
        <f t="shared" ca="1" si="52"/>
        <v>2</v>
      </c>
      <c r="Z58" s="107"/>
      <c r="AA58" s="107"/>
      <c r="AB58" s="107"/>
      <c r="AC58" s="129"/>
      <c r="AD58" s="107"/>
      <c r="AE58" s="107"/>
      <c r="AF58" s="107"/>
      <c r="AH58" s="107"/>
      <c r="AI58" s="107"/>
      <c r="AJ58" s="107"/>
      <c r="AK58" s="129"/>
      <c r="AL58" s="107"/>
      <c r="AM58" s="107"/>
      <c r="AN58" s="107"/>
      <c r="AO58" s="107"/>
      <c r="AT58" s="107">
        <f ca="1"/>
        <v>9</v>
      </c>
      <c r="AU58" s="107" t="b">
        <f ca="1"/>
        <v>1</v>
      </c>
    </row>
    <row r="59" spans="3:47" s="2" customFormat="1" x14ac:dyDescent="0.2">
      <c r="C59" s="3"/>
      <c r="D59" s="1"/>
      <c r="E59" s="5"/>
      <c r="F59" s="5"/>
      <c r="G59" s="5"/>
      <c r="H59" s="5"/>
      <c r="I59" s="224" t="s">
        <v>41</v>
      </c>
      <c r="J59" s="16" t="str">
        <f ca="1">Ergebnisse!$I34</f>
        <v>Eintracht Frankfurt</v>
      </c>
      <c r="K59" s="5" t="str">
        <f ca="1">Ergebnisse!$K34</f>
        <v>1. FC Riedwald</v>
      </c>
      <c r="L59" s="5">
        <f ca="1">IF(AND(Ergebnisse!$L34&lt;&gt;"",Ergebnisse!$N34&lt;&gt;"",Ergebnisse!$I34&lt;&gt;Ergebnisse!$K34,$J59&lt;&gt;"",$K59&lt;&gt;""),Ergebnisse!$L34,"")</f>
        <v>2</v>
      </c>
      <c r="M59" s="12">
        <f ca="1">IF(AND(Ergebnisse!$L34&lt;&gt;"",Ergebnisse!$N34&lt;&gt;"",Ergebnisse!$I34&lt;&gt;Ergebnisse!$K34,$J59&lt;&gt;"",$K59&lt;&gt;""),Ergebnisse!$N34,"")</f>
        <v>1</v>
      </c>
      <c r="N59" s="5">
        <f t="shared" ca="1" si="49"/>
        <v>1</v>
      </c>
      <c r="O59" s="66">
        <f ca="1">IF($N59=0,0,IF($L59&gt;$M59,Einstellungen!$C$4,IF($L59=$M59,1,0)))</f>
        <v>3</v>
      </c>
      <c r="P59" s="5">
        <f ca="1">IF($N59=0,0,IF($L59&lt;$M59,Einstellungen!$C$4,IF($L59=$M59,1,0)))</f>
        <v>0</v>
      </c>
      <c r="Q59" s="116">
        <f t="shared" ca="1" si="50"/>
        <v>1</v>
      </c>
      <c r="R59" s="113">
        <f t="shared" ca="1" si="51"/>
        <v>2</v>
      </c>
      <c r="S59" s="62">
        <f t="shared" ca="1" si="52"/>
        <v>1</v>
      </c>
      <c r="Z59" s="107"/>
      <c r="AA59" s="107"/>
      <c r="AB59" s="107"/>
      <c r="AC59" s="129"/>
      <c r="AD59" s="107"/>
      <c r="AE59" s="107"/>
      <c r="AF59" s="107"/>
      <c r="AH59" s="107"/>
      <c r="AI59" s="107"/>
      <c r="AJ59" s="107"/>
      <c r="AK59" s="129"/>
      <c r="AL59" s="107"/>
      <c r="AM59" s="107"/>
      <c r="AN59" s="107"/>
      <c r="AO59" s="107"/>
      <c r="AT59" s="107">
        <f ca="1"/>
        <v>1</v>
      </c>
      <c r="AU59" s="107" t="b">
        <f ca="1"/>
        <v>1</v>
      </c>
    </row>
    <row r="60" spans="3:47" s="2" customFormat="1" x14ac:dyDescent="0.2">
      <c r="C60" s="3"/>
      <c r="D60" s="1"/>
      <c r="E60" s="5"/>
      <c r="F60" s="5"/>
      <c r="G60" s="5"/>
      <c r="H60" s="5"/>
      <c r="I60" s="224" t="s">
        <v>42</v>
      </c>
      <c r="J60" s="16" t="str">
        <f ca="1">Ergebnisse!$I35</f>
        <v>FC Barcelona</v>
      </c>
      <c r="K60" s="5" t="str">
        <f ca="1">Ergebnisse!$K35</f>
        <v>Maibach 1822 eV</v>
      </c>
      <c r="L60" s="5" t="str">
        <f ca="1">IF(AND(Ergebnisse!$L35&lt;&gt;"",Ergebnisse!$N35&lt;&gt;"",Ergebnisse!$I35&lt;&gt;Ergebnisse!$K35,$J60&lt;&gt;"",$K60&lt;&gt;""),Ergebnisse!$L35,"")</f>
        <v/>
      </c>
      <c r="M60" s="12" t="str">
        <f ca="1">IF(AND(Ergebnisse!$L35&lt;&gt;"",Ergebnisse!$N35&lt;&gt;"",Ergebnisse!$I35&lt;&gt;Ergebnisse!$K35,$J60&lt;&gt;"",$K60&lt;&gt;""),Ergebnisse!$N35,"")</f>
        <v/>
      </c>
      <c r="N60" s="5">
        <f t="shared" ca="1" si="49"/>
        <v>0</v>
      </c>
      <c r="O60" s="66">
        <f ca="1">IF($N60=0,0,IF($L60&gt;$M60,Einstellungen!$C$4,IF($L60=$M60,1,0)))</f>
        <v>0</v>
      </c>
      <c r="P60" s="5">
        <f ca="1">IF($N60=0,0,IF($L60&lt;$M60,Einstellungen!$C$4,IF($L60=$M60,1,0)))</f>
        <v>0</v>
      </c>
      <c r="Q60" s="116">
        <f t="shared" ca="1" si="50"/>
        <v>0</v>
      </c>
      <c r="R60" s="113">
        <f t="shared" ca="1" si="51"/>
        <v>0</v>
      </c>
      <c r="S60" s="62">
        <f t="shared" ca="1" si="52"/>
        <v>0</v>
      </c>
      <c r="Z60" s="107"/>
      <c r="AA60" s="107"/>
      <c r="AB60" s="107"/>
      <c r="AC60" s="129"/>
      <c r="AD60" s="107"/>
      <c r="AE60" s="107"/>
      <c r="AF60" s="107"/>
      <c r="AH60" s="107"/>
      <c r="AI60" s="107"/>
      <c r="AJ60" s="107"/>
      <c r="AK60" s="129"/>
      <c r="AL60" s="107"/>
      <c r="AM60" s="107"/>
      <c r="AN60" s="107"/>
      <c r="AO60" s="107"/>
      <c r="AT60" s="107" t="e">
        <f ca="1"/>
        <v>#N/A</v>
      </c>
      <c r="AU60" s="107" t="b">
        <f ca="1"/>
        <v>0</v>
      </c>
    </row>
    <row r="61" spans="3:47" s="2" customFormat="1" x14ac:dyDescent="0.2">
      <c r="C61" s="3"/>
      <c r="D61" s="1"/>
      <c r="E61" s="5"/>
      <c r="F61" s="5"/>
      <c r="G61" s="5"/>
      <c r="H61" s="5"/>
      <c r="I61" s="224" t="s">
        <v>43</v>
      </c>
      <c r="J61" s="16" t="str">
        <f ca="1">Ergebnisse!$I36</f>
        <v>SSC Bosserode</v>
      </c>
      <c r="K61" s="5" t="str">
        <f ca="1">Ergebnisse!$K36</f>
        <v>Inter Mailand</v>
      </c>
      <c r="L61" s="5" t="str">
        <f ca="1">IF(AND(Ergebnisse!$L36&lt;&gt;"",Ergebnisse!$N36&lt;&gt;"",Ergebnisse!$I36&lt;&gt;Ergebnisse!$K36,$J61&lt;&gt;"",$K61&lt;&gt;""),Ergebnisse!$L36,"")</f>
        <v/>
      </c>
      <c r="M61" s="12" t="str">
        <f ca="1">IF(AND(Ergebnisse!$L36&lt;&gt;"",Ergebnisse!$N36&lt;&gt;"",Ergebnisse!$I36&lt;&gt;Ergebnisse!$K36,$J61&lt;&gt;"",$K61&lt;&gt;""),Ergebnisse!$N36,"")</f>
        <v/>
      </c>
      <c r="N61" s="5">
        <f t="shared" ca="1" si="49"/>
        <v>0</v>
      </c>
      <c r="O61" s="66">
        <f ca="1">IF($N61=0,0,IF($L61&gt;$M61,Einstellungen!$C$4,IF($L61=$M61,1,0)))</f>
        <v>0</v>
      </c>
      <c r="P61" s="5">
        <f ca="1">IF($N61=0,0,IF($L61&lt;$M61,Einstellungen!$C$4,IF($L61=$M61,1,0)))</f>
        <v>0</v>
      </c>
      <c r="Q61" s="116">
        <f t="shared" ca="1" si="50"/>
        <v>0</v>
      </c>
      <c r="R61" s="113">
        <f t="shared" ca="1" si="51"/>
        <v>0</v>
      </c>
      <c r="S61" s="62">
        <f t="shared" ca="1" si="52"/>
        <v>0</v>
      </c>
      <c r="Z61" s="107"/>
      <c r="AA61" s="107"/>
      <c r="AB61" s="107"/>
      <c r="AC61" s="129"/>
      <c r="AD61" s="107"/>
      <c r="AE61" s="107"/>
      <c r="AF61" s="107"/>
      <c r="AH61" s="107"/>
      <c r="AI61" s="107"/>
      <c r="AJ61" s="107"/>
      <c r="AK61" s="129"/>
      <c r="AL61" s="107"/>
      <c r="AM61" s="107"/>
      <c r="AN61" s="107"/>
      <c r="AO61" s="107"/>
      <c r="AT61" s="107">
        <f ca="1"/>
        <v>6</v>
      </c>
      <c r="AU61" s="107" t="b">
        <f ca="1"/>
        <v>1</v>
      </c>
    </row>
    <row r="62" spans="3:47" s="2" customFormat="1" x14ac:dyDescent="0.2">
      <c r="C62" s="3"/>
      <c r="D62" s="5"/>
      <c r="E62" s="5"/>
      <c r="F62" s="5"/>
      <c r="G62" s="5"/>
      <c r="H62" s="5"/>
      <c r="I62" s="224" t="s">
        <v>44</v>
      </c>
      <c r="J62" s="16" t="str">
        <f ca="1">Ergebnisse!$I37</f>
        <v>SSV Wildbach</v>
      </c>
      <c r="K62" s="5" t="str">
        <f ca="1">Ergebnisse!$K37</f>
        <v>SV Obersuhl</v>
      </c>
      <c r="L62" s="5" t="str">
        <f ca="1">IF(AND(Ergebnisse!$L37&lt;&gt;"",Ergebnisse!$N37&lt;&gt;"",Ergebnisse!$I37&lt;&gt;Ergebnisse!$K37,$J62&lt;&gt;"",$K62&lt;&gt;""),Ergebnisse!$L37,"")</f>
        <v/>
      </c>
      <c r="M62" s="12" t="str">
        <f ca="1">IF(AND(Ergebnisse!$L37&lt;&gt;"",Ergebnisse!$N37&lt;&gt;"",Ergebnisse!$I37&lt;&gt;Ergebnisse!$K37,$J62&lt;&gt;"",$K62&lt;&gt;""),Ergebnisse!$N37,"")</f>
        <v/>
      </c>
      <c r="N62" s="5">
        <f t="shared" ca="1" si="49"/>
        <v>0</v>
      </c>
      <c r="O62" s="66">
        <f ca="1">IF($N62=0,0,IF($L62&gt;$M62,Einstellungen!$C$4,IF($L62=$M62,1,0)))</f>
        <v>0</v>
      </c>
      <c r="P62" s="5">
        <f ca="1">IF($N62=0,0,IF($L62&lt;$M62,Einstellungen!$C$4,IF($L62=$M62,1,0)))</f>
        <v>0</v>
      </c>
      <c r="Q62" s="116">
        <f t="shared" ca="1" si="50"/>
        <v>0</v>
      </c>
      <c r="R62" s="113">
        <f t="shared" ca="1" si="51"/>
        <v>0</v>
      </c>
      <c r="S62" s="62">
        <f t="shared" ca="1" si="52"/>
        <v>0</v>
      </c>
      <c r="AT62" s="1">
        <f ca="1"/>
        <v>8</v>
      </c>
      <c r="AU62" s="2" t="b">
        <f ca="1"/>
        <v>1</v>
      </c>
    </row>
    <row r="63" spans="3:47" s="2" customFormat="1" x14ac:dyDescent="0.2">
      <c r="C63" s="3"/>
      <c r="D63" s="5"/>
      <c r="E63" s="5"/>
      <c r="F63" s="5"/>
      <c r="G63" s="5"/>
      <c r="H63" s="5"/>
      <c r="I63" s="224" t="s">
        <v>45</v>
      </c>
      <c r="J63" s="16" t="str">
        <f ca="1">Ergebnisse!$I38</f>
        <v>1. FC Riedwald</v>
      </c>
      <c r="K63" s="5" t="str">
        <f ca="1">Ergebnisse!$K38</f>
        <v>FC Barcelona</v>
      </c>
      <c r="L63" s="5">
        <f ca="1">IF(AND(Ergebnisse!$L38&lt;&gt;"",Ergebnisse!$N38&lt;&gt;"",Ergebnisse!$I38&lt;&gt;Ergebnisse!$K38,$J63&lt;&gt;"",$K63&lt;&gt;""),Ergebnisse!$L38,"")</f>
        <v>2</v>
      </c>
      <c r="M63" s="12">
        <f ca="1">IF(AND(Ergebnisse!$L38&lt;&gt;"",Ergebnisse!$N38&lt;&gt;"",Ergebnisse!$I38&lt;&gt;Ergebnisse!$K38,$J63&lt;&gt;"",$K63&lt;&gt;""),Ergebnisse!$N38,"")</f>
        <v>0</v>
      </c>
      <c r="N63" s="5">
        <f t="shared" ca="1" si="49"/>
        <v>1</v>
      </c>
      <c r="O63" s="66">
        <f ca="1">IF($N63=0,0,IF($L63&gt;$M63,Einstellungen!$C$4,IF($L63=$M63,1,0)))</f>
        <v>3</v>
      </c>
      <c r="P63" s="5">
        <f ca="1">IF($N63=0,0,IF($L63&lt;$M63,Einstellungen!$C$4,IF($L63=$M63,1,0)))</f>
        <v>0</v>
      </c>
      <c r="Q63" s="116">
        <f t="shared" ref="Q63:Q94" ca="1" si="53">IF(OR(L63="",M63=""),0,L63-M63)</f>
        <v>2</v>
      </c>
      <c r="R63" s="113">
        <f t="shared" ref="R63:R94" ca="1" si="54">IF(OR(L63="",M63=""),0,L63)</f>
        <v>2</v>
      </c>
      <c r="S63" s="62">
        <f t="shared" ref="S63:S94" ca="1" si="55">IF(OR(L63="",M63=""),0,M63)</f>
        <v>0</v>
      </c>
      <c r="AT63" s="1">
        <f ca="1"/>
        <v>2</v>
      </c>
      <c r="AU63" s="2" t="b">
        <f ca="1"/>
        <v>1</v>
      </c>
    </row>
    <row r="64" spans="3:47" s="2" customFormat="1" x14ac:dyDescent="0.2">
      <c r="C64" s="3"/>
      <c r="D64" s="5"/>
      <c r="E64" s="5"/>
      <c r="F64" s="5"/>
      <c r="G64" s="5"/>
      <c r="H64" s="5"/>
      <c r="I64" s="224" t="s">
        <v>46</v>
      </c>
      <c r="J64" s="16" t="str">
        <f ca="1">Ergebnisse!$I39</f>
        <v>Maibach 1822 eV</v>
      </c>
      <c r="K64" s="5" t="str">
        <f ca="1">Ergebnisse!$K39</f>
        <v>SSC Bosserode</v>
      </c>
      <c r="L64" s="5" t="str">
        <f ca="1">IF(AND(Ergebnisse!$L39&lt;&gt;"",Ergebnisse!$N39&lt;&gt;"",Ergebnisse!$I39&lt;&gt;Ergebnisse!$K39,$J64&lt;&gt;"",$K64&lt;&gt;""),Ergebnisse!$L39,"")</f>
        <v/>
      </c>
      <c r="M64" s="12" t="str">
        <f ca="1">IF(AND(Ergebnisse!$L39&lt;&gt;"",Ergebnisse!$N39&lt;&gt;"",Ergebnisse!$I39&lt;&gt;Ergebnisse!$K39,$J64&lt;&gt;"",$K64&lt;&gt;""),Ergebnisse!$N39,"")</f>
        <v/>
      </c>
      <c r="N64" s="5">
        <f t="shared" ca="1" si="49"/>
        <v>0</v>
      </c>
      <c r="O64" s="66">
        <f ca="1">IF($N64=0,0,IF($L64&gt;$M64,Einstellungen!$C$4,IF($L64=$M64,1,0)))</f>
        <v>0</v>
      </c>
      <c r="P64" s="5">
        <f ca="1">IF($N64=0,0,IF($L64&lt;$M64,Einstellungen!$C$4,IF($L64=$M64,1,0)))</f>
        <v>0</v>
      </c>
      <c r="Q64" s="116">
        <f t="shared" ca="1" si="53"/>
        <v>0</v>
      </c>
      <c r="R64" s="113">
        <f t="shared" ca="1" si="54"/>
        <v>0</v>
      </c>
      <c r="S64" s="62">
        <f t="shared" ca="1" si="55"/>
        <v>0</v>
      </c>
      <c r="AH64" s="109"/>
      <c r="AI64" s="109"/>
      <c r="AJ64" s="109"/>
      <c r="AK64" s="109"/>
      <c r="AL64" s="109"/>
      <c r="AM64" s="109"/>
      <c r="AN64" s="111"/>
      <c r="AO64" s="109"/>
      <c r="AT64" s="1">
        <f ca="1"/>
        <v>9</v>
      </c>
      <c r="AU64" s="2" t="b">
        <f ca="1"/>
        <v>1</v>
      </c>
    </row>
    <row r="65" spans="3:47" s="2" customFormat="1" x14ac:dyDescent="0.2">
      <c r="C65" s="3"/>
      <c r="D65" s="5"/>
      <c r="E65" s="5"/>
      <c r="F65" s="5"/>
      <c r="G65" s="5"/>
      <c r="H65" s="5"/>
      <c r="I65" s="224" t="s">
        <v>47</v>
      </c>
      <c r="J65" s="16" t="str">
        <f ca="1">Ergebnisse!$I40</f>
        <v>SV Obersuhl</v>
      </c>
      <c r="K65" s="5" t="str">
        <f ca="1">Ergebnisse!$K40</f>
        <v>VFB Essenheim</v>
      </c>
      <c r="L65" s="5">
        <f ca="1">IF(AND(Ergebnisse!$L40&lt;&gt;"",Ergebnisse!$N40&lt;&gt;"",Ergebnisse!$I40&lt;&gt;Ergebnisse!$K40,$J65&lt;&gt;"",$K65&lt;&gt;""),Ergebnisse!$L40,"")</f>
        <v>2</v>
      </c>
      <c r="M65" s="12">
        <f ca="1">IF(AND(Ergebnisse!$L40&lt;&gt;"",Ergebnisse!$N40&lt;&gt;"",Ergebnisse!$I40&lt;&gt;Ergebnisse!$K40,$J65&lt;&gt;"",$K65&lt;&gt;""),Ergebnisse!$N40,"")</f>
        <v>4</v>
      </c>
      <c r="N65" s="5">
        <f t="shared" ca="1" si="49"/>
        <v>1</v>
      </c>
      <c r="O65" s="66">
        <f ca="1">IF($N65=0,0,IF($L65&gt;$M65,Einstellungen!$C$4,IF($L65=$M65,1,0)))</f>
        <v>0</v>
      </c>
      <c r="P65" s="5">
        <f ca="1">IF($N65=0,0,IF($L65&lt;$M65,Einstellungen!$C$4,IF($L65=$M65,1,0)))</f>
        <v>3</v>
      </c>
      <c r="Q65" s="116">
        <f t="shared" ca="1" si="53"/>
        <v>-2</v>
      </c>
      <c r="R65" s="113">
        <f t="shared" ca="1" si="54"/>
        <v>2</v>
      </c>
      <c r="S65" s="62">
        <f t="shared" ca="1" si="55"/>
        <v>4</v>
      </c>
      <c r="AH65" s="107"/>
      <c r="AI65" s="107"/>
      <c r="AJ65" s="107"/>
      <c r="AK65" s="129"/>
      <c r="AL65" s="107"/>
      <c r="AM65" s="107"/>
      <c r="AN65" s="107"/>
      <c r="AO65" s="107"/>
      <c r="AT65" s="1" t="e">
        <f ca="1"/>
        <v>#N/A</v>
      </c>
      <c r="AU65" s="2" t="b">
        <f ca="1"/>
        <v>0</v>
      </c>
    </row>
    <row r="66" spans="3:47" s="2" customFormat="1" x14ac:dyDescent="0.2">
      <c r="C66" s="3"/>
      <c r="D66" s="5"/>
      <c r="E66" s="5"/>
      <c r="F66" s="5"/>
      <c r="G66" s="5"/>
      <c r="H66" s="5"/>
      <c r="I66" s="224" t="s">
        <v>48</v>
      </c>
      <c r="J66" s="16" t="str">
        <f ca="1">Ergebnisse!$I41</f>
        <v>Inter Mailand</v>
      </c>
      <c r="K66" s="5" t="str">
        <f ca="1">Ergebnisse!$K41</f>
        <v>SSV Wildbach</v>
      </c>
      <c r="L66" s="5" t="str">
        <f ca="1">IF(AND(Ergebnisse!$L41&lt;&gt;"",Ergebnisse!$N41&lt;&gt;"",Ergebnisse!$I41&lt;&gt;Ergebnisse!$K41,$J66&lt;&gt;"",$K66&lt;&gt;""),Ergebnisse!$L41,"")</f>
        <v/>
      </c>
      <c r="M66" s="12" t="str">
        <f ca="1">IF(AND(Ergebnisse!$L41&lt;&gt;"",Ergebnisse!$N41&lt;&gt;"",Ergebnisse!$I41&lt;&gt;Ergebnisse!$K41,$J66&lt;&gt;"",$K66&lt;&gt;""),Ergebnisse!$N41,"")</f>
        <v/>
      </c>
      <c r="N66" s="5">
        <f t="shared" ca="1" si="49"/>
        <v>0</v>
      </c>
      <c r="O66" s="66">
        <f ca="1">IF($N66=0,0,IF($L66&gt;$M66,Einstellungen!$C$4,IF($L66=$M66,1,0)))</f>
        <v>0</v>
      </c>
      <c r="P66" s="5">
        <f ca="1">IF($N66=0,0,IF($L66&lt;$M66,Einstellungen!$C$4,IF($L66=$M66,1,0)))</f>
        <v>0</v>
      </c>
      <c r="Q66" s="116">
        <f t="shared" ca="1" si="53"/>
        <v>0</v>
      </c>
      <c r="R66" s="113">
        <f t="shared" ca="1" si="54"/>
        <v>0</v>
      </c>
      <c r="S66" s="62">
        <f t="shared" ca="1" si="55"/>
        <v>0</v>
      </c>
      <c r="AH66" s="107"/>
      <c r="AI66" s="107"/>
      <c r="AJ66" s="107"/>
      <c r="AK66" s="129"/>
      <c r="AL66" s="107"/>
      <c r="AM66" s="107"/>
      <c r="AN66" s="107"/>
      <c r="AO66" s="107"/>
      <c r="AT66" s="1" t="e">
        <f ca="1"/>
        <v>#N/A</v>
      </c>
      <c r="AU66" s="2" t="b">
        <f ca="1"/>
        <v>0</v>
      </c>
    </row>
    <row r="67" spans="3:47" s="2" customFormat="1" x14ac:dyDescent="0.2">
      <c r="C67" s="3"/>
      <c r="D67" s="5"/>
      <c r="E67" s="5"/>
      <c r="F67" s="5"/>
      <c r="G67" s="5"/>
      <c r="H67" s="5"/>
      <c r="I67" s="224" t="s">
        <v>56</v>
      </c>
      <c r="J67" s="16" t="str">
        <f ca="1">Ergebnisse!$I42</f>
        <v>FC Barcelona</v>
      </c>
      <c r="K67" s="5" t="str">
        <f ca="1">Ergebnisse!$K42</f>
        <v>SSC Bosserode</v>
      </c>
      <c r="L67" s="5" t="str">
        <f ca="1">IF(AND(Ergebnisse!$L42&lt;&gt;"",Ergebnisse!$N42&lt;&gt;"",Ergebnisse!$I42&lt;&gt;Ergebnisse!$K42,$J67&lt;&gt;"",$K67&lt;&gt;""),Ergebnisse!$L42,"")</f>
        <v/>
      </c>
      <c r="M67" s="12" t="str">
        <f ca="1">IF(AND(Ergebnisse!$L42&lt;&gt;"",Ergebnisse!$N42&lt;&gt;"",Ergebnisse!$I42&lt;&gt;Ergebnisse!$K42,$J67&lt;&gt;"",$K67&lt;&gt;""),Ergebnisse!$N42,"")</f>
        <v/>
      </c>
      <c r="N67" s="5">
        <f t="shared" ca="1" si="49"/>
        <v>0</v>
      </c>
      <c r="O67" s="66">
        <f ca="1">IF($N67=0,0,IF($L67&gt;$M67,Einstellungen!$C$4,IF($L67=$M67,1,0)))</f>
        <v>0</v>
      </c>
      <c r="P67" s="5">
        <f ca="1">IF($N67=0,0,IF($L67&lt;$M67,Einstellungen!$C$4,IF($L67=$M67,1,0)))</f>
        <v>0</v>
      </c>
      <c r="Q67" s="116">
        <f t="shared" ca="1" si="53"/>
        <v>0</v>
      </c>
      <c r="R67" s="113">
        <f t="shared" ca="1" si="54"/>
        <v>0</v>
      </c>
      <c r="S67" s="62">
        <f t="shared" ca="1" si="55"/>
        <v>0</v>
      </c>
      <c r="AH67" s="107"/>
      <c r="AI67" s="107"/>
      <c r="AJ67" s="107"/>
      <c r="AK67" s="129"/>
      <c r="AL67" s="107"/>
      <c r="AM67" s="107"/>
      <c r="AN67" s="107"/>
      <c r="AO67" s="107"/>
      <c r="AT67" s="1">
        <f ca="1"/>
        <v>9</v>
      </c>
      <c r="AU67" s="2" t="b">
        <f ca="1"/>
        <v>1</v>
      </c>
    </row>
    <row r="68" spans="3:47" s="2" customFormat="1" x14ac:dyDescent="0.2">
      <c r="C68" s="3"/>
      <c r="D68" s="5"/>
      <c r="E68" s="5"/>
      <c r="F68" s="5"/>
      <c r="G68" s="5"/>
      <c r="H68" s="5"/>
      <c r="I68" s="224" t="s">
        <v>57</v>
      </c>
      <c r="J68" s="16" t="str">
        <f ca="1">Ergebnisse!$I43</f>
        <v>SV Obersuhl</v>
      </c>
      <c r="K68" s="5" t="str">
        <f ca="1">Ergebnisse!$K43</f>
        <v>Eintracht Frankfurt</v>
      </c>
      <c r="L68" s="5" t="str">
        <f ca="1">IF(AND(Ergebnisse!$L43&lt;&gt;"",Ergebnisse!$N43&lt;&gt;"",Ergebnisse!$I43&lt;&gt;Ergebnisse!$K43,$J68&lt;&gt;"",$K68&lt;&gt;""),Ergebnisse!$L43,"")</f>
        <v/>
      </c>
      <c r="M68" s="12" t="str">
        <f ca="1">IF(AND(Ergebnisse!$L43&lt;&gt;"",Ergebnisse!$N43&lt;&gt;"",Ergebnisse!$I43&lt;&gt;Ergebnisse!$K43,$J68&lt;&gt;"",$K68&lt;&gt;""),Ergebnisse!$N43,"")</f>
        <v/>
      </c>
      <c r="N68" s="5">
        <f t="shared" ca="1" si="49"/>
        <v>0</v>
      </c>
      <c r="O68" s="66">
        <f ca="1">IF($N68=0,0,IF($L68&gt;$M68,Einstellungen!$C$4,IF($L68=$M68,1,0)))</f>
        <v>0</v>
      </c>
      <c r="P68" s="5">
        <f ca="1">IF($N68=0,0,IF($L68&lt;$M68,Einstellungen!$C$4,IF($L68=$M68,1,0)))</f>
        <v>0</v>
      </c>
      <c r="Q68" s="116">
        <f t="shared" ca="1" si="53"/>
        <v>0</v>
      </c>
      <c r="R68" s="113">
        <f t="shared" ca="1" si="54"/>
        <v>0</v>
      </c>
      <c r="S68" s="62">
        <f t="shared" ca="1" si="55"/>
        <v>0</v>
      </c>
      <c r="AH68" s="107"/>
      <c r="AI68" s="107"/>
      <c r="AJ68" s="107"/>
      <c r="AK68" s="129"/>
      <c r="AL68" s="107"/>
      <c r="AM68" s="107"/>
      <c r="AN68" s="107"/>
      <c r="AO68" s="107"/>
      <c r="AT68" s="1">
        <f ca="1"/>
        <v>3</v>
      </c>
      <c r="AU68" s="2" t="b">
        <f ca="1"/>
        <v>1</v>
      </c>
    </row>
    <row r="69" spans="3:47" s="2" customFormat="1" x14ac:dyDescent="0.2">
      <c r="C69" s="3"/>
      <c r="D69" s="5"/>
      <c r="E69" s="5"/>
      <c r="F69" s="5"/>
      <c r="G69" s="5"/>
      <c r="H69" s="5"/>
      <c r="I69" s="224" t="s">
        <v>58</v>
      </c>
      <c r="J69" s="16" t="str">
        <f ca="1">Ergebnisse!$I44</f>
        <v>Maibach 1822 eV</v>
      </c>
      <c r="K69" s="5" t="str">
        <f ca="1">Ergebnisse!$K44</f>
        <v>SSV Wildbach</v>
      </c>
      <c r="L69" s="5" t="str">
        <f ca="1">IF(AND(Ergebnisse!$L44&lt;&gt;"",Ergebnisse!$N44&lt;&gt;"",Ergebnisse!$I44&lt;&gt;Ergebnisse!$K44,$J69&lt;&gt;"",$K69&lt;&gt;""),Ergebnisse!$L44,"")</f>
        <v/>
      </c>
      <c r="M69" s="12" t="str">
        <f ca="1">IF(AND(Ergebnisse!$L44&lt;&gt;"",Ergebnisse!$N44&lt;&gt;"",Ergebnisse!$I44&lt;&gt;Ergebnisse!$K44,$J69&lt;&gt;"",$K69&lt;&gt;""),Ergebnisse!$N44,"")</f>
        <v/>
      </c>
      <c r="N69" s="5">
        <f t="shared" ca="1" si="49"/>
        <v>0</v>
      </c>
      <c r="O69" s="66">
        <f ca="1">IF($N69=0,0,IF($L69&gt;$M69,Einstellungen!$C$4,IF($L69=$M69,1,0)))</f>
        <v>0</v>
      </c>
      <c r="P69" s="5">
        <f ca="1">IF($N69=0,0,IF($L69&lt;$M69,Einstellungen!$C$4,IF($L69=$M69,1,0)))</f>
        <v>0</v>
      </c>
      <c r="Q69" s="116">
        <f t="shared" ca="1" si="53"/>
        <v>0</v>
      </c>
      <c r="R69" s="113">
        <f t="shared" ca="1" si="54"/>
        <v>0</v>
      </c>
      <c r="S69" s="62">
        <f t="shared" ca="1" si="55"/>
        <v>0</v>
      </c>
      <c r="AH69" s="107"/>
      <c r="AI69" s="107"/>
      <c r="AJ69" s="107"/>
      <c r="AK69" s="129"/>
      <c r="AL69" s="107"/>
      <c r="AM69" s="107"/>
      <c r="AN69" s="107"/>
      <c r="AO69" s="107"/>
      <c r="AT69" s="1" t="e">
        <f ca="1"/>
        <v>#N/A</v>
      </c>
      <c r="AU69" s="2" t="b">
        <f ca="1"/>
        <v>0</v>
      </c>
    </row>
    <row r="70" spans="3:47" s="2" customFormat="1" x14ac:dyDescent="0.2">
      <c r="C70" s="3"/>
      <c r="D70" s="5"/>
      <c r="E70" s="5"/>
      <c r="F70" s="5"/>
      <c r="G70" s="5"/>
      <c r="H70" s="5"/>
      <c r="I70" s="224" t="s">
        <v>59</v>
      </c>
      <c r="J70" s="16" t="str">
        <f ca="1">Ergebnisse!$I45</f>
        <v>Inter Mailand</v>
      </c>
      <c r="K70" s="5" t="str">
        <f ca="1">Ergebnisse!$K45</f>
        <v>VFB Essenheim</v>
      </c>
      <c r="L70" s="5" t="str">
        <f ca="1">IF(AND(Ergebnisse!$L45&lt;&gt;"",Ergebnisse!$N45&lt;&gt;"",Ergebnisse!$I45&lt;&gt;Ergebnisse!$K45,$J70&lt;&gt;"",$K70&lt;&gt;""),Ergebnisse!$L45,"")</f>
        <v/>
      </c>
      <c r="M70" s="12" t="str">
        <f ca="1">IF(AND(Ergebnisse!$L45&lt;&gt;"",Ergebnisse!$N45&lt;&gt;"",Ergebnisse!$I45&lt;&gt;Ergebnisse!$K45,$J70&lt;&gt;"",$K70&lt;&gt;""),Ergebnisse!$N45,"")</f>
        <v/>
      </c>
      <c r="N70" s="5">
        <f t="shared" ca="1" si="49"/>
        <v>0</v>
      </c>
      <c r="O70" s="66">
        <f ca="1">IF($N70=0,0,IF($L70&gt;$M70,Einstellungen!$C$4,IF($L70=$M70,1,0)))</f>
        <v>0</v>
      </c>
      <c r="P70" s="5">
        <f ca="1">IF($N70=0,0,IF($L70&lt;$M70,Einstellungen!$C$4,IF($L70=$M70,1,0)))</f>
        <v>0</v>
      </c>
      <c r="Q70" s="116">
        <f t="shared" ca="1" si="53"/>
        <v>0</v>
      </c>
      <c r="R70" s="113">
        <f t="shared" ca="1" si="54"/>
        <v>0</v>
      </c>
      <c r="S70" s="62">
        <f t="shared" ca="1" si="55"/>
        <v>0</v>
      </c>
      <c r="AH70" s="107"/>
      <c r="AI70" s="107"/>
      <c r="AJ70" s="107"/>
      <c r="AK70" s="129"/>
      <c r="AL70" s="107"/>
      <c r="AM70" s="107"/>
      <c r="AN70" s="107"/>
      <c r="AO70" s="107"/>
      <c r="AT70" s="1" t="e">
        <f ca="1"/>
        <v>#N/A</v>
      </c>
      <c r="AU70" s="2" t="b">
        <f ca="1"/>
        <v>0</v>
      </c>
    </row>
    <row r="71" spans="3:47" s="2" customFormat="1" x14ac:dyDescent="0.2">
      <c r="C71" s="3"/>
      <c r="D71" s="5"/>
      <c r="E71" s="5"/>
      <c r="F71" s="5"/>
      <c r="G71" s="5"/>
      <c r="H71" s="5"/>
      <c r="I71" s="224" t="s">
        <v>60</v>
      </c>
      <c r="J71" s="16" t="str">
        <f ca="1">Ergebnisse!$I46</f>
        <v>1. FC Riedwald</v>
      </c>
      <c r="K71" s="5" t="str">
        <f ca="1">Ergebnisse!$K46</f>
        <v>SSC Bosserode</v>
      </c>
      <c r="L71" s="5" t="str">
        <f ca="1">IF(AND(Ergebnisse!$L46&lt;&gt;"",Ergebnisse!$N46&lt;&gt;"",Ergebnisse!$I46&lt;&gt;Ergebnisse!$K46,$J71&lt;&gt;"",$K71&lt;&gt;""),Ergebnisse!$L46,"")</f>
        <v/>
      </c>
      <c r="M71" s="12" t="str">
        <f ca="1">IF(AND(Ergebnisse!$L46&lt;&gt;"",Ergebnisse!$N46&lt;&gt;"",Ergebnisse!$I46&lt;&gt;Ergebnisse!$K46,$J71&lt;&gt;"",$K71&lt;&gt;""),Ergebnisse!$N46,"")</f>
        <v/>
      </c>
      <c r="N71" s="5">
        <f t="shared" ca="1" si="49"/>
        <v>0</v>
      </c>
      <c r="O71" s="66">
        <f ca="1">IF($N71=0,0,IF($L71&gt;$M71,Einstellungen!$C$4,IF($L71=$M71,1,0)))</f>
        <v>0</v>
      </c>
      <c r="P71" s="5">
        <f ca="1">IF($N71=0,0,IF($L71&lt;$M71,Einstellungen!$C$4,IF($L71=$M71,1,0)))</f>
        <v>0</v>
      </c>
      <c r="Q71" s="116">
        <f t="shared" ca="1" si="53"/>
        <v>0</v>
      </c>
      <c r="R71" s="113">
        <f t="shared" ca="1" si="54"/>
        <v>0</v>
      </c>
      <c r="S71" s="62">
        <f t="shared" ca="1" si="55"/>
        <v>0</v>
      </c>
      <c r="AH71" s="107"/>
      <c r="AI71" s="107"/>
      <c r="AJ71" s="107"/>
      <c r="AK71" s="129"/>
      <c r="AL71" s="107"/>
      <c r="AM71" s="107"/>
      <c r="AN71" s="107"/>
      <c r="AO71" s="107"/>
      <c r="AT71" s="1">
        <f ca="1"/>
        <v>9</v>
      </c>
      <c r="AU71" s="2" t="b">
        <f ca="1"/>
        <v>1</v>
      </c>
    </row>
    <row r="72" spans="3:47" s="2" customFormat="1" x14ac:dyDescent="0.2">
      <c r="C72" s="3"/>
      <c r="D72" s="5"/>
      <c r="E72" s="5"/>
      <c r="F72" s="5"/>
      <c r="G72" s="5"/>
      <c r="H72" s="5"/>
      <c r="I72" s="224" t="s">
        <v>61</v>
      </c>
      <c r="J72" s="16" t="str">
        <f ca="1">Ergebnisse!$I47</f>
        <v>SSV Wildbach</v>
      </c>
      <c r="K72" s="5" t="str">
        <f ca="1">Ergebnisse!$K47</f>
        <v>FC Barcelona</v>
      </c>
      <c r="L72" s="5" t="str">
        <f ca="1">IF(AND(Ergebnisse!$L47&lt;&gt;"",Ergebnisse!$N47&lt;&gt;"",Ergebnisse!$I47&lt;&gt;Ergebnisse!$K47,$J72&lt;&gt;"",$K72&lt;&gt;""),Ergebnisse!$L47,"")</f>
        <v/>
      </c>
      <c r="M72" s="12" t="str">
        <f ca="1">IF(AND(Ergebnisse!$L47&lt;&gt;"",Ergebnisse!$N47&lt;&gt;"",Ergebnisse!$I47&lt;&gt;Ergebnisse!$K47,$J72&lt;&gt;"",$K72&lt;&gt;""),Ergebnisse!$N47,"")</f>
        <v/>
      </c>
      <c r="N72" s="5">
        <f t="shared" ca="1" si="49"/>
        <v>0</v>
      </c>
      <c r="O72" s="66">
        <f ca="1">IF($N72=0,0,IF($L72&gt;$M72,Einstellungen!$C$4,IF($L72=$M72,1,0)))</f>
        <v>0</v>
      </c>
      <c r="P72" s="5">
        <f ca="1">IF($N72=0,0,IF($L72&lt;$M72,Einstellungen!$C$4,IF($L72=$M72,1,0)))</f>
        <v>0</v>
      </c>
      <c r="Q72" s="116">
        <f t="shared" ca="1" si="53"/>
        <v>0</v>
      </c>
      <c r="R72" s="113">
        <f t="shared" ca="1" si="54"/>
        <v>0</v>
      </c>
      <c r="S72" s="62">
        <f t="shared" ca="1" si="55"/>
        <v>0</v>
      </c>
      <c r="AH72" s="107"/>
      <c r="AI72" s="107"/>
      <c r="AJ72" s="107"/>
      <c r="AK72" s="129"/>
      <c r="AL72" s="107"/>
      <c r="AM72" s="107"/>
      <c r="AN72" s="107"/>
      <c r="AO72" s="107"/>
      <c r="AT72" s="1">
        <f ca="1"/>
        <v>2</v>
      </c>
      <c r="AU72" s="2" t="b">
        <f ca="1"/>
        <v>1</v>
      </c>
    </row>
    <row r="73" spans="3:47" s="2" customFormat="1" x14ac:dyDescent="0.2">
      <c r="C73" s="3"/>
      <c r="D73" s="5"/>
      <c r="E73" s="5"/>
      <c r="F73" s="5"/>
      <c r="G73" s="5"/>
      <c r="H73" s="5"/>
      <c r="I73" s="224" t="s">
        <v>62</v>
      </c>
      <c r="J73" s="16" t="str">
        <f ca="1">Ergebnisse!$I48</f>
        <v>Eintracht Frankfurt</v>
      </c>
      <c r="K73" s="5" t="str">
        <f ca="1">Ergebnisse!$K48</f>
        <v>Inter Mailand</v>
      </c>
      <c r="L73" s="5" t="str">
        <f ca="1">IF(AND(Ergebnisse!$L48&lt;&gt;"",Ergebnisse!$N48&lt;&gt;"",Ergebnisse!$I48&lt;&gt;Ergebnisse!$K48,$J73&lt;&gt;"",$K73&lt;&gt;""),Ergebnisse!$L48,"")</f>
        <v/>
      </c>
      <c r="M73" s="12" t="str">
        <f ca="1">IF(AND(Ergebnisse!$L48&lt;&gt;"",Ergebnisse!$N48&lt;&gt;"",Ergebnisse!$I48&lt;&gt;Ergebnisse!$K48,$J73&lt;&gt;"",$K73&lt;&gt;""),Ergebnisse!$N48,"")</f>
        <v/>
      </c>
      <c r="N73" s="5">
        <f t="shared" ca="1" si="49"/>
        <v>0</v>
      </c>
      <c r="O73" s="66">
        <f ca="1">IF($N73=0,0,IF($L73&gt;$M73,Einstellungen!$C$4,IF($L73=$M73,1,0)))</f>
        <v>0</v>
      </c>
      <c r="P73" s="5">
        <f ca="1">IF($N73=0,0,IF($L73&lt;$M73,Einstellungen!$C$4,IF($L73=$M73,1,0)))</f>
        <v>0</v>
      </c>
      <c r="Q73" s="116">
        <f t="shared" ca="1" si="53"/>
        <v>0</v>
      </c>
      <c r="R73" s="113">
        <f t="shared" ca="1" si="54"/>
        <v>0</v>
      </c>
      <c r="S73" s="62">
        <f t="shared" ca="1" si="55"/>
        <v>0</v>
      </c>
      <c r="AH73" s="107"/>
      <c r="AI73" s="107"/>
      <c r="AJ73" s="107"/>
      <c r="AK73" s="129"/>
      <c r="AL73" s="107"/>
      <c r="AM73" s="107"/>
      <c r="AN73" s="107"/>
      <c r="AO73" s="107"/>
      <c r="AT73" s="1">
        <f ca="1"/>
        <v>6</v>
      </c>
      <c r="AU73" s="2" t="b">
        <f ca="1"/>
        <v>1</v>
      </c>
    </row>
    <row r="74" spans="3:47" s="2" customFormat="1" x14ac:dyDescent="0.2">
      <c r="C74" s="3"/>
      <c r="D74" s="5"/>
      <c r="E74" s="5"/>
      <c r="F74" s="5"/>
      <c r="G74" s="5"/>
      <c r="H74" s="5"/>
      <c r="I74" s="224" t="s">
        <v>63</v>
      </c>
      <c r="J74" s="16" t="str">
        <f ca="1">Ergebnisse!$I49</f>
        <v>VFB Essenheim</v>
      </c>
      <c r="K74" s="5" t="str">
        <f ca="1">Ergebnisse!$K49</f>
        <v>Maibach 1822 eV</v>
      </c>
      <c r="L74" s="5" t="str">
        <f ca="1">IF(AND(Ergebnisse!$L49&lt;&gt;"",Ergebnisse!$N49&lt;&gt;"",Ergebnisse!$I49&lt;&gt;Ergebnisse!$K49,$J74&lt;&gt;"",$K74&lt;&gt;""),Ergebnisse!$L49,"")</f>
        <v/>
      </c>
      <c r="M74" s="12" t="str">
        <f ca="1">IF(AND(Ergebnisse!$L49&lt;&gt;"",Ergebnisse!$N49&lt;&gt;"",Ergebnisse!$I49&lt;&gt;Ergebnisse!$K49,$J74&lt;&gt;"",$K74&lt;&gt;""),Ergebnisse!$N49,"")</f>
        <v/>
      </c>
      <c r="N74" s="5">
        <f t="shared" ca="1" si="49"/>
        <v>0</v>
      </c>
      <c r="O74" s="66">
        <f ca="1">IF($N74=0,0,IF($L74&gt;$M74,Einstellungen!$C$4,IF($L74=$M74,1,0)))</f>
        <v>0</v>
      </c>
      <c r="P74" s="5">
        <f ca="1">IF($N74=0,0,IF($L74&lt;$M74,Einstellungen!$C$4,IF($L74=$M74,1,0)))</f>
        <v>0</v>
      </c>
      <c r="Q74" s="116">
        <f t="shared" ca="1" si="53"/>
        <v>0</v>
      </c>
      <c r="R74" s="113">
        <f t="shared" ca="1" si="54"/>
        <v>0</v>
      </c>
      <c r="S74" s="62">
        <f t="shared" ca="1" si="55"/>
        <v>0</v>
      </c>
      <c r="AH74" s="109"/>
      <c r="AI74" s="109"/>
      <c r="AJ74" s="109"/>
      <c r="AK74" s="109"/>
      <c r="AL74" s="109"/>
      <c r="AM74" s="109"/>
      <c r="AN74" s="109"/>
      <c r="AO74" s="109"/>
      <c r="AT74" s="1" t="e">
        <f ca="1"/>
        <v>#N/A</v>
      </c>
      <c r="AU74" s="2" t="b">
        <f ca="1"/>
        <v>0</v>
      </c>
    </row>
    <row r="75" spans="3:47" s="2" customFormat="1" x14ac:dyDescent="0.2">
      <c r="C75" s="3"/>
      <c r="D75" s="5"/>
      <c r="E75" s="5"/>
      <c r="F75" s="5"/>
      <c r="G75" s="5"/>
      <c r="H75" s="5"/>
      <c r="I75" s="224" t="s">
        <v>64</v>
      </c>
      <c r="J75" s="16" t="str">
        <f ca="1">Ergebnisse!$I50</f>
        <v>SV Obersuhl</v>
      </c>
      <c r="K75" s="5" t="str">
        <f ca="1">Ergebnisse!$K50</f>
        <v>1. FC Riedwald</v>
      </c>
      <c r="L75" s="5" t="str">
        <f ca="1">IF(AND(Ergebnisse!$L50&lt;&gt;"",Ergebnisse!$N50&lt;&gt;"",Ergebnisse!$I50&lt;&gt;Ergebnisse!$K50,$J75&lt;&gt;"",$K75&lt;&gt;""),Ergebnisse!$L50,"")</f>
        <v/>
      </c>
      <c r="M75" s="12" t="str">
        <f ca="1">IF(AND(Ergebnisse!$L50&lt;&gt;"",Ergebnisse!$N50&lt;&gt;"",Ergebnisse!$I50&lt;&gt;Ergebnisse!$K50,$J75&lt;&gt;"",$K75&lt;&gt;""),Ergebnisse!$N50,"")</f>
        <v/>
      </c>
      <c r="N75" s="5">
        <f t="shared" ca="1" si="49"/>
        <v>0</v>
      </c>
      <c r="O75" s="66">
        <f ca="1">IF($N75=0,0,IF($L75&gt;$M75,Einstellungen!$C$4,IF($L75=$M75,1,0)))</f>
        <v>0</v>
      </c>
      <c r="P75" s="5">
        <f ca="1">IF($N75=0,0,IF($L75&lt;$M75,Einstellungen!$C$4,IF($L75=$M75,1,0)))</f>
        <v>0</v>
      </c>
      <c r="Q75" s="116">
        <f t="shared" ca="1" si="53"/>
        <v>0</v>
      </c>
      <c r="R75" s="113">
        <f t="shared" ca="1" si="54"/>
        <v>0</v>
      </c>
      <c r="S75" s="62">
        <f t="shared" ca="1" si="55"/>
        <v>0</v>
      </c>
      <c r="AH75" s="109"/>
      <c r="AI75" s="109"/>
      <c r="AJ75" s="109"/>
      <c r="AK75" s="109"/>
      <c r="AL75" s="109"/>
      <c r="AM75" s="109"/>
      <c r="AN75" s="111"/>
      <c r="AO75" s="109"/>
      <c r="AT75" s="1">
        <f ca="1"/>
        <v>1</v>
      </c>
      <c r="AU75" s="2" t="b">
        <f ca="1"/>
        <v>1</v>
      </c>
    </row>
    <row r="76" spans="3:47" s="2" customFormat="1" x14ac:dyDescent="0.2">
      <c r="C76" s="3"/>
      <c r="D76" s="5"/>
      <c r="E76" s="5"/>
      <c r="F76" s="5"/>
      <c r="G76" s="5"/>
      <c r="H76" s="5"/>
      <c r="I76" s="224" t="s">
        <v>65</v>
      </c>
      <c r="J76" s="16" t="str">
        <f ca="1">Ergebnisse!$I51</f>
        <v>SSC Bosserode</v>
      </c>
      <c r="K76" s="5" t="str">
        <f ca="1">Ergebnisse!$K51</f>
        <v>SSV Wildbach</v>
      </c>
      <c r="L76" s="5" t="str">
        <f ca="1">IF(AND(Ergebnisse!$L51&lt;&gt;"",Ergebnisse!$N51&lt;&gt;"",Ergebnisse!$I51&lt;&gt;Ergebnisse!$K51,$J76&lt;&gt;"",$K76&lt;&gt;""),Ergebnisse!$L51,"")</f>
        <v/>
      </c>
      <c r="M76" s="12" t="str">
        <f ca="1">IF(AND(Ergebnisse!$L51&lt;&gt;"",Ergebnisse!$N51&lt;&gt;"",Ergebnisse!$I51&lt;&gt;Ergebnisse!$K51,$J76&lt;&gt;"",$K76&lt;&gt;""),Ergebnisse!$N51,"")</f>
        <v/>
      </c>
      <c r="N76" s="5">
        <f t="shared" ca="1" si="49"/>
        <v>0</v>
      </c>
      <c r="O76" s="66">
        <f ca="1">IF($N76=0,0,IF($L76&gt;$M76,Einstellungen!$C$4,IF($L76=$M76,1,0)))</f>
        <v>0</v>
      </c>
      <c r="P76" s="5">
        <f ca="1">IF($N76=0,0,IF($L76&lt;$M76,Einstellungen!$C$4,IF($L76=$M76,1,0)))</f>
        <v>0</v>
      </c>
      <c r="Q76" s="116">
        <f t="shared" ca="1" si="53"/>
        <v>0</v>
      </c>
      <c r="R76" s="113">
        <f t="shared" ca="1" si="54"/>
        <v>0</v>
      </c>
      <c r="S76" s="62">
        <f t="shared" ca="1" si="55"/>
        <v>0</v>
      </c>
      <c r="AH76" s="107"/>
      <c r="AI76" s="107"/>
      <c r="AJ76" s="107"/>
      <c r="AK76" s="129"/>
      <c r="AL76" s="107"/>
      <c r="AM76" s="107"/>
      <c r="AN76" s="107"/>
      <c r="AO76" s="107"/>
      <c r="AT76" s="1" t="e">
        <f ca="1"/>
        <v>#N/A</v>
      </c>
      <c r="AU76" s="2" t="b">
        <f ca="1"/>
        <v>0</v>
      </c>
    </row>
    <row r="77" spans="3:47" s="2" customFormat="1" x14ac:dyDescent="0.2">
      <c r="C77" s="3"/>
      <c r="D77" s="5"/>
      <c r="E77" s="5"/>
      <c r="F77" s="5"/>
      <c r="G77" s="5"/>
      <c r="H77" s="5"/>
      <c r="I77" s="224" t="s">
        <v>66</v>
      </c>
      <c r="J77" s="16" t="str">
        <f ca="1">Ergebnisse!$I52</f>
        <v>FC Barcelona</v>
      </c>
      <c r="K77" s="5" t="str">
        <f ca="1">Ergebnisse!$K52</f>
        <v>VFB Essenheim</v>
      </c>
      <c r="L77" s="5" t="str">
        <f ca="1">IF(AND(Ergebnisse!$L52&lt;&gt;"",Ergebnisse!$N52&lt;&gt;"",Ergebnisse!$I52&lt;&gt;Ergebnisse!$K52,$J77&lt;&gt;"",$K77&lt;&gt;""),Ergebnisse!$L52,"")</f>
        <v/>
      </c>
      <c r="M77" s="12" t="str">
        <f ca="1">IF(AND(Ergebnisse!$L52&lt;&gt;"",Ergebnisse!$N52&lt;&gt;"",Ergebnisse!$I52&lt;&gt;Ergebnisse!$K52,$J77&lt;&gt;"",$K77&lt;&gt;""),Ergebnisse!$N52,"")</f>
        <v/>
      </c>
      <c r="N77" s="5">
        <f t="shared" ca="1" si="49"/>
        <v>0</v>
      </c>
      <c r="O77" s="66">
        <f ca="1">IF($N77=0,0,IF($L77&gt;$M77,Einstellungen!$C$4,IF($L77=$M77,1,0)))</f>
        <v>0</v>
      </c>
      <c r="P77" s="5">
        <f ca="1">IF($N77=0,0,IF($L77&lt;$M77,Einstellungen!$C$4,IF($L77=$M77,1,0)))</f>
        <v>0</v>
      </c>
      <c r="Q77" s="116">
        <f t="shared" ca="1" si="53"/>
        <v>0</v>
      </c>
      <c r="R77" s="113">
        <f t="shared" ca="1" si="54"/>
        <v>0</v>
      </c>
      <c r="S77" s="62">
        <f t="shared" ca="1" si="55"/>
        <v>0</v>
      </c>
      <c r="AH77" s="107"/>
      <c r="AI77" s="107"/>
      <c r="AJ77" s="107"/>
      <c r="AK77" s="129"/>
      <c r="AL77" s="107"/>
      <c r="AM77" s="107"/>
      <c r="AN77" s="107"/>
      <c r="AO77" s="107"/>
      <c r="AT77" s="1" t="e">
        <f ca="1"/>
        <v>#N/A</v>
      </c>
      <c r="AU77" s="2" t="b">
        <f ca="1"/>
        <v>0</v>
      </c>
    </row>
    <row r="78" spans="3:47" s="2" customFormat="1" x14ac:dyDescent="0.2">
      <c r="C78" s="3"/>
      <c r="D78" s="5"/>
      <c r="E78" s="5"/>
      <c r="F78" s="5"/>
      <c r="G78" s="5"/>
      <c r="H78" s="5"/>
      <c r="I78" s="224" t="s">
        <v>67</v>
      </c>
      <c r="J78" s="16" t="str">
        <f ca="1">Ergebnisse!$I53</f>
        <v>Maibach 1822 eV</v>
      </c>
      <c r="K78" s="5" t="str">
        <f ca="1">Ergebnisse!$K53</f>
        <v>Eintracht Frankfurt</v>
      </c>
      <c r="L78" s="5" t="str">
        <f ca="1">IF(AND(Ergebnisse!$L53&lt;&gt;"",Ergebnisse!$N53&lt;&gt;"",Ergebnisse!$I53&lt;&gt;Ergebnisse!$K53,$J78&lt;&gt;"",$K78&lt;&gt;""),Ergebnisse!$L53,"")</f>
        <v/>
      </c>
      <c r="M78" s="12" t="str">
        <f ca="1">IF(AND(Ergebnisse!$L53&lt;&gt;"",Ergebnisse!$N53&lt;&gt;"",Ergebnisse!$I53&lt;&gt;Ergebnisse!$K53,$J78&lt;&gt;"",$K78&lt;&gt;""),Ergebnisse!$N53,"")</f>
        <v/>
      </c>
      <c r="N78" s="5">
        <f t="shared" ca="1" si="49"/>
        <v>0</v>
      </c>
      <c r="O78" s="66">
        <f ca="1">IF($N78=0,0,IF($L78&gt;$M78,Einstellungen!$C$4,IF($L78=$M78,1,0)))</f>
        <v>0</v>
      </c>
      <c r="P78" s="5">
        <f ca="1">IF($N78=0,0,IF($L78&lt;$M78,Einstellungen!$C$4,IF($L78=$M78,1,0)))</f>
        <v>0</v>
      </c>
      <c r="Q78" s="116">
        <f t="shared" ca="1" si="53"/>
        <v>0</v>
      </c>
      <c r="R78" s="113">
        <f t="shared" ca="1" si="54"/>
        <v>0</v>
      </c>
      <c r="S78" s="62">
        <f t="shared" ca="1" si="55"/>
        <v>0</v>
      </c>
      <c r="AH78" s="107"/>
      <c r="AI78" s="107"/>
      <c r="AJ78" s="107"/>
      <c r="AK78" s="129"/>
      <c r="AL78" s="107"/>
      <c r="AM78" s="107"/>
      <c r="AN78" s="107"/>
      <c r="AO78" s="107"/>
      <c r="AT78" s="1">
        <f ca="1"/>
        <v>3</v>
      </c>
      <c r="AU78" s="2" t="b">
        <f ca="1"/>
        <v>1</v>
      </c>
    </row>
    <row r="79" spans="3:47" s="2" customFormat="1" x14ac:dyDescent="0.2">
      <c r="C79" s="3"/>
      <c r="D79" s="5"/>
      <c r="E79" s="5"/>
      <c r="F79" s="5"/>
      <c r="G79" s="5"/>
      <c r="H79" s="5"/>
      <c r="I79" s="224" t="s">
        <v>68</v>
      </c>
      <c r="J79" s="16" t="str">
        <f ca="1">Ergebnisse!$I54</f>
        <v>1. FC Riedwald</v>
      </c>
      <c r="K79" s="5" t="str">
        <f ca="1">Ergebnisse!$K54</f>
        <v>SSV Wildbach</v>
      </c>
      <c r="L79" s="5" t="str">
        <f ca="1">IF(AND(Ergebnisse!$L54&lt;&gt;"",Ergebnisse!$N54&lt;&gt;"",Ergebnisse!$I54&lt;&gt;Ergebnisse!$K54,$J79&lt;&gt;"",$K79&lt;&gt;""),Ergebnisse!$L54,"")</f>
        <v/>
      </c>
      <c r="M79" s="12" t="str">
        <f ca="1">IF(AND(Ergebnisse!$L54&lt;&gt;"",Ergebnisse!$N54&lt;&gt;"",Ergebnisse!$I54&lt;&gt;Ergebnisse!$K54,$J79&lt;&gt;"",$K79&lt;&gt;""),Ergebnisse!$N54,"")</f>
        <v/>
      </c>
      <c r="N79" s="5">
        <f t="shared" ca="1" si="49"/>
        <v>0</v>
      </c>
      <c r="O79" s="66">
        <f ca="1">IF($N79=0,0,IF($L79&gt;$M79,Einstellungen!$C$4,IF($L79=$M79,1,0)))</f>
        <v>0</v>
      </c>
      <c r="P79" s="5">
        <f ca="1">IF($N79=0,0,IF($L79&lt;$M79,Einstellungen!$C$4,IF($L79=$M79,1,0)))</f>
        <v>0</v>
      </c>
      <c r="Q79" s="116">
        <f t="shared" ca="1" si="53"/>
        <v>0</v>
      </c>
      <c r="R79" s="113">
        <f t="shared" ca="1" si="54"/>
        <v>0</v>
      </c>
      <c r="S79" s="62">
        <f t="shared" ca="1" si="55"/>
        <v>0</v>
      </c>
      <c r="AH79" s="107"/>
      <c r="AI79" s="107"/>
      <c r="AJ79" s="107"/>
      <c r="AK79" s="129"/>
      <c r="AL79" s="107"/>
      <c r="AM79" s="107"/>
      <c r="AN79" s="107"/>
      <c r="AO79" s="107"/>
      <c r="AT79" s="1" t="e">
        <f ca="1"/>
        <v>#N/A</v>
      </c>
      <c r="AU79" s="2" t="b">
        <f ca="1"/>
        <v>0</v>
      </c>
    </row>
    <row r="80" spans="3:47" s="2" customFormat="1" x14ac:dyDescent="0.2">
      <c r="C80" s="3"/>
      <c r="D80" s="5"/>
      <c r="E80" s="5"/>
      <c r="F80" s="5"/>
      <c r="G80" s="5"/>
      <c r="H80" s="5"/>
      <c r="I80" s="224" t="s">
        <v>69</v>
      </c>
      <c r="J80" s="16" t="str">
        <f ca="1">Ergebnisse!$I55</f>
        <v>SV Obersuhl</v>
      </c>
      <c r="K80" s="5" t="str">
        <f ca="1">Ergebnisse!$K55</f>
        <v>Inter Mailand</v>
      </c>
      <c r="L80" s="5" t="str">
        <f ca="1">IF(AND(Ergebnisse!$L55&lt;&gt;"",Ergebnisse!$N55&lt;&gt;"",Ergebnisse!$I55&lt;&gt;Ergebnisse!$K55,$J80&lt;&gt;"",$K80&lt;&gt;""),Ergebnisse!$L55,"")</f>
        <v/>
      </c>
      <c r="M80" s="12" t="str">
        <f ca="1">IF(AND(Ergebnisse!$L55&lt;&gt;"",Ergebnisse!$N55&lt;&gt;"",Ergebnisse!$I55&lt;&gt;Ergebnisse!$K55,$J80&lt;&gt;"",$K80&lt;&gt;""),Ergebnisse!$N55,"")</f>
        <v/>
      </c>
      <c r="N80" s="5">
        <f t="shared" ca="1" si="49"/>
        <v>0</v>
      </c>
      <c r="O80" s="66">
        <f ca="1">IF($N80=0,0,IF($L80&gt;$M80,Einstellungen!$C$4,IF($L80=$M80,1,0)))</f>
        <v>0</v>
      </c>
      <c r="P80" s="5">
        <f ca="1">IF($N80=0,0,IF($L80&lt;$M80,Einstellungen!$C$4,IF($L80=$M80,1,0)))</f>
        <v>0</v>
      </c>
      <c r="Q80" s="116">
        <f t="shared" ca="1" si="53"/>
        <v>0</v>
      </c>
      <c r="R80" s="113">
        <f t="shared" ca="1" si="54"/>
        <v>0</v>
      </c>
      <c r="S80" s="62">
        <f t="shared" ca="1" si="55"/>
        <v>0</v>
      </c>
      <c r="AH80" s="107"/>
      <c r="AI80" s="107"/>
      <c r="AJ80" s="107"/>
      <c r="AK80" s="129"/>
      <c r="AL80" s="107"/>
      <c r="AM80" s="107"/>
      <c r="AN80" s="107"/>
      <c r="AO80" s="107"/>
      <c r="AT80" s="1">
        <f ca="1"/>
        <v>6</v>
      </c>
      <c r="AU80" s="2" t="b">
        <f ca="1"/>
        <v>1</v>
      </c>
    </row>
    <row r="81" spans="3:47" s="2" customFormat="1" x14ac:dyDescent="0.2">
      <c r="C81" s="3"/>
      <c r="D81" s="5"/>
      <c r="E81" s="5"/>
      <c r="F81" s="5"/>
      <c r="G81" s="5"/>
      <c r="H81" s="5"/>
      <c r="I81" s="224" t="s">
        <v>70</v>
      </c>
      <c r="J81" s="16" t="str">
        <f ca="1">Ergebnisse!$I56</f>
        <v>VFB Essenheim</v>
      </c>
      <c r="K81" s="5" t="str">
        <f ca="1">Ergebnisse!$K56</f>
        <v>SSC Bosserode</v>
      </c>
      <c r="L81" s="5" t="str">
        <f ca="1">IF(AND(Ergebnisse!$L56&lt;&gt;"",Ergebnisse!$N56&lt;&gt;"",Ergebnisse!$I56&lt;&gt;Ergebnisse!$K56,$J81&lt;&gt;"",$K81&lt;&gt;""),Ergebnisse!$L56,"")</f>
        <v/>
      </c>
      <c r="M81" s="12" t="str">
        <f ca="1">IF(AND(Ergebnisse!$L56&lt;&gt;"",Ergebnisse!$N56&lt;&gt;"",Ergebnisse!$I56&lt;&gt;Ergebnisse!$K56,$J81&lt;&gt;"",$K81&lt;&gt;""),Ergebnisse!$N56,"")</f>
        <v/>
      </c>
      <c r="N81" s="5">
        <f t="shared" ca="1" si="49"/>
        <v>0</v>
      </c>
      <c r="O81" s="66">
        <f ca="1">IF($N81=0,0,IF($L81&gt;$M81,Einstellungen!$C$4,IF($L81=$M81,1,0)))</f>
        <v>0</v>
      </c>
      <c r="P81" s="5">
        <f ca="1">IF($N81=0,0,IF($L81&lt;$M81,Einstellungen!$C$4,IF($L81=$M81,1,0)))</f>
        <v>0</v>
      </c>
      <c r="Q81" s="116">
        <f t="shared" ca="1" si="53"/>
        <v>0</v>
      </c>
      <c r="R81" s="113">
        <f t="shared" ca="1" si="54"/>
        <v>0</v>
      </c>
      <c r="S81" s="62">
        <f t="shared" ca="1" si="55"/>
        <v>0</v>
      </c>
      <c r="AH81" s="107"/>
      <c r="AI81" s="107"/>
      <c r="AJ81" s="107"/>
      <c r="AK81" s="129"/>
      <c r="AL81" s="107"/>
      <c r="AM81" s="107"/>
      <c r="AN81" s="107"/>
      <c r="AO81" s="107"/>
      <c r="AT81" s="1">
        <f ca="1"/>
        <v>9</v>
      </c>
      <c r="AU81" s="2" t="b">
        <f ca="1"/>
        <v>1</v>
      </c>
    </row>
    <row r="82" spans="3:47" s="2" customFormat="1" x14ac:dyDescent="0.2">
      <c r="C82" s="3"/>
      <c r="D82" s="5"/>
      <c r="E82" s="5"/>
      <c r="F82" s="5"/>
      <c r="G82" s="5"/>
      <c r="H82" s="5"/>
      <c r="I82" s="224" t="s">
        <v>71</v>
      </c>
      <c r="J82" s="16" t="str">
        <f ca="1">Ergebnisse!$I57</f>
        <v>Eintracht Frankfurt</v>
      </c>
      <c r="K82" s="5" t="str">
        <f ca="1">Ergebnisse!$K57</f>
        <v>FC Barcelona</v>
      </c>
      <c r="L82" s="5" t="str">
        <f ca="1">IF(AND(Ergebnisse!$L57&lt;&gt;"",Ergebnisse!$N57&lt;&gt;"",Ergebnisse!$I57&lt;&gt;Ergebnisse!$K57,$J82&lt;&gt;"",$K82&lt;&gt;""),Ergebnisse!$L57,"")</f>
        <v/>
      </c>
      <c r="M82" s="12" t="str">
        <f ca="1">IF(AND(Ergebnisse!$L57&lt;&gt;"",Ergebnisse!$N57&lt;&gt;"",Ergebnisse!$I57&lt;&gt;Ergebnisse!$K57,$J82&lt;&gt;"",$K82&lt;&gt;""),Ergebnisse!$N57,"")</f>
        <v/>
      </c>
      <c r="N82" s="5">
        <f t="shared" ca="1" si="49"/>
        <v>0</v>
      </c>
      <c r="O82" s="66">
        <f ca="1">IF($N82=0,0,IF($L82&gt;$M82,Einstellungen!$C$4,IF($L82=$M82,1,0)))</f>
        <v>0</v>
      </c>
      <c r="P82" s="5">
        <f ca="1">IF($N82=0,0,IF($L82&lt;$M82,Einstellungen!$C$4,IF($L82=$M82,1,0)))</f>
        <v>0</v>
      </c>
      <c r="Q82" s="116">
        <f t="shared" ca="1" si="53"/>
        <v>0</v>
      </c>
      <c r="R82" s="113">
        <f t="shared" ca="1" si="54"/>
        <v>0</v>
      </c>
      <c r="S82" s="62">
        <f t="shared" ca="1" si="55"/>
        <v>0</v>
      </c>
      <c r="AH82" s="107"/>
      <c r="AI82" s="107"/>
      <c r="AJ82" s="107"/>
      <c r="AK82" s="129"/>
      <c r="AL82" s="107"/>
      <c r="AM82" s="107"/>
      <c r="AN82" s="107"/>
      <c r="AO82" s="107"/>
      <c r="AT82" s="1">
        <f ca="1"/>
        <v>2</v>
      </c>
      <c r="AU82" s="2" t="b">
        <f ca="1"/>
        <v>1</v>
      </c>
    </row>
    <row r="83" spans="3:47" s="2" customFormat="1" x14ac:dyDescent="0.2">
      <c r="C83" s="3"/>
      <c r="D83" s="5"/>
      <c r="E83" s="5"/>
      <c r="F83" s="5"/>
      <c r="G83" s="5"/>
      <c r="H83" s="5"/>
      <c r="I83" s="224" t="s">
        <v>72</v>
      </c>
      <c r="J83" s="16" t="str">
        <f ca="1">Ergebnisse!$I58</f>
        <v>Inter Mailand</v>
      </c>
      <c r="K83" s="5" t="str">
        <f ca="1">Ergebnisse!$K58</f>
        <v>1. FC Riedwald</v>
      </c>
      <c r="L83" s="5" t="str">
        <f ca="1">IF(AND(Ergebnisse!$L58&lt;&gt;"",Ergebnisse!$N58&lt;&gt;"",Ergebnisse!$I58&lt;&gt;Ergebnisse!$K58,$J83&lt;&gt;"",$K83&lt;&gt;""),Ergebnisse!$L58,"")</f>
        <v/>
      </c>
      <c r="M83" s="12" t="str">
        <f ca="1">IF(AND(Ergebnisse!$L58&lt;&gt;"",Ergebnisse!$N58&lt;&gt;"",Ergebnisse!$I58&lt;&gt;Ergebnisse!$K58,$J83&lt;&gt;"",$K83&lt;&gt;""),Ergebnisse!$N58,"")</f>
        <v/>
      </c>
      <c r="N83" s="5">
        <f t="shared" ca="1" si="49"/>
        <v>0</v>
      </c>
      <c r="O83" s="66">
        <f ca="1">IF($N83=0,0,IF($L83&gt;$M83,Einstellungen!$C$4,IF($L83=$M83,1,0)))</f>
        <v>0</v>
      </c>
      <c r="P83" s="5">
        <f ca="1">IF($N83=0,0,IF($L83&lt;$M83,Einstellungen!$C$4,IF($L83=$M83,1,0)))</f>
        <v>0</v>
      </c>
      <c r="Q83" s="116">
        <f t="shared" ca="1" si="53"/>
        <v>0</v>
      </c>
      <c r="R83" s="113">
        <f t="shared" ca="1" si="54"/>
        <v>0</v>
      </c>
      <c r="S83" s="62">
        <f t="shared" ca="1" si="55"/>
        <v>0</v>
      </c>
      <c r="AH83" s="107"/>
      <c r="AI83" s="107"/>
      <c r="AJ83" s="107"/>
      <c r="AK83" s="129"/>
      <c r="AL83" s="107"/>
      <c r="AM83" s="107"/>
      <c r="AN83" s="107"/>
      <c r="AO83" s="107"/>
      <c r="AT83" s="1">
        <f ca="1"/>
        <v>1</v>
      </c>
      <c r="AU83" s="2" t="b">
        <f ca="1"/>
        <v>1</v>
      </c>
    </row>
    <row r="84" spans="3:47" s="2" customFormat="1" x14ac:dyDescent="0.2">
      <c r="C84" s="3"/>
      <c r="D84" s="5"/>
      <c r="E84" s="5"/>
      <c r="F84" s="5"/>
      <c r="G84" s="5"/>
      <c r="H84" s="5"/>
      <c r="I84" s="224" t="s">
        <v>73</v>
      </c>
      <c r="J84" s="16" t="str">
        <f ca="1">Ergebnisse!$I59</f>
        <v>SSV Wildbach</v>
      </c>
      <c r="K84" s="5" t="str">
        <f ca="1">Ergebnisse!$K59</f>
        <v>VFB Essenheim</v>
      </c>
      <c r="L84" s="5" t="str">
        <f ca="1">IF(AND(Ergebnisse!$L59&lt;&gt;"",Ergebnisse!$N59&lt;&gt;"",Ergebnisse!$I59&lt;&gt;Ergebnisse!$K59,$J84&lt;&gt;"",$K84&lt;&gt;""),Ergebnisse!$L59,"")</f>
        <v/>
      </c>
      <c r="M84" s="12" t="str">
        <f ca="1">IF(AND(Ergebnisse!$L59&lt;&gt;"",Ergebnisse!$N59&lt;&gt;"",Ergebnisse!$I59&lt;&gt;Ergebnisse!$K59,$J84&lt;&gt;"",$K84&lt;&gt;""),Ergebnisse!$N59,"")</f>
        <v/>
      </c>
      <c r="N84" s="5">
        <f t="shared" ca="1" si="49"/>
        <v>0</v>
      </c>
      <c r="O84" s="66">
        <f ca="1">IF($N84=0,0,IF($L84&gt;$M84,Einstellungen!$C$4,IF($L84=$M84,1,0)))</f>
        <v>0</v>
      </c>
      <c r="P84" s="5">
        <f ca="1">IF($N84=0,0,IF($L84&lt;$M84,Einstellungen!$C$4,IF($L84=$M84,1,0)))</f>
        <v>0</v>
      </c>
      <c r="Q84" s="116">
        <f t="shared" ca="1" si="53"/>
        <v>0</v>
      </c>
      <c r="R84" s="113">
        <f t="shared" ca="1" si="54"/>
        <v>0</v>
      </c>
      <c r="S84" s="62">
        <f t="shared" ca="1" si="55"/>
        <v>0</v>
      </c>
      <c r="AH84" s="107"/>
      <c r="AI84" s="107"/>
      <c r="AJ84" s="107"/>
      <c r="AK84" s="129"/>
      <c r="AL84" s="107"/>
      <c r="AM84" s="107"/>
      <c r="AN84" s="107"/>
      <c r="AO84" s="107"/>
      <c r="AT84" s="1" t="e">
        <f ca="1"/>
        <v>#N/A</v>
      </c>
      <c r="AU84" s="2" t="b">
        <f ca="1"/>
        <v>0</v>
      </c>
    </row>
    <row r="85" spans="3:47" s="2" customFormat="1" x14ac:dyDescent="0.2">
      <c r="C85" s="3"/>
      <c r="D85" s="5"/>
      <c r="E85" s="5"/>
      <c r="F85" s="5"/>
      <c r="G85" s="5"/>
      <c r="H85" s="5"/>
      <c r="I85" s="224" t="s">
        <v>74</v>
      </c>
      <c r="J85" s="16" t="str">
        <f ca="1">Ergebnisse!$I60</f>
        <v>Maibach 1822 eV</v>
      </c>
      <c r="K85" s="5" t="str">
        <f ca="1">Ergebnisse!$K60</f>
        <v>SV Obersuhl</v>
      </c>
      <c r="L85" s="5" t="str">
        <f ca="1">IF(AND(Ergebnisse!$L60&lt;&gt;"",Ergebnisse!$N60&lt;&gt;"",Ergebnisse!$I60&lt;&gt;Ergebnisse!$K60,$J85&lt;&gt;"",$K85&lt;&gt;""),Ergebnisse!$L60,"")</f>
        <v/>
      </c>
      <c r="M85" s="12" t="str">
        <f ca="1">IF(AND(Ergebnisse!$L60&lt;&gt;"",Ergebnisse!$N60&lt;&gt;"",Ergebnisse!$I60&lt;&gt;Ergebnisse!$K60,$J85&lt;&gt;"",$K85&lt;&gt;""),Ergebnisse!$N60,"")</f>
        <v/>
      </c>
      <c r="N85" s="5">
        <f t="shared" ca="1" si="49"/>
        <v>0</v>
      </c>
      <c r="O85" s="66">
        <f ca="1">IF($N85=0,0,IF($L85&gt;$M85,Einstellungen!$C$4,IF($L85=$M85,1,0)))</f>
        <v>0</v>
      </c>
      <c r="P85" s="5">
        <f ca="1">IF($N85=0,0,IF($L85&lt;$M85,Einstellungen!$C$4,IF($L85=$M85,1,0)))</f>
        <v>0</v>
      </c>
      <c r="Q85" s="116">
        <f t="shared" ca="1" si="53"/>
        <v>0</v>
      </c>
      <c r="R85" s="113">
        <f t="shared" ca="1" si="54"/>
        <v>0</v>
      </c>
      <c r="S85" s="62">
        <f t="shared" ca="1" si="55"/>
        <v>0</v>
      </c>
      <c r="AH85" s="109"/>
      <c r="AI85" s="109"/>
      <c r="AJ85" s="109"/>
      <c r="AK85" s="109"/>
      <c r="AL85" s="109"/>
      <c r="AM85" s="109"/>
      <c r="AN85" s="109"/>
      <c r="AO85" s="109"/>
      <c r="AT85" s="1">
        <f ca="1"/>
        <v>8</v>
      </c>
      <c r="AU85" s="2" t="b">
        <f ca="1"/>
        <v>1</v>
      </c>
    </row>
    <row r="86" spans="3:47" s="2" customFormat="1" x14ac:dyDescent="0.2">
      <c r="C86" s="3"/>
      <c r="D86" s="5"/>
      <c r="E86" s="5"/>
      <c r="F86" s="5"/>
      <c r="G86" s="5"/>
      <c r="H86" s="5"/>
      <c r="I86" s="224" t="s">
        <v>75</v>
      </c>
      <c r="J86" s="16" t="str">
        <f ca="1">Ergebnisse!$I61</f>
        <v>SSC Bosserode</v>
      </c>
      <c r="K86" s="5" t="str">
        <f ca="1">Ergebnisse!$K61</f>
        <v>Eintracht Frankfurt</v>
      </c>
      <c r="L86" s="5" t="str">
        <f ca="1">IF(AND(Ergebnisse!$L61&lt;&gt;"",Ergebnisse!$N61&lt;&gt;"",Ergebnisse!$I61&lt;&gt;Ergebnisse!$K61,$J86&lt;&gt;"",$K86&lt;&gt;""),Ergebnisse!$L61,"")</f>
        <v/>
      </c>
      <c r="M86" s="12" t="str">
        <f ca="1">IF(AND(Ergebnisse!$L61&lt;&gt;"",Ergebnisse!$N61&lt;&gt;"",Ergebnisse!$I61&lt;&gt;Ergebnisse!$K61,$J86&lt;&gt;"",$K86&lt;&gt;""),Ergebnisse!$N61,"")</f>
        <v/>
      </c>
      <c r="N86" s="5">
        <f t="shared" ca="1" si="49"/>
        <v>0</v>
      </c>
      <c r="O86" s="66">
        <f ca="1">IF($N86=0,0,IF($L86&gt;$M86,Einstellungen!$C$4,IF($L86=$M86,1,0)))</f>
        <v>0</v>
      </c>
      <c r="P86" s="5">
        <f ca="1">IF($N86=0,0,IF($L86&lt;$M86,Einstellungen!$C$4,IF($L86=$M86,1,0)))</f>
        <v>0</v>
      </c>
      <c r="Q86" s="116">
        <f t="shared" ca="1" si="53"/>
        <v>0</v>
      </c>
      <c r="R86" s="113">
        <f t="shared" ca="1" si="54"/>
        <v>0</v>
      </c>
      <c r="S86" s="62">
        <f t="shared" ca="1" si="55"/>
        <v>0</v>
      </c>
      <c r="AH86" s="109"/>
      <c r="AI86" s="109"/>
      <c r="AJ86" s="109"/>
      <c r="AK86" s="109"/>
      <c r="AL86" s="109"/>
      <c r="AM86" s="109"/>
      <c r="AN86" s="111"/>
      <c r="AO86" s="109"/>
      <c r="AT86" s="1">
        <f ca="1"/>
        <v>3</v>
      </c>
      <c r="AU86" s="2" t="b">
        <f ca="1"/>
        <v>1</v>
      </c>
    </row>
    <row r="87" spans="3:47" s="2" customFormat="1" x14ac:dyDescent="0.2">
      <c r="C87" s="3"/>
      <c r="D87" s="5"/>
      <c r="E87" s="5"/>
      <c r="F87" s="5"/>
      <c r="G87" s="5"/>
      <c r="H87" s="5"/>
      <c r="I87" s="224" t="s">
        <v>76</v>
      </c>
      <c r="J87" s="16" t="str">
        <f ca="1">Ergebnisse!$I62</f>
        <v>1. FC Riedwald</v>
      </c>
      <c r="K87" s="5" t="str">
        <f ca="1">Ergebnisse!$K62</f>
        <v>VFB Essenheim</v>
      </c>
      <c r="L87" s="5" t="str">
        <f ca="1">IF(AND(Ergebnisse!$L62&lt;&gt;"",Ergebnisse!$N62&lt;&gt;"",Ergebnisse!$I62&lt;&gt;Ergebnisse!$K62,$J87&lt;&gt;"",$K87&lt;&gt;""),Ergebnisse!$L62,"")</f>
        <v/>
      </c>
      <c r="M87" s="12" t="str">
        <f ca="1">IF(AND(Ergebnisse!$L62&lt;&gt;"",Ergebnisse!$N62&lt;&gt;"",Ergebnisse!$I62&lt;&gt;Ergebnisse!$K62,$J87&lt;&gt;"",$K87&lt;&gt;""),Ergebnisse!$N62,"")</f>
        <v/>
      </c>
      <c r="N87" s="5">
        <f t="shared" ca="1" si="49"/>
        <v>0</v>
      </c>
      <c r="O87" s="66">
        <f ca="1">IF($N87=0,0,IF($L87&gt;$M87,Einstellungen!$C$4,IF($L87=$M87,1,0)))</f>
        <v>0</v>
      </c>
      <c r="P87" s="5">
        <f ca="1">IF($N87=0,0,IF($L87&lt;$M87,Einstellungen!$C$4,IF($L87=$M87,1,0)))</f>
        <v>0</v>
      </c>
      <c r="Q87" s="116">
        <f t="shared" ca="1" si="53"/>
        <v>0</v>
      </c>
      <c r="R87" s="113">
        <f t="shared" ca="1" si="54"/>
        <v>0</v>
      </c>
      <c r="S87" s="62">
        <f t="shared" ca="1" si="55"/>
        <v>0</v>
      </c>
      <c r="AH87" s="107"/>
      <c r="AI87" s="107"/>
      <c r="AJ87" s="107"/>
      <c r="AK87" s="129"/>
      <c r="AL87" s="107"/>
      <c r="AM87" s="107"/>
      <c r="AN87" s="107"/>
      <c r="AO87" s="107"/>
      <c r="AT87" s="1" t="e">
        <f ca="1"/>
        <v>#N/A</v>
      </c>
      <c r="AU87" s="2" t="b">
        <f ca="1"/>
        <v>0</v>
      </c>
    </row>
    <row r="88" spans="3:47" s="2" customFormat="1" x14ac:dyDescent="0.2">
      <c r="C88" s="3"/>
      <c r="D88" s="5"/>
      <c r="E88" s="5"/>
      <c r="F88" s="5"/>
      <c r="G88" s="5"/>
      <c r="H88" s="5"/>
      <c r="I88" s="224" t="s">
        <v>77</v>
      </c>
      <c r="J88" s="16" t="str">
        <f ca="1">Ergebnisse!$I63</f>
        <v>Inter Mailand</v>
      </c>
      <c r="K88" s="5" t="str">
        <f ca="1">Ergebnisse!$K63</f>
        <v>Maibach 1822 eV</v>
      </c>
      <c r="L88" s="5" t="str">
        <f ca="1">IF(AND(Ergebnisse!$L63&lt;&gt;"",Ergebnisse!$N63&lt;&gt;"",Ergebnisse!$I63&lt;&gt;Ergebnisse!$K63,$J88&lt;&gt;"",$K88&lt;&gt;""),Ergebnisse!$L63,"")</f>
        <v/>
      </c>
      <c r="M88" s="12" t="str">
        <f ca="1">IF(AND(Ergebnisse!$L63&lt;&gt;"",Ergebnisse!$N63&lt;&gt;"",Ergebnisse!$I63&lt;&gt;Ergebnisse!$K63,$J88&lt;&gt;"",$K88&lt;&gt;""),Ergebnisse!$N63,"")</f>
        <v/>
      </c>
      <c r="N88" s="5">
        <f t="shared" ca="1" si="49"/>
        <v>0</v>
      </c>
      <c r="O88" s="66">
        <f ca="1">IF($N88=0,0,IF($L88&gt;$M88,Einstellungen!$C$4,IF($L88=$M88,1,0)))</f>
        <v>0</v>
      </c>
      <c r="P88" s="5">
        <f ca="1">IF($N88=0,0,IF($L88&lt;$M88,Einstellungen!$C$4,IF($L88=$M88,1,0)))</f>
        <v>0</v>
      </c>
      <c r="Q88" s="116">
        <f t="shared" ca="1" si="53"/>
        <v>0</v>
      </c>
      <c r="R88" s="113">
        <f t="shared" ca="1" si="54"/>
        <v>0</v>
      </c>
      <c r="S88" s="62">
        <f t="shared" ca="1" si="55"/>
        <v>0</v>
      </c>
      <c r="AH88" s="107"/>
      <c r="AI88" s="107"/>
      <c r="AJ88" s="107"/>
      <c r="AK88" s="129"/>
      <c r="AL88" s="107"/>
      <c r="AM88" s="107"/>
      <c r="AN88" s="107"/>
      <c r="AO88" s="107"/>
      <c r="AT88" s="1" t="e">
        <f ca="1"/>
        <v>#N/A</v>
      </c>
      <c r="AU88" s="2" t="b">
        <f ca="1"/>
        <v>0</v>
      </c>
    </row>
    <row r="89" spans="3:47" s="2" customFormat="1" x14ac:dyDescent="0.2">
      <c r="C89" s="3"/>
      <c r="D89" s="5"/>
      <c r="E89" s="5"/>
      <c r="F89" s="5"/>
      <c r="G89" s="5"/>
      <c r="H89" s="5"/>
      <c r="I89" s="224" t="s">
        <v>78</v>
      </c>
      <c r="J89" s="16" t="str">
        <f ca="1">Ergebnisse!$I64</f>
        <v>Eintracht Frankfurt</v>
      </c>
      <c r="K89" s="5" t="str">
        <f ca="1">Ergebnisse!$K64</f>
        <v>SSV Wildbach</v>
      </c>
      <c r="L89" s="5" t="str">
        <f ca="1">IF(AND(Ergebnisse!$L64&lt;&gt;"",Ergebnisse!$N64&lt;&gt;"",Ergebnisse!$I64&lt;&gt;Ergebnisse!$K64,$J89&lt;&gt;"",$K89&lt;&gt;""),Ergebnisse!$L64,"")</f>
        <v/>
      </c>
      <c r="M89" s="12" t="str">
        <f ca="1">IF(AND(Ergebnisse!$L64&lt;&gt;"",Ergebnisse!$N64&lt;&gt;"",Ergebnisse!$I64&lt;&gt;Ergebnisse!$K64,$J89&lt;&gt;"",$K89&lt;&gt;""),Ergebnisse!$N64,"")</f>
        <v/>
      </c>
      <c r="N89" s="5">
        <f t="shared" ca="1" si="49"/>
        <v>0</v>
      </c>
      <c r="O89" s="66">
        <f ca="1">IF($N89=0,0,IF($L89&gt;$M89,Einstellungen!$C$4,IF($L89=$M89,1,0)))</f>
        <v>0</v>
      </c>
      <c r="P89" s="5">
        <f ca="1">IF($N89=0,0,IF($L89&lt;$M89,Einstellungen!$C$4,IF($L89=$M89,1,0)))</f>
        <v>0</v>
      </c>
      <c r="Q89" s="116">
        <f t="shared" ca="1" si="53"/>
        <v>0</v>
      </c>
      <c r="R89" s="113">
        <f t="shared" ca="1" si="54"/>
        <v>0</v>
      </c>
      <c r="S89" s="62">
        <f t="shared" ca="1" si="55"/>
        <v>0</v>
      </c>
      <c r="AH89" s="107"/>
      <c r="AI89" s="107"/>
      <c r="AJ89" s="107"/>
      <c r="AK89" s="129"/>
      <c r="AL89" s="107"/>
      <c r="AM89" s="107"/>
      <c r="AN89" s="107"/>
      <c r="AO89" s="107"/>
      <c r="AT89" s="1" t="e">
        <f ca="1"/>
        <v>#N/A</v>
      </c>
      <c r="AU89" s="2" t="b">
        <f ca="1"/>
        <v>0</v>
      </c>
    </row>
    <row r="90" spans="3:47" s="2" customFormat="1" x14ac:dyDescent="0.2">
      <c r="C90" s="3"/>
      <c r="D90" s="5"/>
      <c r="E90" s="5"/>
      <c r="F90" s="5"/>
      <c r="G90" s="5"/>
      <c r="H90" s="5"/>
      <c r="I90" s="224" t="s">
        <v>79</v>
      </c>
      <c r="J90" s="16" t="str">
        <f ca="1">Ergebnisse!$I65</f>
        <v>SV Obersuhl</v>
      </c>
      <c r="K90" s="5" t="str">
        <f ca="1">Ergebnisse!$K65</f>
        <v>FC Barcelona</v>
      </c>
      <c r="L90" s="5" t="str">
        <f ca="1">IF(AND(Ergebnisse!$L65&lt;&gt;"",Ergebnisse!$N65&lt;&gt;"",Ergebnisse!$I65&lt;&gt;Ergebnisse!$K65,$J90&lt;&gt;"",$K90&lt;&gt;""),Ergebnisse!$L65,"")</f>
        <v/>
      </c>
      <c r="M90" s="12" t="str">
        <f ca="1">IF(AND(Ergebnisse!$L65&lt;&gt;"",Ergebnisse!$N65&lt;&gt;"",Ergebnisse!$I65&lt;&gt;Ergebnisse!$K65,$J90&lt;&gt;"",$K90&lt;&gt;""),Ergebnisse!$N65,"")</f>
        <v/>
      </c>
      <c r="N90" s="5">
        <f t="shared" ca="1" si="49"/>
        <v>0</v>
      </c>
      <c r="O90" s="66">
        <f ca="1">IF($N90=0,0,IF($L90&gt;$M90,Einstellungen!$C$4,IF($L90=$M90,1,0)))</f>
        <v>0</v>
      </c>
      <c r="P90" s="5">
        <f ca="1">IF($N90=0,0,IF($L90&lt;$M90,Einstellungen!$C$4,IF($L90=$M90,1,0)))</f>
        <v>0</v>
      </c>
      <c r="Q90" s="116">
        <f t="shared" ca="1" si="53"/>
        <v>0</v>
      </c>
      <c r="R90" s="113">
        <f t="shared" ca="1" si="54"/>
        <v>0</v>
      </c>
      <c r="S90" s="62">
        <f t="shared" ca="1" si="55"/>
        <v>0</v>
      </c>
      <c r="AH90" s="107"/>
      <c r="AI90" s="107"/>
      <c r="AJ90" s="107"/>
      <c r="AK90" s="129"/>
      <c r="AL90" s="107"/>
      <c r="AM90" s="107"/>
      <c r="AN90" s="107"/>
      <c r="AO90" s="107"/>
      <c r="AT90" s="1">
        <f ca="1"/>
        <v>2</v>
      </c>
      <c r="AU90" s="2" t="b">
        <f ca="1"/>
        <v>1</v>
      </c>
    </row>
    <row r="91" spans="3:47" s="2" customFormat="1" x14ac:dyDescent="0.2">
      <c r="C91" s="3"/>
      <c r="D91" s="5"/>
      <c r="E91" s="5"/>
      <c r="F91" s="5"/>
      <c r="G91" s="5"/>
      <c r="H91" s="5"/>
      <c r="I91" s="224" t="s">
        <v>80</v>
      </c>
      <c r="J91" s="16" t="str">
        <f ca="1">Ergebnisse!$I66</f>
        <v>Maibach 1822 eV</v>
      </c>
      <c r="K91" s="5" t="str">
        <f ca="1">Ergebnisse!$K66</f>
        <v>1. FC Riedwald</v>
      </c>
      <c r="L91" s="5" t="str">
        <f ca="1">IF(AND(Ergebnisse!$L66&lt;&gt;"",Ergebnisse!$N66&lt;&gt;"",Ergebnisse!$I66&lt;&gt;Ergebnisse!$K66,$J91&lt;&gt;"",$K91&lt;&gt;""),Ergebnisse!$L66,"")</f>
        <v/>
      </c>
      <c r="M91" s="12" t="str">
        <f ca="1">IF(AND(Ergebnisse!$L66&lt;&gt;"",Ergebnisse!$N66&lt;&gt;"",Ergebnisse!$I66&lt;&gt;Ergebnisse!$K66,$J91&lt;&gt;"",$K91&lt;&gt;""),Ergebnisse!$N66,"")</f>
        <v/>
      </c>
      <c r="N91" s="5">
        <f t="shared" ca="1" si="49"/>
        <v>0</v>
      </c>
      <c r="O91" s="66">
        <f ca="1">IF($N91=0,0,IF($L91&gt;$M91,Einstellungen!$C$4,IF($L91=$M91,1,0)))</f>
        <v>0</v>
      </c>
      <c r="P91" s="5">
        <f ca="1">IF($N91=0,0,IF($L91&lt;$M91,Einstellungen!$C$4,IF($L91=$M91,1,0)))</f>
        <v>0</v>
      </c>
      <c r="Q91" s="116">
        <f t="shared" ca="1" si="53"/>
        <v>0</v>
      </c>
      <c r="R91" s="113">
        <f t="shared" ca="1" si="54"/>
        <v>0</v>
      </c>
      <c r="S91" s="62">
        <f t="shared" ca="1" si="55"/>
        <v>0</v>
      </c>
      <c r="AH91" s="107"/>
      <c r="AI91" s="107"/>
      <c r="AJ91" s="107"/>
      <c r="AK91" s="129"/>
      <c r="AL91" s="107"/>
      <c r="AM91" s="107"/>
      <c r="AN91" s="107"/>
      <c r="AO91" s="107"/>
      <c r="AT91" s="1">
        <f ca="1"/>
        <v>1</v>
      </c>
      <c r="AU91" s="2" t="b">
        <f ca="1"/>
        <v>1</v>
      </c>
    </row>
    <row r="92" spans="3:47" s="2" customFormat="1" x14ac:dyDescent="0.2">
      <c r="C92" s="3"/>
      <c r="D92" s="5"/>
      <c r="E92" s="5"/>
      <c r="F92" s="5"/>
      <c r="G92" s="5"/>
      <c r="H92" s="5"/>
      <c r="I92" s="224" t="s">
        <v>81</v>
      </c>
      <c r="J92" s="16" t="str">
        <f ca="1">Ergebnisse!$I67</f>
        <v>VFB Essenheim</v>
      </c>
      <c r="K92" s="5" t="str">
        <f ca="1">Ergebnisse!$K67</f>
        <v>Eintracht Frankfurt</v>
      </c>
      <c r="L92" s="5" t="str">
        <f ca="1">IF(AND(Ergebnisse!$L67&lt;&gt;"",Ergebnisse!$N67&lt;&gt;"",Ergebnisse!$I67&lt;&gt;Ergebnisse!$K67,$J92&lt;&gt;"",$K92&lt;&gt;""),Ergebnisse!$L67,"")</f>
        <v/>
      </c>
      <c r="M92" s="12" t="str">
        <f ca="1">IF(AND(Ergebnisse!$L67&lt;&gt;"",Ergebnisse!$N67&lt;&gt;"",Ergebnisse!$I67&lt;&gt;Ergebnisse!$K67,$J92&lt;&gt;"",$K92&lt;&gt;""),Ergebnisse!$N67,"")</f>
        <v/>
      </c>
      <c r="N92" s="5">
        <f t="shared" ca="1" si="49"/>
        <v>0</v>
      </c>
      <c r="O92" s="66">
        <f ca="1">IF($N92=0,0,IF($L92&gt;$M92,Einstellungen!$C$4,IF($L92=$M92,1,0)))</f>
        <v>0</v>
      </c>
      <c r="P92" s="5">
        <f ca="1">IF($N92=0,0,IF($L92&lt;$M92,Einstellungen!$C$4,IF($L92=$M92,1,0)))</f>
        <v>0</v>
      </c>
      <c r="Q92" s="116">
        <f t="shared" ca="1" si="53"/>
        <v>0</v>
      </c>
      <c r="R92" s="113">
        <f t="shared" ca="1" si="54"/>
        <v>0</v>
      </c>
      <c r="S92" s="62">
        <f t="shared" ca="1" si="55"/>
        <v>0</v>
      </c>
      <c r="AH92" s="107"/>
      <c r="AI92" s="107"/>
      <c r="AJ92" s="107"/>
      <c r="AK92" s="129"/>
      <c r="AL92" s="107"/>
      <c r="AM92" s="107"/>
      <c r="AN92" s="107"/>
      <c r="AO92" s="107"/>
      <c r="AT92" s="1">
        <f ca="1"/>
        <v>3</v>
      </c>
      <c r="AU92" s="2" t="b">
        <f ca="1"/>
        <v>1</v>
      </c>
    </row>
    <row r="93" spans="3:47" s="2" customFormat="1" x14ac:dyDescent="0.2">
      <c r="C93" s="3"/>
      <c r="D93" s="5"/>
      <c r="E93" s="5"/>
      <c r="F93" s="5"/>
      <c r="G93" s="5"/>
      <c r="H93" s="5"/>
      <c r="I93" s="224" t="s">
        <v>82</v>
      </c>
      <c r="J93" s="16" t="str">
        <f ca="1">Ergebnisse!$I68</f>
        <v>FC Barcelona</v>
      </c>
      <c r="K93" s="5" t="str">
        <f ca="1">Ergebnisse!$K68</f>
        <v>Inter Mailand</v>
      </c>
      <c r="L93" s="5" t="str">
        <f ca="1">IF(AND(Ergebnisse!$L68&lt;&gt;"",Ergebnisse!$N68&lt;&gt;"",Ergebnisse!$I68&lt;&gt;Ergebnisse!$K68,$J93&lt;&gt;"",$K93&lt;&gt;""),Ergebnisse!$L68,"")</f>
        <v/>
      </c>
      <c r="M93" s="12" t="str">
        <f ca="1">IF(AND(Ergebnisse!$L68&lt;&gt;"",Ergebnisse!$N68&lt;&gt;"",Ergebnisse!$I68&lt;&gt;Ergebnisse!$K68,$J93&lt;&gt;"",$K93&lt;&gt;""),Ergebnisse!$N68,"")</f>
        <v/>
      </c>
      <c r="N93" s="5">
        <f t="shared" ca="1" si="49"/>
        <v>0</v>
      </c>
      <c r="O93" s="66">
        <f ca="1">IF($N93=0,0,IF($L93&gt;$M93,Einstellungen!$C$4,IF($L93=$M93,1,0)))</f>
        <v>0</v>
      </c>
      <c r="P93" s="5">
        <f ca="1">IF($N93=0,0,IF($L93&lt;$M93,Einstellungen!$C$4,IF($L93=$M93,1,0)))</f>
        <v>0</v>
      </c>
      <c r="Q93" s="116">
        <f t="shared" ca="1" si="53"/>
        <v>0</v>
      </c>
      <c r="R93" s="113">
        <f t="shared" ca="1" si="54"/>
        <v>0</v>
      </c>
      <c r="S93" s="62">
        <f t="shared" ca="1" si="55"/>
        <v>0</v>
      </c>
      <c r="AH93" s="107"/>
      <c r="AI93" s="107"/>
      <c r="AJ93" s="107"/>
      <c r="AK93" s="129"/>
      <c r="AL93" s="107"/>
      <c r="AM93" s="107"/>
      <c r="AN93" s="107"/>
      <c r="AO93" s="107"/>
      <c r="AT93" s="1">
        <f ca="1"/>
        <v>6</v>
      </c>
      <c r="AU93" s="2" t="b">
        <f ca="1"/>
        <v>1</v>
      </c>
    </row>
    <row r="94" spans="3:47" s="2" customFormat="1" x14ac:dyDescent="0.2">
      <c r="C94" s="3"/>
      <c r="D94" s="5"/>
      <c r="E94" s="5"/>
      <c r="F94" s="5"/>
      <c r="G94" s="5"/>
      <c r="H94" s="5"/>
      <c r="I94" s="224" t="s">
        <v>83</v>
      </c>
      <c r="J94" s="16" t="str">
        <f ca="1">Ergebnisse!$I69</f>
        <v>SSC Bosserode</v>
      </c>
      <c r="K94" s="5" t="str">
        <f ca="1">Ergebnisse!$K69</f>
        <v>SV Obersuhl</v>
      </c>
      <c r="L94" s="5" t="str">
        <f ca="1">IF(AND(Ergebnisse!$L69&lt;&gt;"",Ergebnisse!$N69&lt;&gt;"",Ergebnisse!$I69&lt;&gt;Ergebnisse!$K69,$J94&lt;&gt;"",$K94&lt;&gt;""),Ergebnisse!$L69,"")</f>
        <v/>
      </c>
      <c r="M94" s="12" t="str">
        <f ca="1">IF(AND(Ergebnisse!$L69&lt;&gt;"",Ergebnisse!$N69&lt;&gt;"",Ergebnisse!$I69&lt;&gt;Ergebnisse!$K69,$J94&lt;&gt;"",$K94&lt;&gt;""),Ergebnisse!$N69,"")</f>
        <v/>
      </c>
      <c r="N94" s="5">
        <f t="shared" ca="1" si="49"/>
        <v>0</v>
      </c>
      <c r="O94" s="66">
        <f ca="1">IF($N94=0,0,IF($L94&gt;$M94,Einstellungen!$C$4,IF($L94=$M94,1,0)))</f>
        <v>0</v>
      </c>
      <c r="P94" s="5">
        <f ca="1">IF($N94=0,0,IF($L94&lt;$M94,Einstellungen!$C$4,IF($L94=$M94,1,0)))</f>
        <v>0</v>
      </c>
      <c r="Q94" s="116">
        <f t="shared" ca="1" si="53"/>
        <v>0</v>
      </c>
      <c r="R94" s="113">
        <f t="shared" ca="1" si="54"/>
        <v>0</v>
      </c>
      <c r="S94" s="62">
        <f t="shared" ca="1" si="55"/>
        <v>0</v>
      </c>
      <c r="AH94" s="107"/>
      <c r="AI94" s="107"/>
      <c r="AJ94" s="107"/>
      <c r="AK94" s="129"/>
      <c r="AL94" s="107"/>
      <c r="AM94" s="107"/>
      <c r="AN94" s="107"/>
      <c r="AO94" s="107"/>
      <c r="AT94" s="1">
        <f ca="1"/>
        <v>8</v>
      </c>
      <c r="AU94" s="2" t="b">
        <f ca="1"/>
        <v>1</v>
      </c>
    </row>
    <row r="95" spans="3:47" s="2" customFormat="1" x14ac:dyDescent="0.2">
      <c r="C95" s="3"/>
      <c r="D95" s="5"/>
      <c r="E95" s="5"/>
      <c r="F95" s="5"/>
      <c r="G95" s="5"/>
      <c r="H95" s="5"/>
      <c r="I95" s="224" t="s">
        <v>84</v>
      </c>
      <c r="J95" s="16" t="str">
        <f ca="1">Ergebnisse!$I70</f>
        <v>1. FC Riedwald</v>
      </c>
      <c r="K95" s="5" t="str">
        <f ca="1">Ergebnisse!$K70</f>
        <v>Eintracht Frankfurt</v>
      </c>
      <c r="L95" s="5" t="str">
        <f ca="1">IF(AND(Ergebnisse!$L70&lt;&gt;"",Ergebnisse!$N70&lt;&gt;"",Ergebnisse!$I70&lt;&gt;Ergebnisse!$K70,$J95&lt;&gt;"",$K95&lt;&gt;""),Ergebnisse!$L70,"")</f>
        <v/>
      </c>
      <c r="M95" s="12" t="str">
        <f ca="1">IF(AND(Ergebnisse!$L70&lt;&gt;"",Ergebnisse!$N70&lt;&gt;"",Ergebnisse!$I70&lt;&gt;Ergebnisse!$K70,$J95&lt;&gt;"",$K95&lt;&gt;""),Ergebnisse!$N70,"")</f>
        <v/>
      </c>
      <c r="N95" s="5">
        <f t="shared" ref="N95:N102" ca="1" si="56">IF(AND(J95&lt;&gt;"",K95&lt;&gt;"",J95&lt;&gt;K95,L95&lt;&gt;"",M95&lt;&gt;""),1,0)</f>
        <v>0</v>
      </c>
      <c r="O95" s="66">
        <f ca="1">IF($N95=0,0,IF($L95&gt;$M95,Einstellungen!$C$4,IF($L95=$M95,1,0)))</f>
        <v>0</v>
      </c>
      <c r="P95" s="5">
        <f ca="1">IF($N95=0,0,IF($L95&lt;$M95,Einstellungen!$C$4,IF($L95=$M95,1,0)))</f>
        <v>0</v>
      </c>
      <c r="Q95" s="116">
        <f t="shared" ref="Q95:Q102" ca="1" si="57">IF(OR(L95="",M95=""),0,L95-M95)</f>
        <v>0</v>
      </c>
      <c r="R95" s="113">
        <f t="shared" ref="R95:R102" ca="1" si="58">IF(OR(L95="",M95=""),0,L95)</f>
        <v>0</v>
      </c>
      <c r="S95" s="62">
        <f t="shared" ref="S95:S102" ca="1" si="59">IF(OR(L95="",M95=""),0,M95)</f>
        <v>0</v>
      </c>
      <c r="AH95" s="107"/>
      <c r="AI95" s="107"/>
      <c r="AJ95" s="107"/>
      <c r="AK95" s="129"/>
      <c r="AL95" s="107"/>
      <c r="AM95" s="107"/>
      <c r="AN95" s="107"/>
      <c r="AO95" s="107"/>
      <c r="AT95" s="1">
        <f ca="1"/>
        <v>3</v>
      </c>
      <c r="AU95" s="2" t="b">
        <f ca="1"/>
        <v>1</v>
      </c>
    </row>
    <row r="96" spans="3:47" s="2" customFormat="1" x14ac:dyDescent="0.2">
      <c r="C96" s="3"/>
      <c r="D96" s="5"/>
      <c r="E96" s="5"/>
      <c r="F96" s="5"/>
      <c r="G96" s="5"/>
      <c r="H96" s="5"/>
      <c r="I96" s="224" t="s">
        <v>85</v>
      </c>
      <c r="J96" s="16" t="str">
        <f ca="1">Ergebnisse!$I71</f>
        <v>Maibach 1822 eV</v>
      </c>
      <c r="K96" s="5" t="str">
        <f ca="1">Ergebnisse!$K71</f>
        <v>FC Barcelona</v>
      </c>
      <c r="L96" s="5" t="str">
        <f ca="1">IF(AND(Ergebnisse!$L71&lt;&gt;"",Ergebnisse!$N71&lt;&gt;"",Ergebnisse!$I71&lt;&gt;Ergebnisse!$K71,$J96&lt;&gt;"",$K96&lt;&gt;""),Ergebnisse!$L71,"")</f>
        <v/>
      </c>
      <c r="M96" s="12" t="str">
        <f ca="1">IF(AND(Ergebnisse!$L71&lt;&gt;"",Ergebnisse!$N71&lt;&gt;"",Ergebnisse!$I71&lt;&gt;Ergebnisse!$K71,$J96&lt;&gt;"",$K96&lt;&gt;""),Ergebnisse!$N71,"")</f>
        <v/>
      </c>
      <c r="N96" s="5">
        <f t="shared" ca="1" si="56"/>
        <v>0</v>
      </c>
      <c r="O96" s="66">
        <f ca="1">IF($N96=0,0,IF($L96&gt;$M96,Einstellungen!$C$4,IF($L96=$M96,1,0)))</f>
        <v>0</v>
      </c>
      <c r="P96" s="5">
        <f ca="1">IF($N96=0,0,IF($L96&lt;$M96,Einstellungen!$C$4,IF($L96=$M96,1,0)))</f>
        <v>0</v>
      </c>
      <c r="Q96" s="116">
        <f t="shared" ca="1" si="57"/>
        <v>0</v>
      </c>
      <c r="R96" s="113">
        <f t="shared" ca="1" si="58"/>
        <v>0</v>
      </c>
      <c r="S96" s="62">
        <f t="shared" ca="1" si="59"/>
        <v>0</v>
      </c>
      <c r="AT96" s="1">
        <f ca="1"/>
        <v>2</v>
      </c>
      <c r="AU96" s="2" t="b">
        <f ca="1"/>
        <v>1</v>
      </c>
    </row>
    <row r="97" spans="3:47" s="2" customFormat="1" x14ac:dyDescent="0.2">
      <c r="C97" s="3"/>
      <c r="D97" s="5"/>
      <c r="E97" s="5"/>
      <c r="F97" s="5"/>
      <c r="G97" s="5"/>
      <c r="H97" s="5"/>
      <c r="I97" s="224" t="s">
        <v>86</v>
      </c>
      <c r="J97" s="16" t="str">
        <f ca="1">Ergebnisse!$I72</f>
        <v>Inter Mailand</v>
      </c>
      <c r="K97" s="5" t="str">
        <f ca="1">Ergebnisse!$K72</f>
        <v>SSC Bosserode</v>
      </c>
      <c r="L97" s="5" t="str">
        <f ca="1">IF(AND(Ergebnisse!$L72&lt;&gt;"",Ergebnisse!$N72&lt;&gt;"",Ergebnisse!$I72&lt;&gt;Ergebnisse!$K72,$J97&lt;&gt;"",$K97&lt;&gt;""),Ergebnisse!$L72,"")</f>
        <v/>
      </c>
      <c r="M97" s="12" t="str">
        <f ca="1">IF(AND(Ergebnisse!$L72&lt;&gt;"",Ergebnisse!$N72&lt;&gt;"",Ergebnisse!$I72&lt;&gt;Ergebnisse!$K72,$J97&lt;&gt;"",$K97&lt;&gt;""),Ergebnisse!$N72,"")</f>
        <v/>
      </c>
      <c r="N97" s="5">
        <f t="shared" ca="1" si="56"/>
        <v>0</v>
      </c>
      <c r="O97" s="66">
        <f ca="1">IF($N97=0,0,IF($L97&gt;$M97,Einstellungen!$C$4,IF($L97=$M97,1,0)))</f>
        <v>0</v>
      </c>
      <c r="P97" s="5">
        <f ca="1">IF($N97=0,0,IF($L97&lt;$M97,Einstellungen!$C$4,IF($L97=$M97,1,0)))</f>
        <v>0</v>
      </c>
      <c r="Q97" s="116">
        <f t="shared" ca="1" si="57"/>
        <v>0</v>
      </c>
      <c r="R97" s="113">
        <f t="shared" ca="1" si="58"/>
        <v>0</v>
      </c>
      <c r="S97" s="62">
        <f t="shared" ca="1" si="59"/>
        <v>0</v>
      </c>
      <c r="AT97" s="1">
        <f ca="1"/>
        <v>9</v>
      </c>
      <c r="AU97" s="2" t="b">
        <f ca="1"/>
        <v>1</v>
      </c>
    </row>
    <row r="98" spans="3:47" s="2" customFormat="1" x14ac:dyDescent="0.2">
      <c r="C98" s="3"/>
      <c r="D98" s="5"/>
      <c r="E98" s="5"/>
      <c r="F98" s="5"/>
      <c r="G98" s="5"/>
      <c r="H98" s="5"/>
      <c r="I98" s="224" t="s">
        <v>87</v>
      </c>
      <c r="J98" s="16" t="str">
        <f ca="1">Ergebnisse!$I73</f>
        <v>SV Obersuhl</v>
      </c>
      <c r="K98" s="5" t="str">
        <f ca="1">Ergebnisse!$K73</f>
        <v>SSV Wildbach</v>
      </c>
      <c r="L98" s="5" t="str">
        <f ca="1">IF(AND(Ergebnisse!$L73&lt;&gt;"",Ergebnisse!$N73&lt;&gt;"",Ergebnisse!$I73&lt;&gt;Ergebnisse!$K73,$J98&lt;&gt;"",$K98&lt;&gt;""),Ergebnisse!$L73,"")</f>
        <v/>
      </c>
      <c r="M98" s="12" t="str">
        <f ca="1">IF(AND(Ergebnisse!$L73&lt;&gt;"",Ergebnisse!$N73&lt;&gt;"",Ergebnisse!$I73&lt;&gt;Ergebnisse!$K73,$J98&lt;&gt;"",$K98&lt;&gt;""),Ergebnisse!$N73,"")</f>
        <v/>
      </c>
      <c r="N98" s="5">
        <f t="shared" ca="1" si="56"/>
        <v>0</v>
      </c>
      <c r="O98" s="66">
        <f ca="1">IF($N98=0,0,IF($L98&gt;$M98,Einstellungen!$C$4,IF($L98=$M98,1,0)))</f>
        <v>0</v>
      </c>
      <c r="P98" s="5">
        <f ca="1">IF($N98=0,0,IF($L98&lt;$M98,Einstellungen!$C$4,IF($L98=$M98,1,0)))</f>
        <v>0</v>
      </c>
      <c r="Q98" s="116">
        <f t="shared" ca="1" si="57"/>
        <v>0</v>
      </c>
      <c r="R98" s="113">
        <f t="shared" ca="1" si="58"/>
        <v>0</v>
      </c>
      <c r="S98" s="62">
        <f t="shared" ca="1" si="59"/>
        <v>0</v>
      </c>
      <c r="AT98" s="1" t="e">
        <f ca="1"/>
        <v>#N/A</v>
      </c>
      <c r="AU98" s="2" t="b">
        <f ca="1"/>
        <v>0</v>
      </c>
    </row>
    <row r="99" spans="3:47" s="2" customFormat="1" x14ac:dyDescent="0.2">
      <c r="C99" s="3"/>
      <c r="D99" s="5"/>
      <c r="E99" s="5"/>
      <c r="F99" s="5"/>
      <c r="G99" s="5"/>
      <c r="H99" s="5"/>
      <c r="I99" s="224" t="s">
        <v>88</v>
      </c>
      <c r="J99" s="16" t="str">
        <f ca="1">Ergebnisse!$I74</f>
        <v>FC Barcelona</v>
      </c>
      <c r="K99" s="5" t="str">
        <f ca="1">Ergebnisse!$K74</f>
        <v>1. FC Riedwald</v>
      </c>
      <c r="L99" s="5" t="str">
        <f ca="1">IF(AND(Ergebnisse!$L74&lt;&gt;"",Ergebnisse!$N74&lt;&gt;"",Ergebnisse!$I74&lt;&gt;Ergebnisse!$K74,$J99&lt;&gt;"",$K99&lt;&gt;""),Ergebnisse!$L74,"")</f>
        <v/>
      </c>
      <c r="M99" s="12" t="str">
        <f ca="1">IF(AND(Ergebnisse!$L74&lt;&gt;"",Ergebnisse!$N74&lt;&gt;"",Ergebnisse!$I74&lt;&gt;Ergebnisse!$K74,$J99&lt;&gt;"",$K99&lt;&gt;""),Ergebnisse!$N74,"")</f>
        <v/>
      </c>
      <c r="N99" s="5">
        <f t="shared" ca="1" si="56"/>
        <v>0</v>
      </c>
      <c r="O99" s="66">
        <f ca="1">IF($N99=0,0,IF($L99&gt;$M99,Einstellungen!$C$4,IF($L99=$M99,1,0)))</f>
        <v>0</v>
      </c>
      <c r="P99" s="5">
        <f ca="1">IF($N99=0,0,IF($L99&lt;$M99,Einstellungen!$C$4,IF($L99=$M99,1,0)))</f>
        <v>0</v>
      </c>
      <c r="Q99" s="116">
        <f t="shared" ca="1" si="57"/>
        <v>0</v>
      </c>
      <c r="R99" s="113">
        <f t="shared" ca="1" si="58"/>
        <v>0</v>
      </c>
      <c r="S99" s="62">
        <f t="shared" ca="1" si="59"/>
        <v>0</v>
      </c>
      <c r="AT99" s="1">
        <f ca="1"/>
        <v>1</v>
      </c>
      <c r="AU99" s="2" t="b">
        <f ca="1"/>
        <v>1</v>
      </c>
    </row>
    <row r="100" spans="3:47" s="2" customFormat="1" x14ac:dyDescent="0.2">
      <c r="C100" s="3"/>
      <c r="D100" s="5"/>
      <c r="E100" s="5"/>
      <c r="F100" s="5"/>
      <c r="G100" s="5"/>
      <c r="H100" s="5"/>
      <c r="I100" s="224" t="s">
        <v>89</v>
      </c>
      <c r="J100" s="16" t="str">
        <f ca="1">Ergebnisse!$I75</f>
        <v>SSC Bosserode</v>
      </c>
      <c r="K100" s="5" t="str">
        <f ca="1">Ergebnisse!$K75</f>
        <v>Maibach 1822 eV</v>
      </c>
      <c r="L100" s="5" t="str">
        <f ca="1">IF(AND(Ergebnisse!$L75&lt;&gt;"",Ergebnisse!$N75&lt;&gt;"",Ergebnisse!$I75&lt;&gt;Ergebnisse!$K75,$J100&lt;&gt;"",$K100&lt;&gt;""),Ergebnisse!$L75,"")</f>
        <v/>
      </c>
      <c r="M100" s="12" t="str">
        <f ca="1">IF(AND(Ergebnisse!$L75&lt;&gt;"",Ergebnisse!$N75&lt;&gt;"",Ergebnisse!$I75&lt;&gt;Ergebnisse!$K75,$J100&lt;&gt;"",$K100&lt;&gt;""),Ergebnisse!$N75,"")</f>
        <v/>
      </c>
      <c r="N100" s="5">
        <f t="shared" ca="1" si="56"/>
        <v>0</v>
      </c>
      <c r="O100" s="66">
        <f ca="1">IF($N100=0,0,IF($L100&gt;$M100,Einstellungen!$C$4,IF($L100=$M100,1,0)))</f>
        <v>0</v>
      </c>
      <c r="P100" s="5">
        <f ca="1">IF($N100=0,0,IF($L100&lt;$M100,Einstellungen!$C$4,IF($L100=$M100,1,0)))</f>
        <v>0</v>
      </c>
      <c r="Q100" s="116">
        <f t="shared" ca="1" si="57"/>
        <v>0</v>
      </c>
      <c r="R100" s="113">
        <f t="shared" ca="1" si="58"/>
        <v>0</v>
      </c>
      <c r="S100" s="62">
        <f t="shared" ca="1" si="59"/>
        <v>0</v>
      </c>
      <c r="AT100" s="1" t="e">
        <f ca="1"/>
        <v>#N/A</v>
      </c>
      <c r="AU100" s="2" t="b">
        <f ca="1"/>
        <v>0</v>
      </c>
    </row>
    <row r="101" spans="3:47" s="2" customFormat="1" x14ac:dyDescent="0.2">
      <c r="C101" s="3"/>
      <c r="D101" s="5"/>
      <c r="E101" s="5"/>
      <c r="F101" s="5"/>
      <c r="G101" s="5"/>
      <c r="H101" s="5"/>
      <c r="I101" s="224" t="s">
        <v>90</v>
      </c>
      <c r="J101" s="16" t="str">
        <f ca="1">Ergebnisse!$I76</f>
        <v>VFB Essenheim</v>
      </c>
      <c r="K101" s="5" t="str">
        <f ca="1">Ergebnisse!$K76</f>
        <v>SV Obersuhl</v>
      </c>
      <c r="L101" s="5" t="str">
        <f ca="1">IF(AND(Ergebnisse!$L76&lt;&gt;"",Ergebnisse!$N76&lt;&gt;"",Ergebnisse!$I76&lt;&gt;Ergebnisse!$K76,$J101&lt;&gt;"",$K101&lt;&gt;""),Ergebnisse!$L76,"")</f>
        <v/>
      </c>
      <c r="M101" s="12" t="str">
        <f ca="1">IF(AND(Ergebnisse!$L76&lt;&gt;"",Ergebnisse!$N76&lt;&gt;"",Ergebnisse!$I76&lt;&gt;Ergebnisse!$K76,$J101&lt;&gt;"",$K101&lt;&gt;""),Ergebnisse!$N76,"")</f>
        <v/>
      </c>
      <c r="N101" s="5">
        <f t="shared" ca="1" si="56"/>
        <v>0</v>
      </c>
      <c r="O101" s="66">
        <f ca="1">IF($N101=0,0,IF($L101&gt;$M101,Einstellungen!$C$4,IF($L101=$M101,1,0)))</f>
        <v>0</v>
      </c>
      <c r="P101" s="5">
        <f ca="1">IF($N101=0,0,IF($L101&lt;$M101,Einstellungen!$C$4,IF($L101=$M101,1,0)))</f>
        <v>0</v>
      </c>
      <c r="Q101" s="116">
        <f t="shared" ca="1" si="57"/>
        <v>0</v>
      </c>
      <c r="R101" s="113">
        <f t="shared" ca="1" si="58"/>
        <v>0</v>
      </c>
      <c r="S101" s="62">
        <f t="shared" ca="1" si="59"/>
        <v>0</v>
      </c>
      <c r="AT101" s="1">
        <f ca="1"/>
        <v>8</v>
      </c>
      <c r="AU101" s="2" t="b">
        <f ca="1"/>
        <v>1</v>
      </c>
    </row>
    <row r="102" spans="3:47" s="2" customFormat="1" ht="12.75" thickBot="1" x14ac:dyDescent="0.25">
      <c r="C102" s="3"/>
      <c r="D102" s="5"/>
      <c r="E102" s="5"/>
      <c r="F102" s="5"/>
      <c r="G102" s="5"/>
      <c r="H102" s="5"/>
      <c r="I102" s="225" t="s">
        <v>91</v>
      </c>
      <c r="J102" s="17" t="str">
        <f ca="1">Ergebnisse!$I77</f>
        <v>SSV Wildbach</v>
      </c>
      <c r="K102" s="13" t="str">
        <f ca="1">Ergebnisse!$K77</f>
        <v>Inter Mailand</v>
      </c>
      <c r="L102" s="13" t="str">
        <f ca="1">IF(AND(Ergebnisse!$L77&lt;&gt;"",Ergebnisse!$N77&lt;&gt;"",Ergebnisse!$I77&lt;&gt;Ergebnisse!$K77,$J102&lt;&gt;"",$K102&lt;&gt;""),Ergebnisse!$L77,"")</f>
        <v/>
      </c>
      <c r="M102" s="14" t="str">
        <f ca="1">IF(AND(Ergebnisse!$L77&lt;&gt;"",Ergebnisse!$N77&lt;&gt;"",Ergebnisse!$I77&lt;&gt;Ergebnisse!$K77,$J102&lt;&gt;"",$K102&lt;&gt;""),Ergebnisse!$N77,"")</f>
        <v/>
      </c>
      <c r="N102" s="13">
        <f t="shared" ca="1" si="56"/>
        <v>0</v>
      </c>
      <c r="O102" s="67">
        <f ca="1">IF($N102=0,0,IF($L102&gt;$M102,Einstellungen!$C$4,IF($L102=$M102,1,0)))</f>
        <v>0</v>
      </c>
      <c r="P102" s="63">
        <f ca="1">IF($N102=0,0,IF($L102&lt;$M102,Einstellungen!$C$4,IF($L102=$M102,1,0)))</f>
        <v>0</v>
      </c>
      <c r="Q102" s="117">
        <f t="shared" ca="1" si="57"/>
        <v>0</v>
      </c>
      <c r="R102" s="114">
        <f t="shared" ca="1" si="58"/>
        <v>0</v>
      </c>
      <c r="S102" s="64">
        <f t="shared" ca="1" si="59"/>
        <v>0</v>
      </c>
      <c r="AT102" s="1">
        <f ca="1"/>
        <v>6</v>
      </c>
      <c r="AU102" s="2" t="b">
        <f ca="1"/>
        <v>1</v>
      </c>
    </row>
    <row r="103" spans="3:47" ht="12.75" thickTop="1" x14ac:dyDescent="0.2"/>
  </sheetData>
  <mergeCells count="2">
    <mergeCell ref="O30:P30"/>
    <mergeCell ref="R30:S30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25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98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77" t="str">
        <f>Sprache!$E$51</f>
        <v>Einstellungen</v>
      </c>
    </row>
    <row r="2" spans="1:4" x14ac:dyDescent="0.2"/>
    <row r="3" spans="1:4" x14ac:dyDescent="0.2"/>
    <row r="4" spans="1:4" x14ac:dyDescent="0.2">
      <c r="A4" s="102" t="s">
        <v>6</v>
      </c>
      <c r="B4" s="100" t="str">
        <f>Sprache!$E$52</f>
        <v>Anzahl der Punkte für einen Sieg:</v>
      </c>
      <c r="C4" s="78">
        <v>3</v>
      </c>
    </row>
    <row r="5" spans="1:4" x14ac:dyDescent="0.2"/>
    <row r="6" spans="1:4" x14ac:dyDescent="0.2"/>
    <row r="7" spans="1:4" x14ac:dyDescent="0.2">
      <c r="A7" s="102" t="s">
        <v>7</v>
      </c>
      <c r="B7" s="101" t="str">
        <f>Sprache!E72</f>
        <v>Modus für direkte Vergleiche:</v>
      </c>
      <c r="C7" s="94"/>
    </row>
    <row r="8" spans="1:4" x14ac:dyDescent="0.2">
      <c r="B8" s="94"/>
      <c r="C8" s="94"/>
    </row>
    <row r="9" spans="1:4" ht="21.75" customHeight="1" x14ac:dyDescent="0.2">
      <c r="B9" s="99" t="s">
        <v>193</v>
      </c>
      <c r="C9" s="94"/>
    </row>
    <row r="10" spans="1:4" x14ac:dyDescent="0.2"/>
    <row r="11" spans="1:4" x14ac:dyDescent="0.2">
      <c r="B11" s="103" t="str">
        <f>Sprache!E73</f>
        <v>Modus 1</v>
      </c>
    </row>
    <row r="12" spans="1:4" ht="27.75" customHeight="1" x14ac:dyDescent="0.2">
      <c r="B12" s="249" t="str">
        <f>Sprache!E70</f>
        <v>Direkte Vergleiche bei Gleichstand in Punkten, Tordifferenz und erzielten Toren</v>
      </c>
      <c r="C12" s="249"/>
      <c r="D12" s="249"/>
    </row>
    <row r="13" spans="1:4" x14ac:dyDescent="0.2"/>
    <row r="14" spans="1:4" x14ac:dyDescent="0.2">
      <c r="B14" s="103" t="str">
        <f>Sprache!E74</f>
        <v>Modus 2</v>
      </c>
    </row>
    <row r="15" spans="1:4" ht="28.5" customHeight="1" x14ac:dyDescent="0.2">
      <c r="B15" s="249" t="str">
        <f>Sprache!E71</f>
        <v>Direkte Vergleiche bei Gleichstand in Punkten</v>
      </c>
      <c r="C15" s="249"/>
      <c r="D15" s="249"/>
    </row>
    <row r="16" spans="1:4" x14ac:dyDescent="0.2"/>
    <row r="17" spans="1:4" x14ac:dyDescent="0.2">
      <c r="A17" s="102" t="s">
        <v>8</v>
      </c>
      <c r="B17" s="101" t="str">
        <f>Sprache!E20</f>
        <v>Mit Rückspielen:</v>
      </c>
    </row>
    <row r="18" spans="1:4" x14ac:dyDescent="0.2">
      <c r="B18" s="94"/>
    </row>
    <row r="19" spans="1:4" ht="15" x14ac:dyDescent="0.2">
      <c r="B19" s="99" t="s">
        <v>249</v>
      </c>
    </row>
    <row r="20" spans="1:4" x14ac:dyDescent="0.2"/>
    <row r="21" spans="1:4" x14ac:dyDescent="0.2"/>
    <row r="22" spans="1:4" x14ac:dyDescent="0.2">
      <c r="A22" s="102" t="s">
        <v>9</v>
      </c>
      <c r="B22" t="str">
        <f>Sprache!$E$80</f>
        <v>Abkürzungen der Mannschaftsnamen:</v>
      </c>
      <c r="C22" s="78">
        <v>7</v>
      </c>
      <c r="D22" t="str">
        <f>Sprache!$E$81</f>
        <v>Buchstaben</v>
      </c>
    </row>
    <row r="23" spans="1:4" x14ac:dyDescent="0.2"/>
    <row r="24" spans="1:4" x14ac:dyDescent="0.2"/>
    <row r="25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2B28C8-9D26-454A-BBA9-399A17F8E0C6}">
          <x14:formula1>
            <xm:f>Sprache!$E$73:$E$74</xm:f>
          </x14:formula1>
          <xm:sqref>B9</xm:sqref>
        </x14:dataValidation>
        <x14:dataValidation type="list" allowBlank="1" showInputMessage="1" showErrorMessage="1" xr:uid="{33910728-E46D-4403-9136-772BFFC11684}">
          <x14:formula1>
            <xm:f>Sprache!$E$55:$E$56</xm:f>
          </x14:formula1>
          <xm:sqref>B19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90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2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40"/>
      <c r="F1" s="250" t="str">
        <f>$E$35</f>
        <v>Sprache wählen</v>
      </c>
      <c r="G1" s="250"/>
      <c r="H1" s="250"/>
      <c r="I1" s="55"/>
      <c r="J1" s="57" t="s">
        <v>144</v>
      </c>
      <c r="K1" s="73" t="str">
        <f>_xlfn.UNICHAR(8592)</f>
        <v>←</v>
      </c>
      <c r="L1" s="72" t="str">
        <f>$E$65</f>
        <v>Hier klicken und Sprache wählen</v>
      </c>
    </row>
    <row r="2" spans="2:12" ht="11.25" customHeight="1" thickBot="1" x14ac:dyDescent="0.25">
      <c r="F2" s="253"/>
      <c r="G2" s="253"/>
      <c r="I2" s="22"/>
      <c r="J2" s="23"/>
    </row>
    <row r="3" spans="2:12" ht="13.5" thickTop="1" x14ac:dyDescent="0.2">
      <c r="B3" s="24" t="s">
        <v>103</v>
      </c>
      <c r="C3" s="25">
        <f>IF(AND($J$1&lt;&gt;B4,$J$1&lt;&gt;B5),1,0)</f>
        <v>0</v>
      </c>
      <c r="D3" s="254"/>
      <c r="E3" s="256"/>
      <c r="F3" s="257" t="s">
        <v>103</v>
      </c>
      <c r="G3" s="259" t="s">
        <v>144</v>
      </c>
      <c r="H3" s="251" t="s">
        <v>102</v>
      </c>
      <c r="I3" s="26"/>
    </row>
    <row r="4" spans="2:12" ht="13.5" thickBot="1" x14ac:dyDescent="0.25">
      <c r="B4" s="24" t="s">
        <v>144</v>
      </c>
      <c r="C4" s="25">
        <f>IF($J$1=B4,1,0)</f>
        <v>1</v>
      </c>
      <c r="D4" s="255"/>
      <c r="E4" s="256"/>
      <c r="F4" s="258"/>
      <c r="G4" s="260"/>
      <c r="H4" s="252"/>
      <c r="I4" s="27"/>
      <c r="J4" s="28"/>
    </row>
    <row r="5" spans="2:12" ht="29.25" thickTop="1" x14ac:dyDescent="0.45">
      <c r="B5" s="24" t="s">
        <v>102</v>
      </c>
      <c r="C5" s="25">
        <f>IF($J$1=B5,1,0)</f>
        <v>0</v>
      </c>
      <c r="E5" s="24"/>
      <c r="F5" s="32" t="str">
        <f>$E$36</f>
        <v>Überschriften</v>
      </c>
      <c r="G5" s="33"/>
      <c r="H5" s="34"/>
      <c r="I5" s="27"/>
      <c r="J5" s="28"/>
    </row>
    <row r="6" spans="2:12" x14ac:dyDescent="0.2">
      <c r="E6" s="24" t="str">
        <f>IF($C$3,F6,IF($C$4,G6,IF($H6&lt;&gt;"",$H6,$F6)))</f>
        <v>Fair Play</v>
      </c>
      <c r="F6" s="31" t="s">
        <v>235</v>
      </c>
      <c r="G6" s="29" t="s">
        <v>244</v>
      </c>
      <c r="H6" s="51"/>
    </row>
    <row r="7" spans="2:12" x14ac:dyDescent="0.2">
      <c r="E7" s="24" t="str">
        <f t="shared" ref="E7:E85" si="0">IF($C$3,F7,IF($C$4,G7,IF($H7&lt;&gt;"",$H7,$F7)))</f>
        <v>Direkte Vergleiche</v>
      </c>
      <c r="F7" s="31" t="s">
        <v>104</v>
      </c>
      <c r="G7" s="29" t="s">
        <v>12</v>
      </c>
      <c r="H7" s="30"/>
    </row>
    <row r="8" spans="2:12" x14ac:dyDescent="0.2">
      <c r="E8" s="24" t="str">
        <f t="shared" si="0"/>
        <v>Dein Datum</v>
      </c>
      <c r="F8" s="50" t="s">
        <v>139</v>
      </c>
      <c r="G8" s="49" t="s">
        <v>138</v>
      </c>
      <c r="H8" s="30"/>
    </row>
    <row r="9" spans="2:12" ht="15" customHeight="1" x14ac:dyDescent="0.45">
      <c r="E9" s="24" t="str">
        <f t="shared" si="0"/>
        <v>Nr.</v>
      </c>
      <c r="F9" s="47" t="s">
        <v>110</v>
      </c>
      <c r="G9" s="46" t="s">
        <v>0</v>
      </c>
      <c r="H9" s="30"/>
      <c r="I9" s="38"/>
    </row>
    <row r="10" spans="2:12" ht="15" customHeight="1" x14ac:dyDescent="0.45">
      <c r="E10" s="24" t="str">
        <f t="shared" si="0"/>
        <v>Teilnehmer</v>
      </c>
      <c r="F10" s="47" t="s">
        <v>111</v>
      </c>
      <c r="G10" s="46" t="s">
        <v>19</v>
      </c>
      <c r="H10" s="30"/>
      <c r="I10" s="38"/>
    </row>
    <row r="11" spans="2:12" ht="15" customHeight="1" x14ac:dyDescent="0.45">
      <c r="E11" s="24" t="str">
        <f t="shared" si="0"/>
        <v>Ergebnisse</v>
      </c>
      <c r="F11" s="47" t="s">
        <v>112</v>
      </c>
      <c r="G11" s="46" t="s">
        <v>20</v>
      </c>
      <c r="H11" s="30"/>
      <c r="I11" s="38"/>
    </row>
    <row r="12" spans="2:12" ht="15" customHeight="1" x14ac:dyDescent="0.45">
      <c r="E12" s="24" t="str">
        <f t="shared" si="0"/>
        <v>Tabelle</v>
      </c>
      <c r="F12" s="47" t="s">
        <v>113</v>
      </c>
      <c r="G12" s="46" t="s">
        <v>13</v>
      </c>
      <c r="H12" s="30"/>
      <c r="I12" s="38"/>
    </row>
    <row r="13" spans="2:12" ht="15" customHeight="1" x14ac:dyDescent="0.45">
      <c r="E13" s="24" t="str">
        <f t="shared" si="0"/>
        <v>Tabelle (Kopie)</v>
      </c>
      <c r="F13" s="47" t="s">
        <v>114</v>
      </c>
      <c r="G13" s="46" t="s">
        <v>50</v>
      </c>
      <c r="H13" s="30"/>
      <c r="I13" s="38"/>
    </row>
    <row r="14" spans="2:12" ht="15" customHeight="1" x14ac:dyDescent="0.45">
      <c r="E14" s="24" t="str">
        <f t="shared" si="0"/>
        <v>Spielpaarung</v>
      </c>
      <c r="F14" s="47" t="s">
        <v>117</v>
      </c>
      <c r="G14" s="46" t="s">
        <v>1</v>
      </c>
      <c r="H14" s="30"/>
      <c r="I14" s="38"/>
    </row>
    <row r="15" spans="2:12" ht="15" customHeight="1" x14ac:dyDescent="0.45">
      <c r="E15" s="24" t="str">
        <f t="shared" si="0"/>
        <v>Ergebnis</v>
      </c>
      <c r="F15" s="47" t="s">
        <v>118</v>
      </c>
      <c r="G15" s="46" t="s">
        <v>2</v>
      </c>
      <c r="H15" s="30"/>
      <c r="I15" s="38"/>
    </row>
    <row r="16" spans="2:12" ht="15" customHeight="1" x14ac:dyDescent="0.45">
      <c r="E16" s="24" t="str">
        <f t="shared" si="0"/>
        <v>Vollständig</v>
      </c>
      <c r="F16" s="47" t="s">
        <v>122</v>
      </c>
      <c r="G16" s="46" t="s">
        <v>119</v>
      </c>
      <c r="H16" s="30"/>
      <c r="I16" s="38"/>
    </row>
    <row r="17" spans="5:13" ht="15" customHeight="1" x14ac:dyDescent="0.45">
      <c r="E17" s="24" t="str">
        <f t="shared" si="0"/>
        <v>Noch unvollständig</v>
      </c>
      <c r="F17" s="47" t="s">
        <v>121</v>
      </c>
      <c r="G17" s="46" t="s">
        <v>120</v>
      </c>
      <c r="H17" s="30"/>
      <c r="I17" s="38"/>
    </row>
    <row r="18" spans="5:13" ht="15" customHeight="1" x14ac:dyDescent="0.45">
      <c r="E18" s="24" t="str">
        <f t="shared" si="0"/>
        <v>Hinspiele</v>
      </c>
      <c r="F18" s="47" t="s">
        <v>153</v>
      </c>
      <c r="G18" s="46" t="s">
        <v>151</v>
      </c>
      <c r="H18" s="30"/>
      <c r="I18" s="38"/>
    </row>
    <row r="19" spans="5:13" ht="15" customHeight="1" x14ac:dyDescent="0.45">
      <c r="E19" s="24" t="str">
        <f t="shared" si="0"/>
        <v>Rückspiele</v>
      </c>
      <c r="F19" s="47" t="s">
        <v>154</v>
      </c>
      <c r="G19" s="46" t="s">
        <v>152</v>
      </c>
      <c r="H19" s="30"/>
      <c r="I19" s="38"/>
    </row>
    <row r="20" spans="5:13" ht="15" x14ac:dyDescent="0.25">
      <c r="E20" s="24" t="str">
        <f t="shared" si="0"/>
        <v>Mit Rückspielen:</v>
      </c>
      <c r="F20" s="50" t="s">
        <v>247</v>
      </c>
      <c r="G20" s="49" t="s">
        <v>248</v>
      </c>
      <c r="H20" s="30"/>
      <c r="I20" s="39"/>
      <c r="J20" s="39"/>
      <c r="K20" s="39"/>
      <c r="L20" s="39"/>
      <c r="M20" s="39"/>
    </row>
    <row r="21" spans="5:13" ht="15" x14ac:dyDescent="0.25">
      <c r="E21" s="24" t="str">
        <f t="shared" si="0"/>
        <v>SP</v>
      </c>
      <c r="F21" s="50" t="s">
        <v>93</v>
      </c>
      <c r="G21" s="49" t="s">
        <v>123</v>
      </c>
      <c r="H21" s="30"/>
      <c r="I21" s="39"/>
      <c r="J21" s="39"/>
      <c r="K21" s="39"/>
      <c r="L21" s="39"/>
      <c r="M21" s="39"/>
    </row>
    <row r="22" spans="5:13" ht="15" x14ac:dyDescent="0.25">
      <c r="E22" s="24" t="str">
        <f t="shared" si="0"/>
        <v>G</v>
      </c>
      <c r="F22" s="50" t="s">
        <v>94</v>
      </c>
      <c r="G22" s="49" t="s">
        <v>124</v>
      </c>
      <c r="H22" s="30"/>
      <c r="I22" s="39"/>
      <c r="J22" s="39"/>
      <c r="K22" s="39"/>
      <c r="L22" s="39"/>
      <c r="M22" s="39"/>
    </row>
    <row r="23" spans="5:13" ht="15" x14ac:dyDescent="0.25">
      <c r="E23" s="24" t="str">
        <f t="shared" si="0"/>
        <v>U</v>
      </c>
      <c r="F23" s="50" t="s">
        <v>95</v>
      </c>
      <c r="G23" s="49" t="s">
        <v>125</v>
      </c>
      <c r="H23" s="30"/>
      <c r="I23" s="39"/>
      <c r="J23" s="39"/>
      <c r="K23" s="39"/>
      <c r="L23" s="39"/>
      <c r="M23" s="39"/>
    </row>
    <row r="24" spans="5:13" ht="15" x14ac:dyDescent="0.25">
      <c r="E24" s="24" t="str">
        <f t="shared" si="0"/>
        <v>V</v>
      </c>
      <c r="F24" s="50" t="s">
        <v>96</v>
      </c>
      <c r="G24" s="49" t="s">
        <v>126</v>
      </c>
      <c r="H24" s="30"/>
      <c r="I24" s="39"/>
      <c r="J24" s="39"/>
      <c r="K24" s="39"/>
      <c r="L24" s="39"/>
      <c r="M24" s="39"/>
    </row>
    <row r="25" spans="5:13" ht="15" x14ac:dyDescent="0.25">
      <c r="E25" s="24" t="str">
        <f t="shared" si="0"/>
        <v>Tore</v>
      </c>
      <c r="F25" s="50" t="s">
        <v>92</v>
      </c>
      <c r="G25" s="49" t="s">
        <v>3</v>
      </c>
      <c r="H25" s="30"/>
      <c r="I25" s="39"/>
      <c r="J25" s="39"/>
      <c r="K25" s="39"/>
      <c r="L25" s="39"/>
      <c r="M25" s="39"/>
    </row>
    <row r="26" spans="5:13" ht="15" x14ac:dyDescent="0.25">
      <c r="E26" s="24" t="str">
        <f t="shared" si="0"/>
        <v>Diff.</v>
      </c>
      <c r="F26" s="50" t="s">
        <v>99</v>
      </c>
      <c r="G26" s="49" t="s">
        <v>4</v>
      </c>
      <c r="H26" s="30"/>
      <c r="I26" s="39"/>
      <c r="J26" s="39"/>
      <c r="K26" s="39"/>
      <c r="L26" s="39"/>
      <c r="M26" s="39"/>
    </row>
    <row r="27" spans="5:13" ht="15" x14ac:dyDescent="0.25">
      <c r="E27" s="24" t="str">
        <f t="shared" si="0"/>
        <v>Pkt</v>
      </c>
      <c r="F27" s="50" t="s">
        <v>100</v>
      </c>
      <c r="G27" s="49" t="s">
        <v>127</v>
      </c>
      <c r="H27" s="30"/>
      <c r="I27" s="39"/>
      <c r="J27" s="39"/>
      <c r="K27" s="39"/>
      <c r="L27" s="39"/>
      <c r="M27" s="39"/>
    </row>
    <row r="28" spans="5:13" ht="15" x14ac:dyDescent="0.25">
      <c r="E28" s="24" t="str">
        <f t="shared" si="0"/>
        <v>erz. Tore</v>
      </c>
      <c r="F28" s="50" t="s">
        <v>97</v>
      </c>
      <c r="G28" s="49" t="s">
        <v>147</v>
      </c>
      <c r="H28" s="30"/>
      <c r="I28" s="39"/>
      <c r="J28" s="39"/>
      <c r="K28" s="39"/>
      <c r="L28" s="39"/>
      <c r="M28" s="39"/>
    </row>
    <row r="29" spans="5:13" x14ac:dyDescent="0.2">
      <c r="E29" s="24" t="str">
        <f t="shared" si="0"/>
        <v>TABELLE UNGÜLTIG</v>
      </c>
      <c r="F29" s="50" t="s">
        <v>129</v>
      </c>
      <c r="G29" s="49" t="s">
        <v>128</v>
      </c>
      <c r="H29" s="30"/>
    </row>
    <row r="30" spans="5:13" x14ac:dyDescent="0.2">
      <c r="E30" s="24" t="str">
        <f t="shared" si="0"/>
        <v>Teilnehmer und Ablaufplan</v>
      </c>
      <c r="F30" s="50" t="s">
        <v>130</v>
      </c>
      <c r="G30" s="49" t="s">
        <v>18</v>
      </c>
      <c r="H30" s="30"/>
    </row>
    <row r="31" spans="5:13" x14ac:dyDescent="0.2">
      <c r="E31" s="24" t="str">
        <f t="shared" si="0"/>
        <v>Teilnehmerliste</v>
      </c>
      <c r="F31" s="50" t="s">
        <v>246</v>
      </c>
      <c r="G31" s="49" t="s">
        <v>245</v>
      </c>
      <c r="H31" s="30"/>
    </row>
    <row r="32" spans="5:13" x14ac:dyDescent="0.2">
      <c r="E32" s="24" t="str">
        <f t="shared" si="0"/>
        <v>Ablaufplan</v>
      </c>
      <c r="F32" s="50" t="s">
        <v>131</v>
      </c>
      <c r="G32" s="49" t="s">
        <v>21</v>
      </c>
      <c r="H32" s="30"/>
    </row>
    <row r="33" spans="5:8" x14ac:dyDescent="0.2">
      <c r="E33" s="24" t="str">
        <f t="shared" si="0"/>
        <v>Spiel-Nr.</v>
      </c>
      <c r="F33" s="50" t="s">
        <v>132</v>
      </c>
      <c r="G33" s="49" t="s">
        <v>49</v>
      </c>
      <c r="H33" s="30"/>
    </row>
    <row r="34" spans="5:8" x14ac:dyDescent="0.2">
      <c r="E34" s="24" t="str">
        <f t="shared" si="0"/>
        <v>Paarungen</v>
      </c>
      <c r="F34" s="50" t="s">
        <v>133</v>
      </c>
      <c r="G34" s="49" t="s">
        <v>51</v>
      </c>
      <c r="H34" s="30"/>
    </row>
    <row r="35" spans="5:8" x14ac:dyDescent="0.2">
      <c r="E35" s="24" t="str">
        <f t="shared" si="0"/>
        <v>Sprache wählen</v>
      </c>
      <c r="F35" s="50" t="s">
        <v>101</v>
      </c>
      <c r="G35" s="49" t="s">
        <v>137</v>
      </c>
      <c r="H35" s="30"/>
    </row>
    <row r="36" spans="5:8" x14ac:dyDescent="0.2">
      <c r="E36" s="24" t="str">
        <f t="shared" si="0"/>
        <v>Überschriften</v>
      </c>
      <c r="F36" s="50" t="s">
        <v>105</v>
      </c>
      <c r="G36" s="49" t="s">
        <v>134</v>
      </c>
      <c r="H36" s="30"/>
    </row>
    <row r="37" spans="5:8" x14ac:dyDescent="0.2">
      <c r="E37" s="24" t="str">
        <f t="shared" si="0"/>
        <v>Meldungen</v>
      </c>
      <c r="F37" s="50" t="s">
        <v>135</v>
      </c>
      <c r="G37" s="49" t="s">
        <v>136</v>
      </c>
      <c r="H37" s="30"/>
    </row>
    <row r="38" spans="5:8" x14ac:dyDescent="0.2">
      <c r="E38" s="24" t="str">
        <f t="shared" si="0"/>
        <v>Deine Überschriften</v>
      </c>
      <c r="F38" s="50" t="s">
        <v>142</v>
      </c>
      <c r="G38" s="49" t="s">
        <v>141</v>
      </c>
      <c r="H38" s="30"/>
    </row>
    <row r="39" spans="5:8" x14ac:dyDescent="0.2">
      <c r="E39" s="24" t="str">
        <f t="shared" si="0"/>
        <v>Beginn</v>
      </c>
      <c r="F39" s="50" t="s">
        <v>156</v>
      </c>
      <c r="G39" s="49" t="s">
        <v>155</v>
      </c>
      <c r="H39" s="30"/>
    </row>
    <row r="40" spans="5:8" x14ac:dyDescent="0.2">
      <c r="E40" s="24" t="str">
        <f t="shared" si="0"/>
        <v>Ende</v>
      </c>
      <c r="F40" s="50" t="s">
        <v>158</v>
      </c>
      <c r="G40" s="49" t="s">
        <v>157</v>
      </c>
      <c r="H40" s="30"/>
    </row>
    <row r="41" spans="5:8" x14ac:dyDescent="0.2">
      <c r="E41" s="24" t="str">
        <f t="shared" si="0"/>
        <v>Spielzeiten</v>
      </c>
      <c r="F41" s="50" t="s">
        <v>173</v>
      </c>
      <c r="G41" s="49" t="s">
        <v>172</v>
      </c>
      <c r="H41" s="30"/>
    </row>
    <row r="42" spans="5:8" x14ac:dyDescent="0.2">
      <c r="E42" s="24" t="str">
        <f t="shared" si="0"/>
        <v>Spielzeit pro Spiel</v>
      </c>
      <c r="F42" s="50" t="s">
        <v>163</v>
      </c>
      <c r="G42" s="49" t="s">
        <v>161</v>
      </c>
      <c r="H42" s="30"/>
    </row>
    <row r="43" spans="5:8" x14ac:dyDescent="0.2">
      <c r="E43" s="24" t="str">
        <f t="shared" si="0"/>
        <v>Wechselzeit</v>
      </c>
      <c r="F43" s="50" t="s">
        <v>164</v>
      </c>
      <c r="G43" s="49" t="s">
        <v>162</v>
      </c>
      <c r="H43" s="30"/>
    </row>
    <row r="44" spans="5:8" x14ac:dyDescent="0.2">
      <c r="E44" s="24" t="str">
        <f t="shared" si="0"/>
        <v>Anzahl der Spielfelder</v>
      </c>
      <c r="F44" s="50" t="s">
        <v>197</v>
      </c>
      <c r="G44" s="49" t="s">
        <v>196</v>
      </c>
      <c r="H44" s="30"/>
    </row>
    <row r="45" spans="5:8" x14ac:dyDescent="0.2">
      <c r="E45" s="24" t="str">
        <f t="shared" si="0"/>
        <v>Uhr</v>
      </c>
      <c r="F45" s="50" t="s">
        <v>165</v>
      </c>
      <c r="G45" s="49" t="s">
        <v>160</v>
      </c>
      <c r="H45" s="30"/>
    </row>
    <row r="46" spans="5:8" x14ac:dyDescent="0.2">
      <c r="E46" s="24" t="str">
        <f t="shared" si="0"/>
        <v>Spiel gegen</v>
      </c>
      <c r="F46" s="50" t="s">
        <v>169</v>
      </c>
      <c r="G46" s="49" t="s">
        <v>168</v>
      </c>
      <c r="H46" s="30"/>
    </row>
    <row r="47" spans="5:8" x14ac:dyDescent="0.2">
      <c r="E47" s="24" t="str">
        <f t="shared" si="0"/>
        <v>Anmerkung</v>
      </c>
      <c r="F47" s="50" t="s">
        <v>170</v>
      </c>
      <c r="G47" s="49" t="s">
        <v>171</v>
      </c>
      <c r="H47" s="30"/>
    </row>
    <row r="48" spans="5:8" x14ac:dyDescent="0.2">
      <c r="E48" s="24" t="str">
        <f t="shared" si="0"/>
        <v>Feld</v>
      </c>
      <c r="F48" s="50" t="s">
        <v>198</v>
      </c>
      <c r="G48" s="49" t="s">
        <v>199</v>
      </c>
      <c r="H48" s="30"/>
    </row>
    <row r="49" spans="5:8" x14ac:dyDescent="0.2">
      <c r="E49" s="24" t="str">
        <f t="shared" si="0"/>
        <v>Bonus</v>
      </c>
      <c r="F49" s="31" t="s">
        <v>106</v>
      </c>
      <c r="G49" s="29" t="s">
        <v>54</v>
      </c>
      <c r="H49" s="30"/>
    </row>
    <row r="50" spans="5:8" x14ac:dyDescent="0.2">
      <c r="E50" s="24" t="str">
        <f t="shared" si="0"/>
        <v>Spielpaarungen</v>
      </c>
      <c r="F50" s="47" t="s">
        <v>181</v>
      </c>
      <c r="G50" s="46" t="s">
        <v>182</v>
      </c>
      <c r="H50" s="75"/>
    </row>
    <row r="51" spans="5:8" x14ac:dyDescent="0.2">
      <c r="E51" s="24" t="str">
        <f t="shared" si="0"/>
        <v>Einstellungen</v>
      </c>
      <c r="F51" s="47" t="s">
        <v>186</v>
      </c>
      <c r="G51" s="46" t="s">
        <v>185</v>
      </c>
      <c r="H51" s="75"/>
    </row>
    <row r="52" spans="5:8" x14ac:dyDescent="0.2">
      <c r="E52" s="24" t="str">
        <f t="shared" si="0"/>
        <v>Anzahl der Punkte für einen Sieg:</v>
      </c>
      <c r="F52" s="47" t="s">
        <v>188</v>
      </c>
      <c r="G52" s="46" t="s">
        <v>187</v>
      </c>
      <c r="H52" s="75"/>
    </row>
    <row r="53" spans="5:8" x14ac:dyDescent="0.2">
      <c r="E53" s="24" t="str">
        <f t="shared" si="0"/>
        <v>Zusätzl. Pause (min)</v>
      </c>
      <c r="F53" s="47" t="s">
        <v>210</v>
      </c>
      <c r="G53" s="46" t="s">
        <v>211</v>
      </c>
      <c r="H53" s="75"/>
    </row>
    <row r="54" spans="5:8" x14ac:dyDescent="0.2">
      <c r="E54" s="24" t="str">
        <f t="shared" si="0"/>
        <v>Rang</v>
      </c>
      <c r="F54" s="47" t="s">
        <v>243</v>
      </c>
      <c r="G54" s="46" t="s">
        <v>242</v>
      </c>
      <c r="H54" s="75"/>
    </row>
    <row r="55" spans="5:8" x14ac:dyDescent="0.2">
      <c r="E55" s="24" t="str">
        <f t="shared" si="0"/>
        <v>Ja</v>
      </c>
      <c r="F55" s="47" t="s">
        <v>251</v>
      </c>
      <c r="G55" s="46" t="s">
        <v>249</v>
      </c>
      <c r="H55" s="75"/>
    </row>
    <row r="56" spans="5:8" x14ac:dyDescent="0.2">
      <c r="E56" s="24" t="str">
        <f t="shared" si="0"/>
        <v>Nein</v>
      </c>
      <c r="F56" s="47" t="s">
        <v>252</v>
      </c>
      <c r="G56" s="46" t="s">
        <v>250</v>
      </c>
      <c r="H56" s="75"/>
    </row>
    <row r="57" spans="5:8" x14ac:dyDescent="0.2">
      <c r="E57" s="24">
        <f t="shared" si="0"/>
        <v>0</v>
      </c>
      <c r="F57" s="47"/>
      <c r="G57" s="46"/>
      <c r="H57" s="75"/>
    </row>
    <row r="58" spans="5:8" x14ac:dyDescent="0.2">
      <c r="E58" s="24">
        <f t="shared" si="0"/>
        <v>0</v>
      </c>
      <c r="F58" s="47"/>
      <c r="G58" s="46"/>
      <c r="H58" s="75"/>
    </row>
    <row r="59" spans="5:8" x14ac:dyDescent="0.2">
      <c r="E59" s="24">
        <f t="shared" si="0"/>
        <v>0</v>
      </c>
      <c r="F59" s="31"/>
      <c r="G59" s="29"/>
      <c r="H59" s="75"/>
    </row>
    <row r="60" spans="5:8" ht="28.5" x14ac:dyDescent="0.45">
      <c r="E60" s="24"/>
      <c r="F60" s="35" t="str">
        <f>$E$37</f>
        <v>Meldungen</v>
      </c>
      <c r="G60" s="36"/>
      <c r="H60" s="37"/>
    </row>
    <row r="61" spans="5:8" ht="79.5" customHeight="1" x14ac:dyDescent="0.2">
      <c r="E61" s="24" t="str">
        <f t="shared" si="0"/>
        <v>Sind zwei oder mehr Mannschaften nicht unterscheidbar und wird eine Fairplay- oder Losentscheidung getroffen, genügt es, für die bevorzugte Mannschaft einen Bonuspunkt einzutragen.</v>
      </c>
      <c r="F61" s="41" t="s">
        <v>109</v>
      </c>
      <c r="G61" s="42" t="s">
        <v>55</v>
      </c>
      <c r="H61" s="43"/>
    </row>
    <row r="62" spans="5:8" ht="51.75" customHeight="1" x14ac:dyDescent="0.2">
      <c r="E62" s="24" t="str">
        <f t="shared" si="0"/>
        <v>Doppelte Spielpaarungen und Spiele gegen sich selbst
führen in der Gesamttabelle zu falschen Werten!</v>
      </c>
      <c r="F62" s="48" t="s">
        <v>150</v>
      </c>
      <c r="G62" s="59" t="s">
        <v>53</v>
      </c>
      <c r="H62" s="43"/>
    </row>
    <row r="63" spans="5:8" ht="51.75" customHeight="1" x14ac:dyDescent="0.2">
      <c r="E63" s="24" t="str">
        <f t="shared" si="0"/>
        <v>Änderung der Spielpaarungen nur auf dem Blatt 'Planung'!   Hier nur die Ergebnisse eintragen!</v>
      </c>
      <c r="F63" s="48" t="s">
        <v>116</v>
      </c>
      <c r="G63" s="42" t="s">
        <v>115</v>
      </c>
      <c r="H63" s="43"/>
    </row>
    <row r="64" spans="5:8" ht="16.5" customHeight="1" x14ac:dyDescent="0.2">
      <c r="E64" s="24" t="str">
        <f t="shared" si="0"/>
        <v>Kann gelöscht werden   →</v>
      </c>
      <c r="F64" s="53" t="s">
        <v>143</v>
      </c>
      <c r="G64" s="52" t="s">
        <v>140</v>
      </c>
      <c r="H64" s="44"/>
    </row>
    <row r="65" spans="5:8" ht="20.25" customHeight="1" x14ac:dyDescent="0.2">
      <c r="E65" s="24" t="str">
        <f t="shared" si="0"/>
        <v>Hier klicken und Sprache wählen</v>
      </c>
      <c r="F65" s="58" t="s">
        <v>146</v>
      </c>
      <c r="G65" s="56" t="s">
        <v>145</v>
      </c>
      <c r="H65" s="45"/>
    </row>
    <row r="66" spans="5:8" ht="32.25" customHeight="1" x14ac:dyDescent="0.2">
      <c r="E66" s="24" t="str">
        <f t="shared" si="0"/>
        <v>Doppelte Namen führen zu
falschen Tabellenwerten</v>
      </c>
      <c r="F66" s="70" t="s">
        <v>159</v>
      </c>
      <c r="G66" s="69" t="s">
        <v>52</v>
      </c>
      <c r="H66" s="45"/>
    </row>
    <row r="67" spans="5:8" ht="51.75" customHeight="1" x14ac:dyDescent="0.2">
      <c r="E67" s="24" t="str">
        <f t="shared" si="0"/>
        <v>Rote Schrift bedeutet, dass die Rangfolge auch mit dem direkten Vergleich nicht geklärt ist. Fair Play oder Los muss hier entscheiden.</v>
      </c>
      <c r="F67" s="82" t="s">
        <v>149</v>
      </c>
      <c r="G67" s="83" t="s">
        <v>148</v>
      </c>
      <c r="H67" s="44"/>
    </row>
    <row r="68" spans="5:8" ht="17.25" customHeight="1" x14ac:dyDescent="0.2">
      <c r="E68" s="24" t="str">
        <f t="shared" si="0"/>
        <v>Zeitkonflikt</v>
      </c>
      <c r="F68" s="84" t="s">
        <v>167</v>
      </c>
      <c r="G68" s="85" t="s">
        <v>166</v>
      </c>
      <c r="H68" s="86"/>
    </row>
    <row r="69" spans="5:8" ht="16.5" customHeight="1" x14ac:dyDescent="0.2">
      <c r="E69" s="24" t="str">
        <f t="shared" si="0"/>
        <v xml:space="preserve"> : </v>
      </c>
      <c r="F69" s="87" t="s">
        <v>107</v>
      </c>
      <c r="G69" s="104" t="s">
        <v>108</v>
      </c>
      <c r="H69" s="86"/>
    </row>
    <row r="70" spans="5:8" ht="33" customHeight="1" x14ac:dyDescent="0.2">
      <c r="E70" s="24" t="str">
        <f t="shared" si="0"/>
        <v>Direkte Vergleiche bei Gleichstand in Punkten, Tordifferenz und erzielten Toren</v>
      </c>
      <c r="F70" s="92" t="s">
        <v>257</v>
      </c>
      <c r="G70" s="93" t="s">
        <v>255</v>
      </c>
      <c r="H70" s="89"/>
    </row>
    <row r="71" spans="5:8" ht="32.25" customHeight="1" x14ac:dyDescent="0.2">
      <c r="E71" s="24" t="str">
        <f t="shared" si="0"/>
        <v>Direkte Vergleiche bei Gleichstand in Punkten</v>
      </c>
      <c r="F71" s="92" t="s">
        <v>258</v>
      </c>
      <c r="G71" s="93" t="s">
        <v>256</v>
      </c>
      <c r="H71" s="89"/>
    </row>
    <row r="72" spans="5:8" ht="18" customHeight="1" x14ac:dyDescent="0.2">
      <c r="E72" s="24" t="str">
        <f t="shared" si="0"/>
        <v>Modus für direkte Vergleiche:</v>
      </c>
      <c r="F72" s="95" t="s">
        <v>191</v>
      </c>
      <c r="G72" s="96" t="s">
        <v>190</v>
      </c>
      <c r="H72" s="97"/>
    </row>
    <row r="73" spans="5:8" ht="18" customHeight="1" x14ac:dyDescent="0.2">
      <c r="E73" s="24" t="str">
        <f t="shared" si="0"/>
        <v>Modus 1</v>
      </c>
      <c r="F73" s="95" t="s">
        <v>194</v>
      </c>
      <c r="G73" s="96" t="s">
        <v>192</v>
      </c>
      <c r="H73" s="97"/>
    </row>
    <row r="74" spans="5:8" ht="20.25" customHeight="1" x14ac:dyDescent="0.2">
      <c r="E74" s="24" t="str">
        <f t="shared" si="0"/>
        <v>Modus 2</v>
      </c>
      <c r="F74" s="95" t="s">
        <v>195</v>
      </c>
      <c r="G74" s="96" t="s">
        <v>193</v>
      </c>
      <c r="H74" s="97"/>
    </row>
    <row r="75" spans="5:8" ht="18" customHeight="1" x14ac:dyDescent="0.2">
      <c r="E75" s="24" t="str">
        <f t="shared" si="0"/>
        <v xml:space="preserve">ZEITKONFLIKT für </v>
      </c>
      <c r="F75" s="95" t="s">
        <v>205</v>
      </c>
      <c r="G75" s="96" t="s">
        <v>204</v>
      </c>
      <c r="H75" s="97"/>
    </row>
    <row r="76" spans="5:8" ht="18" customHeight="1" x14ac:dyDescent="0.2">
      <c r="E76" s="24" t="str">
        <f t="shared" si="0"/>
        <v xml:space="preserve">in den Spielen </v>
      </c>
      <c r="F76" s="95" t="s">
        <v>200</v>
      </c>
      <c r="G76" s="96" t="s">
        <v>201</v>
      </c>
      <c r="H76" s="97"/>
    </row>
    <row r="77" spans="5:8" ht="18" customHeight="1" x14ac:dyDescent="0.2">
      <c r="E77" s="24" t="str">
        <f t="shared" si="0"/>
        <v xml:space="preserve"> und </v>
      </c>
      <c r="F77" s="95" t="s">
        <v>202</v>
      </c>
      <c r="G77" s="96" t="s">
        <v>203</v>
      </c>
      <c r="H77" s="97"/>
    </row>
    <row r="78" spans="5:8" ht="32.25" customHeight="1" x14ac:dyDescent="0.2">
      <c r="E78" s="24" t="str">
        <f t="shared" si="0"/>
        <v xml:space="preserve">Wegen zeitlicher Konflikte kann nur auf maximal </v>
      </c>
      <c r="F78" s="95" t="s">
        <v>206</v>
      </c>
      <c r="G78" s="96" t="s">
        <v>207</v>
      </c>
      <c r="H78" s="97"/>
    </row>
    <row r="79" spans="5:8" ht="32.25" customHeight="1" x14ac:dyDescent="0.2">
      <c r="E79" s="24" t="str">
        <f t="shared" si="0"/>
        <v xml:space="preserve"> Spielplätzen gleichzeitig gespielt werden.</v>
      </c>
      <c r="F79" s="95" t="s">
        <v>208</v>
      </c>
      <c r="G79" s="96" t="s">
        <v>209</v>
      </c>
      <c r="H79" s="97"/>
    </row>
    <row r="80" spans="5:8" ht="32.25" customHeight="1" x14ac:dyDescent="0.2">
      <c r="E80" s="24" t="str">
        <f t="shared" si="0"/>
        <v>Abkürzungen der Mannschaftsnamen:</v>
      </c>
      <c r="F80" s="95" t="s">
        <v>219</v>
      </c>
      <c r="G80" s="96" t="s">
        <v>220</v>
      </c>
      <c r="H80" s="97"/>
    </row>
    <row r="81" spans="5:9" ht="32.25" customHeight="1" x14ac:dyDescent="0.2">
      <c r="E81" s="24" t="str">
        <f t="shared" si="0"/>
        <v>Buchstaben</v>
      </c>
      <c r="F81" s="95" t="s">
        <v>221</v>
      </c>
      <c r="G81" s="96" t="s">
        <v>222</v>
      </c>
      <c r="H81" s="97"/>
    </row>
    <row r="82" spans="5:9" ht="32.25" customHeight="1" x14ac:dyDescent="0.2">
      <c r="E82" s="24">
        <f t="shared" si="0"/>
        <v>0</v>
      </c>
      <c r="F82" s="95"/>
      <c r="G82" s="96"/>
      <c r="H82" s="97"/>
    </row>
    <row r="83" spans="5:9" ht="32.25" customHeight="1" x14ac:dyDescent="0.2">
      <c r="E83" s="24">
        <f t="shared" si="0"/>
        <v>0</v>
      </c>
      <c r="F83" s="95"/>
      <c r="G83" s="96"/>
      <c r="H83" s="97"/>
    </row>
    <row r="84" spans="5:9" ht="32.25" customHeight="1" x14ac:dyDescent="0.2">
      <c r="E84" s="24">
        <f t="shared" si="0"/>
        <v>0</v>
      </c>
      <c r="F84" s="95"/>
      <c r="G84" s="96"/>
      <c r="H84" s="97"/>
    </row>
    <row r="85" spans="5:9" ht="16.5" customHeight="1" thickBot="1" x14ac:dyDescent="0.25">
      <c r="E85" s="24">
        <f t="shared" si="0"/>
        <v>0</v>
      </c>
      <c r="F85" s="90"/>
      <c r="G85" s="88"/>
      <c r="H85" s="91"/>
    </row>
    <row r="86" spans="5:9" ht="13.5" thickTop="1" x14ac:dyDescent="0.2"/>
    <row r="87" spans="5:9" x14ac:dyDescent="0.2"/>
    <row r="88" spans="5:9" x14ac:dyDescent="0.2"/>
    <row r="89" spans="5:9" hidden="1" x14ac:dyDescent="0.2"/>
    <row r="90" spans="5:9" hidden="1" x14ac:dyDescent="0.2">
      <c r="I90" s="5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262" t="str">
        <f>Sprache!$E$50</f>
        <v>Spielpaarungen</v>
      </c>
      <c r="C1" s="74" t="s">
        <v>189</v>
      </c>
      <c r="D1" s="79">
        <v>3</v>
      </c>
      <c r="E1" s="79">
        <v>2</v>
      </c>
      <c r="G1" s="74" t="s">
        <v>175</v>
      </c>
      <c r="H1" s="25">
        <v>1</v>
      </c>
      <c r="I1" s="25">
        <v>4</v>
      </c>
      <c r="K1" s="74" t="s">
        <v>176</v>
      </c>
      <c r="L1" s="25">
        <v>5</v>
      </c>
      <c r="M1" s="25">
        <v>2</v>
      </c>
      <c r="O1" s="74" t="s">
        <v>177</v>
      </c>
      <c r="P1" s="25">
        <v>1</v>
      </c>
      <c r="Q1" s="25">
        <v>6</v>
      </c>
      <c r="S1" s="74" t="s">
        <v>178</v>
      </c>
      <c r="T1" s="25">
        <v>7</v>
      </c>
      <c r="U1" s="25">
        <v>2</v>
      </c>
      <c r="W1" s="74" t="s">
        <v>179</v>
      </c>
      <c r="X1" s="25">
        <v>1</v>
      </c>
      <c r="Y1" s="25">
        <v>8</v>
      </c>
      <c r="AA1" s="74" t="s">
        <v>180</v>
      </c>
      <c r="AB1" s="25">
        <v>9</v>
      </c>
      <c r="AC1" s="25">
        <v>2</v>
      </c>
      <c r="AG1" s="74" t="s">
        <v>189</v>
      </c>
      <c r="AH1" s="79">
        <v>2</v>
      </c>
      <c r="AI1" s="79">
        <v>3</v>
      </c>
      <c r="AK1" s="74" t="s">
        <v>175</v>
      </c>
      <c r="AL1" s="25">
        <v>1</v>
      </c>
      <c r="AM1" s="25">
        <v>4</v>
      </c>
      <c r="AO1" s="74" t="s">
        <v>176</v>
      </c>
      <c r="AP1" s="25">
        <v>5</v>
      </c>
      <c r="AQ1" s="25">
        <v>2</v>
      </c>
      <c r="AS1" s="74" t="s">
        <v>177</v>
      </c>
      <c r="AT1" s="25">
        <v>1</v>
      </c>
      <c r="AU1" s="25">
        <v>6</v>
      </c>
      <c r="AW1" s="74" t="s">
        <v>178</v>
      </c>
      <c r="AX1" s="25">
        <v>7</v>
      </c>
      <c r="AY1" s="25">
        <v>2</v>
      </c>
      <c r="BA1" s="74" t="s">
        <v>179</v>
      </c>
      <c r="BB1" s="25">
        <v>1</v>
      </c>
      <c r="BC1" s="25">
        <v>8</v>
      </c>
      <c r="BE1" s="74" t="s">
        <v>180</v>
      </c>
      <c r="BF1" s="25">
        <v>9</v>
      </c>
      <c r="BG1" s="25">
        <v>2</v>
      </c>
    </row>
    <row r="2" spans="1:59" ht="12.75" customHeight="1" x14ac:dyDescent="0.2">
      <c r="A2" s="262"/>
      <c r="C2" s="264" t="str">
        <f>Sprache!$E$18</f>
        <v>Hinspiele</v>
      </c>
      <c r="D2" s="79">
        <v>3</v>
      </c>
      <c r="E2" s="79">
        <v>1</v>
      </c>
      <c r="G2" s="261" t="str">
        <f>Sprache!$E$18</f>
        <v>Hinspiele</v>
      </c>
      <c r="H2" s="25">
        <v>3</v>
      </c>
      <c r="I2" s="25">
        <v>2</v>
      </c>
      <c r="K2" s="71"/>
      <c r="L2" s="25">
        <v>3</v>
      </c>
      <c r="M2" s="25">
        <v>4</v>
      </c>
      <c r="O2" s="71"/>
      <c r="P2" s="25">
        <v>5</v>
      </c>
      <c r="Q2" s="25">
        <v>2</v>
      </c>
      <c r="S2" s="71"/>
      <c r="T2" s="25">
        <v>3</v>
      </c>
      <c r="U2" s="25">
        <v>6</v>
      </c>
      <c r="W2" s="71"/>
      <c r="X2" s="25">
        <v>7</v>
      </c>
      <c r="Y2" s="25">
        <v>2</v>
      </c>
      <c r="AA2" s="71"/>
      <c r="AB2" s="25">
        <v>3</v>
      </c>
      <c r="AC2" s="25">
        <v>8</v>
      </c>
      <c r="AE2" t="s">
        <v>183</v>
      </c>
      <c r="AG2" s="264" t="str">
        <f>Sprache!$E$18</f>
        <v>Hinspiele</v>
      </c>
      <c r="AH2" s="79">
        <v>3</v>
      </c>
      <c r="AI2" s="79">
        <v>1</v>
      </c>
      <c r="AK2" s="261" t="str">
        <f>Sprache!$E$18</f>
        <v>Hinspiele</v>
      </c>
      <c r="AL2" s="25">
        <v>3</v>
      </c>
      <c r="AM2" s="25">
        <v>2</v>
      </c>
      <c r="AO2" s="71"/>
      <c r="AP2" s="25">
        <v>3</v>
      </c>
      <c r="AQ2" s="25">
        <v>4</v>
      </c>
      <c r="AS2" s="71"/>
      <c r="AT2" s="25">
        <v>5</v>
      </c>
      <c r="AU2" s="25">
        <v>2</v>
      </c>
      <c r="AW2" s="71"/>
      <c r="AX2" s="25">
        <v>3</v>
      </c>
      <c r="AY2" s="25">
        <v>6</v>
      </c>
      <c r="BA2" s="71"/>
      <c r="BB2" s="25">
        <v>7</v>
      </c>
      <c r="BC2" s="25">
        <v>2</v>
      </c>
      <c r="BE2" s="71"/>
      <c r="BF2" s="25">
        <v>3</v>
      </c>
      <c r="BG2" s="25">
        <v>8</v>
      </c>
    </row>
    <row r="3" spans="1:59" ht="13.5" thickBot="1" x14ac:dyDescent="0.25">
      <c r="A3" s="262"/>
      <c r="C3" s="265"/>
      <c r="D3" s="79">
        <v>1</v>
      </c>
      <c r="E3" s="79">
        <v>2</v>
      </c>
      <c r="G3" s="261"/>
      <c r="H3" s="25">
        <v>3</v>
      </c>
      <c r="I3" s="25">
        <v>1</v>
      </c>
      <c r="L3" s="25">
        <v>5</v>
      </c>
      <c r="M3" s="25">
        <v>1</v>
      </c>
      <c r="P3" s="25">
        <v>3</v>
      </c>
      <c r="Q3" s="25">
        <v>4</v>
      </c>
      <c r="T3" s="25">
        <v>5</v>
      </c>
      <c r="U3" s="25">
        <v>4</v>
      </c>
      <c r="X3" s="25">
        <v>3</v>
      </c>
      <c r="Y3" s="25">
        <v>6</v>
      </c>
      <c r="AB3" s="25">
        <v>7</v>
      </c>
      <c r="AC3" s="25">
        <v>4</v>
      </c>
      <c r="AE3" s="76" t="s">
        <v>184</v>
      </c>
      <c r="AG3" s="265"/>
      <c r="AH3" s="79">
        <v>1</v>
      </c>
      <c r="AI3" s="79">
        <v>2</v>
      </c>
      <c r="AK3" s="261"/>
      <c r="AL3" s="25">
        <v>3</v>
      </c>
      <c r="AM3" s="25">
        <v>1</v>
      </c>
      <c r="AP3" s="25">
        <v>5</v>
      </c>
      <c r="AQ3" s="25">
        <v>1</v>
      </c>
      <c r="AT3" s="25">
        <v>3</v>
      </c>
      <c r="AU3" s="25">
        <v>4</v>
      </c>
      <c r="AX3" s="25">
        <v>5</v>
      </c>
      <c r="AY3" s="25">
        <v>4</v>
      </c>
      <c r="BB3" s="25">
        <v>3</v>
      </c>
      <c r="BC3" s="25">
        <v>6</v>
      </c>
      <c r="BF3" s="25">
        <v>7</v>
      </c>
      <c r="BG3" s="25">
        <v>4</v>
      </c>
    </row>
    <row r="4" spans="1:59" ht="12.75" customHeight="1" x14ac:dyDescent="0.2">
      <c r="A4" s="262"/>
      <c r="C4" s="266" t="str">
        <f>Sprache!$E$19</f>
        <v>Rückspiele</v>
      </c>
      <c r="D4" s="79">
        <v>2</v>
      </c>
      <c r="E4" s="79">
        <v>3</v>
      </c>
      <c r="G4" s="261"/>
      <c r="H4" s="25">
        <v>2</v>
      </c>
      <c r="I4" s="25">
        <v>4</v>
      </c>
      <c r="L4" s="25">
        <v>2</v>
      </c>
      <c r="M4" s="25">
        <v>3</v>
      </c>
      <c r="P4" s="25">
        <v>5</v>
      </c>
      <c r="Q4" s="25">
        <v>1</v>
      </c>
      <c r="T4" s="25">
        <v>7</v>
      </c>
      <c r="U4" s="25">
        <v>1</v>
      </c>
      <c r="X4" s="25">
        <v>5</v>
      </c>
      <c r="Y4" s="25">
        <v>4</v>
      </c>
      <c r="AB4" s="25">
        <v>5</v>
      </c>
      <c r="AC4" s="25">
        <v>6</v>
      </c>
      <c r="AG4" s="266" t="str">
        <f>Sprache!$E$19</f>
        <v>Rückspiele</v>
      </c>
      <c r="AH4" s="79"/>
      <c r="AI4" s="79"/>
      <c r="AK4" s="261"/>
      <c r="AL4" s="25">
        <v>2</v>
      </c>
      <c r="AM4" s="25">
        <v>4</v>
      </c>
      <c r="AP4" s="25">
        <v>2</v>
      </c>
      <c r="AQ4" s="25">
        <v>3</v>
      </c>
      <c r="AT4" s="25">
        <v>5</v>
      </c>
      <c r="AU4" s="25">
        <v>1</v>
      </c>
      <c r="AX4" s="25">
        <v>7</v>
      </c>
      <c r="AY4" s="25">
        <v>1</v>
      </c>
      <c r="BB4" s="25">
        <v>5</v>
      </c>
      <c r="BC4" s="25">
        <v>4</v>
      </c>
      <c r="BF4" s="25">
        <v>5</v>
      </c>
      <c r="BG4" s="25">
        <v>6</v>
      </c>
    </row>
    <row r="5" spans="1:59" x14ac:dyDescent="0.2">
      <c r="A5" s="262"/>
      <c r="C5" s="264"/>
      <c r="D5" s="79">
        <v>1</v>
      </c>
      <c r="E5" s="79">
        <v>3</v>
      </c>
      <c r="G5" s="261"/>
      <c r="H5" s="25">
        <v>1</v>
      </c>
      <c r="I5" s="25">
        <v>2</v>
      </c>
      <c r="L5" s="25">
        <v>1</v>
      </c>
      <c r="M5" s="25">
        <v>4</v>
      </c>
      <c r="P5" s="25">
        <v>4</v>
      </c>
      <c r="Q5" s="25">
        <v>6</v>
      </c>
      <c r="T5" s="25">
        <v>2</v>
      </c>
      <c r="U5" s="25">
        <v>5</v>
      </c>
      <c r="X5" s="25">
        <v>7</v>
      </c>
      <c r="Y5" s="25">
        <v>1</v>
      </c>
      <c r="AB5" s="25">
        <v>9</v>
      </c>
      <c r="AC5" s="25">
        <v>1</v>
      </c>
      <c r="AG5" s="264"/>
      <c r="AH5" s="79"/>
      <c r="AI5" s="79"/>
      <c r="AK5" s="261"/>
      <c r="AL5" s="25">
        <v>1</v>
      </c>
      <c r="AM5" s="25">
        <v>2</v>
      </c>
      <c r="AP5" s="25">
        <v>1</v>
      </c>
      <c r="AQ5" s="25">
        <v>4</v>
      </c>
      <c r="AT5" s="25">
        <v>4</v>
      </c>
      <c r="AU5" s="25">
        <v>6</v>
      </c>
      <c r="AX5" s="25">
        <v>2</v>
      </c>
      <c r="AY5" s="25">
        <v>5</v>
      </c>
      <c r="BB5" s="25">
        <v>7</v>
      </c>
      <c r="BC5" s="25">
        <v>1</v>
      </c>
      <c r="BF5" s="25">
        <v>9</v>
      </c>
      <c r="BG5" s="25">
        <v>1</v>
      </c>
    </row>
    <row r="6" spans="1:59" ht="13.5" customHeight="1" thickBot="1" x14ac:dyDescent="0.25">
      <c r="A6" s="262"/>
      <c r="C6" s="264"/>
      <c r="D6" s="79">
        <v>2</v>
      </c>
      <c r="E6" s="79">
        <v>1</v>
      </c>
      <c r="G6" s="263"/>
      <c r="H6" s="25">
        <v>4</v>
      </c>
      <c r="I6" s="25">
        <v>3</v>
      </c>
      <c r="K6" s="261" t="str">
        <f>Sprache!$E$18</f>
        <v>Hinspiele</v>
      </c>
      <c r="L6" s="25">
        <v>3</v>
      </c>
      <c r="M6" s="25">
        <v>5</v>
      </c>
      <c r="P6" s="25">
        <v>2</v>
      </c>
      <c r="Q6" s="25">
        <v>3</v>
      </c>
      <c r="T6" s="25">
        <v>4</v>
      </c>
      <c r="U6" s="25">
        <v>3</v>
      </c>
      <c r="X6" s="25">
        <v>6</v>
      </c>
      <c r="Y6" s="25">
        <v>8</v>
      </c>
      <c r="AB6" s="25">
        <v>2</v>
      </c>
      <c r="AC6" s="25">
        <v>7</v>
      </c>
      <c r="AG6" s="264"/>
      <c r="AH6" s="79"/>
      <c r="AI6" s="79"/>
      <c r="AK6" s="263"/>
      <c r="AL6" s="25">
        <v>4</v>
      </c>
      <c r="AM6" s="25">
        <v>3</v>
      </c>
      <c r="AO6" s="261" t="str">
        <f>Sprache!$E$18</f>
        <v>Hinspiele</v>
      </c>
      <c r="AP6" s="25">
        <v>3</v>
      </c>
      <c r="AQ6" s="25">
        <v>5</v>
      </c>
      <c r="AT6" s="25">
        <v>2</v>
      </c>
      <c r="AU6" s="25">
        <v>3</v>
      </c>
      <c r="AX6" s="25">
        <v>4</v>
      </c>
      <c r="AY6" s="25">
        <v>3</v>
      </c>
      <c r="BB6" s="25">
        <v>6</v>
      </c>
      <c r="BC6" s="25">
        <v>8</v>
      </c>
      <c r="BF6" s="25">
        <v>2</v>
      </c>
      <c r="BG6" s="25">
        <v>7</v>
      </c>
    </row>
    <row r="7" spans="1:59" ht="12.75" customHeight="1" x14ac:dyDescent="0.2">
      <c r="A7" s="262"/>
      <c r="D7" s="25"/>
      <c r="E7" s="25"/>
      <c r="G7" s="261" t="str">
        <f>Sprache!$E$19</f>
        <v>Rückspiele</v>
      </c>
      <c r="H7" s="25">
        <v>4</v>
      </c>
      <c r="I7" s="25">
        <v>1</v>
      </c>
      <c r="K7" s="261"/>
      <c r="L7" s="25">
        <v>2</v>
      </c>
      <c r="M7" s="25">
        <v>4</v>
      </c>
      <c r="P7" s="25">
        <v>1</v>
      </c>
      <c r="Q7" s="25">
        <v>4</v>
      </c>
      <c r="T7" s="25">
        <v>1</v>
      </c>
      <c r="U7" s="25">
        <v>6</v>
      </c>
      <c r="X7" s="25">
        <v>2</v>
      </c>
      <c r="Y7" s="25">
        <v>5</v>
      </c>
      <c r="AB7" s="25">
        <v>6</v>
      </c>
      <c r="AC7" s="25">
        <v>3</v>
      </c>
      <c r="AH7" s="25"/>
      <c r="AI7" s="25"/>
      <c r="AK7" s="261" t="str">
        <f>Sprache!$E$19</f>
        <v>Rückspiele</v>
      </c>
      <c r="AL7" s="25"/>
      <c r="AM7" s="25"/>
      <c r="AO7" s="261"/>
      <c r="AP7" s="25">
        <v>2</v>
      </c>
      <c r="AQ7" s="25">
        <v>4</v>
      </c>
      <c r="AT7" s="25">
        <v>1</v>
      </c>
      <c r="AU7" s="25">
        <v>4</v>
      </c>
      <c r="AX7" s="25">
        <v>1</v>
      </c>
      <c r="AY7" s="25">
        <v>6</v>
      </c>
      <c r="BB7" s="25">
        <v>2</v>
      </c>
      <c r="BC7" s="25">
        <v>5</v>
      </c>
      <c r="BF7" s="25">
        <v>6</v>
      </c>
      <c r="BG7" s="25">
        <v>3</v>
      </c>
    </row>
    <row r="8" spans="1:59" x14ac:dyDescent="0.2">
      <c r="A8" s="262"/>
      <c r="C8" s="80"/>
      <c r="D8" s="25"/>
      <c r="E8" s="25"/>
      <c r="G8" s="261"/>
      <c r="H8" s="25">
        <v>2</v>
      </c>
      <c r="I8" s="25">
        <v>3</v>
      </c>
      <c r="K8" s="261"/>
      <c r="L8" s="25">
        <v>3</v>
      </c>
      <c r="M8" s="25">
        <v>1</v>
      </c>
      <c r="P8" s="25">
        <v>3</v>
      </c>
      <c r="Q8" s="25">
        <v>5</v>
      </c>
      <c r="T8" s="25">
        <v>5</v>
      </c>
      <c r="U8" s="25">
        <v>7</v>
      </c>
      <c r="X8" s="25">
        <v>4</v>
      </c>
      <c r="Y8" s="25">
        <v>3</v>
      </c>
      <c r="AB8" s="25">
        <v>4</v>
      </c>
      <c r="AC8" s="25">
        <v>5</v>
      </c>
      <c r="AG8" s="80"/>
      <c r="AH8" s="25"/>
      <c r="AI8" s="25"/>
      <c r="AK8" s="261"/>
      <c r="AL8" s="25"/>
      <c r="AM8" s="25"/>
      <c r="AO8" s="261"/>
      <c r="AP8" s="25">
        <v>3</v>
      </c>
      <c r="AQ8" s="25">
        <v>1</v>
      </c>
      <c r="AT8" s="25">
        <v>3</v>
      </c>
      <c r="AU8" s="25">
        <v>5</v>
      </c>
      <c r="AX8" s="25">
        <v>5</v>
      </c>
      <c r="AY8" s="25">
        <v>7</v>
      </c>
      <c r="BB8" s="25">
        <v>4</v>
      </c>
      <c r="BC8" s="25">
        <v>3</v>
      </c>
      <c r="BF8" s="25">
        <v>4</v>
      </c>
      <c r="BG8" s="25">
        <v>5</v>
      </c>
    </row>
    <row r="9" spans="1:59" x14ac:dyDescent="0.2">
      <c r="A9" s="262"/>
      <c r="C9" s="80"/>
      <c r="D9" s="25"/>
      <c r="E9" s="25"/>
      <c r="G9" s="261"/>
      <c r="H9" s="25">
        <v>1</v>
      </c>
      <c r="I9" s="25">
        <v>3</v>
      </c>
      <c r="K9" s="261"/>
      <c r="L9" s="25">
        <v>4</v>
      </c>
      <c r="M9" s="25">
        <v>5</v>
      </c>
      <c r="P9" s="25">
        <v>6</v>
      </c>
      <c r="Q9" s="25">
        <v>2</v>
      </c>
      <c r="T9" s="25">
        <v>3</v>
      </c>
      <c r="U9" s="25">
        <v>2</v>
      </c>
      <c r="X9" s="25">
        <v>1</v>
      </c>
      <c r="Y9" s="25">
        <v>6</v>
      </c>
      <c r="AB9" s="25">
        <v>1</v>
      </c>
      <c r="AC9" s="25">
        <v>8</v>
      </c>
      <c r="AG9" s="80"/>
      <c r="AH9" s="25"/>
      <c r="AI9" s="25"/>
      <c r="AK9" s="261"/>
      <c r="AL9" s="25"/>
      <c r="AM9" s="25"/>
      <c r="AO9" s="261"/>
      <c r="AP9" s="25">
        <v>4</v>
      </c>
      <c r="AQ9" s="25">
        <v>5</v>
      </c>
      <c r="AT9" s="25">
        <v>6</v>
      </c>
      <c r="AU9" s="25">
        <v>2</v>
      </c>
      <c r="AX9" s="25">
        <v>3</v>
      </c>
      <c r="AY9" s="25">
        <v>2</v>
      </c>
      <c r="BB9" s="25">
        <v>1</v>
      </c>
      <c r="BC9" s="25">
        <v>6</v>
      </c>
      <c r="BF9" s="25">
        <v>1</v>
      </c>
      <c r="BG9" s="25">
        <v>8</v>
      </c>
    </row>
    <row r="10" spans="1:59" ht="13.5" thickBot="1" x14ac:dyDescent="0.25">
      <c r="A10" s="262"/>
      <c r="C10" s="80"/>
      <c r="D10" s="25"/>
      <c r="E10" s="25"/>
      <c r="G10" s="261"/>
      <c r="H10" s="25">
        <v>4</v>
      </c>
      <c r="I10" s="25">
        <v>2</v>
      </c>
      <c r="K10" s="263"/>
      <c r="L10" s="25">
        <v>1</v>
      </c>
      <c r="M10" s="25">
        <v>2</v>
      </c>
      <c r="P10" s="25">
        <v>3</v>
      </c>
      <c r="Q10" s="25">
        <v>1</v>
      </c>
      <c r="T10" s="25">
        <v>5</v>
      </c>
      <c r="U10" s="25">
        <v>1</v>
      </c>
      <c r="X10" s="25">
        <v>5</v>
      </c>
      <c r="Y10" s="25">
        <v>7</v>
      </c>
      <c r="AB10" s="25">
        <v>7</v>
      </c>
      <c r="AC10" s="25">
        <v>9</v>
      </c>
      <c r="AG10" s="80"/>
      <c r="AH10" s="25"/>
      <c r="AI10" s="25"/>
      <c r="AK10" s="261"/>
      <c r="AL10" s="25"/>
      <c r="AM10" s="25"/>
      <c r="AO10" s="263"/>
      <c r="AP10" s="25">
        <v>1</v>
      </c>
      <c r="AQ10" s="25">
        <v>2</v>
      </c>
      <c r="AT10" s="25">
        <v>3</v>
      </c>
      <c r="AU10" s="25">
        <v>1</v>
      </c>
      <c r="AX10" s="25">
        <v>5</v>
      </c>
      <c r="AY10" s="25">
        <v>1</v>
      </c>
      <c r="BB10" s="25">
        <v>5</v>
      </c>
      <c r="BC10" s="25">
        <v>7</v>
      </c>
      <c r="BF10" s="25">
        <v>7</v>
      </c>
      <c r="BG10" s="25">
        <v>9</v>
      </c>
    </row>
    <row r="11" spans="1:59" x14ac:dyDescent="0.2">
      <c r="A11" s="262"/>
      <c r="C11" s="80"/>
      <c r="D11" s="25"/>
      <c r="E11" s="25"/>
      <c r="G11" s="261"/>
      <c r="H11" s="25">
        <v>2</v>
      </c>
      <c r="I11" s="25">
        <v>1</v>
      </c>
      <c r="K11" s="261" t="str">
        <f>Sprache!$E$19</f>
        <v>Rückspiele</v>
      </c>
      <c r="L11" s="25">
        <v>2</v>
      </c>
      <c r="M11" s="25">
        <v>5</v>
      </c>
      <c r="O11" s="261" t="str">
        <f>Sprache!$E$18</f>
        <v>Hinspiele</v>
      </c>
      <c r="P11" s="25">
        <v>2</v>
      </c>
      <c r="Q11" s="25">
        <v>4</v>
      </c>
      <c r="T11" s="25">
        <v>4</v>
      </c>
      <c r="U11" s="25">
        <v>6</v>
      </c>
      <c r="X11" s="25">
        <v>8</v>
      </c>
      <c r="Y11" s="25">
        <v>4</v>
      </c>
      <c r="AB11" s="25">
        <v>5</v>
      </c>
      <c r="AC11" s="25">
        <v>2</v>
      </c>
      <c r="AG11" s="80"/>
      <c r="AH11" s="25"/>
      <c r="AI11" s="25"/>
      <c r="AK11" s="261"/>
      <c r="AL11" s="25"/>
      <c r="AM11" s="25"/>
      <c r="AO11" s="261" t="str">
        <f>Sprache!$E$19</f>
        <v>Rückspiele</v>
      </c>
      <c r="AP11" s="25"/>
      <c r="AQ11" s="25"/>
      <c r="AS11" s="261" t="str">
        <f>Sprache!$E$18</f>
        <v>Hinspiele</v>
      </c>
      <c r="AT11" s="25">
        <v>2</v>
      </c>
      <c r="AU11" s="25">
        <v>4</v>
      </c>
      <c r="AX11" s="25">
        <v>4</v>
      </c>
      <c r="AY11" s="25">
        <v>6</v>
      </c>
      <c r="BB11" s="25">
        <v>8</v>
      </c>
      <c r="BC11" s="25">
        <v>4</v>
      </c>
      <c r="BF11" s="25">
        <v>5</v>
      </c>
      <c r="BG11" s="25">
        <v>2</v>
      </c>
    </row>
    <row r="12" spans="1:59" x14ac:dyDescent="0.2">
      <c r="A12" s="262"/>
      <c r="D12" s="25"/>
      <c r="E12" s="25"/>
      <c r="H12" s="25">
        <v>3</v>
      </c>
      <c r="I12" s="25">
        <v>4</v>
      </c>
      <c r="K12" s="261"/>
      <c r="L12" s="25">
        <v>4</v>
      </c>
      <c r="M12" s="25">
        <v>3</v>
      </c>
      <c r="O12" s="261"/>
      <c r="P12" s="25">
        <v>5</v>
      </c>
      <c r="Q12" s="25">
        <v>6</v>
      </c>
      <c r="T12" s="25">
        <v>7</v>
      </c>
      <c r="U12" s="25">
        <v>3</v>
      </c>
      <c r="X12" s="25">
        <v>3</v>
      </c>
      <c r="Y12" s="25">
        <v>2</v>
      </c>
      <c r="AB12" s="25">
        <v>3</v>
      </c>
      <c r="AC12" s="25">
        <v>4</v>
      </c>
      <c r="AH12" s="25"/>
      <c r="AI12" s="25"/>
      <c r="AL12" s="25"/>
      <c r="AM12" s="25"/>
      <c r="AO12" s="261"/>
      <c r="AP12" s="25"/>
      <c r="AQ12" s="25"/>
      <c r="AS12" s="261"/>
      <c r="AT12" s="25">
        <v>5</v>
      </c>
      <c r="AU12" s="25">
        <v>6</v>
      </c>
      <c r="AX12" s="25">
        <v>7</v>
      </c>
      <c r="AY12" s="25">
        <v>3</v>
      </c>
      <c r="BB12" s="25">
        <v>3</v>
      </c>
      <c r="BC12" s="25">
        <v>2</v>
      </c>
      <c r="BF12" s="25">
        <v>3</v>
      </c>
      <c r="BG12" s="25">
        <v>4</v>
      </c>
    </row>
    <row r="13" spans="1:59" x14ac:dyDescent="0.2">
      <c r="A13" s="262"/>
      <c r="K13" s="261"/>
      <c r="L13" s="25">
        <v>1</v>
      </c>
      <c r="M13" s="25">
        <v>5</v>
      </c>
      <c r="O13" s="261"/>
      <c r="P13" s="25">
        <v>1</v>
      </c>
      <c r="Q13" s="25">
        <v>2</v>
      </c>
      <c r="T13" s="25">
        <v>1</v>
      </c>
      <c r="U13" s="25">
        <v>4</v>
      </c>
      <c r="X13" s="25">
        <v>5</v>
      </c>
      <c r="Y13" s="25">
        <v>1</v>
      </c>
      <c r="AB13" s="25">
        <v>7</v>
      </c>
      <c r="AC13" s="25">
        <v>1</v>
      </c>
      <c r="AO13" s="261"/>
      <c r="AP13" s="25"/>
      <c r="AQ13" s="25"/>
      <c r="AS13" s="261"/>
      <c r="AT13" s="25">
        <v>1</v>
      </c>
      <c r="AU13" s="25">
        <v>2</v>
      </c>
      <c r="AX13" s="25">
        <v>1</v>
      </c>
      <c r="AY13" s="25">
        <v>4</v>
      </c>
      <c r="BB13" s="25">
        <v>5</v>
      </c>
      <c r="BC13" s="25">
        <v>1</v>
      </c>
      <c r="BF13" s="25">
        <v>7</v>
      </c>
      <c r="BG13" s="25">
        <v>1</v>
      </c>
    </row>
    <row r="14" spans="1:59" x14ac:dyDescent="0.2">
      <c r="A14" s="262"/>
      <c r="K14" s="261"/>
      <c r="L14" s="25">
        <v>3</v>
      </c>
      <c r="M14" s="25">
        <v>2</v>
      </c>
      <c r="O14" s="261"/>
      <c r="P14" s="25">
        <v>6</v>
      </c>
      <c r="Q14" s="25">
        <v>3</v>
      </c>
      <c r="T14" s="25">
        <v>3</v>
      </c>
      <c r="U14" s="25">
        <v>5</v>
      </c>
      <c r="X14" s="25">
        <v>4</v>
      </c>
      <c r="Y14" s="25">
        <v>6</v>
      </c>
      <c r="AB14" s="25">
        <v>6</v>
      </c>
      <c r="AC14" s="25">
        <v>8</v>
      </c>
      <c r="AO14" s="261"/>
      <c r="AP14" s="25"/>
      <c r="AQ14" s="25"/>
      <c r="AS14" s="261"/>
      <c r="AT14" s="25">
        <v>6</v>
      </c>
      <c r="AU14" s="25">
        <v>3</v>
      </c>
      <c r="AX14" s="25">
        <v>3</v>
      </c>
      <c r="AY14" s="25">
        <v>5</v>
      </c>
      <c r="BB14" s="25">
        <v>4</v>
      </c>
      <c r="BC14" s="25">
        <v>6</v>
      </c>
      <c r="BF14" s="25">
        <v>6</v>
      </c>
      <c r="BG14" s="25">
        <v>8</v>
      </c>
    </row>
    <row r="15" spans="1:59" ht="13.5" thickBot="1" x14ac:dyDescent="0.25">
      <c r="A15" s="262"/>
      <c r="K15" s="261"/>
      <c r="L15" s="25">
        <v>4</v>
      </c>
      <c r="M15" s="25">
        <v>1</v>
      </c>
      <c r="O15" s="263"/>
      <c r="P15" s="25">
        <v>4</v>
      </c>
      <c r="Q15" s="25">
        <v>5</v>
      </c>
      <c r="T15" s="25">
        <v>6</v>
      </c>
      <c r="U15" s="25">
        <v>2</v>
      </c>
      <c r="X15" s="25">
        <v>7</v>
      </c>
      <c r="Y15" s="25">
        <v>3</v>
      </c>
      <c r="AB15" s="25">
        <v>9</v>
      </c>
      <c r="AC15" s="25">
        <v>5</v>
      </c>
      <c r="AO15" s="261"/>
      <c r="AP15" s="25"/>
      <c r="AQ15" s="25"/>
      <c r="AS15" s="263"/>
      <c r="AT15" s="25">
        <v>4</v>
      </c>
      <c r="AU15" s="25">
        <v>5</v>
      </c>
      <c r="AX15" s="25">
        <v>6</v>
      </c>
      <c r="AY15" s="25">
        <v>2</v>
      </c>
      <c r="BB15" s="25">
        <v>7</v>
      </c>
      <c r="BC15" s="25">
        <v>3</v>
      </c>
      <c r="BF15" s="25">
        <v>9</v>
      </c>
      <c r="BG15" s="25">
        <v>5</v>
      </c>
    </row>
    <row r="16" spans="1:59" x14ac:dyDescent="0.2">
      <c r="A16" s="262"/>
      <c r="L16" s="25">
        <v>5</v>
      </c>
      <c r="M16" s="25">
        <v>3</v>
      </c>
      <c r="O16" s="261" t="str">
        <f>Sprache!$E$19</f>
        <v>Rückspiele</v>
      </c>
      <c r="P16" s="25">
        <v>6</v>
      </c>
      <c r="Q16" s="25">
        <v>1</v>
      </c>
      <c r="T16" s="25">
        <v>3</v>
      </c>
      <c r="U16" s="25">
        <v>1</v>
      </c>
      <c r="X16" s="25">
        <v>2</v>
      </c>
      <c r="Y16" s="25">
        <v>8</v>
      </c>
      <c r="AB16" s="25">
        <v>2</v>
      </c>
      <c r="AC16" s="25">
        <v>3</v>
      </c>
      <c r="AP16" s="25"/>
      <c r="AQ16" s="25"/>
      <c r="AS16" s="261" t="str">
        <f>Sprache!$E$19</f>
        <v>Rückspiele</v>
      </c>
      <c r="AT16" s="25"/>
      <c r="AU16" s="25"/>
      <c r="AX16" s="25">
        <v>3</v>
      </c>
      <c r="AY16" s="25">
        <v>1</v>
      </c>
      <c r="BB16" s="25">
        <v>2</v>
      </c>
      <c r="BC16" s="25">
        <v>8</v>
      </c>
      <c r="BF16" s="25">
        <v>2</v>
      </c>
      <c r="BG16" s="25">
        <v>3</v>
      </c>
    </row>
    <row r="17" spans="1:59" x14ac:dyDescent="0.2">
      <c r="A17" s="262"/>
      <c r="L17" s="25">
        <v>4</v>
      </c>
      <c r="M17" s="25">
        <v>2</v>
      </c>
      <c r="O17" s="261"/>
      <c r="P17" s="25">
        <v>2</v>
      </c>
      <c r="Q17" s="25">
        <v>5</v>
      </c>
      <c r="S17" s="261" t="str">
        <f>Sprache!$E$18</f>
        <v>Hinspiele</v>
      </c>
      <c r="T17" s="25">
        <v>2</v>
      </c>
      <c r="U17" s="25">
        <v>4</v>
      </c>
      <c r="X17" s="25">
        <v>1</v>
      </c>
      <c r="Y17" s="25">
        <v>4</v>
      </c>
      <c r="AB17" s="25">
        <v>1</v>
      </c>
      <c r="AC17" s="25">
        <v>6</v>
      </c>
      <c r="AP17" s="25"/>
      <c r="AQ17" s="25"/>
      <c r="AS17" s="261"/>
      <c r="AT17" s="25"/>
      <c r="AU17" s="25"/>
      <c r="AW17" s="261" t="str">
        <f>Sprache!$E$18</f>
        <v>Hinspiele</v>
      </c>
      <c r="AX17" s="25">
        <v>2</v>
      </c>
      <c r="AY17" s="25">
        <v>4</v>
      </c>
      <c r="BB17" s="25">
        <v>1</v>
      </c>
      <c r="BC17" s="25">
        <v>4</v>
      </c>
      <c r="BF17" s="25">
        <v>1</v>
      </c>
      <c r="BG17" s="25">
        <v>6</v>
      </c>
    </row>
    <row r="18" spans="1:59" x14ac:dyDescent="0.2">
      <c r="A18" s="262"/>
      <c r="L18" s="25">
        <v>1</v>
      </c>
      <c r="M18" s="25">
        <v>3</v>
      </c>
      <c r="O18" s="261"/>
      <c r="P18" s="25">
        <v>4</v>
      </c>
      <c r="Q18" s="25">
        <v>3</v>
      </c>
      <c r="S18" s="261"/>
      <c r="T18" s="25">
        <v>7</v>
      </c>
      <c r="U18" s="25">
        <v>6</v>
      </c>
      <c r="X18" s="25">
        <v>3</v>
      </c>
      <c r="Y18" s="25">
        <v>5</v>
      </c>
      <c r="AB18" s="25">
        <v>5</v>
      </c>
      <c r="AC18" s="25">
        <v>7</v>
      </c>
      <c r="AP18" s="25"/>
      <c r="AQ18" s="25"/>
      <c r="AS18" s="261"/>
      <c r="AT18" s="25"/>
      <c r="AU18" s="25"/>
      <c r="AW18" s="261"/>
      <c r="AX18" s="25">
        <v>7</v>
      </c>
      <c r="AY18" s="25">
        <v>6</v>
      </c>
      <c r="BB18" s="25">
        <v>3</v>
      </c>
      <c r="BC18" s="25">
        <v>5</v>
      </c>
      <c r="BF18" s="25">
        <v>5</v>
      </c>
      <c r="BG18" s="25">
        <v>7</v>
      </c>
    </row>
    <row r="19" spans="1:59" x14ac:dyDescent="0.2">
      <c r="L19" s="25">
        <v>5</v>
      </c>
      <c r="M19" s="25">
        <v>4</v>
      </c>
      <c r="O19" s="261"/>
      <c r="P19" s="25">
        <v>1</v>
      </c>
      <c r="Q19" s="25">
        <v>5</v>
      </c>
      <c r="S19" s="261"/>
      <c r="T19" s="25">
        <v>1</v>
      </c>
      <c r="U19" s="25">
        <v>2</v>
      </c>
      <c r="X19" s="25">
        <v>6</v>
      </c>
      <c r="Y19" s="25">
        <v>2</v>
      </c>
      <c r="AB19" s="25">
        <v>8</v>
      </c>
      <c r="AC19" s="25">
        <v>4</v>
      </c>
      <c r="AP19" s="25"/>
      <c r="AQ19" s="25"/>
      <c r="AS19" s="261"/>
      <c r="AT19" s="25"/>
      <c r="AU19" s="25"/>
      <c r="AW19" s="261"/>
      <c r="AX19" s="25">
        <v>1</v>
      </c>
      <c r="AY19" s="25">
        <v>2</v>
      </c>
      <c r="BB19" s="25">
        <v>6</v>
      </c>
      <c r="BC19" s="25">
        <v>2</v>
      </c>
      <c r="BF19" s="25">
        <v>8</v>
      </c>
      <c r="BG19" s="25">
        <v>4</v>
      </c>
    </row>
    <row r="20" spans="1:59" x14ac:dyDescent="0.2">
      <c r="L20" s="25">
        <v>2</v>
      </c>
      <c r="M20" s="25">
        <v>1</v>
      </c>
      <c r="O20" s="261"/>
      <c r="P20" s="25">
        <v>6</v>
      </c>
      <c r="Q20" s="25">
        <v>4</v>
      </c>
      <c r="S20" s="261"/>
      <c r="T20" s="25">
        <v>4</v>
      </c>
      <c r="U20" s="25">
        <v>7</v>
      </c>
      <c r="X20" s="25">
        <v>8</v>
      </c>
      <c r="Y20" s="25">
        <v>7</v>
      </c>
      <c r="AB20" s="25">
        <v>3</v>
      </c>
      <c r="AC20" s="25">
        <v>9</v>
      </c>
      <c r="AP20" s="25"/>
      <c r="AQ20" s="25"/>
      <c r="AS20" s="261"/>
      <c r="AT20" s="25"/>
      <c r="AU20" s="25"/>
      <c r="AW20" s="261"/>
      <c r="AX20" s="25">
        <v>4</v>
      </c>
      <c r="AY20" s="25">
        <v>7</v>
      </c>
      <c r="BB20" s="25">
        <v>8</v>
      </c>
      <c r="BC20" s="25">
        <v>7</v>
      </c>
      <c r="BF20" s="25">
        <v>3</v>
      </c>
      <c r="BG20" s="25">
        <v>9</v>
      </c>
    </row>
    <row r="21" spans="1:59" ht="13.5" thickBot="1" x14ac:dyDescent="0.25">
      <c r="P21" s="25">
        <v>3</v>
      </c>
      <c r="Q21" s="25">
        <v>2</v>
      </c>
      <c r="S21" s="263"/>
      <c r="T21" s="25">
        <v>6</v>
      </c>
      <c r="U21" s="25">
        <v>5</v>
      </c>
      <c r="X21" s="25">
        <v>3</v>
      </c>
      <c r="Y21" s="25">
        <v>1</v>
      </c>
      <c r="AB21" s="25">
        <v>5</v>
      </c>
      <c r="AC21" s="25">
        <v>1</v>
      </c>
      <c r="AT21" s="25"/>
      <c r="AU21" s="25"/>
      <c r="AW21" s="263"/>
      <c r="AX21" s="25">
        <v>6</v>
      </c>
      <c r="AY21" s="25">
        <v>5</v>
      </c>
      <c r="BB21" s="25">
        <v>3</v>
      </c>
      <c r="BC21" s="25">
        <v>1</v>
      </c>
      <c r="BF21" s="25">
        <v>5</v>
      </c>
      <c r="BG21" s="25">
        <v>1</v>
      </c>
    </row>
    <row r="22" spans="1:59" x14ac:dyDescent="0.2">
      <c r="P22" s="25">
        <v>4</v>
      </c>
      <c r="Q22" s="25">
        <v>1</v>
      </c>
      <c r="S22" s="261" t="str">
        <f>Sprache!$E$19</f>
        <v>Rückspiele</v>
      </c>
      <c r="T22" s="25">
        <v>2</v>
      </c>
      <c r="U22" s="25">
        <v>7</v>
      </c>
      <c r="X22" s="25">
        <v>2</v>
      </c>
      <c r="Y22" s="25">
        <v>4</v>
      </c>
      <c r="AB22" s="25">
        <v>4</v>
      </c>
      <c r="AC22" s="25">
        <v>6</v>
      </c>
      <c r="AT22" s="25"/>
      <c r="AU22" s="25"/>
      <c r="AW22" s="261" t="str">
        <f>Sprache!$E$19</f>
        <v>Rückspiele</v>
      </c>
      <c r="AX22" s="25"/>
      <c r="AY22" s="25"/>
      <c r="BB22" s="25">
        <v>2</v>
      </c>
      <c r="BC22" s="25">
        <v>4</v>
      </c>
      <c r="BF22" s="25">
        <v>4</v>
      </c>
      <c r="BG22" s="25">
        <v>6</v>
      </c>
    </row>
    <row r="23" spans="1:59" x14ac:dyDescent="0.2">
      <c r="P23" s="25">
        <v>5</v>
      </c>
      <c r="Q23" s="25">
        <v>3</v>
      </c>
      <c r="S23" s="261"/>
      <c r="T23" s="25">
        <v>6</v>
      </c>
      <c r="U23" s="25">
        <v>3</v>
      </c>
      <c r="X23" s="25">
        <v>5</v>
      </c>
      <c r="Y23" s="25">
        <v>8</v>
      </c>
      <c r="AB23" s="25">
        <v>7</v>
      </c>
      <c r="AC23" s="25">
        <v>3</v>
      </c>
      <c r="AT23" s="25"/>
      <c r="AU23" s="25"/>
      <c r="AW23" s="261"/>
      <c r="AX23" s="25"/>
      <c r="AY23" s="25"/>
      <c r="BB23" s="25">
        <v>5</v>
      </c>
      <c r="BC23" s="25">
        <v>8</v>
      </c>
      <c r="BF23" s="25">
        <v>7</v>
      </c>
      <c r="BG23" s="25">
        <v>3</v>
      </c>
    </row>
    <row r="24" spans="1:59" x14ac:dyDescent="0.2">
      <c r="P24" s="25">
        <v>2</v>
      </c>
      <c r="Q24" s="25">
        <v>6</v>
      </c>
      <c r="S24" s="261"/>
      <c r="T24" s="25">
        <v>4</v>
      </c>
      <c r="U24" s="25">
        <v>5</v>
      </c>
      <c r="W24" s="261" t="str">
        <f>Sprache!$E$18</f>
        <v>Hinspiele</v>
      </c>
      <c r="X24" s="25">
        <v>7</v>
      </c>
      <c r="Y24" s="25">
        <v>6</v>
      </c>
      <c r="AB24" s="25">
        <v>2</v>
      </c>
      <c r="AC24" s="25">
        <v>8</v>
      </c>
      <c r="AT24" s="25"/>
      <c r="AU24" s="25"/>
      <c r="AW24" s="261"/>
      <c r="AX24" s="25"/>
      <c r="AY24" s="25"/>
      <c r="BA24" s="261" t="str">
        <f>Sprache!$E$18</f>
        <v>Hinspiele</v>
      </c>
      <c r="BB24" s="25">
        <v>7</v>
      </c>
      <c r="BC24" s="25">
        <v>6</v>
      </c>
      <c r="BF24" s="25">
        <v>2</v>
      </c>
      <c r="BG24" s="25">
        <v>8</v>
      </c>
    </row>
    <row r="25" spans="1:59" x14ac:dyDescent="0.2">
      <c r="P25" s="25">
        <v>1</v>
      </c>
      <c r="Q25" s="25">
        <v>3</v>
      </c>
      <c r="S25" s="261"/>
      <c r="T25" s="25">
        <v>1</v>
      </c>
      <c r="U25" s="25">
        <v>7</v>
      </c>
      <c r="W25" s="261"/>
      <c r="X25" s="25">
        <v>1</v>
      </c>
      <c r="Y25" s="25">
        <v>2</v>
      </c>
      <c r="AB25" s="25">
        <v>1</v>
      </c>
      <c r="AC25" s="25">
        <v>4</v>
      </c>
      <c r="AT25" s="25"/>
      <c r="AU25" s="25"/>
      <c r="AW25" s="261"/>
      <c r="AX25" s="25"/>
      <c r="AY25" s="25"/>
      <c r="BA25" s="261"/>
      <c r="BB25" s="25">
        <v>1</v>
      </c>
      <c r="BC25" s="25">
        <v>2</v>
      </c>
      <c r="BF25" s="25">
        <v>1</v>
      </c>
      <c r="BG25" s="25">
        <v>4</v>
      </c>
    </row>
    <row r="26" spans="1:59" x14ac:dyDescent="0.2">
      <c r="P26" s="25">
        <v>4</v>
      </c>
      <c r="Q26" s="25">
        <v>2</v>
      </c>
      <c r="S26" s="261"/>
      <c r="T26" s="25">
        <v>5</v>
      </c>
      <c r="U26" s="25">
        <v>2</v>
      </c>
      <c r="W26" s="261"/>
      <c r="X26" s="25">
        <v>8</v>
      </c>
      <c r="Y26" s="25">
        <v>3</v>
      </c>
      <c r="AB26" s="25">
        <v>3</v>
      </c>
      <c r="AC26" s="25">
        <v>5</v>
      </c>
      <c r="AT26" s="25"/>
      <c r="AU26" s="25"/>
      <c r="AW26" s="261"/>
      <c r="AX26" s="25"/>
      <c r="AY26" s="25"/>
      <c r="BA26" s="261"/>
      <c r="BB26" s="25">
        <v>8</v>
      </c>
      <c r="BC26" s="25">
        <v>3</v>
      </c>
      <c r="BF26" s="25">
        <v>3</v>
      </c>
      <c r="BG26" s="25">
        <v>5</v>
      </c>
    </row>
    <row r="27" spans="1:59" x14ac:dyDescent="0.2">
      <c r="P27" s="25">
        <v>6</v>
      </c>
      <c r="Q27" s="25">
        <v>5</v>
      </c>
      <c r="T27" s="25">
        <v>3</v>
      </c>
      <c r="U27" s="25">
        <v>4</v>
      </c>
      <c r="W27" s="261"/>
      <c r="X27" s="25">
        <v>4</v>
      </c>
      <c r="Y27" s="25">
        <v>7</v>
      </c>
      <c r="AB27" s="25">
        <v>6</v>
      </c>
      <c r="AC27" s="25">
        <v>2</v>
      </c>
      <c r="AT27" s="25"/>
      <c r="AU27" s="25"/>
      <c r="AX27" s="25"/>
      <c r="AY27" s="25"/>
      <c r="BA27" s="261"/>
      <c r="BB27" s="25">
        <v>4</v>
      </c>
      <c r="BC27" s="25">
        <v>7</v>
      </c>
      <c r="BF27" s="25">
        <v>6</v>
      </c>
      <c r="BG27" s="25">
        <v>2</v>
      </c>
    </row>
    <row r="28" spans="1:59" ht="13.5" thickBot="1" x14ac:dyDescent="0.25">
      <c r="P28" s="25">
        <v>2</v>
      </c>
      <c r="Q28" s="25">
        <v>1</v>
      </c>
      <c r="T28" s="25">
        <v>6</v>
      </c>
      <c r="U28" s="25">
        <v>1</v>
      </c>
      <c r="W28" s="263"/>
      <c r="X28" s="25">
        <v>6</v>
      </c>
      <c r="Y28" s="25">
        <v>5</v>
      </c>
      <c r="AB28" s="25">
        <v>8</v>
      </c>
      <c r="AC28" s="25">
        <v>9</v>
      </c>
      <c r="AT28" s="25"/>
      <c r="AU28" s="25"/>
      <c r="AX28" s="25"/>
      <c r="AY28" s="25"/>
      <c r="BA28" s="263"/>
      <c r="BB28" s="25">
        <v>6</v>
      </c>
      <c r="BC28" s="25">
        <v>5</v>
      </c>
      <c r="BF28" s="25">
        <v>8</v>
      </c>
      <c r="BG28" s="25">
        <v>9</v>
      </c>
    </row>
    <row r="29" spans="1:59" x14ac:dyDescent="0.2">
      <c r="P29" s="25">
        <v>3</v>
      </c>
      <c r="Q29" s="25">
        <v>6</v>
      </c>
      <c r="T29" s="25">
        <v>7</v>
      </c>
      <c r="U29" s="25">
        <v>5</v>
      </c>
      <c r="W29" s="261" t="str">
        <f>Sprache!$E$19</f>
        <v>Rückspiele</v>
      </c>
      <c r="X29" s="25">
        <v>8</v>
      </c>
      <c r="Y29" s="25">
        <v>1</v>
      </c>
      <c r="AB29" s="25">
        <v>3</v>
      </c>
      <c r="AC29" s="25">
        <v>1</v>
      </c>
      <c r="AT29" s="25"/>
      <c r="AU29" s="25"/>
      <c r="AX29" s="25"/>
      <c r="AY29" s="25"/>
      <c r="BA29" s="261" t="str">
        <f>Sprache!$E$19</f>
        <v>Rückspiele</v>
      </c>
      <c r="BB29" s="25"/>
      <c r="BC29" s="25"/>
      <c r="BF29" s="25">
        <v>3</v>
      </c>
      <c r="BG29" s="25">
        <v>1</v>
      </c>
    </row>
    <row r="30" spans="1:59" x14ac:dyDescent="0.2">
      <c r="P30" s="25">
        <v>5</v>
      </c>
      <c r="Q30" s="25">
        <v>4</v>
      </c>
      <c r="T30" s="25">
        <v>2</v>
      </c>
      <c r="U30" s="25">
        <v>3</v>
      </c>
      <c r="W30" s="261"/>
      <c r="X30" s="25">
        <v>2</v>
      </c>
      <c r="Y30" s="25">
        <v>7</v>
      </c>
      <c r="AB30" s="25">
        <v>2</v>
      </c>
      <c r="AC30" s="25">
        <v>4</v>
      </c>
      <c r="AT30" s="25"/>
      <c r="AU30" s="25"/>
      <c r="AX30" s="25"/>
      <c r="AY30" s="25"/>
      <c r="BA30" s="261"/>
      <c r="BB30" s="25"/>
      <c r="BC30" s="25"/>
      <c r="BF30" s="25">
        <v>2</v>
      </c>
      <c r="BG30" s="25">
        <v>4</v>
      </c>
    </row>
    <row r="31" spans="1:59" x14ac:dyDescent="0.2">
      <c r="T31" s="25">
        <v>1</v>
      </c>
      <c r="U31" s="25">
        <v>5</v>
      </c>
      <c r="W31" s="261"/>
      <c r="X31" s="25">
        <v>6</v>
      </c>
      <c r="Y31" s="25">
        <v>3</v>
      </c>
      <c r="AB31" s="25">
        <v>9</v>
      </c>
      <c r="AC31" s="25">
        <v>6</v>
      </c>
      <c r="AX31" s="25"/>
      <c r="AY31" s="25"/>
      <c r="BA31" s="261"/>
      <c r="BB31" s="25"/>
      <c r="BC31" s="25"/>
      <c r="BF31" s="25">
        <v>9</v>
      </c>
      <c r="BG31" s="25">
        <v>6</v>
      </c>
    </row>
    <row r="32" spans="1:59" x14ac:dyDescent="0.2">
      <c r="T32" s="25">
        <v>6</v>
      </c>
      <c r="U32" s="25">
        <v>4</v>
      </c>
      <c r="W32" s="261"/>
      <c r="X32" s="25">
        <v>4</v>
      </c>
      <c r="Y32" s="25">
        <v>5</v>
      </c>
      <c r="AA32" s="261" t="str">
        <f>Sprache!$E$18</f>
        <v>Hinspiele</v>
      </c>
      <c r="AB32" s="25">
        <v>7</v>
      </c>
      <c r="AC32" s="25">
        <v>8</v>
      </c>
      <c r="AX32" s="25"/>
      <c r="AY32" s="25"/>
      <c r="BA32" s="261"/>
      <c r="BB32" s="25"/>
      <c r="BC32" s="25"/>
      <c r="BE32" s="261" t="str">
        <f>Sprache!$E$18</f>
        <v>Hinspiele</v>
      </c>
      <c r="BF32" s="25">
        <v>7</v>
      </c>
      <c r="BG32" s="25">
        <v>8</v>
      </c>
    </row>
    <row r="33" spans="20:59" x14ac:dyDescent="0.2">
      <c r="T33" s="25">
        <v>3</v>
      </c>
      <c r="U33" s="25">
        <v>7</v>
      </c>
      <c r="W33" s="261"/>
      <c r="X33" s="25">
        <v>1</v>
      </c>
      <c r="Y33" s="25">
        <v>7</v>
      </c>
      <c r="AA33" s="261"/>
      <c r="AB33" s="25">
        <v>1</v>
      </c>
      <c r="AC33" s="25">
        <v>2</v>
      </c>
      <c r="AX33" s="25"/>
      <c r="AY33" s="25"/>
      <c r="BA33" s="261"/>
      <c r="BB33" s="25"/>
      <c r="BC33" s="25"/>
      <c r="BE33" s="261"/>
      <c r="BF33" s="25">
        <v>1</v>
      </c>
      <c r="BG33" s="25">
        <v>2</v>
      </c>
    </row>
    <row r="34" spans="20:59" x14ac:dyDescent="0.2">
      <c r="T34" s="25">
        <v>4</v>
      </c>
      <c r="U34" s="25">
        <v>1</v>
      </c>
      <c r="X34" s="25">
        <v>8</v>
      </c>
      <c r="Y34" s="25">
        <v>6</v>
      </c>
      <c r="AA34" s="261"/>
      <c r="AB34" s="25">
        <v>4</v>
      </c>
      <c r="AC34" s="25">
        <v>9</v>
      </c>
      <c r="AX34" s="25"/>
      <c r="AY34" s="25"/>
      <c r="BB34" s="25"/>
      <c r="BC34" s="25"/>
      <c r="BE34" s="261"/>
      <c r="BF34" s="25">
        <v>4</v>
      </c>
      <c r="BG34" s="25">
        <v>9</v>
      </c>
    </row>
    <row r="35" spans="20:59" x14ac:dyDescent="0.2">
      <c r="T35" s="25">
        <v>5</v>
      </c>
      <c r="U35" s="25">
        <v>3</v>
      </c>
      <c r="X35" s="25">
        <v>5</v>
      </c>
      <c r="Y35" s="25">
        <v>2</v>
      </c>
      <c r="AA35" s="261"/>
      <c r="AB35" s="25">
        <v>8</v>
      </c>
      <c r="AC35" s="25">
        <v>5</v>
      </c>
      <c r="AX35" s="25"/>
      <c r="AY35" s="25"/>
      <c r="BB35" s="25"/>
      <c r="BC35" s="25"/>
      <c r="BE35" s="261"/>
      <c r="BF35" s="25">
        <v>8</v>
      </c>
      <c r="BG35" s="25">
        <v>5</v>
      </c>
    </row>
    <row r="36" spans="20:59" ht="13.5" thickBot="1" x14ac:dyDescent="0.25">
      <c r="T36" s="25">
        <v>2</v>
      </c>
      <c r="U36" s="25">
        <v>6</v>
      </c>
      <c r="X36" s="25">
        <v>3</v>
      </c>
      <c r="Y36" s="25">
        <v>4</v>
      </c>
      <c r="AA36" s="263"/>
      <c r="AB36" s="25">
        <v>6</v>
      </c>
      <c r="AC36" s="25">
        <v>7</v>
      </c>
      <c r="AX36" s="25"/>
      <c r="AY36" s="25"/>
      <c r="BB36" s="25"/>
      <c r="BC36" s="25"/>
      <c r="BE36" s="263"/>
      <c r="BF36" s="25">
        <v>6</v>
      </c>
      <c r="BG36" s="25">
        <v>7</v>
      </c>
    </row>
    <row r="37" spans="20:59" x14ac:dyDescent="0.2">
      <c r="T37" s="25">
        <v>1</v>
      </c>
      <c r="U37" s="25">
        <v>3</v>
      </c>
      <c r="X37" s="25">
        <v>6</v>
      </c>
      <c r="Y37" s="25">
        <v>1</v>
      </c>
      <c r="AA37" s="261" t="str">
        <f>Sprache!$E$19</f>
        <v>Rückspiele</v>
      </c>
      <c r="AB37" s="25">
        <v>2</v>
      </c>
      <c r="AC37" s="25">
        <v>9</v>
      </c>
      <c r="AX37" s="25"/>
      <c r="AY37" s="25"/>
      <c r="BB37" s="25"/>
      <c r="BC37" s="25"/>
      <c r="BE37" s="261" t="str">
        <f>Sprache!$E$19</f>
        <v>Rückspiele</v>
      </c>
      <c r="BF37" s="25"/>
      <c r="BG37" s="25"/>
    </row>
    <row r="38" spans="20:59" x14ac:dyDescent="0.2">
      <c r="T38" s="25">
        <v>4</v>
      </c>
      <c r="U38" s="25">
        <v>2</v>
      </c>
      <c r="X38" s="25">
        <v>7</v>
      </c>
      <c r="Y38" s="25">
        <v>5</v>
      </c>
      <c r="AA38" s="261"/>
      <c r="AB38" s="25">
        <v>8</v>
      </c>
      <c r="AC38" s="25">
        <v>3</v>
      </c>
      <c r="AX38" s="25"/>
      <c r="AY38" s="25"/>
      <c r="BB38" s="25"/>
      <c r="BC38" s="25"/>
      <c r="BE38" s="261"/>
      <c r="BF38" s="25"/>
      <c r="BG38" s="25"/>
    </row>
    <row r="39" spans="20:59" x14ac:dyDescent="0.2">
      <c r="T39" s="25">
        <v>6</v>
      </c>
      <c r="U39" s="25">
        <v>7</v>
      </c>
      <c r="X39" s="25">
        <v>4</v>
      </c>
      <c r="Y39" s="25">
        <v>8</v>
      </c>
      <c r="AA39" s="261"/>
      <c r="AB39" s="25">
        <v>4</v>
      </c>
      <c r="AC39" s="25">
        <v>7</v>
      </c>
      <c r="AX39" s="25"/>
      <c r="AY39" s="25"/>
      <c r="BB39" s="25"/>
      <c r="BC39" s="25"/>
      <c r="BE39" s="261"/>
      <c r="BF39" s="25"/>
      <c r="BG39" s="25"/>
    </row>
    <row r="40" spans="20:59" x14ac:dyDescent="0.2">
      <c r="T40" s="25">
        <v>2</v>
      </c>
      <c r="U40" s="25">
        <v>1</v>
      </c>
      <c r="X40" s="25">
        <v>2</v>
      </c>
      <c r="Y40" s="25">
        <v>3</v>
      </c>
      <c r="AA40" s="261"/>
      <c r="AB40" s="25">
        <v>6</v>
      </c>
      <c r="AC40" s="25">
        <v>5</v>
      </c>
      <c r="AX40" s="25"/>
      <c r="AY40" s="25"/>
      <c r="BB40" s="25"/>
      <c r="BC40" s="25"/>
      <c r="BE40" s="261"/>
      <c r="BF40" s="25"/>
      <c r="BG40" s="25"/>
    </row>
    <row r="41" spans="20:59" x14ac:dyDescent="0.2">
      <c r="T41" s="25">
        <v>7</v>
      </c>
      <c r="U41" s="25">
        <v>4</v>
      </c>
      <c r="X41" s="25">
        <v>1</v>
      </c>
      <c r="Y41" s="25">
        <v>5</v>
      </c>
      <c r="AA41" s="261"/>
      <c r="AB41" s="25">
        <v>1</v>
      </c>
      <c r="AC41" s="25">
        <v>9</v>
      </c>
      <c r="AX41" s="25"/>
      <c r="AY41" s="25"/>
      <c r="BB41" s="25"/>
      <c r="BC41" s="25"/>
      <c r="BE41" s="261"/>
      <c r="BF41" s="25"/>
      <c r="BG41" s="25"/>
    </row>
    <row r="42" spans="20:59" x14ac:dyDescent="0.2">
      <c r="T42" s="25">
        <v>5</v>
      </c>
      <c r="U42" s="25">
        <v>6</v>
      </c>
      <c r="X42" s="25">
        <v>6</v>
      </c>
      <c r="Y42" s="25">
        <v>4</v>
      </c>
      <c r="AB42" s="25">
        <v>7</v>
      </c>
      <c r="AC42" s="25">
        <v>2</v>
      </c>
      <c r="AX42" s="25"/>
      <c r="AY42" s="25"/>
      <c r="BB42" s="25"/>
      <c r="BC42" s="25"/>
      <c r="BF42" s="25"/>
      <c r="BG42" s="25"/>
    </row>
    <row r="43" spans="20:59" x14ac:dyDescent="0.2">
      <c r="X43" s="25">
        <v>3</v>
      </c>
      <c r="Y43" s="25">
        <v>7</v>
      </c>
      <c r="AB43" s="25">
        <v>3</v>
      </c>
      <c r="AC43" s="25">
        <v>6</v>
      </c>
      <c r="BB43" s="25"/>
      <c r="BC43" s="25"/>
      <c r="BF43" s="25"/>
      <c r="BG43" s="25"/>
    </row>
    <row r="44" spans="20:59" x14ac:dyDescent="0.2">
      <c r="X44" s="25">
        <v>8</v>
      </c>
      <c r="Y44" s="25">
        <v>2</v>
      </c>
      <c r="AB44" s="25">
        <v>5</v>
      </c>
      <c r="AC44" s="25">
        <v>4</v>
      </c>
      <c r="BB44" s="25"/>
      <c r="BC44" s="25"/>
      <c r="BF44" s="25"/>
      <c r="BG44" s="25"/>
    </row>
    <row r="45" spans="20:59" x14ac:dyDescent="0.2">
      <c r="X45" s="25">
        <v>4</v>
      </c>
      <c r="Y45" s="25">
        <v>1</v>
      </c>
      <c r="AB45" s="25">
        <v>8</v>
      </c>
      <c r="AC45" s="25">
        <v>1</v>
      </c>
      <c r="BB45" s="25"/>
      <c r="BC45" s="25"/>
      <c r="BF45" s="25"/>
      <c r="BG45" s="25"/>
    </row>
    <row r="46" spans="20:59" x14ac:dyDescent="0.2">
      <c r="X46" s="25">
        <v>5</v>
      </c>
      <c r="Y46" s="25">
        <v>3</v>
      </c>
      <c r="AB46" s="25">
        <v>9</v>
      </c>
      <c r="AC46" s="25">
        <v>7</v>
      </c>
      <c r="BB46" s="25"/>
      <c r="BC46" s="25"/>
      <c r="BF46" s="25"/>
      <c r="BG46" s="25"/>
    </row>
    <row r="47" spans="20:59" x14ac:dyDescent="0.2">
      <c r="X47" s="25">
        <v>2</v>
      </c>
      <c r="Y47" s="25">
        <v>6</v>
      </c>
      <c r="AB47" s="25">
        <v>2</v>
      </c>
      <c r="AC47" s="25">
        <v>5</v>
      </c>
      <c r="BB47" s="25"/>
      <c r="BC47" s="25"/>
      <c r="BF47" s="25"/>
      <c r="BG47" s="25"/>
    </row>
    <row r="48" spans="20:59" x14ac:dyDescent="0.2">
      <c r="X48" s="25">
        <v>7</v>
      </c>
      <c r="Y48" s="25">
        <v>8</v>
      </c>
      <c r="AB48" s="25">
        <v>4</v>
      </c>
      <c r="AC48" s="25">
        <v>3</v>
      </c>
      <c r="BB48" s="25"/>
      <c r="BC48" s="25"/>
      <c r="BF48" s="25"/>
      <c r="BG48" s="25"/>
    </row>
    <row r="49" spans="24:59" x14ac:dyDescent="0.2">
      <c r="X49" s="25">
        <v>1</v>
      </c>
      <c r="Y49" s="25">
        <v>3</v>
      </c>
      <c r="AB49" s="25">
        <v>1</v>
      </c>
      <c r="AC49" s="25">
        <v>7</v>
      </c>
      <c r="BB49" s="25"/>
      <c r="BC49" s="25"/>
      <c r="BF49" s="25"/>
      <c r="BG49" s="25"/>
    </row>
    <row r="50" spans="24:59" x14ac:dyDescent="0.2">
      <c r="X50" s="25">
        <v>4</v>
      </c>
      <c r="Y50" s="25">
        <v>2</v>
      </c>
      <c r="AB50" s="25">
        <v>8</v>
      </c>
      <c r="AC50" s="25">
        <v>6</v>
      </c>
      <c r="BB50" s="25"/>
      <c r="BC50" s="25"/>
      <c r="BF50" s="25"/>
      <c r="BG50" s="25"/>
    </row>
    <row r="51" spans="24:59" x14ac:dyDescent="0.2">
      <c r="X51" s="25">
        <v>8</v>
      </c>
      <c r="Y51" s="25">
        <v>5</v>
      </c>
      <c r="AB51" s="25">
        <v>5</v>
      </c>
      <c r="AC51" s="25">
        <v>9</v>
      </c>
      <c r="BB51" s="25"/>
      <c r="BC51" s="25"/>
      <c r="BF51" s="25"/>
      <c r="BG51" s="25"/>
    </row>
    <row r="52" spans="24:59" x14ac:dyDescent="0.2">
      <c r="X52" s="25">
        <v>6</v>
      </c>
      <c r="Y52" s="25">
        <v>7</v>
      </c>
      <c r="AB52" s="25">
        <v>3</v>
      </c>
      <c r="AC52" s="25">
        <v>2</v>
      </c>
      <c r="BB52" s="25"/>
      <c r="BC52" s="25"/>
      <c r="BF52" s="25"/>
      <c r="BG52" s="25"/>
    </row>
    <row r="53" spans="24:59" x14ac:dyDescent="0.2">
      <c r="X53" s="25">
        <v>2</v>
      </c>
      <c r="Y53" s="25">
        <v>1</v>
      </c>
      <c r="AB53" s="25">
        <v>6</v>
      </c>
      <c r="AC53" s="25">
        <v>1</v>
      </c>
      <c r="BB53" s="25"/>
      <c r="BC53" s="25"/>
      <c r="BF53" s="25"/>
      <c r="BG53" s="25"/>
    </row>
    <row r="54" spans="24:59" x14ac:dyDescent="0.2">
      <c r="X54" s="25">
        <v>3</v>
      </c>
      <c r="Y54" s="25">
        <v>8</v>
      </c>
      <c r="AB54" s="25">
        <v>7</v>
      </c>
      <c r="AC54" s="25">
        <v>5</v>
      </c>
      <c r="BB54" s="25"/>
      <c r="BC54" s="25"/>
      <c r="BF54" s="25"/>
      <c r="BG54" s="25"/>
    </row>
    <row r="55" spans="24:59" x14ac:dyDescent="0.2">
      <c r="X55" s="25">
        <v>7</v>
      </c>
      <c r="Y55" s="25">
        <v>4</v>
      </c>
      <c r="AB55" s="25">
        <v>4</v>
      </c>
      <c r="AC55" s="25">
        <v>8</v>
      </c>
      <c r="BB55" s="25"/>
      <c r="BC55" s="25"/>
      <c r="BF55" s="25"/>
      <c r="BG55" s="25"/>
    </row>
    <row r="56" spans="24:59" x14ac:dyDescent="0.2">
      <c r="X56" s="25">
        <v>5</v>
      </c>
      <c r="Y56" s="25">
        <v>6</v>
      </c>
      <c r="AB56" s="25">
        <v>9</v>
      </c>
      <c r="AC56" s="25">
        <v>3</v>
      </c>
      <c r="BB56" s="25"/>
      <c r="BC56" s="25"/>
      <c r="BF56" s="25"/>
      <c r="BG56" s="25"/>
    </row>
    <row r="57" spans="24:59" x14ac:dyDescent="0.2">
      <c r="AB57" s="25">
        <v>1</v>
      </c>
      <c r="AC57" s="25">
        <v>5</v>
      </c>
      <c r="BF57" s="25"/>
      <c r="BG57" s="25"/>
    </row>
    <row r="58" spans="24:59" x14ac:dyDescent="0.2">
      <c r="AB58" s="25">
        <v>6</v>
      </c>
      <c r="AC58" s="25">
        <v>4</v>
      </c>
      <c r="BF58" s="25"/>
      <c r="BG58" s="25"/>
    </row>
    <row r="59" spans="24:59" x14ac:dyDescent="0.2">
      <c r="AB59" s="25">
        <v>3</v>
      </c>
      <c r="AC59" s="25">
        <v>7</v>
      </c>
      <c r="BF59" s="25"/>
      <c r="BG59" s="25"/>
    </row>
    <row r="60" spans="24:59" x14ac:dyDescent="0.2">
      <c r="AB60" s="25">
        <v>8</v>
      </c>
      <c r="AC60" s="25">
        <v>2</v>
      </c>
      <c r="BF60" s="25"/>
      <c r="BG60" s="25"/>
    </row>
    <row r="61" spans="24:59" x14ac:dyDescent="0.2">
      <c r="AB61" s="25">
        <v>4</v>
      </c>
      <c r="AC61" s="25">
        <v>1</v>
      </c>
      <c r="BF61" s="25"/>
      <c r="BG61" s="25"/>
    </row>
    <row r="62" spans="24:59" x14ac:dyDescent="0.2">
      <c r="AB62" s="25">
        <v>5</v>
      </c>
      <c r="AC62" s="25">
        <v>3</v>
      </c>
      <c r="BF62" s="25"/>
      <c r="BG62" s="25"/>
    </row>
    <row r="63" spans="24:59" x14ac:dyDescent="0.2">
      <c r="AB63" s="25">
        <v>2</v>
      </c>
      <c r="AC63" s="25">
        <v>6</v>
      </c>
      <c r="BF63" s="25"/>
      <c r="BG63" s="25"/>
    </row>
    <row r="64" spans="24:59" x14ac:dyDescent="0.2">
      <c r="AB64" s="25">
        <v>9</v>
      </c>
      <c r="AC64" s="25">
        <v>8</v>
      </c>
      <c r="BF64" s="25"/>
      <c r="BG64" s="25"/>
    </row>
    <row r="65" spans="28:59" x14ac:dyDescent="0.2">
      <c r="AB65" s="25">
        <v>1</v>
      </c>
      <c r="AC65" s="25">
        <v>3</v>
      </c>
      <c r="BF65" s="25"/>
      <c r="BG65" s="25"/>
    </row>
    <row r="66" spans="28:59" x14ac:dyDescent="0.2">
      <c r="AB66" s="25">
        <v>4</v>
      </c>
      <c r="AC66" s="25">
        <v>2</v>
      </c>
      <c r="BF66" s="25"/>
      <c r="BG66" s="25"/>
    </row>
    <row r="67" spans="28:59" x14ac:dyDescent="0.2">
      <c r="AB67" s="25">
        <v>6</v>
      </c>
      <c r="AC67" s="25">
        <v>9</v>
      </c>
      <c r="BF67" s="25"/>
      <c r="BG67" s="25"/>
    </row>
    <row r="68" spans="28:59" x14ac:dyDescent="0.2">
      <c r="AB68" s="25">
        <v>8</v>
      </c>
      <c r="AC68" s="25">
        <v>7</v>
      </c>
      <c r="BF68" s="25"/>
      <c r="BG68" s="25"/>
    </row>
    <row r="69" spans="28:59" x14ac:dyDescent="0.2">
      <c r="AB69" s="25">
        <v>2</v>
      </c>
      <c r="AC69" s="25">
        <v>1</v>
      </c>
      <c r="BF69" s="25"/>
      <c r="BG69" s="25"/>
    </row>
    <row r="70" spans="28:59" x14ac:dyDescent="0.2">
      <c r="AB70" s="25">
        <v>9</v>
      </c>
      <c r="AC70" s="25">
        <v>4</v>
      </c>
      <c r="BF70" s="25"/>
      <c r="BG70" s="25"/>
    </row>
    <row r="71" spans="28:59" x14ac:dyDescent="0.2">
      <c r="AB71" s="25">
        <v>5</v>
      </c>
      <c r="AC71" s="25">
        <v>8</v>
      </c>
      <c r="BF71" s="25"/>
      <c r="BG71" s="25"/>
    </row>
    <row r="72" spans="28:59" x14ac:dyDescent="0.2">
      <c r="AB72" s="25">
        <v>7</v>
      </c>
      <c r="AC72" s="25">
        <v>6</v>
      </c>
      <c r="BF72" s="25"/>
      <c r="BG72" s="25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Ergebnisse</vt:lpstr>
      <vt:lpstr>Calc</vt:lpstr>
      <vt:lpstr>Einstellungen</vt:lpstr>
      <vt:lpstr>Sprache</vt:lpstr>
      <vt:lpstr>Spielpaarungen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2026-01-29T16:51:35Z</dcterms:modified>
</cp:coreProperties>
</file>